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JIRKA\2025\Kanlizační přípojka Trúba\"/>
    </mc:Choice>
  </mc:AlternateContent>
  <xr:revisionPtr revIDLastSave="0" documentId="13_ncr:1_{08CE2385-3AFC-4934-8117-97938DAE1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9"/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6" i="3"/>
  <c r="I36" i="3" s="1"/>
  <c r="I26" i="3"/>
  <c r="I19" i="2" s="1"/>
  <c r="I25" i="3"/>
  <c r="I18" i="2" s="1"/>
  <c r="I24" i="3"/>
  <c r="I23" i="3"/>
  <c r="I22" i="3"/>
  <c r="I21" i="3"/>
  <c r="I14" i="2" s="1"/>
  <c r="I22" i="2" s="1"/>
  <c r="I17" i="3"/>
  <c r="I16" i="3"/>
  <c r="F15" i="2" s="1"/>
  <c r="I15" i="3"/>
  <c r="I18" i="3" s="1"/>
  <c r="I10" i="3"/>
  <c r="F10" i="3"/>
  <c r="C10" i="3"/>
  <c r="F8" i="3"/>
  <c r="C8" i="3"/>
  <c r="F6" i="3"/>
  <c r="C6" i="3"/>
  <c r="F4" i="3"/>
  <c r="C4" i="3"/>
  <c r="F2" i="3"/>
  <c r="C2" i="3"/>
  <c r="C29" i="2"/>
  <c r="F29" i="2" s="1"/>
  <c r="I28" i="2"/>
  <c r="I29" i="2" s="1"/>
  <c r="F28" i="2"/>
  <c r="C28" i="2"/>
  <c r="C27" i="2"/>
  <c r="I17" i="2"/>
  <c r="I16" i="2"/>
  <c r="F16" i="2"/>
  <c r="I15" i="2"/>
  <c r="F14" i="2"/>
  <c r="F22" i="2" s="1"/>
  <c r="I10" i="2"/>
  <c r="F10" i="2"/>
  <c r="C10" i="2"/>
  <c r="F8" i="2"/>
  <c r="C8" i="2"/>
  <c r="F6" i="2"/>
  <c r="C6" i="2"/>
  <c r="F4" i="2"/>
  <c r="C4" i="2"/>
  <c r="F2" i="2"/>
  <c r="C2" i="2"/>
  <c r="BP165" i="1"/>
  <c r="BJ165" i="1"/>
  <c r="BF165" i="1"/>
  <c r="BD165" i="1"/>
  <c r="AX165" i="1"/>
  <c r="AP165" i="1"/>
  <c r="BI165" i="1" s="1"/>
  <c r="AO165" i="1"/>
  <c r="AW165" i="1" s="1"/>
  <c r="AH165" i="1"/>
  <c r="AG165" i="1"/>
  <c r="AF165" i="1"/>
  <c r="AE165" i="1"/>
  <c r="AD165" i="1"/>
  <c r="AC165" i="1"/>
  <c r="AB165" i="1"/>
  <c r="Z165" i="1"/>
  <c r="AU164" i="1"/>
  <c r="AT164" i="1"/>
  <c r="AS164" i="1"/>
  <c r="BO163" i="1"/>
  <c r="BJ163" i="1"/>
  <c r="BF163" i="1"/>
  <c r="BD163" i="1"/>
  <c r="AW163" i="1"/>
  <c r="AV163" i="1" s="1"/>
  <c r="AP163" i="1"/>
  <c r="AX163" i="1" s="1"/>
  <c r="AO163" i="1"/>
  <c r="BH163" i="1" s="1"/>
  <c r="AH163" i="1"/>
  <c r="AG163" i="1"/>
  <c r="AF163" i="1"/>
  <c r="AE163" i="1"/>
  <c r="AD163" i="1"/>
  <c r="AC163" i="1"/>
  <c r="AB163" i="1"/>
  <c r="Z163" i="1"/>
  <c r="BO162" i="1"/>
  <c r="BJ162" i="1"/>
  <c r="BF162" i="1"/>
  <c r="BD162" i="1"/>
  <c r="AP162" i="1"/>
  <c r="BI162" i="1" s="1"/>
  <c r="AO162" i="1"/>
  <c r="BH162" i="1" s="1"/>
  <c r="AH162" i="1"/>
  <c r="AG162" i="1"/>
  <c r="AF162" i="1"/>
  <c r="AE162" i="1"/>
  <c r="AD162" i="1"/>
  <c r="AC162" i="1"/>
  <c r="AB162" i="1"/>
  <c r="Z162" i="1"/>
  <c r="F37" i="3"/>
  <c r="I37" i="3" s="1"/>
  <c r="AU161" i="1"/>
  <c r="AT161" i="1"/>
  <c r="AS161" i="1"/>
  <c r="BM159" i="1"/>
  <c r="BJ159" i="1"/>
  <c r="BF159" i="1"/>
  <c r="BD159" i="1"/>
  <c r="AP159" i="1"/>
  <c r="BI159" i="1" s="1"/>
  <c r="AO159" i="1"/>
  <c r="AW159" i="1" s="1"/>
  <c r="AH159" i="1"/>
  <c r="AG159" i="1"/>
  <c r="AF159" i="1"/>
  <c r="AE159" i="1"/>
  <c r="AD159" i="1"/>
  <c r="AC159" i="1"/>
  <c r="AB159" i="1"/>
  <c r="Z159" i="1"/>
  <c r="BM156" i="1"/>
  <c r="BJ156" i="1"/>
  <c r="BF156" i="1"/>
  <c r="BD156" i="1"/>
  <c r="AP156" i="1"/>
  <c r="AX156" i="1" s="1"/>
  <c r="AO156" i="1"/>
  <c r="BH156" i="1" s="1"/>
  <c r="AH156" i="1"/>
  <c r="AG156" i="1"/>
  <c r="AF156" i="1"/>
  <c r="AE156" i="1"/>
  <c r="AD156" i="1"/>
  <c r="AC156" i="1"/>
  <c r="AB156" i="1"/>
  <c r="Z156" i="1"/>
  <c r="AU155" i="1"/>
  <c r="AT155" i="1"/>
  <c r="AS155" i="1"/>
  <c r="BJ152" i="1"/>
  <c r="BF152" i="1"/>
  <c r="BD152" i="1"/>
  <c r="AP152" i="1"/>
  <c r="BI152" i="1" s="1"/>
  <c r="AO152" i="1"/>
  <c r="AW152" i="1" s="1"/>
  <c r="AH152" i="1"/>
  <c r="AG152" i="1"/>
  <c r="AF152" i="1"/>
  <c r="AE152" i="1"/>
  <c r="AD152" i="1"/>
  <c r="AC152" i="1"/>
  <c r="AB152" i="1"/>
  <c r="Z152" i="1"/>
  <c r="BJ151" i="1"/>
  <c r="AH151" i="1" s="1"/>
  <c r="BF151" i="1"/>
  <c r="BD151" i="1"/>
  <c r="AP151" i="1"/>
  <c r="BI151" i="1" s="1"/>
  <c r="AO151" i="1"/>
  <c r="BH151" i="1" s="1"/>
  <c r="AG151" i="1"/>
  <c r="AF151" i="1"/>
  <c r="AE151" i="1"/>
  <c r="AD151" i="1"/>
  <c r="AC151" i="1"/>
  <c r="AB151" i="1"/>
  <c r="Z151" i="1"/>
  <c r="BJ150" i="1"/>
  <c r="AH150" i="1" s="1"/>
  <c r="BF150" i="1"/>
  <c r="BD150" i="1"/>
  <c r="AX150" i="1"/>
  <c r="AP150" i="1"/>
  <c r="BI150" i="1" s="1"/>
  <c r="AO150" i="1"/>
  <c r="AW150" i="1" s="1"/>
  <c r="AG150" i="1"/>
  <c r="AF150" i="1"/>
  <c r="AE150" i="1"/>
  <c r="AD150" i="1"/>
  <c r="AC150" i="1"/>
  <c r="AB150" i="1"/>
  <c r="Z150" i="1"/>
  <c r="BJ149" i="1"/>
  <c r="BF149" i="1"/>
  <c r="BD149" i="1"/>
  <c r="AP149" i="1"/>
  <c r="AX149" i="1" s="1"/>
  <c r="AO149" i="1"/>
  <c r="AW149" i="1" s="1"/>
  <c r="AH149" i="1"/>
  <c r="AG149" i="1"/>
  <c r="AF149" i="1"/>
  <c r="AE149" i="1"/>
  <c r="AD149" i="1"/>
  <c r="AC149" i="1"/>
  <c r="AB149" i="1"/>
  <c r="Z149" i="1"/>
  <c r="BJ148" i="1"/>
  <c r="AH148" i="1" s="1"/>
  <c r="BF148" i="1"/>
  <c r="BD148" i="1"/>
  <c r="AX148" i="1"/>
  <c r="AW148" i="1"/>
  <c r="AP148" i="1"/>
  <c r="BI148" i="1" s="1"/>
  <c r="AO148" i="1"/>
  <c r="BH148" i="1" s="1"/>
  <c r="AG148" i="1"/>
  <c r="AF148" i="1"/>
  <c r="AE148" i="1"/>
  <c r="AD148" i="1"/>
  <c r="AC148" i="1"/>
  <c r="AB148" i="1"/>
  <c r="Z148" i="1"/>
  <c r="BJ147" i="1"/>
  <c r="BF147" i="1"/>
  <c r="BD147" i="1"/>
  <c r="AP147" i="1"/>
  <c r="AX147" i="1" s="1"/>
  <c r="AO147" i="1"/>
  <c r="BH147" i="1" s="1"/>
  <c r="AH147" i="1"/>
  <c r="AG147" i="1"/>
  <c r="AF147" i="1"/>
  <c r="AE147" i="1"/>
  <c r="AD147" i="1"/>
  <c r="AC147" i="1"/>
  <c r="AB147" i="1"/>
  <c r="Z147" i="1"/>
  <c r="BJ146" i="1"/>
  <c r="AH146" i="1" s="1"/>
  <c r="BF146" i="1"/>
  <c r="BD146" i="1"/>
  <c r="AP146" i="1"/>
  <c r="AX146" i="1" s="1"/>
  <c r="AO146" i="1"/>
  <c r="BH146" i="1" s="1"/>
  <c r="AG146" i="1"/>
  <c r="AF146" i="1"/>
  <c r="AE146" i="1"/>
  <c r="AD146" i="1"/>
  <c r="AC146" i="1"/>
  <c r="AB146" i="1"/>
  <c r="Z146" i="1"/>
  <c r="BJ145" i="1"/>
  <c r="BF145" i="1"/>
  <c r="BD145" i="1"/>
  <c r="AW145" i="1"/>
  <c r="AP145" i="1"/>
  <c r="BI145" i="1" s="1"/>
  <c r="AO145" i="1"/>
  <c r="BH145" i="1" s="1"/>
  <c r="AH145" i="1"/>
  <c r="AG145" i="1"/>
  <c r="AF145" i="1"/>
  <c r="AE145" i="1"/>
  <c r="AD145" i="1"/>
  <c r="AC145" i="1"/>
  <c r="AB145" i="1"/>
  <c r="Z145" i="1"/>
  <c r="BJ144" i="1"/>
  <c r="BF144" i="1"/>
  <c r="BD144" i="1"/>
  <c r="AP144" i="1"/>
  <c r="BI144" i="1" s="1"/>
  <c r="AO144" i="1"/>
  <c r="AW144" i="1" s="1"/>
  <c r="AH144" i="1"/>
  <c r="AG144" i="1"/>
  <c r="AF144" i="1"/>
  <c r="AE144" i="1"/>
  <c r="AD144" i="1"/>
  <c r="AC144" i="1"/>
  <c r="AB144" i="1"/>
  <c r="Z144" i="1"/>
  <c r="BJ143" i="1"/>
  <c r="AH143" i="1" s="1"/>
  <c r="BF143" i="1"/>
  <c r="BD143" i="1"/>
  <c r="AP143" i="1"/>
  <c r="BI143" i="1" s="1"/>
  <c r="AO143" i="1"/>
  <c r="BH143" i="1" s="1"/>
  <c r="AG143" i="1"/>
  <c r="AF143" i="1"/>
  <c r="AE143" i="1"/>
  <c r="AD143" i="1"/>
  <c r="AC143" i="1"/>
  <c r="AB143" i="1"/>
  <c r="Z143" i="1"/>
  <c r="BJ142" i="1"/>
  <c r="AH142" i="1" s="1"/>
  <c r="BF142" i="1"/>
  <c r="BD142" i="1"/>
  <c r="AP142" i="1"/>
  <c r="BI142" i="1" s="1"/>
  <c r="AO142" i="1"/>
  <c r="AW142" i="1" s="1"/>
  <c r="AG142" i="1"/>
  <c r="AF142" i="1"/>
  <c r="AE142" i="1"/>
  <c r="AD142" i="1"/>
  <c r="AC142" i="1"/>
  <c r="AB142" i="1"/>
  <c r="Z142" i="1"/>
  <c r="BJ141" i="1"/>
  <c r="BF141" i="1"/>
  <c r="BD141" i="1"/>
  <c r="AP141" i="1"/>
  <c r="AX141" i="1" s="1"/>
  <c r="AO141" i="1"/>
  <c r="AW141" i="1" s="1"/>
  <c r="AH141" i="1"/>
  <c r="AG141" i="1"/>
  <c r="AF141" i="1"/>
  <c r="AE141" i="1"/>
  <c r="AD141" i="1"/>
  <c r="AC141" i="1"/>
  <c r="AB141" i="1"/>
  <c r="Z141" i="1"/>
  <c r="BJ140" i="1"/>
  <c r="AH140" i="1" s="1"/>
  <c r="BF140" i="1"/>
  <c r="BD140" i="1"/>
  <c r="AX140" i="1"/>
  <c r="AP140" i="1"/>
  <c r="BI140" i="1" s="1"/>
  <c r="AO140" i="1"/>
  <c r="BH140" i="1" s="1"/>
  <c r="AG140" i="1"/>
  <c r="AF140" i="1"/>
  <c r="AE140" i="1"/>
  <c r="AD140" i="1"/>
  <c r="AC140" i="1"/>
  <c r="AB140" i="1"/>
  <c r="Z140" i="1"/>
  <c r="BJ139" i="1"/>
  <c r="BF139" i="1"/>
  <c r="BD139" i="1"/>
  <c r="AP139" i="1"/>
  <c r="AX139" i="1" s="1"/>
  <c r="AO139" i="1"/>
  <c r="BH139" i="1" s="1"/>
  <c r="AH139" i="1"/>
  <c r="AG139" i="1"/>
  <c r="AF139" i="1"/>
  <c r="AE139" i="1"/>
  <c r="AD139" i="1"/>
  <c r="AC139" i="1"/>
  <c r="AB139" i="1"/>
  <c r="Z139" i="1"/>
  <c r="BJ138" i="1"/>
  <c r="AH138" i="1" s="1"/>
  <c r="BI138" i="1"/>
  <c r="BF138" i="1"/>
  <c r="BD138" i="1"/>
  <c r="AP138" i="1"/>
  <c r="AX138" i="1" s="1"/>
  <c r="AO138" i="1"/>
  <c r="BH138" i="1" s="1"/>
  <c r="AG138" i="1"/>
  <c r="AF138" i="1"/>
  <c r="AE138" i="1"/>
  <c r="AD138" i="1"/>
  <c r="AC138" i="1"/>
  <c r="AB138" i="1"/>
  <c r="Z138" i="1"/>
  <c r="BJ137" i="1"/>
  <c r="BF137" i="1"/>
  <c r="BD137" i="1"/>
  <c r="AW137" i="1"/>
  <c r="AP137" i="1"/>
  <c r="BI137" i="1" s="1"/>
  <c r="AO137" i="1"/>
  <c r="BH137" i="1" s="1"/>
  <c r="AH137" i="1"/>
  <c r="AG137" i="1"/>
  <c r="AF137" i="1"/>
  <c r="AE137" i="1"/>
  <c r="AD137" i="1"/>
  <c r="AC137" i="1"/>
  <c r="AB137" i="1"/>
  <c r="Z137" i="1"/>
  <c r="BJ136" i="1"/>
  <c r="BF136" i="1"/>
  <c r="BD136" i="1"/>
  <c r="AP136" i="1"/>
  <c r="BI136" i="1" s="1"/>
  <c r="AO136" i="1"/>
  <c r="AW136" i="1" s="1"/>
  <c r="AH136" i="1"/>
  <c r="AG136" i="1"/>
  <c r="AF136" i="1"/>
  <c r="AE136" i="1"/>
  <c r="AD136" i="1"/>
  <c r="AC136" i="1"/>
  <c r="AB136" i="1"/>
  <c r="Z136" i="1"/>
  <c r="BJ135" i="1"/>
  <c r="AH135" i="1" s="1"/>
  <c r="BF135" i="1"/>
  <c r="BD135" i="1"/>
  <c r="AW135" i="1"/>
  <c r="AP135" i="1"/>
  <c r="BI135" i="1" s="1"/>
  <c r="AO135" i="1"/>
  <c r="BH135" i="1" s="1"/>
  <c r="AG135" i="1"/>
  <c r="AF135" i="1"/>
  <c r="AE135" i="1"/>
  <c r="AD135" i="1"/>
  <c r="AC135" i="1"/>
  <c r="AB135" i="1"/>
  <c r="Z135" i="1"/>
  <c r="AU134" i="1"/>
  <c r="AT134" i="1"/>
  <c r="AS134" i="1"/>
  <c r="BJ132" i="1"/>
  <c r="BF132" i="1"/>
  <c r="BD132" i="1"/>
  <c r="AP132" i="1"/>
  <c r="AX132" i="1" s="1"/>
  <c r="AO132" i="1"/>
  <c r="AW132" i="1" s="1"/>
  <c r="AH132" i="1"/>
  <c r="AG132" i="1"/>
  <c r="AF132" i="1"/>
  <c r="AE132" i="1"/>
  <c r="AD132" i="1"/>
  <c r="AC132" i="1"/>
  <c r="AB132" i="1"/>
  <c r="Z132" i="1"/>
  <c r="BJ129" i="1"/>
  <c r="BF129" i="1"/>
  <c r="BD129" i="1"/>
  <c r="AX129" i="1"/>
  <c r="AW129" i="1"/>
  <c r="AP129" i="1"/>
  <c r="BI129" i="1" s="1"/>
  <c r="AC129" i="1" s="1"/>
  <c r="AO129" i="1"/>
  <c r="BH129" i="1" s="1"/>
  <c r="AB129" i="1" s="1"/>
  <c r="AH129" i="1"/>
  <c r="AG129" i="1"/>
  <c r="AF129" i="1"/>
  <c r="AE129" i="1"/>
  <c r="AD129" i="1"/>
  <c r="Z129" i="1"/>
  <c r="BJ126" i="1"/>
  <c r="BF126" i="1"/>
  <c r="BD126" i="1"/>
  <c r="AP126" i="1"/>
  <c r="AX126" i="1" s="1"/>
  <c r="AO126" i="1"/>
  <c r="BH126" i="1" s="1"/>
  <c r="AB126" i="1" s="1"/>
  <c r="AH126" i="1"/>
  <c r="AG126" i="1"/>
  <c r="AF126" i="1"/>
  <c r="AE126" i="1"/>
  <c r="AD126" i="1"/>
  <c r="Z126" i="1"/>
  <c r="BJ125" i="1"/>
  <c r="Z125" i="1" s="1"/>
  <c r="BI125" i="1"/>
  <c r="BF125" i="1"/>
  <c r="BD125" i="1"/>
  <c r="AP125" i="1"/>
  <c r="AX125" i="1" s="1"/>
  <c r="AO125" i="1"/>
  <c r="BH125" i="1" s="1"/>
  <c r="AH125" i="1"/>
  <c r="AG125" i="1"/>
  <c r="AF125" i="1"/>
  <c r="AE125" i="1"/>
  <c r="AD125" i="1"/>
  <c r="AC125" i="1"/>
  <c r="AB125" i="1"/>
  <c r="BJ124" i="1"/>
  <c r="Z124" i="1" s="1"/>
  <c r="BF124" i="1"/>
  <c r="BD124" i="1"/>
  <c r="AX124" i="1"/>
  <c r="AP124" i="1"/>
  <c r="BI124" i="1" s="1"/>
  <c r="AO124" i="1"/>
  <c r="BH124" i="1" s="1"/>
  <c r="AH124" i="1"/>
  <c r="AG124" i="1"/>
  <c r="AF124" i="1"/>
  <c r="AE124" i="1"/>
  <c r="AD124" i="1"/>
  <c r="AC124" i="1"/>
  <c r="AB124" i="1"/>
  <c r="BJ122" i="1"/>
  <c r="Z122" i="1" s="1"/>
  <c r="BF122" i="1"/>
  <c r="BD122" i="1"/>
  <c r="AP122" i="1"/>
  <c r="BI122" i="1" s="1"/>
  <c r="AO122" i="1"/>
  <c r="AW122" i="1" s="1"/>
  <c r="AH122" i="1"/>
  <c r="AG122" i="1"/>
  <c r="AF122" i="1"/>
  <c r="AE122" i="1"/>
  <c r="AD122" i="1"/>
  <c r="AC122" i="1"/>
  <c r="AB122" i="1"/>
  <c r="AU121" i="1"/>
  <c r="AT121" i="1"/>
  <c r="AS121" i="1"/>
  <c r="BJ119" i="1"/>
  <c r="BF119" i="1"/>
  <c r="BD119" i="1"/>
  <c r="AP119" i="1"/>
  <c r="BI119" i="1" s="1"/>
  <c r="AG119" i="1" s="1"/>
  <c r="AO119" i="1"/>
  <c r="AW119" i="1" s="1"/>
  <c r="AH119" i="1"/>
  <c r="AE119" i="1"/>
  <c r="AD119" i="1"/>
  <c r="AC119" i="1"/>
  <c r="AB119" i="1"/>
  <c r="Z119" i="1"/>
  <c r="BJ117" i="1"/>
  <c r="BH117" i="1"/>
  <c r="AF117" i="1" s="1"/>
  <c r="BF117" i="1"/>
  <c r="BD117" i="1"/>
  <c r="AP117" i="1"/>
  <c r="AX117" i="1" s="1"/>
  <c r="AO117" i="1"/>
  <c r="AW117" i="1" s="1"/>
  <c r="AH117" i="1"/>
  <c r="AE117" i="1"/>
  <c r="AD117" i="1"/>
  <c r="AC117" i="1"/>
  <c r="AB117" i="1"/>
  <c r="Z117" i="1"/>
  <c r="BJ115" i="1"/>
  <c r="BF115" i="1"/>
  <c r="BD115" i="1"/>
  <c r="AX115" i="1"/>
  <c r="AP115" i="1"/>
  <c r="BI115" i="1" s="1"/>
  <c r="AG115" i="1" s="1"/>
  <c r="AO115" i="1"/>
  <c r="BH115" i="1" s="1"/>
  <c r="AF115" i="1" s="1"/>
  <c r="AH115" i="1"/>
  <c r="AE115" i="1"/>
  <c r="AD115" i="1"/>
  <c r="AC115" i="1"/>
  <c r="AB115" i="1"/>
  <c r="Z115" i="1"/>
  <c r="BJ113" i="1"/>
  <c r="BF113" i="1"/>
  <c r="BD113" i="1"/>
  <c r="AP113" i="1"/>
  <c r="AX113" i="1" s="1"/>
  <c r="AO113" i="1"/>
  <c r="BH113" i="1" s="1"/>
  <c r="AF113" i="1" s="1"/>
  <c r="AH113" i="1"/>
  <c r="AE113" i="1"/>
  <c r="AD113" i="1"/>
  <c r="AC113" i="1"/>
  <c r="AB113" i="1"/>
  <c r="Z113" i="1"/>
  <c r="AU112" i="1"/>
  <c r="AT112" i="1"/>
  <c r="AS112" i="1"/>
  <c r="BJ110" i="1"/>
  <c r="BF110" i="1"/>
  <c r="BD110" i="1"/>
  <c r="AP110" i="1"/>
  <c r="BI110" i="1" s="1"/>
  <c r="AG110" i="1" s="1"/>
  <c r="AO110" i="1"/>
  <c r="BH110" i="1" s="1"/>
  <c r="AF110" i="1" s="1"/>
  <c r="AH110" i="1"/>
  <c r="AE110" i="1"/>
  <c r="AD110" i="1"/>
  <c r="AC110" i="1"/>
  <c r="AB110" i="1"/>
  <c r="Z110" i="1"/>
  <c r="BJ109" i="1"/>
  <c r="BF109" i="1"/>
  <c r="BD109" i="1"/>
  <c r="AP109" i="1"/>
  <c r="BI109" i="1" s="1"/>
  <c r="AG109" i="1" s="1"/>
  <c r="AO109" i="1"/>
  <c r="AW109" i="1" s="1"/>
  <c r="AH109" i="1"/>
  <c r="AE109" i="1"/>
  <c r="AD109" i="1"/>
  <c r="AC109" i="1"/>
  <c r="AB109" i="1"/>
  <c r="Z109" i="1"/>
  <c r="AU108" i="1"/>
  <c r="AT108" i="1"/>
  <c r="AS108" i="1"/>
  <c r="BJ107" i="1"/>
  <c r="BF107" i="1"/>
  <c r="BD107" i="1"/>
  <c r="AP107" i="1"/>
  <c r="BI107" i="1" s="1"/>
  <c r="AO107" i="1"/>
  <c r="AW107" i="1" s="1"/>
  <c r="AH107" i="1"/>
  <c r="AG107" i="1"/>
  <c r="AF107" i="1"/>
  <c r="AE107" i="1"/>
  <c r="AD107" i="1"/>
  <c r="AC107" i="1"/>
  <c r="AB107" i="1"/>
  <c r="Z107" i="1"/>
  <c r="BJ106" i="1"/>
  <c r="BF106" i="1"/>
  <c r="BD106" i="1"/>
  <c r="AP106" i="1"/>
  <c r="AX106" i="1" s="1"/>
  <c r="AO106" i="1"/>
  <c r="AW106" i="1" s="1"/>
  <c r="AH106" i="1"/>
  <c r="AG106" i="1"/>
  <c r="AF106" i="1"/>
  <c r="AE106" i="1"/>
  <c r="AD106" i="1"/>
  <c r="Z106" i="1"/>
  <c r="BJ104" i="1"/>
  <c r="BF104" i="1"/>
  <c r="BD104" i="1"/>
  <c r="AX104" i="1"/>
  <c r="AP104" i="1"/>
  <c r="BI104" i="1" s="1"/>
  <c r="AC104" i="1" s="1"/>
  <c r="AO104" i="1"/>
  <c r="BH104" i="1" s="1"/>
  <c r="AB104" i="1" s="1"/>
  <c r="AH104" i="1"/>
  <c r="AG104" i="1"/>
  <c r="AF104" i="1"/>
  <c r="AE104" i="1"/>
  <c r="AD104" i="1"/>
  <c r="Z104" i="1"/>
  <c r="BJ102" i="1"/>
  <c r="BF102" i="1"/>
  <c r="BD102" i="1"/>
  <c r="AP102" i="1"/>
  <c r="AX102" i="1" s="1"/>
  <c r="AO102" i="1"/>
  <c r="BH102" i="1" s="1"/>
  <c r="AB102" i="1" s="1"/>
  <c r="AH102" i="1"/>
  <c r="AG102" i="1"/>
  <c r="AF102" i="1"/>
  <c r="AE102" i="1"/>
  <c r="AD102" i="1"/>
  <c r="Z102" i="1"/>
  <c r="AU101" i="1"/>
  <c r="AT101" i="1"/>
  <c r="AS101" i="1"/>
  <c r="BJ99" i="1"/>
  <c r="BF99" i="1"/>
  <c r="BD99" i="1"/>
  <c r="AP99" i="1"/>
  <c r="BI99" i="1" s="1"/>
  <c r="AC99" i="1" s="1"/>
  <c r="AO99" i="1"/>
  <c r="BH99" i="1" s="1"/>
  <c r="AB99" i="1" s="1"/>
  <c r="AH99" i="1"/>
  <c r="AG99" i="1"/>
  <c r="AF99" i="1"/>
  <c r="AE99" i="1"/>
  <c r="AD99" i="1"/>
  <c r="Z99" i="1"/>
  <c r="BJ97" i="1"/>
  <c r="BF97" i="1"/>
  <c r="BD97" i="1"/>
  <c r="AP97" i="1"/>
  <c r="BI97" i="1" s="1"/>
  <c r="AC97" i="1" s="1"/>
  <c r="AO97" i="1"/>
  <c r="AW97" i="1" s="1"/>
  <c r="AH97" i="1"/>
  <c r="AG97" i="1"/>
  <c r="AF97" i="1"/>
  <c r="AE97" i="1"/>
  <c r="AD97" i="1"/>
  <c r="Z97" i="1"/>
  <c r="AU96" i="1"/>
  <c r="AT96" i="1"/>
  <c r="AS96" i="1"/>
  <c r="BJ94" i="1"/>
  <c r="BF94" i="1"/>
  <c r="BD94" i="1"/>
  <c r="AP94" i="1"/>
  <c r="BI94" i="1" s="1"/>
  <c r="AC94" i="1" s="1"/>
  <c r="AO94" i="1"/>
  <c r="AW94" i="1" s="1"/>
  <c r="AH94" i="1"/>
  <c r="AG94" i="1"/>
  <c r="AF94" i="1"/>
  <c r="AE94" i="1"/>
  <c r="AD94" i="1"/>
  <c r="Z94" i="1"/>
  <c r="BJ93" i="1"/>
  <c r="BF93" i="1"/>
  <c r="BD93" i="1"/>
  <c r="AP93" i="1"/>
  <c r="AX93" i="1" s="1"/>
  <c r="AO93" i="1"/>
  <c r="AW93" i="1" s="1"/>
  <c r="AH93" i="1"/>
  <c r="AG93" i="1"/>
  <c r="AF93" i="1"/>
  <c r="AE93" i="1"/>
  <c r="AD93" i="1"/>
  <c r="Z93" i="1"/>
  <c r="AU92" i="1"/>
  <c r="AT92" i="1"/>
  <c r="AS92" i="1"/>
  <c r="BJ91" i="1"/>
  <c r="BF91" i="1"/>
  <c r="BD91" i="1"/>
  <c r="AP91" i="1"/>
  <c r="AX91" i="1" s="1"/>
  <c r="AO91" i="1"/>
  <c r="BH91" i="1" s="1"/>
  <c r="AB91" i="1" s="1"/>
  <c r="AH91" i="1"/>
  <c r="AG91" i="1"/>
  <c r="AF91" i="1"/>
  <c r="AE91" i="1"/>
  <c r="AD91" i="1"/>
  <c r="Z91" i="1"/>
  <c r="BJ90" i="1"/>
  <c r="BF90" i="1"/>
  <c r="BD90" i="1"/>
  <c r="AP90" i="1"/>
  <c r="AX90" i="1" s="1"/>
  <c r="AO90" i="1"/>
  <c r="BH90" i="1" s="1"/>
  <c r="AH90" i="1"/>
  <c r="AG90" i="1"/>
  <c r="AF90" i="1"/>
  <c r="AE90" i="1"/>
  <c r="AD90" i="1"/>
  <c r="AB90" i="1"/>
  <c r="Z90" i="1"/>
  <c r="BJ89" i="1"/>
  <c r="BF89" i="1"/>
  <c r="BD89" i="1"/>
  <c r="AX89" i="1"/>
  <c r="AP89" i="1"/>
  <c r="BI89" i="1" s="1"/>
  <c r="AC89" i="1" s="1"/>
  <c r="AO89" i="1"/>
  <c r="BH89" i="1" s="1"/>
  <c r="AB89" i="1" s="1"/>
  <c r="AH89" i="1"/>
  <c r="AG89" i="1"/>
  <c r="AF89" i="1"/>
  <c r="AE89" i="1"/>
  <c r="AD89" i="1"/>
  <c r="Z89" i="1"/>
  <c r="AU88" i="1"/>
  <c r="AT88" i="1"/>
  <c r="AS88" i="1"/>
  <c r="BJ86" i="1"/>
  <c r="BF86" i="1"/>
  <c r="BD86" i="1"/>
  <c r="AP86" i="1"/>
  <c r="BI86" i="1" s="1"/>
  <c r="AC86" i="1" s="1"/>
  <c r="AO86" i="1"/>
  <c r="BH86" i="1" s="1"/>
  <c r="AB86" i="1" s="1"/>
  <c r="AH86" i="1"/>
  <c r="AG86" i="1"/>
  <c r="AF86" i="1"/>
  <c r="AE86" i="1"/>
  <c r="AD86" i="1"/>
  <c r="Z86" i="1"/>
  <c r="AU85" i="1"/>
  <c r="AT85" i="1"/>
  <c r="AS85" i="1"/>
  <c r="BJ83" i="1"/>
  <c r="BF83" i="1"/>
  <c r="BD83" i="1"/>
  <c r="AP83" i="1"/>
  <c r="AX83" i="1" s="1"/>
  <c r="AO83" i="1"/>
  <c r="AW83" i="1" s="1"/>
  <c r="AH83" i="1"/>
  <c r="AG83" i="1"/>
  <c r="AF83" i="1"/>
  <c r="AC83" i="1"/>
  <c r="AB83" i="1"/>
  <c r="Z83" i="1"/>
  <c r="BJ81" i="1"/>
  <c r="BF81" i="1"/>
  <c r="BD81" i="1"/>
  <c r="AX81" i="1"/>
  <c r="AP81" i="1"/>
  <c r="BI81" i="1" s="1"/>
  <c r="AE81" i="1" s="1"/>
  <c r="AO81" i="1"/>
  <c r="BH81" i="1" s="1"/>
  <c r="AD81" i="1" s="1"/>
  <c r="AH81" i="1"/>
  <c r="AG81" i="1"/>
  <c r="AF81" i="1"/>
  <c r="AC81" i="1"/>
  <c r="AB81" i="1"/>
  <c r="Z81" i="1"/>
  <c r="AU80" i="1"/>
  <c r="AT80" i="1"/>
  <c r="AS80" i="1"/>
  <c r="BJ79" i="1"/>
  <c r="BF79" i="1"/>
  <c r="BD79" i="1"/>
  <c r="AP79" i="1"/>
  <c r="AX79" i="1" s="1"/>
  <c r="AO79" i="1"/>
  <c r="BH79" i="1" s="1"/>
  <c r="AD79" i="1" s="1"/>
  <c r="AH79" i="1"/>
  <c r="AG79" i="1"/>
  <c r="AF79" i="1"/>
  <c r="AC79" i="1"/>
  <c r="AB79" i="1"/>
  <c r="Z79" i="1"/>
  <c r="BJ77" i="1"/>
  <c r="BF77" i="1"/>
  <c r="BD77" i="1"/>
  <c r="AX77" i="1"/>
  <c r="AP77" i="1"/>
  <c r="BI77" i="1" s="1"/>
  <c r="AO77" i="1"/>
  <c r="BH77" i="1" s="1"/>
  <c r="AD77" i="1" s="1"/>
  <c r="AH77" i="1"/>
  <c r="AG77" i="1"/>
  <c r="AF77" i="1"/>
  <c r="AE77" i="1"/>
  <c r="AC77" i="1"/>
  <c r="AB77" i="1"/>
  <c r="Z77" i="1"/>
  <c r="BJ75" i="1"/>
  <c r="BF75" i="1"/>
  <c r="BD75" i="1"/>
  <c r="AP75" i="1"/>
  <c r="BI75" i="1" s="1"/>
  <c r="AE75" i="1" s="1"/>
  <c r="AO75" i="1"/>
  <c r="AW75" i="1" s="1"/>
  <c r="AH75" i="1"/>
  <c r="AG75" i="1"/>
  <c r="AF75" i="1"/>
  <c r="AC75" i="1"/>
  <c r="AB75" i="1"/>
  <c r="Z75" i="1"/>
  <c r="BJ74" i="1"/>
  <c r="BF74" i="1"/>
  <c r="BD74" i="1"/>
  <c r="AP74" i="1"/>
  <c r="BI74" i="1" s="1"/>
  <c r="AE74" i="1" s="1"/>
  <c r="AO74" i="1"/>
  <c r="BH74" i="1" s="1"/>
  <c r="AD74" i="1" s="1"/>
  <c r="AH74" i="1"/>
  <c r="AG74" i="1"/>
  <c r="AF74" i="1"/>
  <c r="AC74" i="1"/>
  <c r="AB74" i="1"/>
  <c r="Z74" i="1"/>
  <c r="BJ73" i="1"/>
  <c r="BF73" i="1"/>
  <c r="BD73" i="1"/>
  <c r="AX73" i="1"/>
  <c r="AP73" i="1"/>
  <c r="BI73" i="1" s="1"/>
  <c r="AE73" i="1" s="1"/>
  <c r="AO73" i="1"/>
  <c r="AW73" i="1" s="1"/>
  <c r="AH73" i="1"/>
  <c r="AG73" i="1"/>
  <c r="AF73" i="1"/>
  <c r="AC73" i="1"/>
  <c r="AB73" i="1"/>
  <c r="Z73" i="1"/>
  <c r="BJ72" i="1"/>
  <c r="BF72" i="1"/>
  <c r="BD72" i="1"/>
  <c r="AP72" i="1"/>
  <c r="AX72" i="1" s="1"/>
  <c r="AO72" i="1"/>
  <c r="AW72" i="1" s="1"/>
  <c r="AH72" i="1"/>
  <c r="AG72" i="1"/>
  <c r="AF72" i="1"/>
  <c r="AC72" i="1"/>
  <c r="AB72" i="1"/>
  <c r="Z72" i="1"/>
  <c r="AU71" i="1"/>
  <c r="AT71" i="1"/>
  <c r="AS71" i="1"/>
  <c r="BJ69" i="1"/>
  <c r="BF69" i="1"/>
  <c r="BD69" i="1"/>
  <c r="AP69" i="1"/>
  <c r="AX69" i="1" s="1"/>
  <c r="AO69" i="1"/>
  <c r="BH69" i="1" s="1"/>
  <c r="AB69" i="1" s="1"/>
  <c r="AH69" i="1"/>
  <c r="AG69" i="1"/>
  <c r="AF69" i="1"/>
  <c r="AE69" i="1"/>
  <c r="AD69" i="1"/>
  <c r="Z69" i="1"/>
  <c r="BJ67" i="1"/>
  <c r="BF67" i="1"/>
  <c r="BD67" i="1"/>
  <c r="AP67" i="1"/>
  <c r="AX67" i="1" s="1"/>
  <c r="AO67" i="1"/>
  <c r="BH67" i="1" s="1"/>
  <c r="AB67" i="1" s="1"/>
  <c r="AH67" i="1"/>
  <c r="AG67" i="1"/>
  <c r="AF67" i="1"/>
  <c r="AE67" i="1"/>
  <c r="AD67" i="1"/>
  <c r="Z67" i="1"/>
  <c r="BJ65" i="1"/>
  <c r="BF65" i="1"/>
  <c r="BD65" i="1"/>
  <c r="AP65" i="1"/>
  <c r="BI65" i="1" s="1"/>
  <c r="AC65" i="1" s="1"/>
  <c r="AO65" i="1"/>
  <c r="BH65" i="1" s="1"/>
  <c r="AB65" i="1" s="1"/>
  <c r="AH65" i="1"/>
  <c r="AG65" i="1"/>
  <c r="AF65" i="1"/>
  <c r="AE65" i="1"/>
  <c r="AD65" i="1"/>
  <c r="Z65" i="1"/>
  <c r="BJ63" i="1"/>
  <c r="BF63" i="1"/>
  <c r="BD63" i="1"/>
  <c r="AP63" i="1"/>
  <c r="BI63" i="1" s="1"/>
  <c r="AC63" i="1" s="1"/>
  <c r="AO63" i="1"/>
  <c r="AW63" i="1" s="1"/>
  <c r="AH63" i="1"/>
  <c r="AG63" i="1"/>
  <c r="AF63" i="1"/>
  <c r="AE63" i="1"/>
  <c r="AD63" i="1"/>
  <c r="Z63" i="1"/>
  <c r="BJ61" i="1"/>
  <c r="BF61" i="1"/>
  <c r="BD61" i="1"/>
  <c r="AP61" i="1"/>
  <c r="BI61" i="1" s="1"/>
  <c r="AC61" i="1" s="1"/>
  <c r="AO61" i="1"/>
  <c r="BH61" i="1" s="1"/>
  <c r="AB61" i="1" s="1"/>
  <c r="AH61" i="1"/>
  <c r="AG61" i="1"/>
  <c r="AF61" i="1"/>
  <c r="AE61" i="1"/>
  <c r="AD61" i="1"/>
  <c r="Z61" i="1"/>
  <c r="BJ59" i="1"/>
  <c r="BF59" i="1"/>
  <c r="BD59" i="1"/>
  <c r="AP59" i="1"/>
  <c r="BI59" i="1" s="1"/>
  <c r="AC59" i="1" s="1"/>
  <c r="AO59" i="1"/>
  <c r="AW59" i="1" s="1"/>
  <c r="AH59" i="1"/>
  <c r="AG59" i="1"/>
  <c r="AF59" i="1"/>
  <c r="AE59" i="1"/>
  <c r="AD59" i="1"/>
  <c r="Z59" i="1"/>
  <c r="AU58" i="1"/>
  <c r="AT58" i="1"/>
  <c r="AS58" i="1"/>
  <c r="BJ55" i="1"/>
  <c r="BF55" i="1"/>
  <c r="BD55" i="1"/>
  <c r="AX55" i="1"/>
  <c r="AP55" i="1"/>
  <c r="BI55" i="1" s="1"/>
  <c r="AC55" i="1" s="1"/>
  <c r="AO55" i="1"/>
  <c r="BH55" i="1" s="1"/>
  <c r="AB55" i="1" s="1"/>
  <c r="AH55" i="1"/>
  <c r="AG55" i="1"/>
  <c r="AF55" i="1"/>
  <c r="AE55" i="1"/>
  <c r="AD55" i="1"/>
  <c r="Z55" i="1"/>
  <c r="BJ53" i="1"/>
  <c r="BF53" i="1"/>
  <c r="BD53" i="1"/>
  <c r="AP53" i="1"/>
  <c r="AX53" i="1" s="1"/>
  <c r="AO53" i="1"/>
  <c r="BH53" i="1" s="1"/>
  <c r="AB53" i="1" s="1"/>
  <c r="AH53" i="1"/>
  <c r="AG53" i="1"/>
  <c r="AF53" i="1"/>
  <c r="AE53" i="1"/>
  <c r="AD53" i="1"/>
  <c r="Z53" i="1"/>
  <c r="BJ50" i="1"/>
  <c r="BF50" i="1"/>
  <c r="BD50" i="1"/>
  <c r="AP50" i="1"/>
  <c r="AX50" i="1" s="1"/>
  <c r="AO50" i="1"/>
  <c r="BH50" i="1" s="1"/>
  <c r="AH50" i="1"/>
  <c r="AG50" i="1"/>
  <c r="AF50" i="1"/>
  <c r="AE50" i="1"/>
  <c r="AD50" i="1"/>
  <c r="AB50" i="1"/>
  <c r="Z50" i="1"/>
  <c r="BJ48" i="1"/>
  <c r="BF48" i="1"/>
  <c r="BD48" i="1"/>
  <c r="AP48" i="1"/>
  <c r="BI48" i="1" s="1"/>
  <c r="AC48" i="1" s="1"/>
  <c r="AO48" i="1"/>
  <c r="BH48" i="1" s="1"/>
  <c r="AB48" i="1" s="1"/>
  <c r="AH48" i="1"/>
  <c r="AG48" i="1"/>
  <c r="AF48" i="1"/>
  <c r="AE48" i="1"/>
  <c r="AD48" i="1"/>
  <c r="Z48" i="1"/>
  <c r="BJ47" i="1"/>
  <c r="BF47" i="1"/>
  <c r="BD47" i="1"/>
  <c r="AW47" i="1"/>
  <c r="AP47" i="1"/>
  <c r="BI47" i="1" s="1"/>
  <c r="AC47" i="1" s="1"/>
  <c r="AO47" i="1"/>
  <c r="BH47" i="1" s="1"/>
  <c r="AB47" i="1" s="1"/>
  <c r="AH47" i="1"/>
  <c r="AG47" i="1"/>
  <c r="AF47" i="1"/>
  <c r="AE47" i="1"/>
  <c r="AD47" i="1"/>
  <c r="Z47" i="1"/>
  <c r="BJ45" i="1"/>
  <c r="BF45" i="1"/>
  <c r="BD45" i="1"/>
  <c r="AW45" i="1"/>
  <c r="AP45" i="1"/>
  <c r="BI45" i="1" s="1"/>
  <c r="AC45" i="1" s="1"/>
  <c r="AO45" i="1"/>
  <c r="BH45" i="1" s="1"/>
  <c r="AB45" i="1" s="1"/>
  <c r="AH45" i="1"/>
  <c r="AG45" i="1"/>
  <c r="AF45" i="1"/>
  <c r="AE45" i="1"/>
  <c r="AD45" i="1"/>
  <c r="Z45" i="1"/>
  <c r="AU44" i="1"/>
  <c r="AT44" i="1"/>
  <c r="AS44" i="1"/>
  <c r="BJ43" i="1"/>
  <c r="BF43" i="1"/>
  <c r="BD43" i="1"/>
  <c r="AX43" i="1"/>
  <c r="AP43" i="1"/>
  <c r="BI43" i="1" s="1"/>
  <c r="AC43" i="1" s="1"/>
  <c r="AO43" i="1"/>
  <c r="AW43" i="1" s="1"/>
  <c r="AH43" i="1"/>
  <c r="AG43" i="1"/>
  <c r="AF43" i="1"/>
  <c r="AE43" i="1"/>
  <c r="AD43" i="1"/>
  <c r="Z43" i="1"/>
  <c r="AU42" i="1"/>
  <c r="AT42" i="1"/>
  <c r="AS42" i="1"/>
  <c r="BJ41" i="1"/>
  <c r="BF41" i="1"/>
  <c r="BD41" i="1"/>
  <c r="AW41" i="1"/>
  <c r="AP41" i="1"/>
  <c r="AX41" i="1" s="1"/>
  <c r="AO41" i="1"/>
  <c r="BH41" i="1" s="1"/>
  <c r="AB41" i="1" s="1"/>
  <c r="AH41" i="1"/>
  <c r="AG41" i="1"/>
  <c r="AF41" i="1"/>
  <c r="AE41" i="1"/>
  <c r="AD41" i="1"/>
  <c r="Z41" i="1"/>
  <c r="BJ39" i="1"/>
  <c r="BF39" i="1"/>
  <c r="BD39" i="1"/>
  <c r="AP39" i="1"/>
  <c r="AX39" i="1" s="1"/>
  <c r="AO39" i="1"/>
  <c r="BH39" i="1" s="1"/>
  <c r="AH39" i="1"/>
  <c r="AG39" i="1"/>
  <c r="AF39" i="1"/>
  <c r="AE39" i="1"/>
  <c r="AD39" i="1"/>
  <c r="AB39" i="1"/>
  <c r="Z39" i="1"/>
  <c r="BJ37" i="1"/>
  <c r="BF37" i="1"/>
  <c r="BD37" i="1"/>
  <c r="AX37" i="1"/>
  <c r="AP37" i="1"/>
  <c r="BI37" i="1" s="1"/>
  <c r="AC37" i="1" s="1"/>
  <c r="AO37" i="1"/>
  <c r="BH37" i="1" s="1"/>
  <c r="AB37" i="1" s="1"/>
  <c r="AH37" i="1"/>
  <c r="AG37" i="1"/>
  <c r="AF37" i="1"/>
  <c r="AE37" i="1"/>
  <c r="AD37" i="1"/>
  <c r="Z37" i="1"/>
  <c r="BJ34" i="1"/>
  <c r="BF34" i="1"/>
  <c r="BD34" i="1"/>
  <c r="AW34" i="1"/>
  <c r="AP34" i="1"/>
  <c r="BI34" i="1" s="1"/>
  <c r="AC34" i="1" s="1"/>
  <c r="AO34" i="1"/>
  <c r="BH34" i="1" s="1"/>
  <c r="AB34" i="1" s="1"/>
  <c r="AH34" i="1"/>
  <c r="AG34" i="1"/>
  <c r="AF34" i="1"/>
  <c r="AE34" i="1"/>
  <c r="AD34" i="1"/>
  <c r="Z34" i="1"/>
  <c r="AU33" i="1"/>
  <c r="AT33" i="1"/>
  <c r="AS33" i="1"/>
  <c r="BJ32" i="1"/>
  <c r="BF32" i="1"/>
  <c r="BD32" i="1"/>
  <c r="AP32" i="1"/>
  <c r="BI32" i="1" s="1"/>
  <c r="AC32" i="1" s="1"/>
  <c r="AO32" i="1"/>
  <c r="AW32" i="1" s="1"/>
  <c r="AH32" i="1"/>
  <c r="AG32" i="1"/>
  <c r="AF32" i="1"/>
  <c r="AE32" i="1"/>
  <c r="AD32" i="1"/>
  <c r="Z32" i="1"/>
  <c r="BJ30" i="1"/>
  <c r="BH30" i="1"/>
  <c r="AB30" i="1" s="1"/>
  <c r="BF30" i="1"/>
  <c r="BD30" i="1"/>
  <c r="AP30" i="1"/>
  <c r="BI30" i="1" s="1"/>
  <c r="AC30" i="1" s="1"/>
  <c r="AO30" i="1"/>
  <c r="AW30" i="1" s="1"/>
  <c r="AH30" i="1"/>
  <c r="AG30" i="1"/>
  <c r="AF30" i="1"/>
  <c r="AE30" i="1"/>
  <c r="AD30" i="1"/>
  <c r="Z30" i="1"/>
  <c r="AU29" i="1"/>
  <c r="AT29" i="1"/>
  <c r="AS29" i="1"/>
  <c r="BJ27" i="1"/>
  <c r="BF27" i="1"/>
  <c r="BD27" i="1"/>
  <c r="AW27" i="1"/>
  <c r="AP27" i="1"/>
  <c r="AX27" i="1" s="1"/>
  <c r="AO27" i="1"/>
  <c r="BH27" i="1" s="1"/>
  <c r="AB27" i="1" s="1"/>
  <c r="AH27" i="1"/>
  <c r="AG27" i="1"/>
  <c r="AF27" i="1"/>
  <c r="AE27" i="1"/>
  <c r="AD27" i="1"/>
  <c r="Z27" i="1"/>
  <c r="BJ25" i="1"/>
  <c r="BI25" i="1"/>
  <c r="AC25" i="1" s="1"/>
  <c r="BF25" i="1"/>
  <c r="BD25" i="1"/>
  <c r="AP25" i="1"/>
  <c r="AX25" i="1" s="1"/>
  <c r="AO25" i="1"/>
  <c r="BH25" i="1" s="1"/>
  <c r="AB25" i="1" s="1"/>
  <c r="AH25" i="1"/>
  <c r="AG25" i="1"/>
  <c r="AF25" i="1"/>
  <c r="AE25" i="1"/>
  <c r="AD25" i="1"/>
  <c r="Z25" i="1"/>
  <c r="BJ23" i="1"/>
  <c r="BF23" i="1"/>
  <c r="BD23" i="1"/>
  <c r="AX23" i="1"/>
  <c r="AP23" i="1"/>
  <c r="BI23" i="1" s="1"/>
  <c r="AC23" i="1" s="1"/>
  <c r="AO23" i="1"/>
  <c r="BH23" i="1" s="1"/>
  <c r="AB23" i="1" s="1"/>
  <c r="AH23" i="1"/>
  <c r="AG23" i="1"/>
  <c r="AF23" i="1"/>
  <c r="AE23" i="1"/>
  <c r="AD23" i="1"/>
  <c r="Z23" i="1"/>
  <c r="BJ21" i="1"/>
  <c r="BF21" i="1"/>
  <c r="BD21" i="1"/>
  <c r="AP21" i="1"/>
  <c r="BI21" i="1" s="1"/>
  <c r="AC21" i="1" s="1"/>
  <c r="AO21" i="1"/>
  <c r="BH21" i="1" s="1"/>
  <c r="AB21" i="1" s="1"/>
  <c r="AH21" i="1"/>
  <c r="AG21" i="1"/>
  <c r="AF21" i="1"/>
  <c r="AE21" i="1"/>
  <c r="AD21" i="1"/>
  <c r="Z21" i="1"/>
  <c r="BJ19" i="1"/>
  <c r="BI19" i="1"/>
  <c r="AC19" i="1" s="1"/>
  <c r="BF19" i="1"/>
  <c r="BD19" i="1"/>
  <c r="AW19" i="1"/>
  <c r="AP19" i="1"/>
  <c r="AX19" i="1" s="1"/>
  <c r="BC19" i="1" s="1"/>
  <c r="AO19" i="1"/>
  <c r="BH19" i="1" s="1"/>
  <c r="AH19" i="1"/>
  <c r="AG19" i="1"/>
  <c r="AF19" i="1"/>
  <c r="AE19" i="1"/>
  <c r="AD19" i="1"/>
  <c r="AB19" i="1"/>
  <c r="Z19" i="1"/>
  <c r="AU18" i="1"/>
  <c r="AT18" i="1"/>
  <c r="AS18" i="1"/>
  <c r="BJ16" i="1"/>
  <c r="BF16" i="1"/>
  <c r="BD16" i="1"/>
  <c r="AP16" i="1"/>
  <c r="BI16" i="1" s="1"/>
  <c r="AC16" i="1" s="1"/>
  <c r="AO16" i="1"/>
  <c r="BH16" i="1" s="1"/>
  <c r="AB16" i="1" s="1"/>
  <c r="AH16" i="1"/>
  <c r="AG16" i="1"/>
  <c r="AF16" i="1"/>
  <c r="AE16" i="1"/>
  <c r="AD16" i="1"/>
  <c r="Z16" i="1"/>
  <c r="BJ15" i="1"/>
  <c r="BF15" i="1"/>
  <c r="BD15" i="1"/>
  <c r="AP15" i="1"/>
  <c r="BI15" i="1" s="1"/>
  <c r="AC15" i="1" s="1"/>
  <c r="AO15" i="1"/>
  <c r="AW15" i="1" s="1"/>
  <c r="AH15" i="1"/>
  <c r="AG15" i="1"/>
  <c r="AF15" i="1"/>
  <c r="AE15" i="1"/>
  <c r="AD15" i="1"/>
  <c r="Z15" i="1"/>
  <c r="BJ13" i="1"/>
  <c r="BF13" i="1"/>
  <c r="BD13" i="1"/>
  <c r="AP13" i="1"/>
  <c r="BI13" i="1" s="1"/>
  <c r="AC13" i="1" s="1"/>
  <c r="AO13" i="1"/>
  <c r="BH13" i="1" s="1"/>
  <c r="AB13" i="1" s="1"/>
  <c r="AH13" i="1"/>
  <c r="AG13" i="1"/>
  <c r="AF13" i="1"/>
  <c r="AE13" i="1"/>
  <c r="AD13" i="1"/>
  <c r="Z13" i="1"/>
  <c r="AU12" i="1"/>
  <c r="AT12" i="1"/>
  <c r="AS12" i="1"/>
  <c r="AU1" i="1"/>
  <c r="AT1" i="1"/>
  <c r="AS1" i="1"/>
  <c r="AX34" i="1" l="1"/>
  <c r="AW37" i="1"/>
  <c r="AV37" i="1" s="1"/>
  <c r="AX99" i="1"/>
  <c r="AW115" i="1"/>
  <c r="AX30" i="1"/>
  <c r="AX59" i="1"/>
  <c r="BC59" i="1" s="1"/>
  <c r="BC69" i="1"/>
  <c r="BI90" i="1"/>
  <c r="AC90" i="1" s="1"/>
  <c r="AX94" i="1"/>
  <c r="BC94" i="1" s="1"/>
  <c r="AX119" i="1"/>
  <c r="BC119" i="1" s="1"/>
  <c r="AX122" i="1"/>
  <c r="AX142" i="1"/>
  <c r="BC142" i="1" s="1"/>
  <c r="AX152" i="1"/>
  <c r="AW86" i="1"/>
  <c r="AW13" i="1"/>
  <c r="AX15" i="1"/>
  <c r="AW21" i="1"/>
  <c r="AX32" i="1"/>
  <c r="AV32" i="1" s="1"/>
  <c r="AX47" i="1"/>
  <c r="BC47" i="1" s="1"/>
  <c r="AW48" i="1"/>
  <c r="AW61" i="1"/>
  <c r="AX63" i="1"/>
  <c r="AW65" i="1"/>
  <c r="AV65" i="1" s="1"/>
  <c r="AW69" i="1"/>
  <c r="AV73" i="1"/>
  <c r="AX109" i="1"/>
  <c r="AW110" i="1"/>
  <c r="AX136" i="1"/>
  <c r="BC136" i="1" s="1"/>
  <c r="AW139" i="1"/>
  <c r="AV139" i="1" s="1"/>
  <c r="BH141" i="1"/>
  <c r="AX145" i="1"/>
  <c r="AV145" i="1" s="1"/>
  <c r="AV150" i="1"/>
  <c r="AX159" i="1"/>
  <c r="AV159" i="1" s="1"/>
  <c r="C21" i="2"/>
  <c r="AW77" i="1"/>
  <c r="AV77" i="1" s="1"/>
  <c r="AW113" i="1"/>
  <c r="AW126" i="1"/>
  <c r="AV126" i="1" s="1"/>
  <c r="AX16" i="1"/>
  <c r="AX21" i="1"/>
  <c r="AW23" i="1"/>
  <c r="AV23" i="1" s="1"/>
  <c r="AX48" i="1"/>
  <c r="AW53" i="1"/>
  <c r="AV53" i="1" s="1"/>
  <c r="AW55" i="1"/>
  <c r="AX65" i="1"/>
  <c r="AW81" i="1"/>
  <c r="AV81" i="1" s="1"/>
  <c r="AW89" i="1"/>
  <c r="AV89" i="1" s="1"/>
  <c r="AW102" i="1"/>
  <c r="BC102" i="1" s="1"/>
  <c r="AW104" i="1"/>
  <c r="AX110" i="1"/>
  <c r="AW124" i="1"/>
  <c r="BC124" i="1" s="1"/>
  <c r="AW140" i="1"/>
  <c r="AW143" i="1"/>
  <c r="F35" i="3"/>
  <c r="I35" i="3" s="1"/>
  <c r="AW162" i="1"/>
  <c r="AV137" i="1"/>
  <c r="BH15" i="1"/>
  <c r="AB15" i="1" s="1"/>
  <c r="BC34" i="1"/>
  <c r="AV59" i="1"/>
  <c r="BC73" i="1"/>
  <c r="AW74" i="1"/>
  <c r="BC74" i="1" s="1"/>
  <c r="AX75" i="1"/>
  <c r="AW91" i="1"/>
  <c r="AV91" i="1" s="1"/>
  <c r="AV94" i="1"/>
  <c r="AX97" i="1"/>
  <c r="AW99" i="1"/>
  <c r="AX107" i="1"/>
  <c r="AV107" i="1" s="1"/>
  <c r="BC113" i="1"/>
  <c r="AV119" i="1"/>
  <c r="BC126" i="1"/>
  <c r="AX137" i="1"/>
  <c r="AX144" i="1"/>
  <c r="BC144" i="1" s="1"/>
  <c r="BI146" i="1"/>
  <c r="AW147" i="1"/>
  <c r="AV147" i="1" s="1"/>
  <c r="BH149" i="1"/>
  <c r="AW151" i="1"/>
  <c r="BC163" i="1"/>
  <c r="BC15" i="1"/>
  <c r="AV15" i="1"/>
  <c r="BC109" i="1"/>
  <c r="AV109" i="1"/>
  <c r="BC132" i="1"/>
  <c r="AV132" i="1"/>
  <c r="AV140" i="1"/>
  <c r="BC140" i="1"/>
  <c r="AV148" i="1"/>
  <c r="BC148" i="1"/>
  <c r="AW16" i="1"/>
  <c r="BC106" i="1"/>
  <c r="AV106" i="1"/>
  <c r="AX13" i="1"/>
  <c r="AV13" i="1" s="1"/>
  <c r="BI39" i="1"/>
  <c r="AC39" i="1" s="1"/>
  <c r="BC72" i="1"/>
  <c r="AV72" i="1"/>
  <c r="AV99" i="1"/>
  <c r="AV102" i="1"/>
  <c r="AV115" i="1"/>
  <c r="BC115" i="1"/>
  <c r="BC159" i="1"/>
  <c r="BC43" i="1"/>
  <c r="AV43" i="1"/>
  <c r="BC41" i="1"/>
  <c r="AV41" i="1"/>
  <c r="BI67" i="1"/>
  <c r="AC67" i="1" s="1"/>
  <c r="BH83" i="1"/>
  <c r="AD83" i="1" s="1"/>
  <c r="AV129" i="1"/>
  <c r="BC129" i="1"/>
  <c r="BC165" i="1"/>
  <c r="AV165" i="1"/>
  <c r="BC27" i="1"/>
  <c r="AV27" i="1"/>
  <c r="AV19" i="1"/>
  <c r="AV55" i="1"/>
  <c r="BC55" i="1"/>
  <c r="BH93" i="1"/>
  <c r="AB93" i="1" s="1"/>
  <c r="BC97" i="1"/>
  <c r="AV97" i="1"/>
  <c r="BC122" i="1"/>
  <c r="AV122" i="1"/>
  <c r="BH132" i="1"/>
  <c r="BI156" i="1"/>
  <c r="BC75" i="1"/>
  <c r="AV75" i="1"/>
  <c r="C20" i="2"/>
  <c r="BC63" i="1"/>
  <c r="AV63" i="1"/>
  <c r="AV69" i="1"/>
  <c r="BH106" i="1"/>
  <c r="AB106" i="1" s="1"/>
  <c r="BC117" i="1"/>
  <c r="AV117" i="1"/>
  <c r="BC141" i="1"/>
  <c r="AV141" i="1"/>
  <c r="BC149" i="1"/>
  <c r="AV149" i="1"/>
  <c r="BC150" i="1"/>
  <c r="BC53" i="1"/>
  <c r="BC83" i="1"/>
  <c r="AV83" i="1"/>
  <c r="AV136" i="1"/>
  <c r="BC152" i="1"/>
  <c r="AV152" i="1"/>
  <c r="BC93" i="1"/>
  <c r="AV93" i="1"/>
  <c r="BC30" i="1"/>
  <c r="AV30" i="1"/>
  <c r="BC32" i="1"/>
  <c r="BH43" i="1"/>
  <c r="AB43" i="1" s="1"/>
  <c r="AV48" i="1"/>
  <c r="BI50" i="1"/>
  <c r="AC50" i="1" s="1"/>
  <c r="BH72" i="1"/>
  <c r="AD72" i="1" s="1"/>
  <c r="BI79" i="1"/>
  <c r="AE79" i="1" s="1"/>
  <c r="AV104" i="1"/>
  <c r="BC104" i="1"/>
  <c r="AV113" i="1"/>
  <c r="I45" i="3"/>
  <c r="I24" i="2" s="1"/>
  <c r="BC23" i="1"/>
  <c r="BC37" i="1"/>
  <c r="BC48" i="1"/>
  <c r="BH63" i="1"/>
  <c r="AB63" i="1" s="1"/>
  <c r="BC65" i="1"/>
  <c r="BI72" i="1"/>
  <c r="AE72" i="1" s="1"/>
  <c r="C17" i="2" s="1"/>
  <c r="BH75" i="1"/>
  <c r="AD75" i="1" s="1"/>
  <c r="BC77" i="1"/>
  <c r="BI83" i="1"/>
  <c r="AE83" i="1" s="1"/>
  <c r="BC89" i="1"/>
  <c r="BI93" i="1"/>
  <c r="AC93" i="1" s="1"/>
  <c r="BH97" i="1"/>
  <c r="AB97" i="1" s="1"/>
  <c r="BC99" i="1"/>
  <c r="BI106" i="1"/>
  <c r="AC106" i="1" s="1"/>
  <c r="BH109" i="1"/>
  <c r="AF109" i="1" s="1"/>
  <c r="BC110" i="1"/>
  <c r="BI117" i="1"/>
  <c r="AG117" i="1" s="1"/>
  <c r="BH122" i="1"/>
  <c r="BI132" i="1"/>
  <c r="BH136" i="1"/>
  <c r="BC137" i="1"/>
  <c r="BI141" i="1"/>
  <c r="BH144" i="1"/>
  <c r="BC145" i="1"/>
  <c r="BI149" i="1"/>
  <c r="BH152" i="1"/>
  <c r="BH165" i="1"/>
  <c r="I27" i="3"/>
  <c r="F29" i="3" s="1"/>
  <c r="AW25" i="1"/>
  <c r="AW39" i="1"/>
  <c r="AX45" i="1"/>
  <c r="AV45" i="1" s="1"/>
  <c r="AW50" i="1"/>
  <c r="AX61" i="1"/>
  <c r="AV61" i="1" s="1"/>
  <c r="AW67" i="1"/>
  <c r="AX74" i="1"/>
  <c r="AV74" i="1" s="1"/>
  <c r="AW79" i="1"/>
  <c r="AX86" i="1"/>
  <c r="AV86" i="1" s="1"/>
  <c r="AW90" i="1"/>
  <c r="AW125" i="1"/>
  <c r="AX135" i="1"/>
  <c r="AV135" i="1" s="1"/>
  <c r="AW138" i="1"/>
  <c r="AX143" i="1"/>
  <c r="AV143" i="1" s="1"/>
  <c r="AW146" i="1"/>
  <c r="AX151" i="1"/>
  <c r="AV151" i="1" s="1"/>
  <c r="AW156" i="1"/>
  <c r="AX162" i="1"/>
  <c r="AV162" i="1" s="1"/>
  <c r="AV21" i="1"/>
  <c r="BI27" i="1"/>
  <c r="AC27" i="1" s="1"/>
  <c r="BH32" i="1"/>
  <c r="AB32" i="1" s="1"/>
  <c r="AV34" i="1"/>
  <c r="BI41" i="1"/>
  <c r="AC41" i="1" s="1"/>
  <c r="AV47" i="1"/>
  <c r="BI53" i="1"/>
  <c r="AC53" i="1" s="1"/>
  <c r="BH59" i="1"/>
  <c r="AB59" i="1" s="1"/>
  <c r="BI69" i="1"/>
  <c r="AC69" i="1" s="1"/>
  <c r="BH73" i="1"/>
  <c r="AD73" i="1" s="1"/>
  <c r="BI91" i="1"/>
  <c r="AC91" i="1" s="1"/>
  <c r="BH94" i="1"/>
  <c r="AB94" i="1" s="1"/>
  <c r="BI102" i="1"/>
  <c r="AC102" i="1" s="1"/>
  <c r="BH107" i="1"/>
  <c r="BI113" i="1"/>
  <c r="AG113" i="1" s="1"/>
  <c r="BH119" i="1"/>
  <c r="AF119" i="1" s="1"/>
  <c r="C18" i="2" s="1"/>
  <c r="BI126" i="1"/>
  <c r="AC126" i="1" s="1"/>
  <c r="BI139" i="1"/>
  <c r="BH142" i="1"/>
  <c r="BI147" i="1"/>
  <c r="BH150" i="1"/>
  <c r="BH159" i="1"/>
  <c r="BI163" i="1"/>
  <c r="C19" i="2" l="1"/>
  <c r="C14" i="2"/>
  <c r="C22" i="2" s="1"/>
  <c r="BC45" i="1"/>
  <c r="AV124" i="1"/>
  <c r="BC81" i="1"/>
  <c r="BC107" i="1"/>
  <c r="C15" i="2"/>
  <c r="AV144" i="1"/>
  <c r="BC13" i="1"/>
  <c r="C16" i="2"/>
  <c r="BC61" i="1"/>
  <c r="BC147" i="1"/>
  <c r="BC21" i="1"/>
  <c r="AV142" i="1"/>
  <c r="BC91" i="1"/>
  <c r="AV110" i="1"/>
  <c r="BC139" i="1"/>
  <c r="BC135" i="1"/>
  <c r="BC156" i="1"/>
  <c r="AV156" i="1"/>
  <c r="BC16" i="1"/>
  <c r="AV16" i="1"/>
  <c r="BC125" i="1"/>
  <c r="AV125" i="1"/>
  <c r="BC90" i="1"/>
  <c r="AV90" i="1"/>
  <c r="BC39" i="1"/>
  <c r="AV39" i="1"/>
  <c r="BC86" i="1"/>
  <c r="BC79" i="1"/>
  <c r="AV79" i="1"/>
  <c r="BC151" i="1"/>
  <c r="BC146" i="1"/>
  <c r="AV146" i="1"/>
  <c r="BC143" i="1"/>
  <c r="BC25" i="1"/>
  <c r="AV25" i="1"/>
  <c r="BC67" i="1"/>
  <c r="AV67" i="1"/>
  <c r="BC138" i="1"/>
  <c r="AV138" i="1"/>
  <c r="BC50" i="1"/>
  <c r="AV50" i="1"/>
  <c r="BC162" i="1"/>
</calcChain>
</file>

<file path=xl/sharedStrings.xml><?xml version="1.0" encoding="utf-8"?>
<sst xmlns="http://schemas.openxmlformats.org/spreadsheetml/2006/main" count="1320" uniqueCount="488">
  <si>
    <t>Slepý stavební rozpočet</t>
  </si>
  <si>
    <t>Název stavby:</t>
  </si>
  <si>
    <t>Přípojka splaškové kanalizace areálu hradu Trúba</t>
  </si>
  <si>
    <t>Doba výstavby:</t>
  </si>
  <si>
    <t>Objednatel:</t>
  </si>
  <si>
    <t> </t>
  </si>
  <si>
    <t>Druh stavby:</t>
  </si>
  <si>
    <t>přípojka budovy občanského vybavení</t>
  </si>
  <si>
    <t>Začátek výstavby:</t>
  </si>
  <si>
    <t>01.03.2025</t>
  </si>
  <si>
    <t>Projektant:</t>
  </si>
  <si>
    <t>Lokalita:</t>
  </si>
  <si>
    <t>Štramberk</t>
  </si>
  <si>
    <t>Konec výstavby:</t>
  </si>
  <si>
    <t>15.06.2025</t>
  </si>
  <si>
    <t>Zhotovitel:</t>
  </si>
  <si>
    <t>JKSO:</t>
  </si>
  <si>
    <t>8272111</t>
  </si>
  <si>
    <t>Zpracováno dne:</t>
  </si>
  <si>
    <t>05.11.2024</t>
  </si>
  <si>
    <t>Zpracoval:</t>
  </si>
  <si>
    <t>Ing. Grygarčík</t>
  </si>
  <si>
    <t>Č</t>
  </si>
  <si>
    <t>Kód</t>
  </si>
  <si>
    <t>Zkrácený popis</t>
  </si>
  <si>
    <t>MJ</t>
  </si>
  <si>
    <t>Množství</t>
  </si>
  <si>
    <t>Cena/MJ</t>
  </si>
  <si>
    <t>ISWORK</t>
  </si>
  <si>
    <t>GROUPCODE</t>
  </si>
  <si>
    <t>VATTAX</t>
  </si>
  <si>
    <t xml:space="preserve"> </t>
  </si>
  <si>
    <t>Rozměry</t>
  </si>
  <si>
    <t>(Kč)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</si>
  <si>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</si>
  <si>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</si>
  <si>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</si>
  <si>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</si>
  <si>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</si>
  <si>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</si>
  <si>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</si>
  <si>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</si>
  <si>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</si>
  <si>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</si>
  <si>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</si>
  <si>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</si>
  <si>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</si>
  <si>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</si>
  <si>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</si>
  <si>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</si>
  <si>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113105111R00</t>
  </si>
  <si>
    <t>Rozebrání dlažeb z lomového kamene na sucho</t>
  </si>
  <si>
    <t>m2</t>
  </si>
  <si>
    <t>11_</t>
  </si>
  <si>
    <t>1_</t>
  </si>
  <si>
    <t>_</t>
  </si>
  <si>
    <t>(204,6+2)*1,6</t>
  </si>
  <si>
    <t>2</t>
  </si>
  <si>
    <t>111101111R00</t>
  </si>
  <si>
    <t>Odstranění ruderálního porostu v rovině</t>
  </si>
  <si>
    <t>3</t>
  </si>
  <si>
    <t>115100001RAA</t>
  </si>
  <si>
    <t>Čerpání splaškových vod, odvoz vozem do ČOV</t>
  </si>
  <si>
    <t>soubor</t>
  </si>
  <si>
    <t>objem žumpy 15m3</t>
  </si>
  <si>
    <t>13</t>
  </si>
  <si>
    <t>Hloubené vykopávky</t>
  </si>
  <si>
    <t>4</t>
  </si>
  <si>
    <t>132501211R00</t>
  </si>
  <si>
    <t>Hloubení rýh šířky do 200 cm v hor.6, STROJNĚ</t>
  </si>
  <si>
    <t>m3</t>
  </si>
  <si>
    <t>13_</t>
  </si>
  <si>
    <t>385,5/2-13,75-(46,05/2)</t>
  </si>
  <si>
    <t>5</t>
  </si>
  <si>
    <t>132601201R00</t>
  </si>
  <si>
    <t>Hloubení rýh šířky do 200 cm v hor.7</t>
  </si>
  <si>
    <t>385,5/2+1,5-16,65-7,5-(46,05/2)</t>
  </si>
  <si>
    <t>6</t>
  </si>
  <si>
    <t>138601201R00</t>
  </si>
  <si>
    <t>Dolamovaní rýh ve vrstvě do 0,5 m v hor.7</t>
  </si>
  <si>
    <t>30*1,11*0,5</t>
  </si>
  <si>
    <t>7</t>
  </si>
  <si>
    <t>138501201R00</t>
  </si>
  <si>
    <t>Dolamování rýh ve vrstvě do 0,5 m v hor.6</t>
  </si>
  <si>
    <t>25*1,1*0,5</t>
  </si>
  <si>
    <t>8</t>
  </si>
  <si>
    <t>139811101R00</t>
  </si>
  <si>
    <t>Vykopávka v hor.5-7 - ručně</t>
  </si>
  <si>
    <t>(1,0*1,0*1,5*5)+(385,5*0,1)</t>
  </si>
  <si>
    <t>sondy 5ks + práce v blízkosti sítí 10% výkopů</t>
  </si>
  <si>
    <t>16</t>
  </si>
  <si>
    <t>Přemístění výkopku</t>
  </si>
  <si>
    <t>9</t>
  </si>
  <si>
    <t>161101151R00</t>
  </si>
  <si>
    <t>Svislé přemístění výkopku z hor.5-7 do 2,5 m</t>
  </si>
  <si>
    <t>16_</t>
  </si>
  <si>
    <t>357+2</t>
  </si>
  <si>
    <t>10</t>
  </si>
  <si>
    <t>161101152R00</t>
  </si>
  <si>
    <t>Svislé přemístění výkopku z hor.5-7 do 4,0 m</t>
  </si>
  <si>
    <t>17</t>
  </si>
  <si>
    <t>Konstrukce ze zemin</t>
  </si>
  <si>
    <t>175101101RT2</t>
  </si>
  <si>
    <t>Obsyp potrubí bez prohození sypaniny</t>
  </si>
  <si>
    <t>17_</t>
  </si>
  <si>
    <t>s dodáním štěrkopísku frakce 0 - 22 mm</t>
  </si>
  <si>
    <t>(204,8+2,0)*0,154*1,2</t>
  </si>
  <si>
    <t>podsyp, vč. materiálu</t>
  </si>
  <si>
    <t>12</t>
  </si>
  <si>
    <t>174201101R00</t>
  </si>
  <si>
    <t>Zásyp jam, rýh, šachet bez zhutnění</t>
  </si>
  <si>
    <t>(204,8+2,0)*1,2*0,3</t>
  </si>
  <si>
    <t>Ruční hutnění do 300mm nad potrubí</t>
  </si>
  <si>
    <t>174101101R00</t>
  </si>
  <si>
    <t>Zásyp jam, rýh, šachet se zhutněním</t>
  </si>
  <si>
    <t>(385,5+1,5)-35,35-68,86</t>
  </si>
  <si>
    <t>14</t>
  </si>
  <si>
    <t>175101209R00</t>
  </si>
  <si>
    <t>Příplatek za prohození sypaniny pro obsyp objektu</t>
  </si>
  <si>
    <t>18</t>
  </si>
  <si>
    <t>Povrchové úpravy terénu</t>
  </si>
  <si>
    <t>15</t>
  </si>
  <si>
    <t>184801123R00</t>
  </si>
  <si>
    <t>Ošetřování vysazených dřevin soliterních, svah 1:1</t>
  </si>
  <si>
    <t>kus</t>
  </si>
  <si>
    <t>18_</t>
  </si>
  <si>
    <t>34</t>
  </si>
  <si>
    <t>Stěny a příčky</t>
  </si>
  <si>
    <t>347013115R00</t>
  </si>
  <si>
    <t>Předstěna SDK,tl.55mm,1x ocel.kce CD,1x MA 12,5mm</t>
  </si>
  <si>
    <t>34_</t>
  </si>
  <si>
    <t>3_</t>
  </si>
  <si>
    <t>1,4*0,9*2</t>
  </si>
  <si>
    <t>553476627</t>
  </si>
  <si>
    <t>Dvířka revizní do SDK 1200 x 800 mm, tl. 12,5 mm, vlhké prostředí</t>
  </si>
  <si>
    <t>413941121R00</t>
  </si>
  <si>
    <t>Osazení válcovaných nosníků ve stropech do č. 12</t>
  </si>
  <si>
    <t>t</t>
  </si>
  <si>
    <t>překlad nika</t>
  </si>
  <si>
    <t>19</t>
  </si>
  <si>
    <t>784115312R00</t>
  </si>
  <si>
    <t>Malba Remal bílý, bílá, bez penetrace, 2 x</t>
  </si>
  <si>
    <t>vč. přípravy</t>
  </si>
  <si>
    <t>(3,3+1,2)*2*2,8+3,3*1,2</t>
  </si>
  <si>
    <t>předsíň č.108</t>
  </si>
  <si>
    <t>20</t>
  </si>
  <si>
    <t>612403399RT2</t>
  </si>
  <si>
    <t>Hrubá výplň rýh ve stěnách maltou</t>
  </si>
  <si>
    <t>s použitím suché maltové směsi</t>
  </si>
  <si>
    <t>21</t>
  </si>
  <si>
    <t>13380515</t>
  </si>
  <si>
    <t>Tyč ocelová I 100, S235JR</t>
  </si>
  <si>
    <t>8,34*1,9*3/1000</t>
  </si>
  <si>
    <t>;ztratné 5%; 0,002377</t>
  </si>
  <si>
    <t>46</t>
  </si>
  <si>
    <t>Zpevněné plochy (kromě vozovek a železničního svršku)</t>
  </si>
  <si>
    <t>22</t>
  </si>
  <si>
    <t>465511127R00</t>
  </si>
  <si>
    <t>Dlažba z kamene suchá s vyk.,výplň spár kam. 20 cm</t>
  </si>
  <si>
    <t>46_</t>
  </si>
  <si>
    <t>4_</t>
  </si>
  <si>
    <t>(204,8+2)*1,6</t>
  </si>
  <si>
    <t>23</t>
  </si>
  <si>
    <t>58380750</t>
  </si>
  <si>
    <t>Kámen lomový upravený regulační do 200 mm</t>
  </si>
  <si>
    <t>nahrazení zničené dlažby</t>
  </si>
  <si>
    <t>24</t>
  </si>
  <si>
    <t>451577777R00</t>
  </si>
  <si>
    <t>Podklad pod dlažbu z kameniva těženého tl.do 10 cm</t>
  </si>
  <si>
    <t>25</t>
  </si>
  <si>
    <t>184807111R00</t>
  </si>
  <si>
    <t>Ochrana stromu bedněním - zřízení</t>
  </si>
  <si>
    <t>10*1*3</t>
  </si>
  <si>
    <t>26</t>
  </si>
  <si>
    <t>184807112R00</t>
  </si>
  <si>
    <t>Ochrana stromu bedněním - odstranění</t>
  </si>
  <si>
    <t>27</t>
  </si>
  <si>
    <t>184501114R00</t>
  </si>
  <si>
    <t>Zhotovení obalu kmene z juty, 2vrstvy, v rovině</t>
  </si>
  <si>
    <t>30</t>
  </si>
  <si>
    <t>ochrana kořen. balu</t>
  </si>
  <si>
    <t>721</t>
  </si>
  <si>
    <t>Vnitřní kanalizace</t>
  </si>
  <si>
    <t>28</t>
  </si>
  <si>
    <t>721170905R00</t>
  </si>
  <si>
    <t>Provedení opravy vnitřní kanalizace, potrubí plastové, vsazení odbočky, D 50 mm</t>
  </si>
  <si>
    <t>721_</t>
  </si>
  <si>
    <t>72_</t>
  </si>
  <si>
    <t>29</t>
  </si>
  <si>
    <t>721194105R00</t>
  </si>
  <si>
    <t>Vyvedení odpadních výpustek, D 50 x 1,8 mm</t>
  </si>
  <si>
    <t>721171803R00</t>
  </si>
  <si>
    <t>Demontáž potrubí z PVC do D 75 mm</t>
  </si>
  <si>
    <t>m</t>
  </si>
  <si>
    <t>31</t>
  </si>
  <si>
    <t>721173305R00</t>
  </si>
  <si>
    <t>Potrubí z PP připojovací v laboratorních stolech, D 50 x 1,8 mm</t>
  </si>
  <si>
    <t>dopojení odlučovače</t>
  </si>
  <si>
    <t>32</t>
  </si>
  <si>
    <t>721290822R00</t>
  </si>
  <si>
    <t>Přesun vybouraných hmot, vnitřní kanalizace, v objektech výšky přes 6 - 12 m</t>
  </si>
  <si>
    <t>1,4*0,9*0,45</t>
  </si>
  <si>
    <t>33</t>
  </si>
  <si>
    <t>56241550</t>
  </si>
  <si>
    <t>Odlučovač tuků nerez dle specifikace - poloautomatický</t>
  </si>
  <si>
    <t>766</t>
  </si>
  <si>
    <t>Konstrukce truhlářské</t>
  </si>
  <si>
    <t>766812840R00</t>
  </si>
  <si>
    <t>Demontáž kuchyňských linek do 2,1 m</t>
  </si>
  <si>
    <t>766_</t>
  </si>
  <si>
    <t>76_</t>
  </si>
  <si>
    <t>kuchyně příprava</t>
  </si>
  <si>
    <t>35</t>
  </si>
  <si>
    <t>766812114R00</t>
  </si>
  <si>
    <t>Montáž kuchyňských linek dřevěných linek š.do 2,1m</t>
  </si>
  <si>
    <t>kuchyně</t>
  </si>
  <si>
    <t>87</t>
  </si>
  <si>
    <t>Potrubí z trub plastických, skleněných a čedičových</t>
  </si>
  <si>
    <t>36</t>
  </si>
  <si>
    <t>871311121R00</t>
  </si>
  <si>
    <t>Montáž trubek polyetylenových ve výkopu d 160 mm</t>
  </si>
  <si>
    <t>87_</t>
  </si>
  <si>
    <t>8_</t>
  </si>
  <si>
    <t>204,8+2,0</t>
  </si>
  <si>
    <t>89</t>
  </si>
  <si>
    <t>Ostatní konstrukce a práce na trubním vedení</t>
  </si>
  <si>
    <t>37</t>
  </si>
  <si>
    <t>894432112R00</t>
  </si>
  <si>
    <t>Osazení plastové šachty revizní prům.425 mm,</t>
  </si>
  <si>
    <t>89_</t>
  </si>
  <si>
    <t>38</t>
  </si>
  <si>
    <t>894431112R00</t>
  </si>
  <si>
    <t>Osazení plastové šachty z dílů prům.600 mm, Wavin</t>
  </si>
  <si>
    <t>39</t>
  </si>
  <si>
    <t>899101111R00</t>
  </si>
  <si>
    <t>Osazení poklopu s rámem do 50 kg</t>
  </si>
  <si>
    <t>90</t>
  </si>
  <si>
    <t>Hodinové zúčtovací sazby (HZS)</t>
  </si>
  <si>
    <t>40</t>
  </si>
  <si>
    <t>912      R00</t>
  </si>
  <si>
    <t>Hzs - Zedník tř.7</t>
  </si>
  <si>
    <t>h</t>
  </si>
  <si>
    <t>90_</t>
  </si>
  <si>
    <t>9_</t>
  </si>
  <si>
    <t>41</t>
  </si>
  <si>
    <t>900      R01</t>
  </si>
  <si>
    <t>HZS</t>
  </si>
  <si>
    <t>stavební dělník v tarifní třídě 4</t>
  </si>
  <si>
    <t>96</t>
  </si>
  <si>
    <t>Bourání konstrukcí</t>
  </si>
  <si>
    <t>42</t>
  </si>
  <si>
    <t>960111221R00</t>
  </si>
  <si>
    <t>Bourání konstrukcí z dílců prefa. betonových a ŽB</t>
  </si>
  <si>
    <t>96_</t>
  </si>
  <si>
    <t>((3+2)*2*0,15*0,5)+(1,2*2*0,15*1,5)+(3*2*0,15)</t>
  </si>
  <si>
    <t>demontáž jímky</t>
  </si>
  <si>
    <t>43</t>
  </si>
  <si>
    <t>961044111R00</t>
  </si>
  <si>
    <t>Bourání základů z betonu prostého</t>
  </si>
  <si>
    <t>3*2*0,15*2</t>
  </si>
  <si>
    <t>rozrušení dna a stěn jímky</t>
  </si>
  <si>
    <t>97</t>
  </si>
  <si>
    <t>Prorážení otvorů a ostatní bourací práce</t>
  </si>
  <si>
    <t>44</t>
  </si>
  <si>
    <t>971028661R00</t>
  </si>
  <si>
    <t>Vybourání otvorů zeď smíš. pl. 4 m2, tl. 60 cm</t>
  </si>
  <si>
    <t>97_</t>
  </si>
  <si>
    <t>nika ve zdi pro odlučovač tuků</t>
  </si>
  <si>
    <t>45</t>
  </si>
  <si>
    <t>970041160R00</t>
  </si>
  <si>
    <t>Vrtání jádrové do prostého betonu do D 160 mm</t>
  </si>
  <si>
    <t>napojení do šachty</t>
  </si>
  <si>
    <t>973042361R00</t>
  </si>
  <si>
    <t>Vysekání kapes zeď betonová pl. 0,16 m2, hl. 45 cm</t>
  </si>
  <si>
    <t>47</t>
  </si>
  <si>
    <t>979011211R00</t>
  </si>
  <si>
    <t>Svislá doprava suti a vybour. hmot za 2.NP nošením</t>
  </si>
  <si>
    <t>M23</t>
  </si>
  <si>
    <t>Montáže potrubí</t>
  </si>
  <si>
    <t>48</t>
  </si>
  <si>
    <t>230170004R00</t>
  </si>
  <si>
    <t>Příprava pro zkoušku těsnosti, DN 150 - 200</t>
  </si>
  <si>
    <t>sada</t>
  </si>
  <si>
    <t>M23_</t>
  </si>
  <si>
    <t>49</t>
  </si>
  <si>
    <t>230170014R00</t>
  </si>
  <si>
    <t>Zkouška těsnosti potrubí, DN 150 - 200</t>
  </si>
  <si>
    <t>204,8+2</t>
  </si>
  <si>
    <t>M46</t>
  </si>
  <si>
    <t>Zemní práce při montážích</t>
  </si>
  <si>
    <t>50</t>
  </si>
  <si>
    <t>460400101R00</t>
  </si>
  <si>
    <t>Odstranění pažení z rýhy š.do 1,3 m, hl. do 2 m</t>
  </si>
  <si>
    <t>M46_</t>
  </si>
  <si>
    <t>519,2</t>
  </si>
  <si>
    <t>51</t>
  </si>
  <si>
    <t>460400102R00</t>
  </si>
  <si>
    <t>Odstranění pažení z rýhy š.do 1,3 m, hl. do 2-4 m</t>
  </si>
  <si>
    <t>140,9</t>
  </si>
  <si>
    <t>52</t>
  </si>
  <si>
    <t>460400011R00</t>
  </si>
  <si>
    <t>Pažení rýhy šířky do 2 m, hloubky do 2 m</t>
  </si>
  <si>
    <t>53</t>
  </si>
  <si>
    <t>460400012R00</t>
  </si>
  <si>
    <t>Pažení rýhy šířky do 2 m, hloubky do 4 m</t>
  </si>
  <si>
    <t>S</t>
  </si>
  <si>
    <t>Přesuny sutí</t>
  </si>
  <si>
    <t>54</t>
  </si>
  <si>
    <t>979999974R00</t>
  </si>
  <si>
    <t>Poplatek za uložení, zemina a kamení s příměsí 5 % (cihla, beton), (skup.170504)</t>
  </si>
  <si>
    <t>S_</t>
  </si>
  <si>
    <t>37,85*1,8</t>
  </si>
  <si>
    <t>vč. zásypu jímky</t>
  </si>
  <si>
    <t>55</t>
  </si>
  <si>
    <t>979990107R00</t>
  </si>
  <si>
    <t>Poplatek za uložení suti - směs betonu, cihel, dřeva, skupina odpadu 170904</t>
  </si>
  <si>
    <t>56</t>
  </si>
  <si>
    <t>979091211R00</t>
  </si>
  <si>
    <t>Vodorovné přemístění suti do 7 km</t>
  </si>
  <si>
    <t>57</t>
  </si>
  <si>
    <t>162701155RT3</t>
  </si>
  <si>
    <t>Vodorovné přemístění výkopku z hor.5-7 do 10000 m</t>
  </si>
  <si>
    <t>nosnost 12 t</t>
  </si>
  <si>
    <t>(204,8+2)*1,11*0,154+10*0,25</t>
  </si>
  <si>
    <t>odvoz horniny na skládku</t>
  </si>
  <si>
    <t>58</t>
  </si>
  <si>
    <t>162701159RT3</t>
  </si>
  <si>
    <t>Příplatek k vod. přemístění hor.5-7 za další 1 km</t>
  </si>
  <si>
    <t>37,85*15</t>
  </si>
  <si>
    <t>odvoz na skládku + 10km</t>
  </si>
  <si>
    <t>59</t>
  </si>
  <si>
    <t>979083191R00</t>
  </si>
  <si>
    <t>Příplatek za dalších započatých 1000 m nad 6000 m</t>
  </si>
  <si>
    <t>5*19</t>
  </si>
  <si>
    <t>odvoz stavební suti</t>
  </si>
  <si>
    <t>M</t>
  </si>
  <si>
    <t>Ostatní materiál</t>
  </si>
  <si>
    <t>60</t>
  </si>
  <si>
    <t>28614502</t>
  </si>
  <si>
    <t>Trubka  PP SN 10 DN 160/6000</t>
  </si>
  <si>
    <t>0</t>
  </si>
  <si>
    <t>Z99999_</t>
  </si>
  <si>
    <t>Z_</t>
  </si>
  <si>
    <t>61</t>
  </si>
  <si>
    <t>28614500.A</t>
  </si>
  <si>
    <t>Trubka  PP SN 10 DN 160/1000</t>
  </si>
  <si>
    <t>62</t>
  </si>
  <si>
    <t>28614501.A</t>
  </si>
  <si>
    <t>Trubka PP SN 10 DN 160/3000</t>
  </si>
  <si>
    <t>63</t>
  </si>
  <si>
    <t>28614654.A</t>
  </si>
  <si>
    <t>Koleno 15° PP  SN10 D160</t>
  </si>
  <si>
    <t>64</t>
  </si>
  <si>
    <t>Koleno 5° PP SN 10 D160</t>
  </si>
  <si>
    <t>65</t>
  </si>
  <si>
    <t>286971675</t>
  </si>
  <si>
    <t>Dno šachtové výkyvné  425/160 úhel 90° pro KG</t>
  </si>
  <si>
    <t>66</t>
  </si>
  <si>
    <t>286971673</t>
  </si>
  <si>
    <t>Dno šachtové výkyvné 425/160 úhel 30° pro KG</t>
  </si>
  <si>
    <t>67</t>
  </si>
  <si>
    <t>286971676</t>
  </si>
  <si>
    <t>Dno šachtové výkyvné  425/160 typ T pro KG</t>
  </si>
  <si>
    <t>68</t>
  </si>
  <si>
    <t>286971672</t>
  </si>
  <si>
    <t>Dno šachtové výkyvné 425/160 přímé pro KG</t>
  </si>
  <si>
    <t>69</t>
  </si>
  <si>
    <t>286971502</t>
  </si>
  <si>
    <t>Dno šachtové 600/160mm úh 30° pro potrubí KG</t>
  </si>
  <si>
    <t>70</t>
  </si>
  <si>
    <t>286971503</t>
  </si>
  <si>
    <t>Dno šachtové 600/160mm úh 60° pro potrubí KG</t>
  </si>
  <si>
    <t>71</t>
  </si>
  <si>
    <t>286971402</t>
  </si>
  <si>
    <t>Roura šachtová korugovaná bez hrdla 425/1500 mm</t>
  </si>
  <si>
    <t>72</t>
  </si>
  <si>
    <t>28697122.A</t>
  </si>
  <si>
    <t>Roura šachtová korugovaná  bez hrdla 600/3000 mm</t>
  </si>
  <si>
    <t>73</t>
  </si>
  <si>
    <t>286971412</t>
  </si>
  <si>
    <t>Roura šachtová teleskopická bez hrdla 425/375 mm</t>
  </si>
  <si>
    <t>74</t>
  </si>
  <si>
    <t>286971413</t>
  </si>
  <si>
    <t>Roura šachtová teleskopická bez hrdla 600/3150 mm</t>
  </si>
  <si>
    <t>75</t>
  </si>
  <si>
    <t>55243064.A</t>
  </si>
  <si>
    <t>Poklop litina 425/40 t kruhový do teleskopu</t>
  </si>
  <si>
    <t>76</t>
  </si>
  <si>
    <t>55241713</t>
  </si>
  <si>
    <t>Poklop litina 600/40 t kruhový do teleskopu</t>
  </si>
  <si>
    <t>77</t>
  </si>
  <si>
    <t>28654532</t>
  </si>
  <si>
    <t>Vložka šachtová kanalizační PP DN 150, SN 12</t>
  </si>
  <si>
    <t>připojení do šachty</t>
  </si>
  <si>
    <t>VORN</t>
  </si>
  <si>
    <t>Vedlejší a ostatní rozpočtové náklady</t>
  </si>
  <si>
    <t>01VRN</t>
  </si>
  <si>
    <t>Průzkumy, geodetické a projektové práce</t>
  </si>
  <si>
    <t>78</t>
  </si>
  <si>
    <t>013002VRN-1</t>
  </si>
  <si>
    <t>Projektové práce</t>
  </si>
  <si>
    <t>Soubor</t>
  </si>
  <si>
    <t>99</t>
  </si>
  <si>
    <t>01VRN_</t>
  </si>
  <si>
    <t>Â _</t>
  </si>
  <si>
    <t>dokumentace skutečného provedení</t>
  </si>
  <si>
    <t>doklumentace skutečného provedení</t>
  </si>
  <si>
    <t>79</t>
  </si>
  <si>
    <t>012002VRN</t>
  </si>
  <si>
    <t>Geodetické práce</t>
  </si>
  <si>
    <t>příprava stavby + zaměřneí skutečného stavu</t>
  </si>
  <si>
    <t>03VRN</t>
  </si>
  <si>
    <t>Zařízení staveniště</t>
  </si>
  <si>
    <t>03VRN_</t>
  </si>
  <si>
    <t>81</t>
  </si>
  <si>
    <t>034002VRN</t>
  </si>
  <si>
    <t>Zabezpečení staveniště</t>
  </si>
  <si>
    <t>82</t>
  </si>
  <si>
    <t>030001VRN</t>
  </si>
  <si>
    <t>04VRN</t>
  </si>
  <si>
    <t>Inženýrské činnosti</t>
  </si>
  <si>
    <t>83</t>
  </si>
  <si>
    <t>043002VRN</t>
  </si>
  <si>
    <t>Zkoušky</t>
  </si>
  <si>
    <t>04VRN_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</si>
  <si>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</si>
  <si>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</si>
  <si>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</si>
  <si>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</si>
  <si>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</si>
  <si>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</si>
  <si>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</si>
  <si>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</si>
  <si>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</si>
  <si>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</si>
  <si>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</si>
  <si>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</si>
  <si>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</si>
  <si>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</si>
  <si>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</si>
  <si>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</si>
  <si>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</si>
  <si>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</si>
  <si>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</si>
  <si>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</si>
  <si>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</si>
  <si>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</si>
  <si>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</si>
  <si>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</si>
  <si>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</si>
  <si>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</si>
  <si>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</si>
  <si>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</si>
  <si>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</si>
  <si>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</si>
  <si>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</si>
  <si>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</si>
  <si>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</si>
  <si>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</si>
  <si>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</si>
  <si>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</si>
  <si>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</si>
  <si>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</si>
  <si>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</si>
  <si>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</si>
  <si>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</si>
  <si>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</si>
  <si>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</si>
  <si>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</si>
  <si>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</si>
  <si>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</si>
  <si>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</si>
  <si>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</si>
  <si>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</si>
  <si>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</si>
  <si>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</si>
  <si>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</si>
  <si>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</si>
  <si>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</si>
  <si>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</si>
  <si>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Finanční náklady</t>
  </si>
  <si>
    <t>Náklady na pracovníky</t>
  </si>
  <si>
    <t>Ostatní náklady</t>
  </si>
  <si>
    <t>Vlastní VORN</t>
  </si>
  <si>
    <t>Celkem VORN</t>
  </si>
  <si>
    <t>Malba Remal bílý, bílá, vč. penetrace, 2 x</t>
  </si>
  <si>
    <t>Zabezpečení staveniště vč. dopravního značení</t>
  </si>
  <si>
    <t xml:space="preserve">Zkoušky - provedení dynamické zatěžovací zkoušky 4x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</si>
</sst>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15" xfId="0" applyBorder="1"/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0" fillId="0" borderId="6" xfId="0" applyBorder="1"/>
    <xf numFmtId="0" fontId="3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4" fontId="10" fillId="0" borderId="29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/>
    </xf>
    <xf numFmtId="4" fontId="10" fillId="0" borderId="36" xfId="0" applyNumberFormat="1" applyFont="1" applyBorder="1" applyAlignment="1">
      <alignment horizontal="right" vertical="center"/>
    </xf>
    <xf numFmtId="0" fontId="10" fillId="0" borderId="36" xfId="0" applyFont="1" applyBorder="1" applyAlignment="1">
      <alignment horizontal="right" vertical="center"/>
    </xf>
    <xf numFmtId="4" fontId="10" fillId="0" borderId="27" xfId="0" applyNumberFormat="1" applyFont="1" applyBorder="1" applyAlignment="1">
      <alignment horizontal="right" vertical="center"/>
    </xf>
    <xf numFmtId="4" fontId="10" fillId="0" borderId="39" xfId="0" applyNumberFormat="1" applyFont="1" applyBorder="1" applyAlignment="1">
      <alignment horizontal="right" vertical="center"/>
    </xf>
    <xf numFmtId="4" fontId="9" fillId="2" borderId="26" xfId="0" applyNumberFormat="1" applyFont="1" applyFill="1" applyBorder="1" applyAlignment="1">
      <alignment horizontal="right" vertical="center"/>
    </xf>
    <xf numFmtId="4" fontId="9" fillId="2" borderId="31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2" fillId="0" borderId="56" xfId="0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4" fontId="3" fillId="0" borderId="60" xfId="0" applyNumberFormat="1" applyFont="1" applyBorder="1" applyAlignment="1">
      <alignment horizontal="right" vertical="center"/>
    </xf>
    <xf numFmtId="0" fontId="3" fillId="0" borderId="6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4" fontId="2" fillId="0" borderId="6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4" fontId="9" fillId="0" borderId="65" xfId="0" applyNumberFormat="1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68"/>
  <sheetViews>
    <sheetView tabSelected="1" workbookViewId="0">
      <pane ySplit="11" topLeftCell="A12" activePane="bottomLeft" state="frozen"/>
      <selection pane="bottomLeft" activeCell="M159" sqref="M159"/>
    </sheetView>
  </sheetViews>
  <sheetFormatPr defaultColWidth="12.140625" defaultRowHeight="15" customHeight="1" x14ac:dyDescent="0.25"/>
  <cols>
    <col min="1" max="1" width="3.140625" customWidth="1"/>
    <col min="2" max="2" width="17.85546875" customWidth="1"/>
    <col min="3" max="3" width="39.5703125" customWidth="1"/>
    <col min="4" max="4" width="35.7109375" customWidth="1"/>
    <col min="5" max="5" width="6.7109375" customWidth="1"/>
    <col min="6" max="6" width="12.85546875" customWidth="1"/>
    <col min="7" max="7" width="12" customWidth="1"/>
    <col min="25" max="75" width="12.140625" hidden="1"/>
    <col min="76" max="76" width="75.28515625" hidden="1" customWidth="1"/>
    <col min="77" max="78" width="12.140625" hidden="1"/>
  </cols>
  <sheetData>
    <row r="1" spans="1:76" ht="54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55" t="s">
        <v>1</v>
      </c>
      <c r="B2" s="56"/>
      <c r="C2" s="65" t="s">
        <v>2</v>
      </c>
      <c r="D2" s="66"/>
      <c r="E2" s="56" t="s">
        <v>3</v>
      </c>
      <c r="F2" s="56"/>
      <c r="G2" s="56"/>
      <c r="H2" s="62" t="s">
        <v>4</v>
      </c>
      <c r="I2" s="56" t="s">
        <v>5</v>
      </c>
      <c r="J2" s="72"/>
    </row>
    <row r="3" spans="1:76" x14ac:dyDescent="0.25">
      <c r="A3" s="57"/>
      <c r="B3" s="58"/>
      <c r="C3" s="67"/>
      <c r="D3" s="67"/>
      <c r="E3" s="58"/>
      <c r="F3" s="58"/>
      <c r="G3" s="58"/>
      <c r="H3" s="58"/>
      <c r="I3" s="58"/>
      <c r="J3" s="73"/>
    </row>
    <row r="4" spans="1:76" x14ac:dyDescent="0.25">
      <c r="A4" s="59" t="s">
        <v>6</v>
      </c>
      <c r="B4" s="58"/>
      <c r="C4" s="63" t="s">
        <v>7</v>
      </c>
      <c r="D4" s="58"/>
      <c r="E4" s="58" t="s">
        <v>8</v>
      </c>
      <c r="F4" s="58"/>
      <c r="G4" s="58" t="s">
        <v>9</v>
      </c>
      <c r="H4" s="63" t="s">
        <v>10</v>
      </c>
      <c r="I4" s="58" t="s">
        <v>5</v>
      </c>
      <c r="J4" s="73"/>
    </row>
    <row r="5" spans="1:76" x14ac:dyDescent="0.25">
      <c r="A5" s="57"/>
      <c r="B5" s="58"/>
      <c r="C5" s="58"/>
      <c r="D5" s="58"/>
      <c r="E5" s="58"/>
      <c r="F5" s="58"/>
      <c r="G5" s="58"/>
      <c r="H5" s="58"/>
      <c r="I5" s="58"/>
      <c r="J5" s="73"/>
    </row>
    <row r="6" spans="1:76" x14ac:dyDescent="0.25">
      <c r="A6" s="59" t="s">
        <v>11</v>
      </c>
      <c r="B6" s="58"/>
      <c r="C6" s="63" t="s">
        <v>12</v>
      </c>
      <c r="D6" s="58"/>
      <c r="E6" s="58" t="s">
        <v>13</v>
      </c>
      <c r="F6" s="58"/>
      <c r="G6" s="58" t="s">
        <v>14</v>
      </c>
      <c r="H6" s="63" t="s">
        <v>15</v>
      </c>
      <c r="I6" s="58" t="s">
        <v>5</v>
      </c>
      <c r="J6" s="73"/>
    </row>
    <row r="7" spans="1:76" x14ac:dyDescent="0.25">
      <c r="A7" s="57"/>
      <c r="B7" s="58"/>
      <c r="C7" s="58"/>
      <c r="D7" s="58"/>
      <c r="E7" s="58"/>
      <c r="F7" s="58"/>
      <c r="G7" s="58"/>
      <c r="H7" s="58"/>
      <c r="I7" s="58"/>
      <c r="J7" s="73"/>
    </row>
    <row r="8" spans="1:76" x14ac:dyDescent="0.25">
      <c r="A8" s="59" t="s">
        <v>16</v>
      </c>
      <c r="B8" s="58"/>
      <c r="C8" s="63" t="s">
        <v>17</v>
      </c>
      <c r="D8" s="58"/>
      <c r="E8" s="58" t="s">
        <v>18</v>
      </c>
      <c r="F8" s="58"/>
      <c r="G8" s="58" t="s">
        <v>19</v>
      </c>
      <c r="H8" s="63" t="s">
        <v>20</v>
      </c>
      <c r="I8" s="63" t="s">
        <v>21</v>
      </c>
      <c r="J8" s="73"/>
    </row>
    <row r="9" spans="1:76" x14ac:dyDescent="0.25">
      <c r="A9" s="60"/>
      <c r="B9" s="61"/>
      <c r="C9" s="61"/>
      <c r="D9" s="61"/>
      <c r="E9" s="61"/>
      <c r="F9" s="61"/>
      <c r="G9" s="61"/>
      <c r="H9" s="64"/>
      <c r="I9" s="64"/>
      <c r="J9" s="74"/>
    </row>
    <row r="10" spans="1:76" x14ac:dyDescent="0.25">
      <c r="A10" s="6" t="s">
        <v>22</v>
      </c>
      <c r="B10" s="7" t="s">
        <v>23</v>
      </c>
      <c r="C10" s="75" t="s">
        <v>24</v>
      </c>
      <c r="D10" s="76"/>
      <c r="E10" s="7" t="s">
        <v>25</v>
      </c>
      <c r="F10" s="8" t="s">
        <v>26</v>
      </c>
      <c r="G10" s="8" t="s">
        <v>27</v>
      </c>
      <c r="J10" s="9"/>
      <c r="BK10" s="10" t="s">
        <v>28</v>
      </c>
      <c r="BL10" s="11" t="s">
        <v>29</v>
      </c>
      <c r="BW10" s="11" t="s">
        <v>30</v>
      </c>
    </row>
    <row r="11" spans="1:76" x14ac:dyDescent="0.25">
      <c r="A11" s="12" t="s">
        <v>31</v>
      </c>
      <c r="B11" s="13" t="s">
        <v>31</v>
      </c>
      <c r="C11" s="68" t="s">
        <v>32</v>
      </c>
      <c r="D11" s="69"/>
      <c r="E11" s="13" t="s">
        <v>31</v>
      </c>
      <c r="F11" s="13" t="s">
        <v>31</v>
      </c>
      <c r="G11" s="14" t="s">
        <v>33</v>
      </c>
      <c r="J11" s="15"/>
      <c r="Z11" s="10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39</v>
      </c>
      <c r="AF11" s="10" t="s">
        <v>40</v>
      </c>
      <c r="AG11" s="10" t="s">
        <v>41</v>
      </c>
      <c r="AH11" s="10" t="s">
        <v>42</v>
      </c>
      <c r="BH11" s="10" t="s">
        <v>43</v>
      </c>
      <c r="BI11" s="10" t="s">
        <v>44</v>
      </c>
      <c r="BJ11" s="10" t="s">
        <v>45</v>
      </c>
    </row>
    <row r="12" spans="1:76" x14ac:dyDescent="0.25">
      <c r="A12" s="16" t="s">
        <v>46</v>
      </c>
      <c r="B12" s="17" t="s">
        <v>47</v>
      </c>
      <c r="C12" s="70" t="s">
        <v>48</v>
      </c>
      <c r="D12" s="71"/>
      <c r="E12" s="18" t="s">
        <v>31</v>
      </c>
      <c r="F12" s="18" t="s">
        <v>31</v>
      </c>
      <c r="G12" s="18" t="s">
        <v>31</v>
      </c>
      <c r="J12" s="15"/>
      <c r="AI12" s="10" t="s">
        <v>46</v>
      </c>
      <c r="AS12" s="1">
        <f>SUM(AJ13:AJ16)</f>
        <v>0</v>
      </c>
      <c r="AT12" s="1">
        <f>SUM(AK13:AK16)</f>
        <v>0</v>
      </c>
      <c r="AU12" s="1">
        <f>SUM(AL13:AL16)</f>
        <v>0</v>
      </c>
    </row>
    <row r="13" spans="1:76" x14ac:dyDescent="0.25">
      <c r="A13" s="2" t="s">
        <v>49</v>
      </c>
      <c r="B13" s="3" t="s">
        <v>50</v>
      </c>
      <c r="C13" s="63" t="s">
        <v>51</v>
      </c>
      <c r="D13" s="58"/>
      <c r="E13" s="3" t="s">
        <v>52</v>
      </c>
      <c r="F13" s="19">
        <v>330.56</v>
      </c>
      <c r="G13" s="19">
        <v>0</v>
      </c>
      <c r="J13" s="15"/>
      <c r="Z13" s="19">
        <f>IF(AQ13="5",BJ13,0)</f>
        <v>0</v>
      </c>
      <c r="AB13" s="19">
        <f>IF(AQ13="1",BH13,0)</f>
        <v>0</v>
      </c>
      <c r="AC13" s="19">
        <f>IF(AQ13="1",BI13,0)</f>
        <v>0</v>
      </c>
      <c r="AD13" s="19">
        <f>IF(AQ13="7",BH13,0)</f>
        <v>0</v>
      </c>
      <c r="AE13" s="19">
        <f>IF(AQ13="7",BI13,0)</f>
        <v>0</v>
      </c>
      <c r="AF13" s="19">
        <f>IF(AQ13="2",BH13,0)</f>
        <v>0</v>
      </c>
      <c r="AG13" s="19">
        <f>IF(AQ13="2",BI13,0)</f>
        <v>0</v>
      </c>
      <c r="AH13" s="19">
        <f>IF(AQ13="0",BJ13,0)</f>
        <v>0</v>
      </c>
      <c r="AI13" s="10" t="s">
        <v>46</v>
      </c>
      <c r="AN13" s="19">
        <v>21</v>
      </c>
      <c r="AO13" s="19">
        <f>G13*0</f>
        <v>0</v>
      </c>
      <c r="AP13" s="19">
        <f>G13*(1-0)</f>
        <v>0</v>
      </c>
      <c r="AQ13" s="20" t="s">
        <v>49</v>
      </c>
      <c r="AV13" s="19">
        <f>AW13+AX13</f>
        <v>0</v>
      </c>
      <c r="AW13" s="19">
        <f>F13*AO13</f>
        <v>0</v>
      </c>
      <c r="AX13" s="19">
        <f>F13*AP13</f>
        <v>0</v>
      </c>
      <c r="AY13" s="20" t="s">
        <v>53</v>
      </c>
      <c r="AZ13" s="20" t="s">
        <v>54</v>
      </c>
      <c r="BA13" s="10" t="s">
        <v>55</v>
      </c>
      <c r="BC13" s="19">
        <f>AW13+AX13</f>
        <v>0</v>
      </c>
      <c r="BD13" s="19">
        <f>G13/(100-BE13)*100</f>
        <v>0</v>
      </c>
      <c r="BE13" s="19">
        <v>0</v>
      </c>
      <c r="BF13" s="19">
        <f>13</f>
        <v>13</v>
      </c>
      <c r="BH13" s="19">
        <f>F13*AO13</f>
        <v>0</v>
      </c>
      <c r="BI13" s="19">
        <f>F13*AP13</f>
        <v>0</v>
      </c>
      <c r="BJ13" s="19">
        <f>F13*G13</f>
        <v>0</v>
      </c>
      <c r="BK13" s="19"/>
      <c r="BL13" s="19">
        <v>11</v>
      </c>
      <c r="BW13" s="19">
        <v>12</v>
      </c>
      <c r="BX13" s="4" t="s">
        <v>51</v>
      </c>
    </row>
    <row r="14" spans="1:76" x14ac:dyDescent="0.25">
      <c r="A14" s="21"/>
      <c r="C14" s="22" t="s">
        <v>56</v>
      </c>
      <c r="D14" s="22" t="s">
        <v>46</v>
      </c>
      <c r="F14" s="23">
        <v>330.56</v>
      </c>
      <c r="J14" s="15"/>
    </row>
    <row r="15" spans="1:76" x14ac:dyDescent="0.25">
      <c r="A15" s="2" t="s">
        <v>57</v>
      </c>
      <c r="B15" s="3" t="s">
        <v>58</v>
      </c>
      <c r="C15" s="63" t="s">
        <v>59</v>
      </c>
      <c r="D15" s="58"/>
      <c r="E15" s="3" t="s">
        <v>52</v>
      </c>
      <c r="F15" s="19">
        <v>50</v>
      </c>
      <c r="G15" s="19">
        <v>0</v>
      </c>
      <c r="J15" s="15"/>
      <c r="Z15" s="19">
        <f>IF(AQ15="5",BJ15,0)</f>
        <v>0</v>
      </c>
      <c r="AB15" s="19">
        <f>IF(AQ15="1",BH15,0)</f>
        <v>0</v>
      </c>
      <c r="AC15" s="19">
        <f>IF(AQ15="1",BI15,0)</f>
        <v>0</v>
      </c>
      <c r="AD15" s="19">
        <f>IF(AQ15="7",BH15,0)</f>
        <v>0</v>
      </c>
      <c r="AE15" s="19">
        <f>IF(AQ15="7",BI15,0)</f>
        <v>0</v>
      </c>
      <c r="AF15" s="19">
        <f>IF(AQ15="2",BH15,0)</f>
        <v>0</v>
      </c>
      <c r="AG15" s="19">
        <f>IF(AQ15="2",BI15,0)</f>
        <v>0</v>
      </c>
      <c r="AH15" s="19">
        <f>IF(AQ15="0",BJ15,0)</f>
        <v>0</v>
      </c>
      <c r="AI15" s="10" t="s">
        <v>46</v>
      </c>
      <c r="AN15" s="19">
        <v>21</v>
      </c>
      <c r="AO15" s="19">
        <f>G15*0</f>
        <v>0</v>
      </c>
      <c r="AP15" s="19">
        <f>G15*(1-0)</f>
        <v>0</v>
      </c>
      <c r="AQ15" s="20" t="s">
        <v>49</v>
      </c>
      <c r="AV15" s="19">
        <f>AW15+AX15</f>
        <v>0</v>
      </c>
      <c r="AW15" s="19">
        <f>F15*AO15</f>
        <v>0</v>
      </c>
      <c r="AX15" s="19">
        <f>F15*AP15</f>
        <v>0</v>
      </c>
      <c r="AY15" s="20" t="s">
        <v>53</v>
      </c>
      <c r="AZ15" s="20" t="s">
        <v>54</v>
      </c>
      <c r="BA15" s="10" t="s">
        <v>55</v>
      </c>
      <c r="BC15" s="19">
        <f>AW15+AX15</f>
        <v>0</v>
      </c>
      <c r="BD15" s="19">
        <f>G15/(100-BE15)*100</f>
        <v>0</v>
      </c>
      <c r="BE15" s="19">
        <v>0</v>
      </c>
      <c r="BF15" s="19">
        <f>15</f>
        <v>15</v>
      </c>
      <c r="BH15" s="19">
        <f>F15*AO15</f>
        <v>0</v>
      </c>
      <c r="BI15" s="19">
        <f>F15*AP15</f>
        <v>0</v>
      </c>
      <c r="BJ15" s="19">
        <f>F15*G15</f>
        <v>0</v>
      </c>
      <c r="BK15" s="19"/>
      <c r="BL15" s="19">
        <v>11</v>
      </c>
      <c r="BW15" s="19">
        <v>12</v>
      </c>
      <c r="BX15" s="4" t="s">
        <v>59</v>
      </c>
    </row>
    <row r="16" spans="1:76" x14ac:dyDescent="0.25">
      <c r="A16" s="2" t="s">
        <v>60</v>
      </c>
      <c r="B16" s="3" t="s">
        <v>61</v>
      </c>
      <c r="C16" s="63" t="s">
        <v>62</v>
      </c>
      <c r="D16" s="58"/>
      <c r="E16" s="3" t="s">
        <v>63</v>
      </c>
      <c r="F16" s="19">
        <v>1</v>
      </c>
      <c r="G16" s="19">
        <v>0</v>
      </c>
      <c r="J16" s="15"/>
      <c r="Z16" s="19">
        <f>IF(AQ16="5",BJ16,0)</f>
        <v>0</v>
      </c>
      <c r="AB16" s="19">
        <f>IF(AQ16="1",BH16,0)</f>
        <v>0</v>
      </c>
      <c r="AC16" s="19">
        <f>IF(AQ16="1",BI16,0)</f>
        <v>0</v>
      </c>
      <c r="AD16" s="19">
        <f>IF(AQ16="7",BH16,0)</f>
        <v>0</v>
      </c>
      <c r="AE16" s="19">
        <f>IF(AQ16="7",BI16,0)</f>
        <v>0</v>
      </c>
      <c r="AF16" s="19">
        <f>IF(AQ16="2",BH16,0)</f>
        <v>0</v>
      </c>
      <c r="AG16" s="19">
        <f>IF(AQ16="2",BI16,0)</f>
        <v>0</v>
      </c>
      <c r="AH16" s="19">
        <f>IF(AQ16="0",BJ16,0)</f>
        <v>0</v>
      </c>
      <c r="AI16" s="10" t="s">
        <v>46</v>
      </c>
      <c r="AN16" s="19">
        <v>21</v>
      </c>
      <c r="AO16" s="19">
        <f>G16*0</f>
        <v>0</v>
      </c>
      <c r="AP16" s="19">
        <f>G16*(1-0)</f>
        <v>0</v>
      </c>
      <c r="AQ16" s="20" t="s">
        <v>49</v>
      </c>
      <c r="AV16" s="19">
        <f>AW16+AX16</f>
        <v>0</v>
      </c>
      <c r="AW16" s="19">
        <f>F16*AO16</f>
        <v>0</v>
      </c>
      <c r="AX16" s="19">
        <f>F16*AP16</f>
        <v>0</v>
      </c>
      <c r="AY16" s="20" t="s">
        <v>53</v>
      </c>
      <c r="AZ16" s="20" t="s">
        <v>54</v>
      </c>
      <c r="BA16" s="10" t="s">
        <v>55</v>
      </c>
      <c r="BC16" s="19">
        <f>AW16+AX16</f>
        <v>0</v>
      </c>
      <c r="BD16" s="19">
        <f>G16/(100-BE16)*100</f>
        <v>0</v>
      </c>
      <c r="BE16" s="19">
        <v>0</v>
      </c>
      <c r="BF16" s="19">
        <f>16</f>
        <v>16</v>
      </c>
      <c r="BH16" s="19">
        <f>F16*AO16</f>
        <v>0</v>
      </c>
      <c r="BI16" s="19">
        <f>F16*AP16</f>
        <v>0</v>
      </c>
      <c r="BJ16" s="19">
        <f>F16*G16</f>
        <v>0</v>
      </c>
      <c r="BK16" s="19"/>
      <c r="BL16" s="19">
        <v>11</v>
      </c>
      <c r="BW16" s="19">
        <v>12</v>
      </c>
      <c r="BX16" s="4" t="s">
        <v>62</v>
      </c>
    </row>
    <row r="17" spans="1:76" x14ac:dyDescent="0.25">
      <c r="A17" s="21"/>
      <c r="C17" s="22" t="s">
        <v>49</v>
      </c>
      <c r="D17" s="22" t="s">
        <v>64</v>
      </c>
      <c r="F17" s="23">
        <v>1</v>
      </c>
      <c r="J17" s="15"/>
    </row>
    <row r="18" spans="1:76" x14ac:dyDescent="0.25">
      <c r="A18" s="24" t="s">
        <v>46</v>
      </c>
      <c r="B18" s="25" t="s">
        <v>65</v>
      </c>
      <c r="C18" s="77" t="s">
        <v>66</v>
      </c>
      <c r="D18" s="78"/>
      <c r="E18" s="26" t="s">
        <v>31</v>
      </c>
      <c r="F18" s="26" t="s">
        <v>31</v>
      </c>
      <c r="G18" s="26" t="s">
        <v>31</v>
      </c>
      <c r="J18" s="15"/>
      <c r="AI18" s="10" t="s">
        <v>46</v>
      </c>
      <c r="AS18" s="1">
        <f>SUM(AJ19:AJ27)</f>
        <v>0</v>
      </c>
      <c r="AT18" s="1">
        <f>SUM(AK19:AK27)</f>
        <v>0</v>
      </c>
      <c r="AU18" s="1">
        <f>SUM(AL19:AL27)</f>
        <v>0</v>
      </c>
    </row>
    <row r="19" spans="1:76" x14ac:dyDescent="0.25">
      <c r="A19" s="2" t="s">
        <v>67</v>
      </c>
      <c r="B19" s="3" t="s">
        <v>68</v>
      </c>
      <c r="C19" s="63" t="s">
        <v>69</v>
      </c>
      <c r="D19" s="58"/>
      <c r="E19" s="3" t="s">
        <v>70</v>
      </c>
      <c r="F19" s="19">
        <v>155.97499999999999</v>
      </c>
      <c r="G19" s="19">
        <v>0</v>
      </c>
      <c r="J19" s="15"/>
      <c r="Z19" s="19">
        <f>IF(AQ19="5",BJ19,0)</f>
        <v>0</v>
      </c>
      <c r="AB19" s="19">
        <f>IF(AQ19="1",BH19,0)</f>
        <v>0</v>
      </c>
      <c r="AC19" s="19">
        <f>IF(AQ19="1",BI19,0)</f>
        <v>0</v>
      </c>
      <c r="AD19" s="19">
        <f>IF(AQ19="7",BH19,0)</f>
        <v>0</v>
      </c>
      <c r="AE19" s="19">
        <f>IF(AQ19="7",BI19,0)</f>
        <v>0</v>
      </c>
      <c r="AF19" s="19">
        <f>IF(AQ19="2",BH19,0)</f>
        <v>0</v>
      </c>
      <c r="AG19" s="19">
        <f>IF(AQ19="2",BI19,0)</f>
        <v>0</v>
      </c>
      <c r="AH19" s="19">
        <f>IF(AQ19="0",BJ19,0)</f>
        <v>0</v>
      </c>
      <c r="AI19" s="10" t="s">
        <v>46</v>
      </c>
      <c r="AN19" s="19">
        <v>21</v>
      </c>
      <c r="AO19" s="19">
        <f>G19*0</f>
        <v>0</v>
      </c>
      <c r="AP19" s="19">
        <f>G19*(1-0)</f>
        <v>0</v>
      </c>
      <c r="AQ19" s="20" t="s">
        <v>49</v>
      </c>
      <c r="AV19" s="19">
        <f>AW19+AX19</f>
        <v>0</v>
      </c>
      <c r="AW19" s="19">
        <f>F19*AO19</f>
        <v>0</v>
      </c>
      <c r="AX19" s="19">
        <f>F19*AP19</f>
        <v>0</v>
      </c>
      <c r="AY19" s="20" t="s">
        <v>71</v>
      </c>
      <c r="AZ19" s="20" t="s">
        <v>54</v>
      </c>
      <c r="BA19" s="10" t="s">
        <v>55</v>
      </c>
      <c r="BC19" s="19">
        <f>AW19+AX19</f>
        <v>0</v>
      </c>
      <c r="BD19" s="19">
        <f>G19/(100-BE19)*100</f>
        <v>0</v>
      </c>
      <c r="BE19" s="19">
        <v>0</v>
      </c>
      <c r="BF19" s="19">
        <f>19</f>
        <v>19</v>
      </c>
      <c r="BH19" s="19">
        <f>F19*AO19</f>
        <v>0</v>
      </c>
      <c r="BI19" s="19">
        <f>F19*AP19</f>
        <v>0</v>
      </c>
      <c r="BJ19" s="19">
        <f>F19*G19</f>
        <v>0</v>
      </c>
      <c r="BK19" s="19"/>
      <c r="BL19" s="19">
        <v>13</v>
      </c>
      <c r="BW19" s="19">
        <v>12</v>
      </c>
      <c r="BX19" s="4" t="s">
        <v>69</v>
      </c>
    </row>
    <row r="20" spans="1:76" x14ac:dyDescent="0.25">
      <c r="A20" s="21"/>
      <c r="C20" s="22" t="s">
        <v>72</v>
      </c>
      <c r="D20" s="22" t="s">
        <v>46</v>
      </c>
      <c r="F20" s="23">
        <v>155.97499999999999</v>
      </c>
      <c r="J20" s="15"/>
    </row>
    <row r="21" spans="1:76" x14ac:dyDescent="0.25">
      <c r="A21" s="2" t="s">
        <v>73</v>
      </c>
      <c r="B21" s="3" t="s">
        <v>74</v>
      </c>
      <c r="C21" s="63" t="s">
        <v>75</v>
      </c>
      <c r="D21" s="58"/>
      <c r="E21" s="3" t="s">
        <v>70</v>
      </c>
      <c r="F21" s="19">
        <v>147.07499999999999</v>
      </c>
      <c r="G21" s="19">
        <v>0</v>
      </c>
      <c r="J21" s="15"/>
      <c r="Z21" s="19">
        <f>IF(AQ21="5",BJ21,0)</f>
        <v>0</v>
      </c>
      <c r="AB21" s="19">
        <f>IF(AQ21="1",BH21,0)</f>
        <v>0</v>
      </c>
      <c r="AC21" s="19">
        <f>IF(AQ21="1",BI21,0)</f>
        <v>0</v>
      </c>
      <c r="AD21" s="19">
        <f>IF(AQ21="7",BH21,0)</f>
        <v>0</v>
      </c>
      <c r="AE21" s="19">
        <f>IF(AQ21="7",BI21,0)</f>
        <v>0</v>
      </c>
      <c r="AF21" s="19">
        <f>IF(AQ21="2",BH21,0)</f>
        <v>0</v>
      </c>
      <c r="AG21" s="19">
        <f>IF(AQ21="2",BI21,0)</f>
        <v>0</v>
      </c>
      <c r="AH21" s="19">
        <f>IF(AQ21="0",BJ21,0)</f>
        <v>0</v>
      </c>
      <c r="AI21" s="10" t="s">
        <v>46</v>
      </c>
      <c r="AN21" s="19">
        <v>21</v>
      </c>
      <c r="AO21" s="19">
        <f>G21*0.033278798</f>
        <v>0</v>
      </c>
      <c r="AP21" s="19">
        <f>G21*(1-0.033278798)</f>
        <v>0</v>
      </c>
      <c r="AQ21" s="20" t="s">
        <v>49</v>
      </c>
      <c r="AV21" s="19">
        <f>AW21+AX21</f>
        <v>0</v>
      </c>
      <c r="AW21" s="19">
        <f>F21*AO21</f>
        <v>0</v>
      </c>
      <c r="AX21" s="19">
        <f>F21*AP21</f>
        <v>0</v>
      </c>
      <c r="AY21" s="20" t="s">
        <v>71</v>
      </c>
      <c r="AZ21" s="20" t="s">
        <v>54</v>
      </c>
      <c r="BA21" s="10" t="s">
        <v>55</v>
      </c>
      <c r="BC21" s="19">
        <f>AW21+AX21</f>
        <v>0</v>
      </c>
      <c r="BD21" s="19">
        <f>G21/(100-BE21)*100</f>
        <v>0</v>
      </c>
      <c r="BE21" s="19">
        <v>0</v>
      </c>
      <c r="BF21" s="19">
        <f>21</f>
        <v>21</v>
      </c>
      <c r="BH21" s="19">
        <f>F21*AO21</f>
        <v>0</v>
      </c>
      <c r="BI21" s="19">
        <f>F21*AP21</f>
        <v>0</v>
      </c>
      <c r="BJ21" s="19">
        <f>F21*G21</f>
        <v>0</v>
      </c>
      <c r="BK21" s="19"/>
      <c r="BL21" s="19">
        <v>13</v>
      </c>
      <c r="BW21" s="19">
        <v>12</v>
      </c>
      <c r="BX21" s="4" t="s">
        <v>75</v>
      </c>
    </row>
    <row r="22" spans="1:76" x14ac:dyDescent="0.25">
      <c r="A22" s="21"/>
      <c r="C22" s="22" t="s">
        <v>76</v>
      </c>
      <c r="D22" s="22" t="s">
        <v>46</v>
      </c>
      <c r="F22" s="23">
        <v>147.07499999999999</v>
      </c>
      <c r="J22" s="15"/>
    </row>
    <row r="23" spans="1:76" x14ac:dyDescent="0.25">
      <c r="A23" s="2" t="s">
        <v>77</v>
      </c>
      <c r="B23" s="3" t="s">
        <v>78</v>
      </c>
      <c r="C23" s="63" t="s">
        <v>79</v>
      </c>
      <c r="D23" s="58"/>
      <c r="E23" s="3" t="s">
        <v>70</v>
      </c>
      <c r="F23" s="19">
        <v>16.649999999999999</v>
      </c>
      <c r="G23" s="19">
        <v>0</v>
      </c>
      <c r="J23" s="15"/>
      <c r="Z23" s="19">
        <f>IF(AQ23="5",BJ23,0)</f>
        <v>0</v>
      </c>
      <c r="AB23" s="19">
        <f>IF(AQ23="1",BH23,0)</f>
        <v>0</v>
      </c>
      <c r="AC23" s="19">
        <f>IF(AQ23="1",BI23,0)</f>
        <v>0</v>
      </c>
      <c r="AD23" s="19">
        <f>IF(AQ23="7",BH23,0)</f>
        <v>0</v>
      </c>
      <c r="AE23" s="19">
        <f>IF(AQ23="7",BI23,0)</f>
        <v>0</v>
      </c>
      <c r="AF23" s="19">
        <f>IF(AQ23="2",BH23,0)</f>
        <v>0</v>
      </c>
      <c r="AG23" s="19">
        <f>IF(AQ23="2",BI23,0)</f>
        <v>0</v>
      </c>
      <c r="AH23" s="19">
        <f>IF(AQ23="0",BJ23,0)</f>
        <v>0</v>
      </c>
      <c r="AI23" s="10" t="s">
        <v>46</v>
      </c>
      <c r="AN23" s="19">
        <v>21</v>
      </c>
      <c r="AO23" s="19">
        <f>G23*0</f>
        <v>0</v>
      </c>
      <c r="AP23" s="19">
        <f>G23*(1-0)</f>
        <v>0</v>
      </c>
      <c r="AQ23" s="20" t="s">
        <v>49</v>
      </c>
      <c r="AV23" s="19">
        <f>AW23+AX23</f>
        <v>0</v>
      </c>
      <c r="AW23" s="19">
        <f>F23*AO23</f>
        <v>0</v>
      </c>
      <c r="AX23" s="19">
        <f>F23*AP23</f>
        <v>0</v>
      </c>
      <c r="AY23" s="20" t="s">
        <v>71</v>
      </c>
      <c r="AZ23" s="20" t="s">
        <v>54</v>
      </c>
      <c r="BA23" s="10" t="s">
        <v>55</v>
      </c>
      <c r="BC23" s="19">
        <f>AW23+AX23</f>
        <v>0</v>
      </c>
      <c r="BD23" s="19">
        <f>G23/(100-BE23)*100</f>
        <v>0</v>
      </c>
      <c r="BE23" s="19">
        <v>0</v>
      </c>
      <c r="BF23" s="19">
        <f>23</f>
        <v>23</v>
      </c>
      <c r="BH23" s="19">
        <f>F23*AO23</f>
        <v>0</v>
      </c>
      <c r="BI23" s="19">
        <f>F23*AP23</f>
        <v>0</v>
      </c>
      <c r="BJ23" s="19">
        <f>F23*G23</f>
        <v>0</v>
      </c>
      <c r="BK23" s="19"/>
      <c r="BL23" s="19">
        <v>13</v>
      </c>
      <c r="BW23" s="19">
        <v>12</v>
      </c>
      <c r="BX23" s="4" t="s">
        <v>79</v>
      </c>
    </row>
    <row r="24" spans="1:76" x14ac:dyDescent="0.25">
      <c r="A24" s="21"/>
      <c r="C24" s="22" t="s">
        <v>80</v>
      </c>
      <c r="D24" s="22" t="s">
        <v>46</v>
      </c>
      <c r="F24" s="23">
        <v>16.649999999999999</v>
      </c>
      <c r="J24" s="15"/>
    </row>
    <row r="25" spans="1:76" x14ac:dyDescent="0.25">
      <c r="A25" s="2" t="s">
        <v>81</v>
      </c>
      <c r="B25" s="3" t="s">
        <v>82</v>
      </c>
      <c r="C25" s="63" t="s">
        <v>83</v>
      </c>
      <c r="D25" s="58"/>
      <c r="E25" s="3" t="s">
        <v>70</v>
      </c>
      <c r="F25" s="19">
        <v>13.75</v>
      </c>
      <c r="G25" s="19">
        <v>0</v>
      </c>
      <c r="J25" s="15"/>
      <c r="Z25" s="19">
        <f>IF(AQ25="5",BJ25,0)</f>
        <v>0</v>
      </c>
      <c r="AB25" s="19">
        <f>IF(AQ25="1",BH25,0)</f>
        <v>0</v>
      </c>
      <c r="AC25" s="19">
        <f>IF(AQ25="1",BI25,0)</f>
        <v>0</v>
      </c>
      <c r="AD25" s="19">
        <f>IF(AQ25="7",BH25,0)</f>
        <v>0</v>
      </c>
      <c r="AE25" s="19">
        <f>IF(AQ25="7",BI25,0)</f>
        <v>0</v>
      </c>
      <c r="AF25" s="19">
        <f>IF(AQ25="2",BH25,0)</f>
        <v>0</v>
      </c>
      <c r="AG25" s="19">
        <f>IF(AQ25="2",BI25,0)</f>
        <v>0</v>
      </c>
      <c r="AH25" s="19">
        <f>IF(AQ25="0",BJ25,0)</f>
        <v>0</v>
      </c>
      <c r="AI25" s="10" t="s">
        <v>46</v>
      </c>
      <c r="AN25" s="19">
        <v>21</v>
      </c>
      <c r="AO25" s="19">
        <f>G25*0</f>
        <v>0</v>
      </c>
      <c r="AP25" s="19">
        <f>G25*(1-0)</f>
        <v>0</v>
      </c>
      <c r="AQ25" s="20" t="s">
        <v>49</v>
      </c>
      <c r="AV25" s="19">
        <f>AW25+AX25</f>
        <v>0</v>
      </c>
      <c r="AW25" s="19">
        <f>F25*AO25</f>
        <v>0</v>
      </c>
      <c r="AX25" s="19">
        <f>F25*AP25</f>
        <v>0</v>
      </c>
      <c r="AY25" s="20" t="s">
        <v>71</v>
      </c>
      <c r="AZ25" s="20" t="s">
        <v>54</v>
      </c>
      <c r="BA25" s="10" t="s">
        <v>55</v>
      </c>
      <c r="BC25" s="19">
        <f>AW25+AX25</f>
        <v>0</v>
      </c>
      <c r="BD25" s="19">
        <f>G25/(100-BE25)*100</f>
        <v>0</v>
      </c>
      <c r="BE25" s="19">
        <v>0</v>
      </c>
      <c r="BF25" s="19">
        <f>25</f>
        <v>25</v>
      </c>
      <c r="BH25" s="19">
        <f>F25*AO25</f>
        <v>0</v>
      </c>
      <c r="BI25" s="19">
        <f>F25*AP25</f>
        <v>0</v>
      </c>
      <c r="BJ25" s="19">
        <f>F25*G25</f>
        <v>0</v>
      </c>
      <c r="BK25" s="19"/>
      <c r="BL25" s="19">
        <v>13</v>
      </c>
      <c r="BW25" s="19">
        <v>12</v>
      </c>
      <c r="BX25" s="4" t="s">
        <v>83</v>
      </c>
    </row>
    <row r="26" spans="1:76" x14ac:dyDescent="0.25">
      <c r="A26" s="21"/>
      <c r="C26" s="22" t="s">
        <v>84</v>
      </c>
      <c r="D26" s="22" t="s">
        <v>46</v>
      </c>
      <c r="F26" s="23">
        <v>13.75</v>
      </c>
      <c r="J26" s="15"/>
    </row>
    <row r="27" spans="1:76" x14ac:dyDescent="0.25">
      <c r="A27" s="2" t="s">
        <v>85</v>
      </c>
      <c r="B27" s="3" t="s">
        <v>86</v>
      </c>
      <c r="C27" s="63" t="s">
        <v>87</v>
      </c>
      <c r="D27" s="58"/>
      <c r="E27" s="3" t="s">
        <v>70</v>
      </c>
      <c r="F27" s="19">
        <v>46.05</v>
      </c>
      <c r="G27" s="19">
        <v>0</v>
      </c>
      <c r="J27" s="15"/>
      <c r="Z27" s="19">
        <f>IF(AQ27="5",BJ27,0)</f>
        <v>0</v>
      </c>
      <c r="AB27" s="19">
        <f>IF(AQ27="1",BH27,0)</f>
        <v>0</v>
      </c>
      <c r="AC27" s="19">
        <f>IF(AQ27="1",BI27,0)</f>
        <v>0</v>
      </c>
      <c r="AD27" s="19">
        <f>IF(AQ27="7",BH27,0)</f>
        <v>0</v>
      </c>
      <c r="AE27" s="19">
        <f>IF(AQ27="7",BI27,0)</f>
        <v>0</v>
      </c>
      <c r="AF27" s="19">
        <f>IF(AQ27="2",BH27,0)</f>
        <v>0</v>
      </c>
      <c r="AG27" s="19">
        <f>IF(AQ27="2",BI27,0)</f>
        <v>0</v>
      </c>
      <c r="AH27" s="19">
        <f>IF(AQ27="0",BJ27,0)</f>
        <v>0</v>
      </c>
      <c r="AI27" s="10" t="s">
        <v>46</v>
      </c>
      <c r="AN27" s="19">
        <v>21</v>
      </c>
      <c r="AO27" s="19">
        <f>G27*0</f>
        <v>0</v>
      </c>
      <c r="AP27" s="19">
        <f>G27*(1-0)</f>
        <v>0</v>
      </c>
      <c r="AQ27" s="20" t="s">
        <v>49</v>
      </c>
      <c r="AV27" s="19">
        <f>AW27+AX27</f>
        <v>0</v>
      </c>
      <c r="AW27" s="19">
        <f>F27*AO27</f>
        <v>0</v>
      </c>
      <c r="AX27" s="19">
        <f>F27*AP27</f>
        <v>0</v>
      </c>
      <c r="AY27" s="20" t="s">
        <v>71</v>
      </c>
      <c r="AZ27" s="20" t="s">
        <v>54</v>
      </c>
      <c r="BA27" s="10" t="s">
        <v>55</v>
      </c>
      <c r="BC27" s="19">
        <f>AW27+AX27</f>
        <v>0</v>
      </c>
      <c r="BD27" s="19">
        <f>G27/(100-BE27)*100</f>
        <v>0</v>
      </c>
      <c r="BE27" s="19">
        <v>0</v>
      </c>
      <c r="BF27" s="19">
        <f>27</f>
        <v>27</v>
      </c>
      <c r="BH27" s="19">
        <f>F27*AO27</f>
        <v>0</v>
      </c>
      <c r="BI27" s="19">
        <f>F27*AP27</f>
        <v>0</v>
      </c>
      <c r="BJ27" s="19">
        <f>F27*G27</f>
        <v>0</v>
      </c>
      <c r="BK27" s="19"/>
      <c r="BL27" s="19">
        <v>13</v>
      </c>
      <c r="BW27" s="19">
        <v>12</v>
      </c>
      <c r="BX27" s="4" t="s">
        <v>87</v>
      </c>
    </row>
    <row r="28" spans="1:76" x14ac:dyDescent="0.25">
      <c r="A28" s="21"/>
      <c r="C28" s="22" t="s">
        <v>88</v>
      </c>
      <c r="D28" s="22" t="s">
        <v>89</v>
      </c>
      <c r="F28" s="23">
        <v>46.05</v>
      </c>
      <c r="J28" s="15"/>
    </row>
    <row r="29" spans="1:76" x14ac:dyDescent="0.25">
      <c r="A29" s="24" t="s">
        <v>46</v>
      </c>
      <c r="B29" s="25" t="s">
        <v>90</v>
      </c>
      <c r="C29" s="77" t="s">
        <v>91</v>
      </c>
      <c r="D29" s="78"/>
      <c r="E29" s="26" t="s">
        <v>31</v>
      </c>
      <c r="F29" s="26" t="s">
        <v>31</v>
      </c>
      <c r="G29" s="26" t="s">
        <v>31</v>
      </c>
      <c r="J29" s="15"/>
      <c r="AI29" s="10" t="s">
        <v>46</v>
      </c>
      <c r="AS29" s="1">
        <f>SUM(AJ30:AJ32)</f>
        <v>0</v>
      </c>
      <c r="AT29" s="1">
        <f>SUM(AK30:AK32)</f>
        <v>0</v>
      </c>
      <c r="AU29" s="1">
        <f>SUM(AL30:AL32)</f>
        <v>0</v>
      </c>
    </row>
    <row r="30" spans="1:76" x14ac:dyDescent="0.25">
      <c r="A30" s="2" t="s">
        <v>92</v>
      </c>
      <c r="B30" s="3" t="s">
        <v>93</v>
      </c>
      <c r="C30" s="63" t="s">
        <v>94</v>
      </c>
      <c r="D30" s="58"/>
      <c r="E30" s="3" t="s">
        <v>70</v>
      </c>
      <c r="F30" s="19">
        <v>359</v>
      </c>
      <c r="G30" s="19">
        <v>0</v>
      </c>
      <c r="J30" s="15"/>
      <c r="Z30" s="19">
        <f>IF(AQ30="5",BJ30,0)</f>
        <v>0</v>
      </c>
      <c r="AB30" s="19">
        <f>IF(AQ30="1",BH30,0)</f>
        <v>0</v>
      </c>
      <c r="AC30" s="19">
        <f>IF(AQ30="1",BI30,0)</f>
        <v>0</v>
      </c>
      <c r="AD30" s="19">
        <f>IF(AQ30="7",BH30,0)</f>
        <v>0</v>
      </c>
      <c r="AE30" s="19">
        <f>IF(AQ30="7",BI30,0)</f>
        <v>0</v>
      </c>
      <c r="AF30" s="19">
        <f>IF(AQ30="2",BH30,0)</f>
        <v>0</v>
      </c>
      <c r="AG30" s="19">
        <f>IF(AQ30="2",BI30,0)</f>
        <v>0</v>
      </c>
      <c r="AH30" s="19">
        <f>IF(AQ30="0",BJ30,0)</f>
        <v>0</v>
      </c>
      <c r="AI30" s="10" t="s">
        <v>46</v>
      </c>
      <c r="AN30" s="19">
        <v>21</v>
      </c>
      <c r="AO30" s="19">
        <f>G30*0</f>
        <v>0</v>
      </c>
      <c r="AP30" s="19">
        <f>G30*(1-0)</f>
        <v>0</v>
      </c>
      <c r="AQ30" s="20" t="s">
        <v>49</v>
      </c>
      <c r="AV30" s="19">
        <f>AW30+AX30</f>
        <v>0</v>
      </c>
      <c r="AW30" s="19">
        <f>F30*AO30</f>
        <v>0</v>
      </c>
      <c r="AX30" s="19">
        <f>F30*AP30</f>
        <v>0</v>
      </c>
      <c r="AY30" s="20" t="s">
        <v>95</v>
      </c>
      <c r="AZ30" s="20" t="s">
        <v>54</v>
      </c>
      <c r="BA30" s="10" t="s">
        <v>55</v>
      </c>
      <c r="BC30" s="19">
        <f>AW30+AX30</f>
        <v>0</v>
      </c>
      <c r="BD30" s="19">
        <f>G30/(100-BE30)*100</f>
        <v>0</v>
      </c>
      <c r="BE30" s="19">
        <v>0</v>
      </c>
      <c r="BF30" s="19">
        <f>30</f>
        <v>30</v>
      </c>
      <c r="BH30" s="19">
        <f>F30*AO30</f>
        <v>0</v>
      </c>
      <c r="BI30" s="19">
        <f>F30*AP30</f>
        <v>0</v>
      </c>
      <c r="BJ30" s="19">
        <f>F30*G30</f>
        <v>0</v>
      </c>
      <c r="BK30" s="19"/>
      <c r="BL30" s="19">
        <v>16</v>
      </c>
      <c r="BW30" s="19">
        <v>12</v>
      </c>
      <c r="BX30" s="4" t="s">
        <v>94</v>
      </c>
    </row>
    <row r="31" spans="1:76" x14ac:dyDescent="0.25">
      <c r="A31" s="21"/>
      <c r="C31" s="22" t="s">
        <v>96</v>
      </c>
      <c r="D31" s="22" t="s">
        <v>46</v>
      </c>
      <c r="F31" s="23">
        <v>359</v>
      </c>
      <c r="J31" s="15"/>
    </row>
    <row r="32" spans="1:76" x14ac:dyDescent="0.25">
      <c r="A32" s="2" t="s">
        <v>97</v>
      </c>
      <c r="B32" s="3" t="s">
        <v>98</v>
      </c>
      <c r="C32" s="63" t="s">
        <v>99</v>
      </c>
      <c r="D32" s="58"/>
      <c r="E32" s="3" t="s">
        <v>70</v>
      </c>
      <c r="F32" s="19">
        <v>1.5</v>
      </c>
      <c r="G32" s="19">
        <v>0</v>
      </c>
      <c r="J32" s="15"/>
      <c r="Z32" s="19">
        <f>IF(AQ32="5",BJ32,0)</f>
        <v>0</v>
      </c>
      <c r="AB32" s="19">
        <f>IF(AQ32="1",BH32,0)</f>
        <v>0</v>
      </c>
      <c r="AC32" s="19">
        <f>IF(AQ32="1",BI32,0)</f>
        <v>0</v>
      </c>
      <c r="AD32" s="19">
        <f>IF(AQ32="7",BH32,0)</f>
        <v>0</v>
      </c>
      <c r="AE32" s="19">
        <f>IF(AQ32="7",BI32,0)</f>
        <v>0</v>
      </c>
      <c r="AF32" s="19">
        <f>IF(AQ32="2",BH32,0)</f>
        <v>0</v>
      </c>
      <c r="AG32" s="19">
        <f>IF(AQ32="2",BI32,0)</f>
        <v>0</v>
      </c>
      <c r="AH32" s="19">
        <f>IF(AQ32="0",BJ32,0)</f>
        <v>0</v>
      </c>
      <c r="AI32" s="10" t="s">
        <v>46</v>
      </c>
      <c r="AN32" s="19">
        <v>21</v>
      </c>
      <c r="AO32" s="19">
        <f>G32*0</f>
        <v>0</v>
      </c>
      <c r="AP32" s="19">
        <f>G32*(1-0)</f>
        <v>0</v>
      </c>
      <c r="AQ32" s="20" t="s">
        <v>49</v>
      </c>
      <c r="AV32" s="19">
        <f>AW32+AX32</f>
        <v>0</v>
      </c>
      <c r="AW32" s="19">
        <f>F32*AO32</f>
        <v>0</v>
      </c>
      <c r="AX32" s="19">
        <f>F32*AP32</f>
        <v>0</v>
      </c>
      <c r="AY32" s="20" t="s">
        <v>95</v>
      </c>
      <c r="AZ32" s="20" t="s">
        <v>54</v>
      </c>
      <c r="BA32" s="10" t="s">
        <v>55</v>
      </c>
      <c r="BC32" s="19">
        <f>AW32+AX32</f>
        <v>0</v>
      </c>
      <c r="BD32" s="19">
        <f>G32/(100-BE32)*100</f>
        <v>0</v>
      </c>
      <c r="BE32" s="19">
        <v>0</v>
      </c>
      <c r="BF32" s="19">
        <f>32</f>
        <v>32</v>
      </c>
      <c r="BH32" s="19">
        <f>F32*AO32</f>
        <v>0</v>
      </c>
      <c r="BI32" s="19">
        <f>F32*AP32</f>
        <v>0</v>
      </c>
      <c r="BJ32" s="19">
        <f>F32*G32</f>
        <v>0</v>
      </c>
      <c r="BK32" s="19"/>
      <c r="BL32" s="19">
        <v>16</v>
      </c>
      <c r="BW32" s="19">
        <v>12</v>
      </c>
      <c r="BX32" s="4" t="s">
        <v>99</v>
      </c>
    </row>
    <row r="33" spans="1:76" x14ac:dyDescent="0.25">
      <c r="A33" s="24" t="s">
        <v>46</v>
      </c>
      <c r="B33" s="25" t="s">
        <v>100</v>
      </c>
      <c r="C33" s="77" t="s">
        <v>101</v>
      </c>
      <c r="D33" s="78"/>
      <c r="E33" s="26" t="s">
        <v>31</v>
      </c>
      <c r="F33" s="26" t="s">
        <v>31</v>
      </c>
      <c r="G33" s="26" t="s">
        <v>31</v>
      </c>
      <c r="J33" s="15"/>
      <c r="AI33" s="10" t="s">
        <v>46</v>
      </c>
      <c r="AS33" s="1">
        <f>SUM(AJ34:AJ41)</f>
        <v>0</v>
      </c>
      <c r="AT33" s="1">
        <f>SUM(AK34:AK41)</f>
        <v>0</v>
      </c>
      <c r="AU33" s="1">
        <f>SUM(AL34:AL41)</f>
        <v>0</v>
      </c>
    </row>
    <row r="34" spans="1:76" x14ac:dyDescent="0.25">
      <c r="A34" s="2" t="s">
        <v>47</v>
      </c>
      <c r="B34" s="3" t="s">
        <v>102</v>
      </c>
      <c r="C34" s="63" t="s">
        <v>103</v>
      </c>
      <c r="D34" s="58"/>
      <c r="E34" s="3" t="s">
        <v>70</v>
      </c>
      <c r="F34" s="19">
        <v>38.216639999999998</v>
      </c>
      <c r="G34" s="19">
        <v>0</v>
      </c>
      <c r="J34" s="15"/>
      <c r="Z34" s="19">
        <f>IF(AQ34="5",BJ34,0)</f>
        <v>0</v>
      </c>
      <c r="AB34" s="19">
        <f>IF(AQ34="1",BH34,0)</f>
        <v>0</v>
      </c>
      <c r="AC34" s="19">
        <f>IF(AQ34="1",BI34,0)</f>
        <v>0</v>
      </c>
      <c r="AD34" s="19">
        <f>IF(AQ34="7",BH34,0)</f>
        <v>0</v>
      </c>
      <c r="AE34" s="19">
        <f>IF(AQ34="7",BI34,0)</f>
        <v>0</v>
      </c>
      <c r="AF34" s="19">
        <f>IF(AQ34="2",BH34,0)</f>
        <v>0</v>
      </c>
      <c r="AG34" s="19">
        <f>IF(AQ34="2",BI34,0)</f>
        <v>0</v>
      </c>
      <c r="AH34" s="19">
        <f>IF(AQ34="0",BJ34,0)</f>
        <v>0</v>
      </c>
      <c r="AI34" s="10" t="s">
        <v>46</v>
      </c>
      <c r="AN34" s="19">
        <v>21</v>
      </c>
      <c r="AO34" s="19">
        <f>G34*0.51297567</f>
        <v>0</v>
      </c>
      <c r="AP34" s="19">
        <f>G34*(1-0.51297567)</f>
        <v>0</v>
      </c>
      <c r="AQ34" s="20" t="s">
        <v>49</v>
      </c>
      <c r="AV34" s="19">
        <f>AW34+AX34</f>
        <v>0</v>
      </c>
      <c r="AW34" s="19">
        <f>F34*AO34</f>
        <v>0</v>
      </c>
      <c r="AX34" s="19">
        <f>F34*AP34</f>
        <v>0</v>
      </c>
      <c r="AY34" s="20" t="s">
        <v>104</v>
      </c>
      <c r="AZ34" s="20" t="s">
        <v>54</v>
      </c>
      <c r="BA34" s="10" t="s">
        <v>55</v>
      </c>
      <c r="BC34" s="19">
        <f>AW34+AX34</f>
        <v>0</v>
      </c>
      <c r="BD34" s="19">
        <f>G34/(100-BE34)*100</f>
        <v>0</v>
      </c>
      <c r="BE34" s="19">
        <v>0</v>
      </c>
      <c r="BF34" s="19">
        <f>34</f>
        <v>34</v>
      </c>
      <c r="BH34" s="19">
        <f>F34*AO34</f>
        <v>0</v>
      </c>
      <c r="BI34" s="19">
        <f>F34*AP34</f>
        <v>0</v>
      </c>
      <c r="BJ34" s="19">
        <f>F34*G34</f>
        <v>0</v>
      </c>
      <c r="BK34" s="19"/>
      <c r="BL34" s="19">
        <v>17</v>
      </c>
      <c r="BW34" s="19">
        <v>12</v>
      </c>
      <c r="BX34" s="4" t="s">
        <v>103</v>
      </c>
    </row>
    <row r="35" spans="1:76" ht="13.5" customHeight="1" x14ac:dyDescent="0.25">
      <c r="A35" s="21"/>
      <c r="C35" s="79" t="s">
        <v>105</v>
      </c>
      <c r="D35" s="80"/>
      <c r="E35" s="80"/>
      <c r="F35" s="80"/>
      <c r="G35" s="80"/>
      <c r="H35" s="80"/>
      <c r="I35" s="80"/>
      <c r="J35" s="81"/>
    </row>
    <row r="36" spans="1:76" x14ac:dyDescent="0.25">
      <c r="A36" s="21"/>
      <c r="C36" s="22" t="s">
        <v>106</v>
      </c>
      <c r="D36" s="22" t="s">
        <v>107</v>
      </c>
      <c r="F36" s="23">
        <v>38.216639999999998</v>
      </c>
      <c r="J36" s="15"/>
    </row>
    <row r="37" spans="1:76" x14ac:dyDescent="0.25">
      <c r="A37" s="2" t="s">
        <v>108</v>
      </c>
      <c r="B37" s="3" t="s">
        <v>109</v>
      </c>
      <c r="C37" s="63" t="s">
        <v>110</v>
      </c>
      <c r="D37" s="58"/>
      <c r="E37" s="3" t="s">
        <v>70</v>
      </c>
      <c r="F37" s="19">
        <v>74.447999999999993</v>
      </c>
      <c r="G37" s="19">
        <v>0</v>
      </c>
      <c r="J37" s="15"/>
      <c r="Z37" s="19">
        <f>IF(AQ37="5",BJ37,0)</f>
        <v>0</v>
      </c>
      <c r="AB37" s="19">
        <f>IF(AQ37="1",BH37,0)</f>
        <v>0</v>
      </c>
      <c r="AC37" s="19">
        <f>IF(AQ37="1",BI37,0)</f>
        <v>0</v>
      </c>
      <c r="AD37" s="19">
        <f>IF(AQ37="7",BH37,0)</f>
        <v>0</v>
      </c>
      <c r="AE37" s="19">
        <f>IF(AQ37="7",BI37,0)</f>
        <v>0</v>
      </c>
      <c r="AF37" s="19">
        <f>IF(AQ37="2",BH37,0)</f>
        <v>0</v>
      </c>
      <c r="AG37" s="19">
        <f>IF(AQ37="2",BI37,0)</f>
        <v>0</v>
      </c>
      <c r="AH37" s="19">
        <f>IF(AQ37="0",BJ37,0)</f>
        <v>0</v>
      </c>
      <c r="AI37" s="10" t="s">
        <v>46</v>
      </c>
      <c r="AN37" s="19">
        <v>21</v>
      </c>
      <c r="AO37" s="19">
        <f>G37*0</f>
        <v>0</v>
      </c>
      <c r="AP37" s="19">
        <f>G37*(1-0)</f>
        <v>0</v>
      </c>
      <c r="AQ37" s="20" t="s">
        <v>49</v>
      </c>
      <c r="AV37" s="19">
        <f>AW37+AX37</f>
        <v>0</v>
      </c>
      <c r="AW37" s="19">
        <f>F37*AO37</f>
        <v>0</v>
      </c>
      <c r="AX37" s="19">
        <f>F37*AP37</f>
        <v>0</v>
      </c>
      <c r="AY37" s="20" t="s">
        <v>104</v>
      </c>
      <c r="AZ37" s="20" t="s">
        <v>54</v>
      </c>
      <c r="BA37" s="10" t="s">
        <v>55</v>
      </c>
      <c r="BC37" s="19">
        <f>AW37+AX37</f>
        <v>0</v>
      </c>
      <c r="BD37" s="19">
        <f>G37/(100-BE37)*100</f>
        <v>0</v>
      </c>
      <c r="BE37" s="19">
        <v>0</v>
      </c>
      <c r="BF37" s="19">
        <f>37</f>
        <v>37</v>
      </c>
      <c r="BH37" s="19">
        <f>F37*AO37</f>
        <v>0</v>
      </c>
      <c r="BI37" s="19">
        <f>F37*AP37</f>
        <v>0</v>
      </c>
      <c r="BJ37" s="19">
        <f>F37*G37</f>
        <v>0</v>
      </c>
      <c r="BK37" s="19"/>
      <c r="BL37" s="19">
        <v>17</v>
      </c>
      <c r="BW37" s="19">
        <v>12</v>
      </c>
      <c r="BX37" s="4" t="s">
        <v>110</v>
      </c>
    </row>
    <row r="38" spans="1:76" x14ac:dyDescent="0.25">
      <c r="A38" s="21"/>
      <c r="C38" s="22" t="s">
        <v>111</v>
      </c>
      <c r="D38" s="22" t="s">
        <v>112</v>
      </c>
      <c r="F38" s="23">
        <v>74.447999999999993</v>
      </c>
      <c r="J38" s="15"/>
    </row>
    <row r="39" spans="1:76" x14ac:dyDescent="0.25">
      <c r="A39" s="2" t="s">
        <v>65</v>
      </c>
      <c r="B39" s="3" t="s">
        <v>113</v>
      </c>
      <c r="C39" s="63" t="s">
        <v>114</v>
      </c>
      <c r="D39" s="58"/>
      <c r="E39" s="3" t="s">
        <v>70</v>
      </c>
      <c r="F39" s="19">
        <v>282.79000000000002</v>
      </c>
      <c r="G39" s="19">
        <v>0</v>
      </c>
      <c r="J39" s="15"/>
      <c r="Z39" s="19">
        <f>IF(AQ39="5",BJ39,0)</f>
        <v>0</v>
      </c>
      <c r="AB39" s="19">
        <f>IF(AQ39="1",BH39,0)</f>
        <v>0</v>
      </c>
      <c r="AC39" s="19">
        <f>IF(AQ39="1",BI39,0)</f>
        <v>0</v>
      </c>
      <c r="AD39" s="19">
        <f>IF(AQ39="7",BH39,0)</f>
        <v>0</v>
      </c>
      <c r="AE39" s="19">
        <f>IF(AQ39="7",BI39,0)</f>
        <v>0</v>
      </c>
      <c r="AF39" s="19">
        <f>IF(AQ39="2",BH39,0)</f>
        <v>0</v>
      </c>
      <c r="AG39" s="19">
        <f>IF(AQ39="2",BI39,0)</f>
        <v>0</v>
      </c>
      <c r="AH39" s="19">
        <f>IF(AQ39="0",BJ39,0)</f>
        <v>0</v>
      </c>
      <c r="AI39" s="10" t="s">
        <v>46</v>
      </c>
      <c r="AN39" s="19">
        <v>21</v>
      </c>
      <c r="AO39" s="19">
        <f>G39*0</f>
        <v>0</v>
      </c>
      <c r="AP39" s="19">
        <f>G39*(1-0)</f>
        <v>0</v>
      </c>
      <c r="AQ39" s="20" t="s">
        <v>49</v>
      </c>
      <c r="AV39" s="19">
        <f>AW39+AX39</f>
        <v>0</v>
      </c>
      <c r="AW39" s="19">
        <f>F39*AO39</f>
        <v>0</v>
      </c>
      <c r="AX39" s="19">
        <f>F39*AP39</f>
        <v>0</v>
      </c>
      <c r="AY39" s="20" t="s">
        <v>104</v>
      </c>
      <c r="AZ39" s="20" t="s">
        <v>54</v>
      </c>
      <c r="BA39" s="10" t="s">
        <v>55</v>
      </c>
      <c r="BC39" s="19">
        <f>AW39+AX39</f>
        <v>0</v>
      </c>
      <c r="BD39" s="19">
        <f>G39/(100-BE39)*100</f>
        <v>0</v>
      </c>
      <c r="BE39" s="19">
        <v>0</v>
      </c>
      <c r="BF39" s="19">
        <f>39</f>
        <v>39</v>
      </c>
      <c r="BH39" s="19">
        <f>F39*AO39</f>
        <v>0</v>
      </c>
      <c r="BI39" s="19">
        <f>F39*AP39</f>
        <v>0</v>
      </c>
      <c r="BJ39" s="19">
        <f>F39*G39</f>
        <v>0</v>
      </c>
      <c r="BK39" s="19"/>
      <c r="BL39" s="19">
        <v>17</v>
      </c>
      <c r="BW39" s="19">
        <v>12</v>
      </c>
      <c r="BX39" s="4" t="s">
        <v>114</v>
      </c>
    </row>
    <row r="40" spans="1:76" x14ac:dyDescent="0.25">
      <c r="A40" s="21"/>
      <c r="C40" s="22" t="s">
        <v>115</v>
      </c>
      <c r="D40" s="22" t="s">
        <v>46</v>
      </c>
      <c r="F40" s="23">
        <v>282.79000000000002</v>
      </c>
      <c r="J40" s="15"/>
    </row>
    <row r="41" spans="1:76" x14ac:dyDescent="0.25">
      <c r="A41" s="2" t="s">
        <v>116</v>
      </c>
      <c r="B41" s="3" t="s">
        <v>117</v>
      </c>
      <c r="C41" s="63" t="s">
        <v>118</v>
      </c>
      <c r="D41" s="58"/>
      <c r="E41" s="3" t="s">
        <v>70</v>
      </c>
      <c r="F41" s="19">
        <v>68.864400000000003</v>
      </c>
      <c r="G41" s="19">
        <v>0</v>
      </c>
      <c r="J41" s="15"/>
      <c r="Z41" s="19">
        <f>IF(AQ41="5",BJ41,0)</f>
        <v>0</v>
      </c>
      <c r="AB41" s="19">
        <f>IF(AQ41="1",BH41,0)</f>
        <v>0</v>
      </c>
      <c r="AC41" s="19">
        <f>IF(AQ41="1",BI41,0)</f>
        <v>0</v>
      </c>
      <c r="AD41" s="19">
        <f>IF(AQ41="7",BH41,0)</f>
        <v>0</v>
      </c>
      <c r="AE41" s="19">
        <f>IF(AQ41="7",BI41,0)</f>
        <v>0</v>
      </c>
      <c r="AF41" s="19">
        <f>IF(AQ41="2",BH41,0)</f>
        <v>0</v>
      </c>
      <c r="AG41" s="19">
        <f>IF(AQ41="2",BI41,0)</f>
        <v>0</v>
      </c>
      <c r="AH41" s="19">
        <f>IF(AQ41="0",BJ41,0)</f>
        <v>0</v>
      </c>
      <c r="AI41" s="10" t="s">
        <v>46</v>
      </c>
      <c r="AN41" s="19">
        <v>21</v>
      </c>
      <c r="AO41" s="19">
        <f>G41*0</f>
        <v>0</v>
      </c>
      <c r="AP41" s="19">
        <f>G41*(1-0)</f>
        <v>0</v>
      </c>
      <c r="AQ41" s="20" t="s">
        <v>49</v>
      </c>
      <c r="AV41" s="19">
        <f>AW41+AX41</f>
        <v>0</v>
      </c>
      <c r="AW41" s="19">
        <f>F41*AO41</f>
        <v>0</v>
      </c>
      <c r="AX41" s="19">
        <f>F41*AP41</f>
        <v>0</v>
      </c>
      <c r="AY41" s="20" t="s">
        <v>104</v>
      </c>
      <c r="AZ41" s="20" t="s">
        <v>54</v>
      </c>
      <c r="BA41" s="10" t="s">
        <v>55</v>
      </c>
      <c r="BC41" s="19">
        <f>AW41+AX41</f>
        <v>0</v>
      </c>
      <c r="BD41" s="19">
        <f>G41/(100-BE41)*100</f>
        <v>0</v>
      </c>
      <c r="BE41" s="19">
        <v>0</v>
      </c>
      <c r="BF41" s="19">
        <f>41</f>
        <v>41</v>
      </c>
      <c r="BH41" s="19">
        <f>F41*AO41</f>
        <v>0</v>
      </c>
      <c r="BI41" s="19">
        <f>F41*AP41</f>
        <v>0</v>
      </c>
      <c r="BJ41" s="19">
        <f>F41*G41</f>
        <v>0</v>
      </c>
      <c r="BK41" s="19"/>
      <c r="BL41" s="19">
        <v>17</v>
      </c>
      <c r="BW41" s="19">
        <v>12</v>
      </c>
      <c r="BX41" s="4" t="s">
        <v>118</v>
      </c>
    </row>
    <row r="42" spans="1:76" x14ac:dyDescent="0.25">
      <c r="A42" s="24" t="s">
        <v>46</v>
      </c>
      <c r="B42" s="25" t="s">
        <v>119</v>
      </c>
      <c r="C42" s="77" t="s">
        <v>120</v>
      </c>
      <c r="D42" s="78"/>
      <c r="E42" s="26" t="s">
        <v>31</v>
      </c>
      <c r="F42" s="26" t="s">
        <v>31</v>
      </c>
      <c r="G42" s="26" t="s">
        <v>31</v>
      </c>
      <c r="J42" s="15"/>
      <c r="AI42" s="10" t="s">
        <v>46</v>
      </c>
      <c r="AS42" s="1">
        <f>SUM(AJ43:AJ43)</f>
        <v>0</v>
      </c>
      <c r="AT42" s="1">
        <f>SUM(AK43:AK43)</f>
        <v>0</v>
      </c>
      <c r="AU42" s="1">
        <f>SUM(AL43:AL43)</f>
        <v>0</v>
      </c>
    </row>
    <row r="43" spans="1:76" x14ac:dyDescent="0.25">
      <c r="A43" s="2" t="s">
        <v>121</v>
      </c>
      <c r="B43" s="3" t="s">
        <v>122</v>
      </c>
      <c r="C43" s="63" t="s">
        <v>123</v>
      </c>
      <c r="D43" s="58"/>
      <c r="E43" s="3" t="s">
        <v>124</v>
      </c>
      <c r="F43" s="19">
        <v>20</v>
      </c>
      <c r="G43" s="19">
        <v>0</v>
      </c>
      <c r="J43" s="15"/>
      <c r="Z43" s="19">
        <f>IF(AQ43="5",BJ43,0)</f>
        <v>0</v>
      </c>
      <c r="AB43" s="19">
        <f>IF(AQ43="1",BH43,0)</f>
        <v>0</v>
      </c>
      <c r="AC43" s="19">
        <f>IF(AQ43="1",BI43,0)</f>
        <v>0</v>
      </c>
      <c r="AD43" s="19">
        <f>IF(AQ43="7",BH43,0)</f>
        <v>0</v>
      </c>
      <c r="AE43" s="19">
        <f>IF(AQ43="7",BI43,0)</f>
        <v>0</v>
      </c>
      <c r="AF43" s="19">
        <f>IF(AQ43="2",BH43,0)</f>
        <v>0</v>
      </c>
      <c r="AG43" s="19">
        <f>IF(AQ43="2",BI43,0)</f>
        <v>0</v>
      </c>
      <c r="AH43" s="19">
        <f>IF(AQ43="0",BJ43,0)</f>
        <v>0</v>
      </c>
      <c r="AI43" s="10" t="s">
        <v>46</v>
      </c>
      <c r="AN43" s="19">
        <v>21</v>
      </c>
      <c r="AO43" s="19">
        <f>G43*0</f>
        <v>0</v>
      </c>
      <c r="AP43" s="19">
        <f>G43*(1-0)</f>
        <v>0</v>
      </c>
      <c r="AQ43" s="20" t="s">
        <v>49</v>
      </c>
      <c r="AV43" s="19">
        <f>AW43+AX43</f>
        <v>0</v>
      </c>
      <c r="AW43" s="19">
        <f>F43*AO43</f>
        <v>0</v>
      </c>
      <c r="AX43" s="19">
        <f>F43*AP43</f>
        <v>0</v>
      </c>
      <c r="AY43" s="20" t="s">
        <v>125</v>
      </c>
      <c r="AZ43" s="20" t="s">
        <v>54</v>
      </c>
      <c r="BA43" s="10" t="s">
        <v>55</v>
      </c>
      <c r="BC43" s="19">
        <f>AW43+AX43</f>
        <v>0</v>
      </c>
      <c r="BD43" s="19">
        <f>G43/(100-BE43)*100</f>
        <v>0</v>
      </c>
      <c r="BE43" s="19">
        <v>0</v>
      </c>
      <c r="BF43" s="19">
        <f>43</f>
        <v>43</v>
      </c>
      <c r="BH43" s="19">
        <f>F43*AO43</f>
        <v>0</v>
      </c>
      <c r="BI43" s="19">
        <f>F43*AP43</f>
        <v>0</v>
      </c>
      <c r="BJ43" s="19">
        <f>F43*G43</f>
        <v>0</v>
      </c>
      <c r="BK43" s="19"/>
      <c r="BL43" s="19">
        <v>18</v>
      </c>
      <c r="BW43" s="19">
        <v>12</v>
      </c>
      <c r="BX43" s="4" t="s">
        <v>123</v>
      </c>
    </row>
    <row r="44" spans="1:76" x14ac:dyDescent="0.25">
      <c r="A44" s="24" t="s">
        <v>46</v>
      </c>
      <c r="B44" s="25" t="s">
        <v>126</v>
      </c>
      <c r="C44" s="77" t="s">
        <v>127</v>
      </c>
      <c r="D44" s="78"/>
      <c r="E44" s="26" t="s">
        <v>31</v>
      </c>
      <c r="F44" s="26" t="s">
        <v>31</v>
      </c>
      <c r="G44" s="26" t="s">
        <v>31</v>
      </c>
      <c r="J44" s="15"/>
      <c r="AI44" s="10" t="s">
        <v>46</v>
      </c>
      <c r="AS44" s="1">
        <f>SUM(AJ45:AJ55)</f>
        <v>0</v>
      </c>
      <c r="AT44" s="1">
        <f>SUM(AK45:AK55)</f>
        <v>0</v>
      </c>
      <c r="AU44" s="1">
        <f>SUM(AL45:AL55)</f>
        <v>0</v>
      </c>
    </row>
    <row r="45" spans="1:76" x14ac:dyDescent="0.25">
      <c r="A45" s="2" t="s">
        <v>90</v>
      </c>
      <c r="B45" s="3" t="s">
        <v>128</v>
      </c>
      <c r="C45" s="63" t="s">
        <v>129</v>
      </c>
      <c r="D45" s="58"/>
      <c r="E45" s="3" t="s">
        <v>52</v>
      </c>
      <c r="F45" s="19">
        <v>2.52</v>
      </c>
      <c r="G45" s="19">
        <v>0</v>
      </c>
      <c r="J45" s="15"/>
      <c r="Z45" s="19">
        <f>IF(AQ45="5",BJ45,0)</f>
        <v>0</v>
      </c>
      <c r="AB45" s="19">
        <f>IF(AQ45="1",BH45,0)</f>
        <v>0</v>
      </c>
      <c r="AC45" s="19">
        <f>IF(AQ45="1",BI45,0)</f>
        <v>0</v>
      </c>
      <c r="AD45" s="19">
        <f>IF(AQ45="7",BH45,0)</f>
        <v>0</v>
      </c>
      <c r="AE45" s="19">
        <f>IF(AQ45="7",BI45,0)</f>
        <v>0</v>
      </c>
      <c r="AF45" s="19">
        <f>IF(AQ45="2",BH45,0)</f>
        <v>0</v>
      </c>
      <c r="AG45" s="19">
        <f>IF(AQ45="2",BI45,0)</f>
        <v>0</v>
      </c>
      <c r="AH45" s="19">
        <f>IF(AQ45="0",BJ45,0)</f>
        <v>0</v>
      </c>
      <c r="AI45" s="10" t="s">
        <v>46</v>
      </c>
      <c r="AN45" s="19">
        <v>21</v>
      </c>
      <c r="AO45" s="19">
        <f>G45*0.45375645</f>
        <v>0</v>
      </c>
      <c r="AP45" s="19">
        <f>G45*(1-0.45375645)</f>
        <v>0</v>
      </c>
      <c r="AQ45" s="20" t="s">
        <v>49</v>
      </c>
      <c r="AV45" s="19">
        <f>AW45+AX45</f>
        <v>0</v>
      </c>
      <c r="AW45" s="19">
        <f>F45*AO45</f>
        <v>0</v>
      </c>
      <c r="AX45" s="19">
        <f>F45*AP45</f>
        <v>0</v>
      </c>
      <c r="AY45" s="20" t="s">
        <v>130</v>
      </c>
      <c r="AZ45" s="20" t="s">
        <v>131</v>
      </c>
      <c r="BA45" s="10" t="s">
        <v>55</v>
      </c>
      <c r="BC45" s="19">
        <f>AW45+AX45</f>
        <v>0</v>
      </c>
      <c r="BD45" s="19">
        <f>G45/(100-BE45)*100</f>
        <v>0</v>
      </c>
      <c r="BE45" s="19">
        <v>0</v>
      </c>
      <c r="BF45" s="19">
        <f>45</f>
        <v>45</v>
      </c>
      <c r="BH45" s="19">
        <f>F45*AO45</f>
        <v>0</v>
      </c>
      <c r="BI45" s="19">
        <f>F45*AP45</f>
        <v>0</v>
      </c>
      <c r="BJ45" s="19">
        <f>F45*G45</f>
        <v>0</v>
      </c>
      <c r="BK45" s="19"/>
      <c r="BL45" s="19">
        <v>34</v>
      </c>
      <c r="BW45" s="19">
        <v>12</v>
      </c>
      <c r="BX45" s="4" t="s">
        <v>129</v>
      </c>
    </row>
    <row r="46" spans="1:76" x14ac:dyDescent="0.25">
      <c r="A46" s="21"/>
      <c r="C46" s="22" t="s">
        <v>132</v>
      </c>
      <c r="D46" s="22" t="s">
        <v>46</v>
      </c>
      <c r="F46" s="23">
        <v>2.52</v>
      </c>
      <c r="J46" s="15"/>
    </row>
    <row r="47" spans="1:76" x14ac:dyDescent="0.25">
      <c r="A47" s="2" t="s">
        <v>100</v>
      </c>
      <c r="B47" s="3" t="s">
        <v>133</v>
      </c>
      <c r="C47" s="63" t="s">
        <v>134</v>
      </c>
      <c r="D47" s="58"/>
      <c r="E47" s="3" t="s">
        <v>124</v>
      </c>
      <c r="F47" s="19">
        <v>1</v>
      </c>
      <c r="G47" s="19">
        <v>0</v>
      </c>
      <c r="J47" s="15"/>
      <c r="Z47" s="19">
        <f>IF(AQ47="5",BJ47,0)</f>
        <v>0</v>
      </c>
      <c r="AB47" s="19">
        <f>IF(AQ47="1",BH47,0)</f>
        <v>0</v>
      </c>
      <c r="AC47" s="19">
        <f>IF(AQ47="1",BI47,0)</f>
        <v>0</v>
      </c>
      <c r="AD47" s="19">
        <f>IF(AQ47="7",BH47,0)</f>
        <v>0</v>
      </c>
      <c r="AE47" s="19">
        <f>IF(AQ47="7",BI47,0)</f>
        <v>0</v>
      </c>
      <c r="AF47" s="19">
        <f>IF(AQ47="2",BH47,0)</f>
        <v>0</v>
      </c>
      <c r="AG47" s="19">
        <f>IF(AQ47="2",BI47,0)</f>
        <v>0</v>
      </c>
      <c r="AH47" s="19">
        <f>IF(AQ47="0",BJ47,0)</f>
        <v>0</v>
      </c>
      <c r="AI47" s="10" t="s">
        <v>46</v>
      </c>
      <c r="AN47" s="19">
        <v>21</v>
      </c>
      <c r="AO47" s="19">
        <f>G47*1</f>
        <v>0</v>
      </c>
      <c r="AP47" s="19">
        <f>G47*(1-1)</f>
        <v>0</v>
      </c>
      <c r="AQ47" s="20" t="s">
        <v>49</v>
      </c>
      <c r="AV47" s="19">
        <f>AW47+AX47</f>
        <v>0</v>
      </c>
      <c r="AW47" s="19">
        <f>F47*AO47</f>
        <v>0</v>
      </c>
      <c r="AX47" s="19">
        <f>F47*AP47</f>
        <v>0</v>
      </c>
      <c r="AY47" s="20" t="s">
        <v>130</v>
      </c>
      <c r="AZ47" s="20" t="s">
        <v>131</v>
      </c>
      <c r="BA47" s="10" t="s">
        <v>55</v>
      </c>
      <c r="BC47" s="19">
        <f>AW47+AX47</f>
        <v>0</v>
      </c>
      <c r="BD47" s="19">
        <f>G47/(100-BE47)*100</f>
        <v>0</v>
      </c>
      <c r="BE47" s="19">
        <v>0</v>
      </c>
      <c r="BF47" s="19">
        <f>47</f>
        <v>47</v>
      </c>
      <c r="BH47" s="19">
        <f>F47*AO47</f>
        <v>0</v>
      </c>
      <c r="BI47" s="19">
        <f>F47*AP47</f>
        <v>0</v>
      </c>
      <c r="BJ47" s="19">
        <f>F47*G47</f>
        <v>0</v>
      </c>
      <c r="BK47" s="19"/>
      <c r="BL47" s="19">
        <v>34</v>
      </c>
      <c r="BW47" s="19">
        <v>12</v>
      </c>
      <c r="BX47" s="4" t="s">
        <v>134</v>
      </c>
    </row>
    <row r="48" spans="1:76" x14ac:dyDescent="0.25">
      <c r="A48" s="2" t="s">
        <v>119</v>
      </c>
      <c r="B48" s="3" t="s">
        <v>135</v>
      </c>
      <c r="C48" s="63" t="s">
        <v>136</v>
      </c>
      <c r="D48" s="58"/>
      <c r="E48" s="3" t="s">
        <v>137</v>
      </c>
      <c r="F48" s="19">
        <v>0</v>
      </c>
      <c r="G48" s="19">
        <v>0</v>
      </c>
      <c r="J48" s="15"/>
      <c r="Z48" s="19">
        <f>IF(AQ48="5",BJ48,0)</f>
        <v>0</v>
      </c>
      <c r="AB48" s="19">
        <f>IF(AQ48="1",BH48,0)</f>
        <v>0</v>
      </c>
      <c r="AC48" s="19">
        <f>IF(AQ48="1",BI48,0)</f>
        <v>0</v>
      </c>
      <c r="AD48" s="19">
        <f>IF(AQ48="7",BH48,0)</f>
        <v>0</v>
      </c>
      <c r="AE48" s="19">
        <f>IF(AQ48="7",BI48,0)</f>
        <v>0</v>
      </c>
      <c r="AF48" s="19">
        <f>IF(AQ48="2",BH48,0)</f>
        <v>0</v>
      </c>
      <c r="AG48" s="19">
        <f>IF(AQ48="2",BI48,0)</f>
        <v>0</v>
      </c>
      <c r="AH48" s="19">
        <f>IF(AQ48="0",BJ48,0)</f>
        <v>0</v>
      </c>
      <c r="AI48" s="10" t="s">
        <v>46</v>
      </c>
      <c r="AN48" s="19">
        <v>21</v>
      </c>
      <c r="AO48" s="19">
        <f>G48*0</f>
        <v>0</v>
      </c>
      <c r="AP48" s="19">
        <f>G48*(1-0)</f>
        <v>0</v>
      </c>
      <c r="AQ48" s="20" t="s">
        <v>49</v>
      </c>
      <c r="AV48" s="19">
        <f>AW48+AX48</f>
        <v>0</v>
      </c>
      <c r="AW48" s="19">
        <f>F48*AO48</f>
        <v>0</v>
      </c>
      <c r="AX48" s="19">
        <f>F48*AP48</f>
        <v>0</v>
      </c>
      <c r="AY48" s="20" t="s">
        <v>130</v>
      </c>
      <c r="AZ48" s="20" t="s">
        <v>131</v>
      </c>
      <c r="BA48" s="10" t="s">
        <v>55</v>
      </c>
      <c r="BC48" s="19">
        <f>AW48+AX48</f>
        <v>0</v>
      </c>
      <c r="BD48" s="19">
        <f>G48/(100-BE48)*100</f>
        <v>0</v>
      </c>
      <c r="BE48" s="19">
        <v>0</v>
      </c>
      <c r="BF48" s="19">
        <f>48</f>
        <v>48</v>
      </c>
      <c r="BH48" s="19">
        <f>F48*AO48</f>
        <v>0</v>
      </c>
      <c r="BI48" s="19">
        <f>F48*AP48</f>
        <v>0</v>
      </c>
      <c r="BJ48" s="19">
        <f>F48*G48</f>
        <v>0</v>
      </c>
      <c r="BK48" s="19"/>
      <c r="BL48" s="19">
        <v>34</v>
      </c>
      <c r="BW48" s="19">
        <v>12</v>
      </c>
      <c r="BX48" s="4" t="s">
        <v>136</v>
      </c>
    </row>
    <row r="49" spans="1:76" x14ac:dyDescent="0.25">
      <c r="A49" s="21"/>
      <c r="C49" s="22" t="s">
        <v>46</v>
      </c>
      <c r="D49" s="22" t="s">
        <v>138</v>
      </c>
      <c r="F49" s="23">
        <v>0</v>
      </c>
      <c r="J49" s="15"/>
    </row>
    <row r="50" spans="1:76" x14ac:dyDescent="0.25">
      <c r="A50" s="2" t="s">
        <v>139</v>
      </c>
      <c r="B50" s="3" t="s">
        <v>140</v>
      </c>
      <c r="C50" s="63" t="s">
        <v>485</v>
      </c>
      <c r="D50" s="58"/>
      <c r="E50" s="3" t="s">
        <v>52</v>
      </c>
      <c r="F50" s="19">
        <v>29.16</v>
      </c>
      <c r="G50" s="19">
        <v>0</v>
      </c>
      <c r="J50" s="15"/>
      <c r="Z50" s="19">
        <f>IF(AQ50="5",BJ50,0)</f>
        <v>0</v>
      </c>
      <c r="AB50" s="19">
        <f>IF(AQ50="1",BH50,0)</f>
        <v>0</v>
      </c>
      <c r="AC50" s="19">
        <f>IF(AQ50="1",BI50,0)</f>
        <v>0</v>
      </c>
      <c r="AD50" s="19">
        <f>IF(AQ50="7",BH50,0)</f>
        <v>0</v>
      </c>
      <c r="AE50" s="19">
        <f>IF(AQ50="7",BI50,0)</f>
        <v>0</v>
      </c>
      <c r="AF50" s="19">
        <f>IF(AQ50="2",BH50,0)</f>
        <v>0</v>
      </c>
      <c r="AG50" s="19">
        <f>IF(AQ50="2",BI50,0)</f>
        <v>0</v>
      </c>
      <c r="AH50" s="19">
        <f>IF(AQ50="0",BJ50,0)</f>
        <v>0</v>
      </c>
      <c r="AI50" s="10" t="s">
        <v>46</v>
      </c>
      <c r="AN50" s="19">
        <v>21</v>
      </c>
      <c r="AO50" s="19">
        <f>G50*0.146380952</f>
        <v>0</v>
      </c>
      <c r="AP50" s="19">
        <f>G50*(1-0.146380952)</f>
        <v>0</v>
      </c>
      <c r="AQ50" s="20" t="s">
        <v>49</v>
      </c>
      <c r="AV50" s="19">
        <f>AW50+AX50</f>
        <v>0</v>
      </c>
      <c r="AW50" s="19">
        <f>F50*AO50</f>
        <v>0</v>
      </c>
      <c r="AX50" s="19">
        <f>F50*AP50</f>
        <v>0</v>
      </c>
      <c r="AY50" s="20" t="s">
        <v>130</v>
      </c>
      <c r="AZ50" s="20" t="s">
        <v>131</v>
      </c>
      <c r="BA50" s="10" t="s">
        <v>55</v>
      </c>
      <c r="BC50" s="19">
        <f>AW50+AX50</f>
        <v>0</v>
      </c>
      <c r="BD50" s="19">
        <f>G50/(100-BE50)*100</f>
        <v>0</v>
      </c>
      <c r="BE50" s="19">
        <v>0</v>
      </c>
      <c r="BF50" s="19">
        <f>50</f>
        <v>50</v>
      </c>
      <c r="BH50" s="19">
        <f>F50*AO50</f>
        <v>0</v>
      </c>
      <c r="BI50" s="19">
        <f>F50*AP50</f>
        <v>0</v>
      </c>
      <c r="BJ50" s="19">
        <f>F50*G50</f>
        <v>0</v>
      </c>
      <c r="BK50" s="19"/>
      <c r="BL50" s="19">
        <v>34</v>
      </c>
      <c r="BW50" s="19">
        <v>12</v>
      </c>
      <c r="BX50" s="4" t="s">
        <v>141</v>
      </c>
    </row>
    <row r="51" spans="1:76" ht="13.5" customHeight="1" x14ac:dyDescent="0.25">
      <c r="A51" s="21"/>
      <c r="C51" s="79" t="s">
        <v>142</v>
      </c>
      <c r="D51" s="80"/>
      <c r="E51" s="80"/>
      <c r="F51" s="80"/>
      <c r="G51" s="80"/>
      <c r="H51" s="80"/>
      <c r="I51" s="80"/>
      <c r="J51" s="81"/>
    </row>
    <row r="52" spans="1:76" x14ac:dyDescent="0.25">
      <c r="A52" s="21"/>
      <c r="C52" s="22" t="s">
        <v>143</v>
      </c>
      <c r="D52" s="22" t="s">
        <v>144</v>
      </c>
      <c r="F52" s="23">
        <v>29.16</v>
      </c>
      <c r="J52" s="15"/>
    </row>
    <row r="53" spans="1:76" x14ac:dyDescent="0.25">
      <c r="A53" s="2" t="s">
        <v>145</v>
      </c>
      <c r="B53" s="3" t="s">
        <v>146</v>
      </c>
      <c r="C53" s="63" t="s">
        <v>147</v>
      </c>
      <c r="D53" s="58"/>
      <c r="E53" s="3" t="s">
        <v>52</v>
      </c>
      <c r="F53" s="19">
        <v>1</v>
      </c>
      <c r="G53" s="19">
        <v>0</v>
      </c>
      <c r="J53" s="15"/>
      <c r="Z53" s="19">
        <f>IF(AQ53="5",BJ53,0)</f>
        <v>0</v>
      </c>
      <c r="AB53" s="19">
        <f>IF(AQ53="1",BH53,0)</f>
        <v>0</v>
      </c>
      <c r="AC53" s="19">
        <f>IF(AQ53="1",BI53,0)</f>
        <v>0</v>
      </c>
      <c r="AD53" s="19">
        <f>IF(AQ53="7",BH53,0)</f>
        <v>0</v>
      </c>
      <c r="AE53" s="19">
        <f>IF(AQ53="7",BI53,0)</f>
        <v>0</v>
      </c>
      <c r="AF53" s="19">
        <f>IF(AQ53="2",BH53,0)</f>
        <v>0</v>
      </c>
      <c r="AG53" s="19">
        <f>IF(AQ53="2",BI53,0)</f>
        <v>0</v>
      </c>
      <c r="AH53" s="19">
        <f>IF(AQ53="0",BJ53,0)</f>
        <v>0</v>
      </c>
      <c r="AI53" s="10" t="s">
        <v>46</v>
      </c>
      <c r="AN53" s="19">
        <v>21</v>
      </c>
      <c r="AO53" s="19">
        <f>G53*0.534378598</f>
        <v>0</v>
      </c>
      <c r="AP53" s="19">
        <f>G53*(1-0.534378598)</f>
        <v>0</v>
      </c>
      <c r="AQ53" s="20" t="s">
        <v>49</v>
      </c>
      <c r="AV53" s="19">
        <f>AW53+AX53</f>
        <v>0</v>
      </c>
      <c r="AW53" s="19">
        <f>F53*AO53</f>
        <v>0</v>
      </c>
      <c r="AX53" s="19">
        <f>F53*AP53</f>
        <v>0</v>
      </c>
      <c r="AY53" s="20" t="s">
        <v>130</v>
      </c>
      <c r="AZ53" s="20" t="s">
        <v>131</v>
      </c>
      <c r="BA53" s="10" t="s">
        <v>55</v>
      </c>
      <c r="BC53" s="19">
        <f>AW53+AX53</f>
        <v>0</v>
      </c>
      <c r="BD53" s="19">
        <f>G53/(100-BE53)*100</f>
        <v>0</v>
      </c>
      <c r="BE53" s="19">
        <v>0</v>
      </c>
      <c r="BF53" s="19">
        <f>53</f>
        <v>53</v>
      </c>
      <c r="BH53" s="19">
        <f>F53*AO53</f>
        <v>0</v>
      </c>
      <c r="BI53" s="19">
        <f>F53*AP53</f>
        <v>0</v>
      </c>
      <c r="BJ53" s="19">
        <f>F53*G53</f>
        <v>0</v>
      </c>
      <c r="BK53" s="19"/>
      <c r="BL53" s="19">
        <v>34</v>
      </c>
      <c r="BW53" s="19">
        <v>12</v>
      </c>
      <c r="BX53" s="4" t="s">
        <v>147</v>
      </c>
    </row>
    <row r="54" spans="1:76" ht="13.5" customHeight="1" x14ac:dyDescent="0.25">
      <c r="A54" s="21"/>
      <c r="C54" s="79" t="s">
        <v>148</v>
      </c>
      <c r="D54" s="80"/>
      <c r="E54" s="80"/>
      <c r="F54" s="80"/>
      <c r="G54" s="80"/>
      <c r="H54" s="80"/>
      <c r="I54" s="80"/>
      <c r="J54" s="81"/>
    </row>
    <row r="55" spans="1:76" x14ac:dyDescent="0.25">
      <c r="A55" s="2" t="s">
        <v>149</v>
      </c>
      <c r="B55" s="3" t="s">
        <v>150</v>
      </c>
      <c r="C55" s="63" t="s">
        <v>151</v>
      </c>
      <c r="D55" s="58"/>
      <c r="E55" s="3" t="s">
        <v>137</v>
      </c>
      <c r="F55" s="19">
        <v>4.9919999999999999E-2</v>
      </c>
      <c r="G55" s="19">
        <v>0</v>
      </c>
      <c r="J55" s="15"/>
      <c r="Z55" s="19">
        <f>IF(AQ55="5",BJ55,0)</f>
        <v>0</v>
      </c>
      <c r="AB55" s="19">
        <f>IF(AQ55="1",BH55,0)</f>
        <v>0</v>
      </c>
      <c r="AC55" s="19">
        <f>IF(AQ55="1",BI55,0)</f>
        <v>0</v>
      </c>
      <c r="AD55" s="19">
        <f>IF(AQ55="7",BH55,0)</f>
        <v>0</v>
      </c>
      <c r="AE55" s="19">
        <f>IF(AQ55="7",BI55,0)</f>
        <v>0</v>
      </c>
      <c r="AF55" s="19">
        <f>IF(AQ55="2",BH55,0)</f>
        <v>0</v>
      </c>
      <c r="AG55" s="19">
        <f>IF(AQ55="2",BI55,0)</f>
        <v>0</v>
      </c>
      <c r="AH55" s="19">
        <f>IF(AQ55="0",BJ55,0)</f>
        <v>0</v>
      </c>
      <c r="AI55" s="10" t="s">
        <v>46</v>
      </c>
      <c r="AN55" s="19">
        <v>21</v>
      </c>
      <c r="AO55" s="19">
        <f>G55*1</f>
        <v>0</v>
      </c>
      <c r="AP55" s="19">
        <f>G55*(1-1)</f>
        <v>0</v>
      </c>
      <c r="AQ55" s="20" t="s">
        <v>49</v>
      </c>
      <c r="AV55" s="19">
        <f>AW55+AX55</f>
        <v>0</v>
      </c>
      <c r="AW55" s="19">
        <f>F55*AO55</f>
        <v>0</v>
      </c>
      <c r="AX55" s="19">
        <f>F55*AP55</f>
        <v>0</v>
      </c>
      <c r="AY55" s="20" t="s">
        <v>130</v>
      </c>
      <c r="AZ55" s="20" t="s">
        <v>131</v>
      </c>
      <c r="BA55" s="10" t="s">
        <v>55</v>
      </c>
      <c r="BC55" s="19">
        <f>AW55+AX55</f>
        <v>0</v>
      </c>
      <c r="BD55" s="19">
        <f>G55/(100-BE55)*100</f>
        <v>0</v>
      </c>
      <c r="BE55" s="19">
        <v>0</v>
      </c>
      <c r="BF55" s="19">
        <f>55</f>
        <v>55</v>
      </c>
      <c r="BH55" s="19">
        <f>F55*AO55</f>
        <v>0</v>
      </c>
      <c r="BI55" s="19">
        <f>F55*AP55</f>
        <v>0</v>
      </c>
      <c r="BJ55" s="19">
        <f>F55*G55</f>
        <v>0</v>
      </c>
      <c r="BK55" s="19"/>
      <c r="BL55" s="19">
        <v>34</v>
      </c>
      <c r="BW55" s="19">
        <v>12</v>
      </c>
      <c r="BX55" s="4" t="s">
        <v>151</v>
      </c>
    </row>
    <row r="56" spans="1:76" x14ac:dyDescent="0.25">
      <c r="A56" s="21"/>
      <c r="C56" s="22" t="s">
        <v>152</v>
      </c>
      <c r="D56" s="22" t="s">
        <v>46</v>
      </c>
      <c r="F56" s="23">
        <v>4.7539999999999999E-2</v>
      </c>
      <c r="J56" s="15"/>
    </row>
    <row r="57" spans="1:76" x14ac:dyDescent="0.25">
      <c r="A57" s="21"/>
      <c r="C57" s="22" t="s">
        <v>153</v>
      </c>
      <c r="D57" s="22" t="s">
        <v>46</v>
      </c>
      <c r="F57" s="23">
        <v>2.3800000000000002E-3</v>
      </c>
      <c r="J57" s="15"/>
    </row>
    <row r="58" spans="1:76" x14ac:dyDescent="0.25">
      <c r="A58" s="24" t="s">
        <v>46</v>
      </c>
      <c r="B58" s="25" t="s">
        <v>154</v>
      </c>
      <c r="C58" s="77" t="s">
        <v>155</v>
      </c>
      <c r="D58" s="78"/>
      <c r="E58" s="26" t="s">
        <v>31</v>
      </c>
      <c r="F58" s="26" t="s">
        <v>31</v>
      </c>
      <c r="G58" s="26" t="s">
        <v>31</v>
      </c>
      <c r="J58" s="15"/>
      <c r="AI58" s="10" t="s">
        <v>46</v>
      </c>
      <c r="AS58" s="1">
        <f>SUM(AJ59:AJ69)</f>
        <v>0</v>
      </c>
      <c r="AT58" s="1">
        <f>SUM(AK59:AK69)</f>
        <v>0</v>
      </c>
      <c r="AU58" s="1">
        <f>SUM(AL59:AL69)</f>
        <v>0</v>
      </c>
    </row>
    <row r="59" spans="1:76" x14ac:dyDescent="0.25">
      <c r="A59" s="2" t="s">
        <v>156</v>
      </c>
      <c r="B59" s="3" t="s">
        <v>157</v>
      </c>
      <c r="C59" s="63" t="s">
        <v>158</v>
      </c>
      <c r="D59" s="58"/>
      <c r="E59" s="3" t="s">
        <v>52</v>
      </c>
      <c r="F59" s="19">
        <v>330.88</v>
      </c>
      <c r="G59" s="19">
        <v>0</v>
      </c>
      <c r="J59" s="15"/>
      <c r="Z59" s="19">
        <f>IF(AQ59="5",BJ59,0)</f>
        <v>0</v>
      </c>
      <c r="AB59" s="19">
        <f>IF(AQ59="1",BH59,0)</f>
        <v>0</v>
      </c>
      <c r="AC59" s="19">
        <f>IF(AQ59="1",BI59,0)</f>
        <v>0</v>
      </c>
      <c r="AD59" s="19">
        <f>IF(AQ59="7",BH59,0)</f>
        <v>0</v>
      </c>
      <c r="AE59" s="19">
        <f>IF(AQ59="7",BI59,0)</f>
        <v>0</v>
      </c>
      <c r="AF59" s="19">
        <f>IF(AQ59="2",BH59,0)</f>
        <v>0</v>
      </c>
      <c r="AG59" s="19">
        <f>IF(AQ59="2",BI59,0)</f>
        <v>0</v>
      </c>
      <c r="AH59" s="19">
        <f>IF(AQ59="0",BJ59,0)</f>
        <v>0</v>
      </c>
      <c r="AI59" s="10" t="s">
        <v>46</v>
      </c>
      <c r="AN59" s="19">
        <v>21</v>
      </c>
      <c r="AO59" s="19">
        <f>G59*0.592807971</f>
        <v>0</v>
      </c>
      <c r="AP59" s="19">
        <f>G59*(1-0.592807971)</f>
        <v>0</v>
      </c>
      <c r="AQ59" s="20" t="s">
        <v>49</v>
      </c>
      <c r="AV59" s="19">
        <f>AW59+AX59</f>
        <v>0</v>
      </c>
      <c r="AW59" s="19">
        <f>F59*AO59</f>
        <v>0</v>
      </c>
      <c r="AX59" s="19">
        <f>F59*AP59</f>
        <v>0</v>
      </c>
      <c r="AY59" s="20" t="s">
        <v>159</v>
      </c>
      <c r="AZ59" s="20" t="s">
        <v>160</v>
      </c>
      <c r="BA59" s="10" t="s">
        <v>55</v>
      </c>
      <c r="BC59" s="19">
        <f>AW59+AX59</f>
        <v>0</v>
      </c>
      <c r="BD59" s="19">
        <f>G59/(100-BE59)*100</f>
        <v>0</v>
      </c>
      <c r="BE59" s="19">
        <v>0</v>
      </c>
      <c r="BF59" s="19">
        <f>59</f>
        <v>59</v>
      </c>
      <c r="BH59" s="19">
        <f>F59*AO59</f>
        <v>0</v>
      </c>
      <c r="BI59" s="19">
        <f>F59*AP59</f>
        <v>0</v>
      </c>
      <c r="BJ59" s="19">
        <f>F59*G59</f>
        <v>0</v>
      </c>
      <c r="BK59" s="19"/>
      <c r="BL59" s="19">
        <v>46</v>
      </c>
      <c r="BW59" s="19">
        <v>12</v>
      </c>
      <c r="BX59" s="4" t="s">
        <v>158</v>
      </c>
    </row>
    <row r="60" spans="1:76" x14ac:dyDescent="0.25">
      <c r="A60" s="21"/>
      <c r="C60" s="22" t="s">
        <v>161</v>
      </c>
      <c r="D60" s="22" t="s">
        <v>46</v>
      </c>
      <c r="F60" s="23">
        <v>330.88</v>
      </c>
      <c r="J60" s="15"/>
    </row>
    <row r="61" spans="1:76" x14ac:dyDescent="0.25">
      <c r="A61" s="2" t="s">
        <v>162</v>
      </c>
      <c r="B61" s="3" t="s">
        <v>163</v>
      </c>
      <c r="C61" s="63" t="s">
        <v>164</v>
      </c>
      <c r="D61" s="58"/>
      <c r="E61" s="3" t="s">
        <v>137</v>
      </c>
      <c r="F61" s="19">
        <v>15</v>
      </c>
      <c r="G61" s="19">
        <v>0</v>
      </c>
      <c r="J61" s="15"/>
      <c r="Z61" s="19">
        <f>IF(AQ61="5",BJ61,0)</f>
        <v>0</v>
      </c>
      <c r="AB61" s="19">
        <f>IF(AQ61="1",BH61,0)</f>
        <v>0</v>
      </c>
      <c r="AC61" s="19">
        <f>IF(AQ61="1",BI61,0)</f>
        <v>0</v>
      </c>
      <c r="AD61" s="19">
        <f>IF(AQ61="7",BH61,0)</f>
        <v>0</v>
      </c>
      <c r="AE61" s="19">
        <f>IF(AQ61="7",BI61,0)</f>
        <v>0</v>
      </c>
      <c r="AF61" s="19">
        <f>IF(AQ61="2",BH61,0)</f>
        <v>0</v>
      </c>
      <c r="AG61" s="19">
        <f>IF(AQ61="2",BI61,0)</f>
        <v>0</v>
      </c>
      <c r="AH61" s="19">
        <f>IF(AQ61="0",BJ61,0)</f>
        <v>0</v>
      </c>
      <c r="AI61" s="10" t="s">
        <v>46</v>
      </c>
      <c r="AN61" s="19">
        <v>21</v>
      </c>
      <c r="AO61" s="19">
        <f>G61*1</f>
        <v>0</v>
      </c>
      <c r="AP61" s="19">
        <f>G61*(1-1)</f>
        <v>0</v>
      </c>
      <c r="AQ61" s="20" t="s">
        <v>49</v>
      </c>
      <c r="AV61" s="19">
        <f>AW61+AX61</f>
        <v>0</v>
      </c>
      <c r="AW61" s="19">
        <f>F61*AO61</f>
        <v>0</v>
      </c>
      <c r="AX61" s="19">
        <f>F61*AP61</f>
        <v>0</v>
      </c>
      <c r="AY61" s="20" t="s">
        <v>159</v>
      </c>
      <c r="AZ61" s="20" t="s">
        <v>160</v>
      </c>
      <c r="BA61" s="10" t="s">
        <v>55</v>
      </c>
      <c r="BC61" s="19">
        <f>AW61+AX61</f>
        <v>0</v>
      </c>
      <c r="BD61" s="19">
        <f>G61/(100-BE61)*100</f>
        <v>0</v>
      </c>
      <c r="BE61" s="19">
        <v>0</v>
      </c>
      <c r="BF61" s="19">
        <f>61</f>
        <v>61</v>
      </c>
      <c r="BH61" s="19">
        <f>F61*AO61</f>
        <v>0</v>
      </c>
      <c r="BI61" s="19">
        <f>F61*AP61</f>
        <v>0</v>
      </c>
      <c r="BJ61" s="19">
        <f>F61*G61</f>
        <v>0</v>
      </c>
      <c r="BK61" s="19"/>
      <c r="BL61" s="19">
        <v>46</v>
      </c>
      <c r="BW61" s="19">
        <v>12</v>
      </c>
      <c r="BX61" s="4" t="s">
        <v>164</v>
      </c>
    </row>
    <row r="62" spans="1:76" x14ac:dyDescent="0.25">
      <c r="A62" s="21"/>
      <c r="C62" s="22" t="s">
        <v>46</v>
      </c>
      <c r="D62" s="22" t="s">
        <v>165</v>
      </c>
      <c r="F62" s="23">
        <v>0</v>
      </c>
      <c r="J62" s="15"/>
    </row>
    <row r="63" spans="1:76" x14ac:dyDescent="0.25">
      <c r="A63" s="2" t="s">
        <v>166</v>
      </c>
      <c r="B63" s="3" t="s">
        <v>167</v>
      </c>
      <c r="C63" s="63" t="s">
        <v>168</v>
      </c>
      <c r="D63" s="58"/>
      <c r="E63" s="3" t="s">
        <v>52</v>
      </c>
      <c r="F63" s="19">
        <v>330.88</v>
      </c>
      <c r="G63" s="19">
        <v>0</v>
      </c>
      <c r="J63" s="15"/>
      <c r="Z63" s="19">
        <f>IF(AQ63="5",BJ63,0)</f>
        <v>0</v>
      </c>
      <c r="AB63" s="19">
        <f>IF(AQ63="1",BH63,0)</f>
        <v>0</v>
      </c>
      <c r="AC63" s="19">
        <f>IF(AQ63="1",BI63,0)</f>
        <v>0</v>
      </c>
      <c r="AD63" s="19">
        <f>IF(AQ63="7",BH63,0)</f>
        <v>0</v>
      </c>
      <c r="AE63" s="19">
        <f>IF(AQ63="7",BI63,0)</f>
        <v>0</v>
      </c>
      <c r="AF63" s="19">
        <f>IF(AQ63="2",BH63,0)</f>
        <v>0</v>
      </c>
      <c r="AG63" s="19">
        <f>IF(AQ63="2",BI63,0)</f>
        <v>0</v>
      </c>
      <c r="AH63" s="19">
        <f>IF(AQ63="0",BJ63,0)</f>
        <v>0</v>
      </c>
      <c r="AI63" s="10" t="s">
        <v>46</v>
      </c>
      <c r="AN63" s="19">
        <v>21</v>
      </c>
      <c r="AO63" s="19">
        <f>G63*0.57812024</f>
        <v>0</v>
      </c>
      <c r="AP63" s="19">
        <f>G63*(1-0.57812024)</f>
        <v>0</v>
      </c>
      <c r="AQ63" s="20" t="s">
        <v>49</v>
      </c>
      <c r="AV63" s="19">
        <f>AW63+AX63</f>
        <v>0</v>
      </c>
      <c r="AW63" s="19">
        <f>F63*AO63</f>
        <v>0</v>
      </c>
      <c r="AX63" s="19">
        <f>F63*AP63</f>
        <v>0</v>
      </c>
      <c r="AY63" s="20" t="s">
        <v>159</v>
      </c>
      <c r="AZ63" s="20" t="s">
        <v>160</v>
      </c>
      <c r="BA63" s="10" t="s">
        <v>55</v>
      </c>
      <c r="BC63" s="19">
        <f>AW63+AX63</f>
        <v>0</v>
      </c>
      <c r="BD63" s="19">
        <f>G63/(100-BE63)*100</f>
        <v>0</v>
      </c>
      <c r="BE63" s="19">
        <v>0</v>
      </c>
      <c r="BF63" s="19">
        <f>63</f>
        <v>63</v>
      </c>
      <c r="BH63" s="19">
        <f>F63*AO63</f>
        <v>0</v>
      </c>
      <c r="BI63" s="19">
        <f>F63*AP63</f>
        <v>0</v>
      </c>
      <c r="BJ63" s="19">
        <f>F63*G63</f>
        <v>0</v>
      </c>
      <c r="BK63" s="19"/>
      <c r="BL63" s="19">
        <v>46</v>
      </c>
      <c r="BW63" s="19">
        <v>12</v>
      </c>
      <c r="BX63" s="4" t="s">
        <v>168</v>
      </c>
    </row>
    <row r="64" spans="1:76" x14ac:dyDescent="0.25">
      <c r="A64" s="21"/>
      <c r="C64" s="22" t="s">
        <v>161</v>
      </c>
      <c r="D64" s="22" t="s">
        <v>46</v>
      </c>
      <c r="F64" s="23">
        <v>330.88</v>
      </c>
      <c r="J64" s="15"/>
    </row>
    <row r="65" spans="1:76" x14ac:dyDescent="0.25">
      <c r="A65" s="2" t="s">
        <v>169</v>
      </c>
      <c r="B65" s="3" t="s">
        <v>170</v>
      </c>
      <c r="C65" s="63" t="s">
        <v>171</v>
      </c>
      <c r="D65" s="58"/>
      <c r="E65" s="3" t="s">
        <v>52</v>
      </c>
      <c r="F65" s="19">
        <v>30</v>
      </c>
      <c r="G65" s="19">
        <v>0</v>
      </c>
      <c r="J65" s="15"/>
      <c r="Z65" s="19">
        <f>IF(AQ65="5",BJ65,0)</f>
        <v>0</v>
      </c>
      <c r="AB65" s="19">
        <f>IF(AQ65="1",BH65,0)</f>
        <v>0</v>
      </c>
      <c r="AC65" s="19">
        <f>IF(AQ65="1",BI65,0)</f>
        <v>0</v>
      </c>
      <c r="AD65" s="19">
        <f>IF(AQ65="7",BH65,0)</f>
        <v>0</v>
      </c>
      <c r="AE65" s="19">
        <f>IF(AQ65="7",BI65,0)</f>
        <v>0</v>
      </c>
      <c r="AF65" s="19">
        <f>IF(AQ65="2",BH65,0)</f>
        <v>0</v>
      </c>
      <c r="AG65" s="19">
        <f>IF(AQ65="2",BI65,0)</f>
        <v>0</v>
      </c>
      <c r="AH65" s="19">
        <f>IF(AQ65="0",BJ65,0)</f>
        <v>0</v>
      </c>
      <c r="AI65" s="10" t="s">
        <v>46</v>
      </c>
      <c r="AN65" s="19">
        <v>21</v>
      </c>
      <c r="AO65" s="19">
        <f>G65*0.184436379</f>
        <v>0</v>
      </c>
      <c r="AP65" s="19">
        <f>G65*(1-0.184436379)</f>
        <v>0</v>
      </c>
      <c r="AQ65" s="20" t="s">
        <v>49</v>
      </c>
      <c r="AV65" s="19">
        <f>AW65+AX65</f>
        <v>0</v>
      </c>
      <c r="AW65" s="19">
        <f>F65*AO65</f>
        <v>0</v>
      </c>
      <c r="AX65" s="19">
        <f>F65*AP65</f>
        <v>0</v>
      </c>
      <c r="AY65" s="20" t="s">
        <v>159</v>
      </c>
      <c r="AZ65" s="20" t="s">
        <v>160</v>
      </c>
      <c r="BA65" s="10" t="s">
        <v>55</v>
      </c>
      <c r="BC65" s="19">
        <f>AW65+AX65</f>
        <v>0</v>
      </c>
      <c r="BD65" s="19">
        <f>G65/(100-BE65)*100</f>
        <v>0</v>
      </c>
      <c r="BE65" s="19">
        <v>0</v>
      </c>
      <c r="BF65" s="19">
        <f>65</f>
        <v>65</v>
      </c>
      <c r="BH65" s="19">
        <f>F65*AO65</f>
        <v>0</v>
      </c>
      <c r="BI65" s="19">
        <f>F65*AP65</f>
        <v>0</v>
      </c>
      <c r="BJ65" s="19">
        <f>F65*G65</f>
        <v>0</v>
      </c>
      <c r="BK65" s="19"/>
      <c r="BL65" s="19">
        <v>46</v>
      </c>
      <c r="BW65" s="19">
        <v>12</v>
      </c>
      <c r="BX65" s="4" t="s">
        <v>171</v>
      </c>
    </row>
    <row r="66" spans="1:76" x14ac:dyDescent="0.25">
      <c r="A66" s="21"/>
      <c r="C66" s="22" t="s">
        <v>172</v>
      </c>
      <c r="D66" s="22" t="s">
        <v>46</v>
      </c>
      <c r="F66" s="23">
        <v>30</v>
      </c>
      <c r="J66" s="15"/>
    </row>
    <row r="67" spans="1:76" x14ac:dyDescent="0.25">
      <c r="A67" s="2" t="s">
        <v>173</v>
      </c>
      <c r="B67" s="3" t="s">
        <v>174</v>
      </c>
      <c r="C67" s="63" t="s">
        <v>175</v>
      </c>
      <c r="D67" s="58"/>
      <c r="E67" s="3" t="s">
        <v>52</v>
      </c>
      <c r="F67" s="19">
        <v>30</v>
      </c>
      <c r="G67" s="19">
        <v>0</v>
      </c>
      <c r="J67" s="15"/>
      <c r="Z67" s="19">
        <f>IF(AQ67="5",BJ67,0)</f>
        <v>0</v>
      </c>
      <c r="AB67" s="19">
        <f>IF(AQ67="1",BH67,0)</f>
        <v>0</v>
      </c>
      <c r="AC67" s="19">
        <f>IF(AQ67="1",BI67,0)</f>
        <v>0</v>
      </c>
      <c r="AD67" s="19">
        <f>IF(AQ67="7",BH67,0)</f>
        <v>0</v>
      </c>
      <c r="AE67" s="19">
        <f>IF(AQ67="7",BI67,0)</f>
        <v>0</v>
      </c>
      <c r="AF67" s="19">
        <f>IF(AQ67="2",BH67,0)</f>
        <v>0</v>
      </c>
      <c r="AG67" s="19">
        <f>IF(AQ67="2",BI67,0)</f>
        <v>0</v>
      </c>
      <c r="AH67" s="19">
        <f>IF(AQ67="0",BJ67,0)</f>
        <v>0</v>
      </c>
      <c r="AI67" s="10" t="s">
        <v>46</v>
      </c>
      <c r="AN67" s="19">
        <v>21</v>
      </c>
      <c r="AO67" s="19">
        <f>G67*0</f>
        <v>0</v>
      </c>
      <c r="AP67" s="19">
        <f>G67*(1-0)</f>
        <v>0</v>
      </c>
      <c r="AQ67" s="20" t="s">
        <v>49</v>
      </c>
      <c r="AV67" s="19">
        <f>AW67+AX67</f>
        <v>0</v>
      </c>
      <c r="AW67" s="19">
        <f>F67*AO67</f>
        <v>0</v>
      </c>
      <c r="AX67" s="19">
        <f>F67*AP67</f>
        <v>0</v>
      </c>
      <c r="AY67" s="20" t="s">
        <v>159</v>
      </c>
      <c r="AZ67" s="20" t="s">
        <v>160</v>
      </c>
      <c r="BA67" s="10" t="s">
        <v>55</v>
      </c>
      <c r="BC67" s="19">
        <f>AW67+AX67</f>
        <v>0</v>
      </c>
      <c r="BD67" s="19">
        <f>G67/(100-BE67)*100</f>
        <v>0</v>
      </c>
      <c r="BE67" s="19">
        <v>0</v>
      </c>
      <c r="BF67" s="19">
        <f>67</f>
        <v>67</v>
      </c>
      <c r="BH67" s="19">
        <f>F67*AO67</f>
        <v>0</v>
      </c>
      <c r="BI67" s="19">
        <f>F67*AP67</f>
        <v>0</v>
      </c>
      <c r="BJ67" s="19">
        <f>F67*G67</f>
        <v>0</v>
      </c>
      <c r="BK67" s="19"/>
      <c r="BL67" s="19">
        <v>46</v>
      </c>
      <c r="BW67" s="19">
        <v>12</v>
      </c>
      <c r="BX67" s="4" t="s">
        <v>175</v>
      </c>
    </row>
    <row r="68" spans="1:76" x14ac:dyDescent="0.25">
      <c r="A68" s="21"/>
      <c r="C68" s="22" t="s">
        <v>172</v>
      </c>
      <c r="D68" s="22" t="s">
        <v>46</v>
      </c>
      <c r="F68" s="23">
        <v>30</v>
      </c>
      <c r="J68" s="15"/>
    </row>
    <row r="69" spans="1:76" x14ac:dyDescent="0.25">
      <c r="A69" s="2" t="s">
        <v>176</v>
      </c>
      <c r="B69" s="3" t="s">
        <v>177</v>
      </c>
      <c r="C69" s="63" t="s">
        <v>178</v>
      </c>
      <c r="D69" s="58"/>
      <c r="E69" s="3" t="s">
        <v>52</v>
      </c>
      <c r="F69" s="19">
        <v>30</v>
      </c>
      <c r="G69" s="19">
        <v>0</v>
      </c>
      <c r="J69" s="15"/>
      <c r="Z69" s="19">
        <f>IF(AQ69="5",BJ69,0)</f>
        <v>0</v>
      </c>
      <c r="AB69" s="19">
        <f>IF(AQ69="1",BH69,0)</f>
        <v>0</v>
      </c>
      <c r="AC69" s="19">
        <f>IF(AQ69="1",BI69,0)</f>
        <v>0</v>
      </c>
      <c r="AD69" s="19">
        <f>IF(AQ69="7",BH69,0)</f>
        <v>0</v>
      </c>
      <c r="AE69" s="19">
        <f>IF(AQ69="7",BI69,0)</f>
        <v>0</v>
      </c>
      <c r="AF69" s="19">
        <f>IF(AQ69="2",BH69,0)</f>
        <v>0</v>
      </c>
      <c r="AG69" s="19">
        <f>IF(AQ69="2",BI69,0)</f>
        <v>0</v>
      </c>
      <c r="AH69" s="19">
        <f>IF(AQ69="0",BJ69,0)</f>
        <v>0</v>
      </c>
      <c r="AI69" s="10" t="s">
        <v>46</v>
      </c>
      <c r="AN69" s="19">
        <v>21</v>
      </c>
      <c r="AO69" s="19">
        <f>G69*0.448771419</f>
        <v>0</v>
      </c>
      <c r="AP69" s="19">
        <f>G69*(1-0.448771419)</f>
        <v>0</v>
      </c>
      <c r="AQ69" s="20" t="s">
        <v>49</v>
      </c>
      <c r="AV69" s="19">
        <f>AW69+AX69</f>
        <v>0</v>
      </c>
      <c r="AW69" s="19">
        <f>F69*AO69</f>
        <v>0</v>
      </c>
      <c r="AX69" s="19">
        <f>F69*AP69</f>
        <v>0</v>
      </c>
      <c r="AY69" s="20" t="s">
        <v>159</v>
      </c>
      <c r="AZ69" s="20" t="s">
        <v>160</v>
      </c>
      <c r="BA69" s="10" t="s">
        <v>55</v>
      </c>
      <c r="BC69" s="19">
        <f>AW69+AX69</f>
        <v>0</v>
      </c>
      <c r="BD69" s="19">
        <f>G69/(100-BE69)*100</f>
        <v>0</v>
      </c>
      <c r="BE69" s="19">
        <v>0</v>
      </c>
      <c r="BF69" s="19">
        <f>69</f>
        <v>69</v>
      </c>
      <c r="BH69" s="19">
        <f>F69*AO69</f>
        <v>0</v>
      </c>
      <c r="BI69" s="19">
        <f>F69*AP69</f>
        <v>0</v>
      </c>
      <c r="BJ69" s="19">
        <f>F69*G69</f>
        <v>0</v>
      </c>
      <c r="BK69" s="19"/>
      <c r="BL69" s="19">
        <v>46</v>
      </c>
      <c r="BW69" s="19">
        <v>12</v>
      </c>
      <c r="BX69" s="4" t="s">
        <v>178</v>
      </c>
    </row>
    <row r="70" spans="1:76" x14ac:dyDescent="0.25">
      <c r="A70" s="21"/>
      <c r="C70" s="22" t="s">
        <v>179</v>
      </c>
      <c r="D70" s="22" t="s">
        <v>180</v>
      </c>
      <c r="F70" s="23">
        <v>30</v>
      </c>
      <c r="J70" s="15"/>
    </row>
    <row r="71" spans="1:76" x14ac:dyDescent="0.25">
      <c r="A71" s="24" t="s">
        <v>46</v>
      </c>
      <c r="B71" s="25" t="s">
        <v>181</v>
      </c>
      <c r="C71" s="77" t="s">
        <v>182</v>
      </c>
      <c r="D71" s="78"/>
      <c r="E71" s="26" t="s">
        <v>31</v>
      </c>
      <c r="F71" s="26" t="s">
        <v>31</v>
      </c>
      <c r="G71" s="26" t="s">
        <v>31</v>
      </c>
      <c r="J71" s="15"/>
      <c r="AI71" s="10" t="s">
        <v>46</v>
      </c>
      <c r="AS71" s="1">
        <f>SUM(AJ72:AJ79)</f>
        <v>0</v>
      </c>
      <c r="AT71" s="1">
        <f>SUM(AK72:AK79)</f>
        <v>0</v>
      </c>
      <c r="AU71" s="1">
        <f>SUM(AL72:AL79)</f>
        <v>0</v>
      </c>
    </row>
    <row r="72" spans="1:76" x14ac:dyDescent="0.25">
      <c r="A72" s="2" t="s">
        <v>183</v>
      </c>
      <c r="B72" s="3" t="s">
        <v>184</v>
      </c>
      <c r="C72" s="63" t="s">
        <v>185</v>
      </c>
      <c r="D72" s="58"/>
      <c r="E72" s="3" t="s">
        <v>124</v>
      </c>
      <c r="F72" s="19">
        <v>2</v>
      </c>
      <c r="G72" s="19">
        <v>0</v>
      </c>
      <c r="J72" s="15"/>
      <c r="Z72" s="19">
        <f>IF(AQ72="5",BJ72,0)</f>
        <v>0</v>
      </c>
      <c r="AB72" s="19">
        <f>IF(AQ72="1",BH72,0)</f>
        <v>0</v>
      </c>
      <c r="AC72" s="19">
        <f>IF(AQ72="1",BI72,0)</f>
        <v>0</v>
      </c>
      <c r="AD72" s="19">
        <f>IF(AQ72="7",BH72,0)</f>
        <v>0</v>
      </c>
      <c r="AE72" s="19">
        <f>IF(AQ72="7",BI72,0)</f>
        <v>0</v>
      </c>
      <c r="AF72" s="19">
        <f>IF(AQ72="2",BH72,0)</f>
        <v>0</v>
      </c>
      <c r="AG72" s="19">
        <f>IF(AQ72="2",BI72,0)</f>
        <v>0</v>
      </c>
      <c r="AH72" s="19">
        <f>IF(AQ72="0",BJ72,0)</f>
        <v>0</v>
      </c>
      <c r="AI72" s="10" t="s">
        <v>46</v>
      </c>
      <c r="AN72" s="19">
        <v>21</v>
      </c>
      <c r="AO72" s="19">
        <f>G72*0.202690058</f>
        <v>0</v>
      </c>
      <c r="AP72" s="19">
        <f>G72*(1-0.202690058)</f>
        <v>0</v>
      </c>
      <c r="AQ72" s="20" t="s">
        <v>81</v>
      </c>
      <c r="AV72" s="19">
        <f>AW72+AX72</f>
        <v>0</v>
      </c>
      <c r="AW72" s="19">
        <f>F72*AO72</f>
        <v>0</v>
      </c>
      <c r="AX72" s="19">
        <f>F72*AP72</f>
        <v>0</v>
      </c>
      <c r="AY72" s="20" t="s">
        <v>186</v>
      </c>
      <c r="AZ72" s="20" t="s">
        <v>187</v>
      </c>
      <c r="BA72" s="10" t="s">
        <v>55</v>
      </c>
      <c r="BC72" s="19">
        <f>AW72+AX72</f>
        <v>0</v>
      </c>
      <c r="BD72" s="19">
        <f>G72/(100-BE72)*100</f>
        <v>0</v>
      </c>
      <c r="BE72" s="19">
        <v>0</v>
      </c>
      <c r="BF72" s="19">
        <f>72</f>
        <v>72</v>
      </c>
      <c r="BH72" s="19">
        <f>F72*AO72</f>
        <v>0</v>
      </c>
      <c r="BI72" s="19">
        <f>F72*AP72</f>
        <v>0</v>
      </c>
      <c r="BJ72" s="19">
        <f>F72*G72</f>
        <v>0</v>
      </c>
      <c r="BK72" s="19"/>
      <c r="BL72" s="19">
        <v>721</v>
      </c>
      <c r="BW72" s="19">
        <v>12</v>
      </c>
      <c r="BX72" s="4" t="s">
        <v>185</v>
      </c>
    </row>
    <row r="73" spans="1:76" x14ac:dyDescent="0.25">
      <c r="A73" s="2" t="s">
        <v>188</v>
      </c>
      <c r="B73" s="3" t="s">
        <v>189</v>
      </c>
      <c r="C73" s="63" t="s">
        <v>190</v>
      </c>
      <c r="D73" s="58"/>
      <c r="E73" s="3" t="s">
        <v>124</v>
      </c>
      <c r="F73" s="19">
        <v>2</v>
      </c>
      <c r="G73" s="19">
        <v>0</v>
      </c>
      <c r="J73" s="15"/>
      <c r="Z73" s="19">
        <f>IF(AQ73="5",BJ73,0)</f>
        <v>0</v>
      </c>
      <c r="AB73" s="19">
        <f>IF(AQ73="1",BH73,0)</f>
        <v>0</v>
      </c>
      <c r="AC73" s="19">
        <f>IF(AQ73="1",BI73,0)</f>
        <v>0</v>
      </c>
      <c r="AD73" s="19">
        <f>IF(AQ73="7",BH73,0)</f>
        <v>0</v>
      </c>
      <c r="AE73" s="19">
        <f>IF(AQ73="7",BI73,0)</f>
        <v>0</v>
      </c>
      <c r="AF73" s="19">
        <f>IF(AQ73="2",BH73,0)</f>
        <v>0</v>
      </c>
      <c r="AG73" s="19">
        <f>IF(AQ73="2",BI73,0)</f>
        <v>0</v>
      </c>
      <c r="AH73" s="19">
        <f>IF(AQ73="0",BJ73,0)</f>
        <v>0</v>
      </c>
      <c r="AI73" s="10" t="s">
        <v>46</v>
      </c>
      <c r="AN73" s="19">
        <v>21</v>
      </c>
      <c r="AO73" s="19">
        <f>G73*0</f>
        <v>0</v>
      </c>
      <c r="AP73" s="19">
        <f>G73*(1-0)</f>
        <v>0</v>
      </c>
      <c r="AQ73" s="20" t="s">
        <v>81</v>
      </c>
      <c r="AV73" s="19">
        <f>AW73+AX73</f>
        <v>0</v>
      </c>
      <c r="AW73" s="19">
        <f>F73*AO73</f>
        <v>0</v>
      </c>
      <c r="AX73" s="19">
        <f>F73*AP73</f>
        <v>0</v>
      </c>
      <c r="AY73" s="20" t="s">
        <v>186</v>
      </c>
      <c r="AZ73" s="20" t="s">
        <v>187</v>
      </c>
      <c r="BA73" s="10" t="s">
        <v>55</v>
      </c>
      <c r="BC73" s="19">
        <f>AW73+AX73</f>
        <v>0</v>
      </c>
      <c r="BD73" s="19">
        <f>G73/(100-BE73)*100</f>
        <v>0</v>
      </c>
      <c r="BE73" s="19">
        <v>0</v>
      </c>
      <c r="BF73" s="19">
        <f>73</f>
        <v>73</v>
      </c>
      <c r="BH73" s="19">
        <f>F73*AO73</f>
        <v>0</v>
      </c>
      <c r="BI73" s="19">
        <f>F73*AP73</f>
        <v>0</v>
      </c>
      <c r="BJ73" s="19">
        <f>F73*G73</f>
        <v>0</v>
      </c>
      <c r="BK73" s="19"/>
      <c r="BL73" s="19">
        <v>721</v>
      </c>
      <c r="BW73" s="19">
        <v>12</v>
      </c>
      <c r="BX73" s="4" t="s">
        <v>190</v>
      </c>
    </row>
    <row r="74" spans="1:76" x14ac:dyDescent="0.25">
      <c r="A74" s="2" t="s">
        <v>179</v>
      </c>
      <c r="B74" s="3" t="s">
        <v>191</v>
      </c>
      <c r="C74" s="63" t="s">
        <v>192</v>
      </c>
      <c r="D74" s="58"/>
      <c r="E74" s="3" t="s">
        <v>193</v>
      </c>
      <c r="F74" s="19">
        <v>1</v>
      </c>
      <c r="G74" s="19">
        <v>0</v>
      </c>
      <c r="J74" s="15"/>
      <c r="Z74" s="19">
        <f>IF(AQ74="5",BJ74,0)</f>
        <v>0</v>
      </c>
      <c r="AB74" s="19">
        <f>IF(AQ74="1",BH74,0)</f>
        <v>0</v>
      </c>
      <c r="AC74" s="19">
        <f>IF(AQ74="1",BI74,0)</f>
        <v>0</v>
      </c>
      <c r="AD74" s="19">
        <f>IF(AQ74="7",BH74,0)</f>
        <v>0</v>
      </c>
      <c r="AE74" s="19">
        <f>IF(AQ74="7",BI74,0)</f>
        <v>0</v>
      </c>
      <c r="AF74" s="19">
        <f>IF(AQ74="2",BH74,0)</f>
        <v>0</v>
      </c>
      <c r="AG74" s="19">
        <f>IF(AQ74="2",BI74,0)</f>
        <v>0</v>
      </c>
      <c r="AH74" s="19">
        <f>IF(AQ74="0",BJ74,0)</f>
        <v>0</v>
      </c>
      <c r="AI74" s="10" t="s">
        <v>46</v>
      </c>
      <c r="AN74" s="19">
        <v>21</v>
      </c>
      <c r="AO74" s="19">
        <f>G74*0</f>
        <v>0</v>
      </c>
      <c r="AP74" s="19">
        <f>G74*(1-0)</f>
        <v>0</v>
      </c>
      <c r="AQ74" s="20" t="s">
        <v>81</v>
      </c>
      <c r="AV74" s="19">
        <f>AW74+AX74</f>
        <v>0</v>
      </c>
      <c r="AW74" s="19">
        <f>F74*AO74</f>
        <v>0</v>
      </c>
      <c r="AX74" s="19">
        <f>F74*AP74</f>
        <v>0</v>
      </c>
      <c r="AY74" s="20" t="s">
        <v>186</v>
      </c>
      <c r="AZ74" s="20" t="s">
        <v>187</v>
      </c>
      <c r="BA74" s="10" t="s">
        <v>55</v>
      </c>
      <c r="BC74" s="19">
        <f>AW74+AX74</f>
        <v>0</v>
      </c>
      <c r="BD74" s="19">
        <f>G74/(100-BE74)*100</f>
        <v>0</v>
      </c>
      <c r="BE74" s="19">
        <v>0</v>
      </c>
      <c r="BF74" s="19">
        <f>74</f>
        <v>74</v>
      </c>
      <c r="BH74" s="19">
        <f>F74*AO74</f>
        <v>0</v>
      </c>
      <c r="BI74" s="19">
        <f>F74*AP74</f>
        <v>0</v>
      </c>
      <c r="BJ74" s="19">
        <f>F74*G74</f>
        <v>0</v>
      </c>
      <c r="BK74" s="19"/>
      <c r="BL74" s="19">
        <v>721</v>
      </c>
      <c r="BW74" s="19">
        <v>12</v>
      </c>
      <c r="BX74" s="4" t="s">
        <v>192</v>
      </c>
    </row>
    <row r="75" spans="1:76" x14ac:dyDescent="0.25">
      <c r="A75" s="2" t="s">
        <v>194</v>
      </c>
      <c r="B75" s="3" t="s">
        <v>195</v>
      </c>
      <c r="C75" s="63" t="s">
        <v>196</v>
      </c>
      <c r="D75" s="58"/>
      <c r="E75" s="3" t="s">
        <v>193</v>
      </c>
      <c r="F75" s="19">
        <v>0</v>
      </c>
      <c r="G75" s="19">
        <v>0</v>
      </c>
      <c r="J75" s="15"/>
      <c r="Z75" s="19">
        <f>IF(AQ75="5",BJ75,0)</f>
        <v>0</v>
      </c>
      <c r="AB75" s="19">
        <f>IF(AQ75="1",BH75,0)</f>
        <v>0</v>
      </c>
      <c r="AC75" s="19">
        <f>IF(AQ75="1",BI75,0)</f>
        <v>0</v>
      </c>
      <c r="AD75" s="19">
        <f>IF(AQ75="7",BH75,0)</f>
        <v>0</v>
      </c>
      <c r="AE75" s="19">
        <f>IF(AQ75="7",BI75,0)</f>
        <v>0</v>
      </c>
      <c r="AF75" s="19">
        <f>IF(AQ75="2",BH75,0)</f>
        <v>0</v>
      </c>
      <c r="AG75" s="19">
        <f>IF(AQ75="2",BI75,0)</f>
        <v>0</v>
      </c>
      <c r="AH75" s="19">
        <f>IF(AQ75="0",BJ75,0)</f>
        <v>0</v>
      </c>
      <c r="AI75" s="10" t="s">
        <v>46</v>
      </c>
      <c r="AN75" s="19">
        <v>21</v>
      </c>
      <c r="AO75" s="19">
        <f>G75*0</f>
        <v>0</v>
      </c>
      <c r="AP75" s="19">
        <f>G75*(1-0)</f>
        <v>0</v>
      </c>
      <c r="AQ75" s="20" t="s">
        <v>81</v>
      </c>
      <c r="AV75" s="19">
        <f>AW75+AX75</f>
        <v>0</v>
      </c>
      <c r="AW75" s="19">
        <f>F75*AO75</f>
        <v>0</v>
      </c>
      <c r="AX75" s="19">
        <f>F75*AP75</f>
        <v>0</v>
      </c>
      <c r="AY75" s="20" t="s">
        <v>186</v>
      </c>
      <c r="AZ75" s="20" t="s">
        <v>187</v>
      </c>
      <c r="BA75" s="10" t="s">
        <v>55</v>
      </c>
      <c r="BC75" s="19">
        <f>AW75+AX75</f>
        <v>0</v>
      </c>
      <c r="BD75" s="19">
        <f>G75/(100-BE75)*100</f>
        <v>0</v>
      </c>
      <c r="BE75" s="19">
        <v>0</v>
      </c>
      <c r="BF75" s="19">
        <f>75</f>
        <v>75</v>
      </c>
      <c r="BH75" s="19">
        <f>F75*AO75</f>
        <v>0</v>
      </c>
      <c r="BI75" s="19">
        <f>F75*AP75</f>
        <v>0</v>
      </c>
      <c r="BJ75" s="19">
        <f>F75*G75</f>
        <v>0</v>
      </c>
      <c r="BK75" s="19"/>
      <c r="BL75" s="19">
        <v>721</v>
      </c>
      <c r="BW75" s="19">
        <v>12</v>
      </c>
      <c r="BX75" s="4" t="s">
        <v>196</v>
      </c>
    </row>
    <row r="76" spans="1:76" x14ac:dyDescent="0.25">
      <c r="A76" s="21"/>
      <c r="C76" s="22" t="s">
        <v>46</v>
      </c>
      <c r="D76" s="22" t="s">
        <v>197</v>
      </c>
      <c r="F76" s="23">
        <v>0</v>
      </c>
      <c r="J76" s="15"/>
    </row>
    <row r="77" spans="1:76" x14ac:dyDescent="0.25">
      <c r="A77" s="2" t="s">
        <v>198</v>
      </c>
      <c r="B77" s="3" t="s">
        <v>199</v>
      </c>
      <c r="C77" s="63" t="s">
        <v>200</v>
      </c>
      <c r="D77" s="58"/>
      <c r="E77" s="3" t="s">
        <v>137</v>
      </c>
      <c r="F77" s="19">
        <v>0.56699999999999995</v>
      </c>
      <c r="G77" s="19">
        <v>0</v>
      </c>
      <c r="J77" s="15"/>
      <c r="Z77" s="19">
        <f>IF(AQ77="5",BJ77,0)</f>
        <v>0</v>
      </c>
      <c r="AB77" s="19">
        <f>IF(AQ77="1",BH77,0)</f>
        <v>0</v>
      </c>
      <c r="AC77" s="19">
        <f>IF(AQ77="1",BI77,0)</f>
        <v>0</v>
      </c>
      <c r="AD77" s="19">
        <f>IF(AQ77="7",BH77,0)</f>
        <v>0</v>
      </c>
      <c r="AE77" s="19">
        <f>IF(AQ77="7",BI77,0)</f>
        <v>0</v>
      </c>
      <c r="AF77" s="19">
        <f>IF(AQ77="2",BH77,0)</f>
        <v>0</v>
      </c>
      <c r="AG77" s="19">
        <f>IF(AQ77="2",BI77,0)</f>
        <v>0</v>
      </c>
      <c r="AH77" s="19">
        <f>IF(AQ77="0",BJ77,0)</f>
        <v>0</v>
      </c>
      <c r="AI77" s="10" t="s">
        <v>46</v>
      </c>
      <c r="AN77" s="19">
        <v>21</v>
      </c>
      <c r="AO77" s="19">
        <f>G77*0</f>
        <v>0</v>
      </c>
      <c r="AP77" s="19">
        <f>G77*(1-0)</f>
        <v>0</v>
      </c>
      <c r="AQ77" s="20" t="s">
        <v>81</v>
      </c>
      <c r="AV77" s="19">
        <f>AW77+AX77</f>
        <v>0</v>
      </c>
      <c r="AW77" s="19">
        <f>F77*AO77</f>
        <v>0</v>
      </c>
      <c r="AX77" s="19">
        <f>F77*AP77</f>
        <v>0</v>
      </c>
      <c r="AY77" s="20" t="s">
        <v>186</v>
      </c>
      <c r="AZ77" s="20" t="s">
        <v>187</v>
      </c>
      <c r="BA77" s="10" t="s">
        <v>55</v>
      </c>
      <c r="BC77" s="19">
        <f>AW77+AX77</f>
        <v>0</v>
      </c>
      <c r="BD77" s="19">
        <f>G77/(100-BE77)*100</f>
        <v>0</v>
      </c>
      <c r="BE77" s="19">
        <v>0</v>
      </c>
      <c r="BF77" s="19">
        <f>77</f>
        <v>77</v>
      </c>
      <c r="BH77" s="19">
        <f>F77*AO77</f>
        <v>0</v>
      </c>
      <c r="BI77" s="19">
        <f>F77*AP77</f>
        <v>0</v>
      </c>
      <c r="BJ77" s="19">
        <f>F77*G77</f>
        <v>0</v>
      </c>
      <c r="BK77" s="19"/>
      <c r="BL77" s="19">
        <v>721</v>
      </c>
      <c r="BW77" s="19">
        <v>12</v>
      </c>
      <c r="BX77" s="4" t="s">
        <v>200</v>
      </c>
    </row>
    <row r="78" spans="1:76" x14ac:dyDescent="0.25">
      <c r="A78" s="21"/>
      <c r="C78" s="22" t="s">
        <v>201</v>
      </c>
      <c r="D78" s="22" t="s">
        <v>46</v>
      </c>
      <c r="F78" s="23">
        <v>0.56699999999999995</v>
      </c>
      <c r="J78" s="15"/>
    </row>
    <row r="79" spans="1:76" x14ac:dyDescent="0.25">
      <c r="A79" s="2" t="s">
        <v>202</v>
      </c>
      <c r="B79" s="3" t="s">
        <v>203</v>
      </c>
      <c r="C79" s="63" t="s">
        <v>204</v>
      </c>
      <c r="D79" s="58"/>
      <c r="E79" s="3" t="s">
        <v>124</v>
      </c>
      <c r="F79" s="19">
        <v>1</v>
      </c>
      <c r="G79" s="19">
        <v>0</v>
      </c>
      <c r="J79" s="15"/>
      <c r="Z79" s="19">
        <f>IF(AQ79="5",BJ79,0)</f>
        <v>0</v>
      </c>
      <c r="AB79" s="19">
        <f>IF(AQ79="1",BH79,0)</f>
        <v>0</v>
      </c>
      <c r="AC79" s="19">
        <f>IF(AQ79="1",BI79,0)</f>
        <v>0</v>
      </c>
      <c r="AD79" s="19">
        <f>IF(AQ79="7",BH79,0)</f>
        <v>0</v>
      </c>
      <c r="AE79" s="19">
        <f>IF(AQ79="7",BI79,0)</f>
        <v>0</v>
      </c>
      <c r="AF79" s="19">
        <f>IF(AQ79="2",BH79,0)</f>
        <v>0</v>
      </c>
      <c r="AG79" s="19">
        <f>IF(AQ79="2",BI79,0)</f>
        <v>0</v>
      </c>
      <c r="AH79" s="19">
        <f>IF(AQ79="0",BJ79,0)</f>
        <v>0</v>
      </c>
      <c r="AI79" s="10" t="s">
        <v>46</v>
      </c>
      <c r="AN79" s="19">
        <v>21</v>
      </c>
      <c r="AO79" s="19">
        <f>G79*1</f>
        <v>0</v>
      </c>
      <c r="AP79" s="19">
        <f>G79*(1-1)</f>
        <v>0</v>
      </c>
      <c r="AQ79" s="20" t="s">
        <v>81</v>
      </c>
      <c r="AV79" s="19">
        <f>AW79+AX79</f>
        <v>0</v>
      </c>
      <c r="AW79" s="19">
        <f>F79*AO79</f>
        <v>0</v>
      </c>
      <c r="AX79" s="19">
        <f>F79*AP79</f>
        <v>0</v>
      </c>
      <c r="AY79" s="20" t="s">
        <v>186</v>
      </c>
      <c r="AZ79" s="20" t="s">
        <v>187</v>
      </c>
      <c r="BA79" s="10" t="s">
        <v>55</v>
      </c>
      <c r="BC79" s="19">
        <f>AW79+AX79</f>
        <v>0</v>
      </c>
      <c r="BD79" s="19">
        <f>G79/(100-BE79)*100</f>
        <v>0</v>
      </c>
      <c r="BE79" s="19">
        <v>0</v>
      </c>
      <c r="BF79" s="19">
        <f>79</f>
        <v>79</v>
      </c>
      <c r="BH79" s="19">
        <f>F79*AO79</f>
        <v>0</v>
      </c>
      <c r="BI79" s="19">
        <f>F79*AP79</f>
        <v>0</v>
      </c>
      <c r="BJ79" s="19">
        <f>F79*G79</f>
        <v>0</v>
      </c>
      <c r="BK79" s="19"/>
      <c r="BL79" s="19">
        <v>721</v>
      </c>
      <c r="BW79" s="19">
        <v>12</v>
      </c>
      <c r="BX79" s="4" t="s">
        <v>204</v>
      </c>
    </row>
    <row r="80" spans="1:76" x14ac:dyDescent="0.25">
      <c r="A80" s="24" t="s">
        <v>46</v>
      </c>
      <c r="B80" s="25" t="s">
        <v>205</v>
      </c>
      <c r="C80" s="77" t="s">
        <v>206</v>
      </c>
      <c r="D80" s="78"/>
      <c r="E80" s="26" t="s">
        <v>31</v>
      </c>
      <c r="F80" s="26" t="s">
        <v>31</v>
      </c>
      <c r="G80" s="26" t="s">
        <v>31</v>
      </c>
      <c r="J80" s="15"/>
      <c r="AI80" s="10" t="s">
        <v>46</v>
      </c>
      <c r="AS80" s="1">
        <f>SUM(AJ81:AJ83)</f>
        <v>0</v>
      </c>
      <c r="AT80" s="1">
        <f>SUM(AK81:AK83)</f>
        <v>0</v>
      </c>
      <c r="AU80" s="1">
        <f>SUM(AL81:AL83)</f>
        <v>0</v>
      </c>
    </row>
    <row r="81" spans="1:76" x14ac:dyDescent="0.25">
      <c r="A81" s="2" t="s">
        <v>126</v>
      </c>
      <c r="B81" s="3" t="s">
        <v>207</v>
      </c>
      <c r="C81" s="63" t="s">
        <v>208</v>
      </c>
      <c r="D81" s="58"/>
      <c r="E81" s="3" t="s">
        <v>124</v>
      </c>
      <c r="F81" s="19">
        <v>1</v>
      </c>
      <c r="G81" s="19">
        <v>0</v>
      </c>
      <c r="J81" s="15"/>
      <c r="Z81" s="19">
        <f>IF(AQ81="5",BJ81,0)</f>
        <v>0</v>
      </c>
      <c r="AB81" s="19">
        <f>IF(AQ81="1",BH81,0)</f>
        <v>0</v>
      </c>
      <c r="AC81" s="19">
        <f>IF(AQ81="1",BI81,0)</f>
        <v>0</v>
      </c>
      <c r="AD81" s="19">
        <f>IF(AQ81="7",BH81,0)</f>
        <v>0</v>
      </c>
      <c r="AE81" s="19">
        <f>IF(AQ81="7",BI81,0)</f>
        <v>0</v>
      </c>
      <c r="AF81" s="19">
        <f>IF(AQ81="2",BH81,0)</f>
        <v>0</v>
      </c>
      <c r="AG81" s="19">
        <f>IF(AQ81="2",BI81,0)</f>
        <v>0</v>
      </c>
      <c r="AH81" s="19">
        <f>IF(AQ81="0",BJ81,0)</f>
        <v>0</v>
      </c>
      <c r="AI81" s="10" t="s">
        <v>46</v>
      </c>
      <c r="AN81" s="19">
        <v>21</v>
      </c>
      <c r="AO81" s="19">
        <f>G81*0</f>
        <v>0</v>
      </c>
      <c r="AP81" s="19">
        <f>G81*(1-0)</f>
        <v>0</v>
      </c>
      <c r="AQ81" s="20" t="s">
        <v>81</v>
      </c>
      <c r="AV81" s="19">
        <f>AW81+AX81</f>
        <v>0</v>
      </c>
      <c r="AW81" s="19">
        <f>F81*AO81</f>
        <v>0</v>
      </c>
      <c r="AX81" s="19">
        <f>F81*AP81</f>
        <v>0</v>
      </c>
      <c r="AY81" s="20" t="s">
        <v>209</v>
      </c>
      <c r="AZ81" s="20" t="s">
        <v>210</v>
      </c>
      <c r="BA81" s="10" t="s">
        <v>55</v>
      </c>
      <c r="BC81" s="19">
        <f>AW81+AX81</f>
        <v>0</v>
      </c>
      <c r="BD81" s="19">
        <f>G81/(100-BE81)*100</f>
        <v>0</v>
      </c>
      <c r="BE81" s="19">
        <v>0</v>
      </c>
      <c r="BF81" s="19">
        <f>81</f>
        <v>81</v>
      </c>
      <c r="BH81" s="19">
        <f>F81*AO81</f>
        <v>0</v>
      </c>
      <c r="BI81" s="19">
        <f>F81*AP81</f>
        <v>0</v>
      </c>
      <c r="BJ81" s="19">
        <f>F81*G81</f>
        <v>0</v>
      </c>
      <c r="BK81" s="19"/>
      <c r="BL81" s="19">
        <v>766</v>
      </c>
      <c r="BW81" s="19">
        <v>12</v>
      </c>
      <c r="BX81" s="4" t="s">
        <v>208</v>
      </c>
    </row>
    <row r="82" spans="1:76" x14ac:dyDescent="0.25">
      <c r="A82" s="21"/>
      <c r="C82" s="22" t="s">
        <v>46</v>
      </c>
      <c r="D82" s="22" t="s">
        <v>211</v>
      </c>
      <c r="F82" s="23">
        <v>0</v>
      </c>
      <c r="J82" s="15"/>
    </row>
    <row r="83" spans="1:76" x14ac:dyDescent="0.25">
      <c r="A83" s="2" t="s">
        <v>212</v>
      </c>
      <c r="B83" s="3" t="s">
        <v>213</v>
      </c>
      <c r="C83" s="63" t="s">
        <v>214</v>
      </c>
      <c r="D83" s="58"/>
      <c r="E83" s="3" t="s">
        <v>124</v>
      </c>
      <c r="F83" s="19">
        <v>1</v>
      </c>
      <c r="G83" s="19">
        <v>0</v>
      </c>
      <c r="J83" s="15"/>
      <c r="Z83" s="19">
        <f>IF(AQ83="5",BJ83,0)</f>
        <v>0</v>
      </c>
      <c r="AB83" s="19">
        <f>IF(AQ83="1",BH83,0)</f>
        <v>0</v>
      </c>
      <c r="AC83" s="19">
        <f>IF(AQ83="1",BI83,0)</f>
        <v>0</v>
      </c>
      <c r="AD83" s="19">
        <f>IF(AQ83="7",BH83,0)</f>
        <v>0</v>
      </c>
      <c r="AE83" s="19">
        <f>IF(AQ83="7",BI83,0)</f>
        <v>0</v>
      </c>
      <c r="AF83" s="19">
        <f>IF(AQ83="2",BH83,0)</f>
        <v>0</v>
      </c>
      <c r="AG83" s="19">
        <f>IF(AQ83="2",BI83,0)</f>
        <v>0</v>
      </c>
      <c r="AH83" s="19">
        <f>IF(AQ83="0",BJ83,0)</f>
        <v>0</v>
      </c>
      <c r="AI83" s="10" t="s">
        <v>46</v>
      </c>
      <c r="AN83" s="19">
        <v>21</v>
      </c>
      <c r="AO83" s="19">
        <f>G83*0</f>
        <v>0</v>
      </c>
      <c r="AP83" s="19">
        <f>G83*(1-0)</f>
        <v>0</v>
      </c>
      <c r="AQ83" s="20" t="s">
        <v>81</v>
      </c>
      <c r="AV83" s="19">
        <f>AW83+AX83</f>
        <v>0</v>
      </c>
      <c r="AW83" s="19">
        <f>F83*AO83</f>
        <v>0</v>
      </c>
      <c r="AX83" s="19">
        <f>F83*AP83</f>
        <v>0</v>
      </c>
      <c r="AY83" s="20" t="s">
        <v>209</v>
      </c>
      <c r="AZ83" s="20" t="s">
        <v>210</v>
      </c>
      <c r="BA83" s="10" t="s">
        <v>55</v>
      </c>
      <c r="BC83" s="19">
        <f>AW83+AX83</f>
        <v>0</v>
      </c>
      <c r="BD83" s="19">
        <f>G83/(100-BE83)*100</f>
        <v>0</v>
      </c>
      <c r="BE83" s="19">
        <v>0</v>
      </c>
      <c r="BF83" s="19">
        <f>83</f>
        <v>83</v>
      </c>
      <c r="BH83" s="19">
        <f>F83*AO83</f>
        <v>0</v>
      </c>
      <c r="BI83" s="19">
        <f>F83*AP83</f>
        <v>0</v>
      </c>
      <c r="BJ83" s="19">
        <f>F83*G83</f>
        <v>0</v>
      </c>
      <c r="BK83" s="19"/>
      <c r="BL83" s="19">
        <v>766</v>
      </c>
      <c r="BW83" s="19">
        <v>12</v>
      </c>
      <c r="BX83" s="4" t="s">
        <v>214</v>
      </c>
    </row>
    <row r="84" spans="1:76" x14ac:dyDescent="0.25">
      <c r="A84" s="21"/>
      <c r="C84" s="22" t="s">
        <v>46</v>
      </c>
      <c r="D84" s="22" t="s">
        <v>215</v>
      </c>
      <c r="F84" s="23">
        <v>0</v>
      </c>
      <c r="J84" s="15"/>
    </row>
    <row r="85" spans="1:76" x14ac:dyDescent="0.25">
      <c r="A85" s="24" t="s">
        <v>46</v>
      </c>
      <c r="B85" s="25" t="s">
        <v>216</v>
      </c>
      <c r="C85" s="77" t="s">
        <v>217</v>
      </c>
      <c r="D85" s="78"/>
      <c r="E85" s="26" t="s">
        <v>31</v>
      </c>
      <c r="F85" s="26" t="s">
        <v>31</v>
      </c>
      <c r="G85" s="26" t="s">
        <v>31</v>
      </c>
      <c r="J85" s="15"/>
      <c r="AI85" s="10" t="s">
        <v>46</v>
      </c>
      <c r="AS85" s="1">
        <f>SUM(AJ86:AJ86)</f>
        <v>0</v>
      </c>
      <c r="AT85" s="1">
        <f>SUM(AK86:AK86)</f>
        <v>0</v>
      </c>
      <c r="AU85" s="1">
        <f>SUM(AL86:AL86)</f>
        <v>0</v>
      </c>
    </row>
    <row r="86" spans="1:76" x14ac:dyDescent="0.25">
      <c r="A86" s="2" t="s">
        <v>218</v>
      </c>
      <c r="B86" s="3" t="s">
        <v>219</v>
      </c>
      <c r="C86" s="63" t="s">
        <v>220</v>
      </c>
      <c r="D86" s="58"/>
      <c r="E86" s="3" t="s">
        <v>193</v>
      </c>
      <c r="F86" s="19">
        <v>206.8</v>
      </c>
      <c r="G86" s="19">
        <v>0</v>
      </c>
      <c r="J86" s="15"/>
      <c r="Z86" s="19">
        <f>IF(AQ86="5",BJ86,0)</f>
        <v>0</v>
      </c>
      <c r="AB86" s="19">
        <f>IF(AQ86="1",BH86,0)</f>
        <v>0</v>
      </c>
      <c r="AC86" s="19">
        <f>IF(AQ86="1",BI86,0)</f>
        <v>0</v>
      </c>
      <c r="AD86" s="19">
        <f>IF(AQ86="7",BH86,0)</f>
        <v>0</v>
      </c>
      <c r="AE86" s="19">
        <f>IF(AQ86="7",BI86,0)</f>
        <v>0</v>
      </c>
      <c r="AF86" s="19">
        <f>IF(AQ86="2",BH86,0)</f>
        <v>0</v>
      </c>
      <c r="AG86" s="19">
        <f>IF(AQ86="2",BI86,0)</f>
        <v>0</v>
      </c>
      <c r="AH86" s="19">
        <f>IF(AQ86="0",BJ86,0)</f>
        <v>0</v>
      </c>
      <c r="AI86" s="10" t="s">
        <v>46</v>
      </c>
      <c r="AN86" s="19">
        <v>21</v>
      </c>
      <c r="AO86" s="19">
        <f>G86*0</f>
        <v>0</v>
      </c>
      <c r="AP86" s="19">
        <f>G86*(1-0)</f>
        <v>0</v>
      </c>
      <c r="AQ86" s="20" t="s">
        <v>49</v>
      </c>
      <c r="AV86" s="19">
        <f>AW86+AX86</f>
        <v>0</v>
      </c>
      <c r="AW86" s="19">
        <f>F86*AO86</f>
        <v>0</v>
      </c>
      <c r="AX86" s="19">
        <f>F86*AP86</f>
        <v>0</v>
      </c>
      <c r="AY86" s="20" t="s">
        <v>221</v>
      </c>
      <c r="AZ86" s="20" t="s">
        <v>222</v>
      </c>
      <c r="BA86" s="10" t="s">
        <v>55</v>
      </c>
      <c r="BC86" s="19">
        <f>AW86+AX86</f>
        <v>0</v>
      </c>
      <c r="BD86" s="19">
        <f>G86/(100-BE86)*100</f>
        <v>0</v>
      </c>
      <c r="BE86" s="19">
        <v>0</v>
      </c>
      <c r="BF86" s="19">
        <f>86</f>
        <v>86</v>
      </c>
      <c r="BH86" s="19">
        <f>F86*AO86</f>
        <v>0</v>
      </c>
      <c r="BI86" s="19">
        <f>F86*AP86</f>
        <v>0</v>
      </c>
      <c r="BJ86" s="19">
        <f>F86*G86</f>
        <v>0</v>
      </c>
      <c r="BK86" s="19"/>
      <c r="BL86" s="19">
        <v>87</v>
      </c>
      <c r="BW86" s="19">
        <v>12</v>
      </c>
      <c r="BX86" s="4" t="s">
        <v>220</v>
      </c>
    </row>
    <row r="87" spans="1:76" x14ac:dyDescent="0.25">
      <c r="A87" s="21"/>
      <c r="C87" s="22" t="s">
        <v>223</v>
      </c>
      <c r="D87" s="22" t="s">
        <v>46</v>
      </c>
      <c r="F87" s="23">
        <v>206.8</v>
      </c>
      <c r="J87" s="15"/>
    </row>
    <row r="88" spans="1:76" x14ac:dyDescent="0.25">
      <c r="A88" s="24" t="s">
        <v>46</v>
      </c>
      <c r="B88" s="25" t="s">
        <v>224</v>
      </c>
      <c r="C88" s="77" t="s">
        <v>225</v>
      </c>
      <c r="D88" s="78"/>
      <c r="E88" s="26" t="s">
        <v>31</v>
      </c>
      <c r="F88" s="26" t="s">
        <v>31</v>
      </c>
      <c r="G88" s="26" t="s">
        <v>31</v>
      </c>
      <c r="J88" s="15"/>
      <c r="AI88" s="10" t="s">
        <v>46</v>
      </c>
      <c r="AS88" s="1">
        <f>SUM(AJ89:AJ91)</f>
        <v>0</v>
      </c>
      <c r="AT88" s="1">
        <f>SUM(AK89:AK91)</f>
        <v>0</v>
      </c>
      <c r="AU88" s="1">
        <f>SUM(AL89:AL91)</f>
        <v>0</v>
      </c>
    </row>
    <row r="89" spans="1:76" x14ac:dyDescent="0.25">
      <c r="A89" s="2" t="s">
        <v>226</v>
      </c>
      <c r="B89" s="3" t="s">
        <v>227</v>
      </c>
      <c r="C89" s="63" t="s">
        <v>228</v>
      </c>
      <c r="D89" s="58"/>
      <c r="E89" s="3" t="s">
        <v>124</v>
      </c>
      <c r="F89" s="19">
        <v>8</v>
      </c>
      <c r="G89" s="19">
        <v>0</v>
      </c>
      <c r="J89" s="15"/>
      <c r="Z89" s="19">
        <f>IF(AQ89="5",BJ89,0)</f>
        <v>0</v>
      </c>
      <c r="AB89" s="19">
        <f>IF(AQ89="1",BH89,0)</f>
        <v>0</v>
      </c>
      <c r="AC89" s="19">
        <f>IF(AQ89="1",BI89,0)</f>
        <v>0</v>
      </c>
      <c r="AD89" s="19">
        <f>IF(AQ89="7",BH89,0)</f>
        <v>0</v>
      </c>
      <c r="AE89" s="19">
        <f>IF(AQ89="7",BI89,0)</f>
        <v>0</v>
      </c>
      <c r="AF89" s="19">
        <f>IF(AQ89="2",BH89,0)</f>
        <v>0</v>
      </c>
      <c r="AG89" s="19">
        <f>IF(AQ89="2",BI89,0)</f>
        <v>0</v>
      </c>
      <c r="AH89" s="19">
        <f>IF(AQ89="0",BJ89,0)</f>
        <v>0</v>
      </c>
      <c r="AI89" s="10" t="s">
        <v>46</v>
      </c>
      <c r="AN89" s="19">
        <v>21</v>
      </c>
      <c r="AO89" s="19">
        <f>G89*0</f>
        <v>0</v>
      </c>
      <c r="AP89" s="19">
        <f>G89*(1-0)</f>
        <v>0</v>
      </c>
      <c r="AQ89" s="20" t="s">
        <v>49</v>
      </c>
      <c r="AV89" s="19">
        <f>AW89+AX89</f>
        <v>0</v>
      </c>
      <c r="AW89" s="19">
        <f>F89*AO89</f>
        <v>0</v>
      </c>
      <c r="AX89" s="19">
        <f>F89*AP89</f>
        <v>0</v>
      </c>
      <c r="AY89" s="20" t="s">
        <v>229</v>
      </c>
      <c r="AZ89" s="20" t="s">
        <v>222</v>
      </c>
      <c r="BA89" s="10" t="s">
        <v>55</v>
      </c>
      <c r="BC89" s="19">
        <f>AW89+AX89</f>
        <v>0</v>
      </c>
      <c r="BD89" s="19">
        <f>G89/(100-BE89)*100</f>
        <v>0</v>
      </c>
      <c r="BE89" s="19">
        <v>0</v>
      </c>
      <c r="BF89" s="19">
        <f>89</f>
        <v>89</v>
      </c>
      <c r="BH89" s="19">
        <f>F89*AO89</f>
        <v>0</v>
      </c>
      <c r="BI89" s="19">
        <f>F89*AP89</f>
        <v>0</v>
      </c>
      <c r="BJ89" s="19">
        <f>F89*G89</f>
        <v>0</v>
      </c>
      <c r="BK89" s="19"/>
      <c r="BL89" s="19">
        <v>89</v>
      </c>
      <c r="BW89" s="19">
        <v>12</v>
      </c>
      <c r="BX89" s="4" t="s">
        <v>228</v>
      </c>
    </row>
    <row r="90" spans="1:76" x14ac:dyDescent="0.25">
      <c r="A90" s="2" t="s">
        <v>230</v>
      </c>
      <c r="B90" s="3" t="s">
        <v>231</v>
      </c>
      <c r="C90" s="63" t="s">
        <v>232</v>
      </c>
      <c r="D90" s="58"/>
      <c r="E90" s="3" t="s">
        <v>124</v>
      </c>
      <c r="F90" s="19">
        <v>2</v>
      </c>
      <c r="G90" s="19">
        <v>0</v>
      </c>
      <c r="J90" s="15"/>
      <c r="Z90" s="19">
        <f>IF(AQ90="5",BJ90,0)</f>
        <v>0</v>
      </c>
      <c r="AB90" s="19">
        <f>IF(AQ90="1",BH90,0)</f>
        <v>0</v>
      </c>
      <c r="AC90" s="19">
        <f>IF(AQ90="1",BI90,0)</f>
        <v>0</v>
      </c>
      <c r="AD90" s="19">
        <f>IF(AQ90="7",BH90,0)</f>
        <v>0</v>
      </c>
      <c r="AE90" s="19">
        <f>IF(AQ90="7",BI90,0)</f>
        <v>0</v>
      </c>
      <c r="AF90" s="19">
        <f>IF(AQ90="2",BH90,0)</f>
        <v>0</v>
      </c>
      <c r="AG90" s="19">
        <f>IF(AQ90="2",BI90,0)</f>
        <v>0</v>
      </c>
      <c r="AH90" s="19">
        <f>IF(AQ90="0",BJ90,0)</f>
        <v>0</v>
      </c>
      <c r="AI90" s="10" t="s">
        <v>46</v>
      </c>
      <c r="AN90" s="19">
        <v>21</v>
      </c>
      <c r="AO90" s="19">
        <f>G90*0</f>
        <v>0</v>
      </c>
      <c r="AP90" s="19">
        <f>G90*(1-0)</f>
        <v>0</v>
      </c>
      <c r="AQ90" s="20" t="s">
        <v>49</v>
      </c>
      <c r="AV90" s="19">
        <f>AW90+AX90</f>
        <v>0</v>
      </c>
      <c r="AW90" s="19">
        <f>F90*AO90</f>
        <v>0</v>
      </c>
      <c r="AX90" s="19">
        <f>F90*AP90</f>
        <v>0</v>
      </c>
      <c r="AY90" s="20" t="s">
        <v>229</v>
      </c>
      <c r="AZ90" s="20" t="s">
        <v>222</v>
      </c>
      <c r="BA90" s="10" t="s">
        <v>55</v>
      </c>
      <c r="BC90" s="19">
        <f>AW90+AX90</f>
        <v>0</v>
      </c>
      <c r="BD90" s="19">
        <f>G90/(100-BE90)*100</f>
        <v>0</v>
      </c>
      <c r="BE90" s="19">
        <v>0</v>
      </c>
      <c r="BF90" s="19">
        <f>90</f>
        <v>90</v>
      </c>
      <c r="BH90" s="19">
        <f>F90*AO90</f>
        <v>0</v>
      </c>
      <c r="BI90" s="19">
        <f>F90*AP90</f>
        <v>0</v>
      </c>
      <c r="BJ90" s="19">
        <f>F90*G90</f>
        <v>0</v>
      </c>
      <c r="BK90" s="19"/>
      <c r="BL90" s="19">
        <v>89</v>
      </c>
      <c r="BW90" s="19">
        <v>12</v>
      </c>
      <c r="BX90" s="4" t="s">
        <v>232</v>
      </c>
    </row>
    <row r="91" spans="1:76" x14ac:dyDescent="0.25">
      <c r="A91" s="2" t="s">
        <v>233</v>
      </c>
      <c r="B91" s="3" t="s">
        <v>234</v>
      </c>
      <c r="C91" s="63" t="s">
        <v>235</v>
      </c>
      <c r="D91" s="58"/>
      <c r="E91" s="3" t="s">
        <v>124</v>
      </c>
      <c r="F91" s="19">
        <v>10</v>
      </c>
      <c r="G91" s="19">
        <v>0</v>
      </c>
      <c r="J91" s="15"/>
      <c r="Z91" s="19">
        <f>IF(AQ91="5",BJ91,0)</f>
        <v>0</v>
      </c>
      <c r="AB91" s="19">
        <f>IF(AQ91="1",BH91,0)</f>
        <v>0</v>
      </c>
      <c r="AC91" s="19">
        <f>IF(AQ91="1",BI91,0)</f>
        <v>0</v>
      </c>
      <c r="AD91" s="19">
        <f>IF(AQ91="7",BH91,0)</f>
        <v>0</v>
      </c>
      <c r="AE91" s="19">
        <f>IF(AQ91="7",BI91,0)</f>
        <v>0</v>
      </c>
      <c r="AF91" s="19">
        <f>IF(AQ91="2",BH91,0)</f>
        <v>0</v>
      </c>
      <c r="AG91" s="19">
        <f>IF(AQ91="2",BI91,0)</f>
        <v>0</v>
      </c>
      <c r="AH91" s="19">
        <f>IF(AQ91="0",BJ91,0)</f>
        <v>0</v>
      </c>
      <c r="AI91" s="10" t="s">
        <v>46</v>
      </c>
      <c r="AN91" s="19">
        <v>21</v>
      </c>
      <c r="AO91" s="19">
        <f>G91*0.016390154</f>
        <v>0</v>
      </c>
      <c r="AP91" s="19">
        <f>G91*(1-0.016390154)</f>
        <v>0</v>
      </c>
      <c r="AQ91" s="20" t="s">
        <v>49</v>
      </c>
      <c r="AV91" s="19">
        <f>AW91+AX91</f>
        <v>0</v>
      </c>
      <c r="AW91" s="19">
        <f>F91*AO91</f>
        <v>0</v>
      </c>
      <c r="AX91" s="19">
        <f>F91*AP91</f>
        <v>0</v>
      </c>
      <c r="AY91" s="20" t="s">
        <v>229</v>
      </c>
      <c r="AZ91" s="20" t="s">
        <v>222</v>
      </c>
      <c r="BA91" s="10" t="s">
        <v>55</v>
      </c>
      <c r="BC91" s="19">
        <f>AW91+AX91</f>
        <v>0</v>
      </c>
      <c r="BD91" s="19">
        <f>G91/(100-BE91)*100</f>
        <v>0</v>
      </c>
      <c r="BE91" s="19">
        <v>0</v>
      </c>
      <c r="BF91" s="19">
        <f>91</f>
        <v>91</v>
      </c>
      <c r="BH91" s="19">
        <f>F91*AO91</f>
        <v>0</v>
      </c>
      <c r="BI91" s="19">
        <f>F91*AP91</f>
        <v>0</v>
      </c>
      <c r="BJ91" s="19">
        <f>F91*G91</f>
        <v>0</v>
      </c>
      <c r="BK91" s="19"/>
      <c r="BL91" s="19">
        <v>89</v>
      </c>
      <c r="BW91" s="19">
        <v>12</v>
      </c>
      <c r="BX91" s="4" t="s">
        <v>235</v>
      </c>
    </row>
    <row r="92" spans="1:76" x14ac:dyDescent="0.25">
      <c r="A92" s="24" t="s">
        <v>46</v>
      </c>
      <c r="B92" s="25" t="s">
        <v>236</v>
      </c>
      <c r="C92" s="77" t="s">
        <v>237</v>
      </c>
      <c r="D92" s="78"/>
      <c r="E92" s="26" t="s">
        <v>31</v>
      </c>
      <c r="F92" s="26" t="s">
        <v>31</v>
      </c>
      <c r="G92" s="26" t="s">
        <v>31</v>
      </c>
      <c r="J92" s="15"/>
      <c r="AI92" s="10" t="s">
        <v>46</v>
      </c>
      <c r="AS92" s="1">
        <f>SUM(AJ93:AJ94)</f>
        <v>0</v>
      </c>
      <c r="AT92" s="1">
        <f>SUM(AK93:AK94)</f>
        <v>0</v>
      </c>
      <c r="AU92" s="1">
        <f>SUM(AL93:AL94)</f>
        <v>0</v>
      </c>
    </row>
    <row r="93" spans="1:76" x14ac:dyDescent="0.25">
      <c r="A93" s="2" t="s">
        <v>238</v>
      </c>
      <c r="B93" s="3" t="s">
        <v>239</v>
      </c>
      <c r="C93" s="63" t="s">
        <v>240</v>
      </c>
      <c r="D93" s="58"/>
      <c r="E93" s="3" t="s">
        <v>241</v>
      </c>
      <c r="F93" s="19">
        <v>16</v>
      </c>
      <c r="G93" s="19">
        <v>0</v>
      </c>
      <c r="J93" s="15"/>
      <c r="Z93" s="19">
        <f>IF(AQ93="5",BJ93,0)</f>
        <v>0</v>
      </c>
      <c r="AB93" s="19">
        <f>IF(AQ93="1",BH93,0)</f>
        <v>0</v>
      </c>
      <c r="AC93" s="19">
        <f>IF(AQ93="1",BI93,0)</f>
        <v>0</v>
      </c>
      <c r="AD93" s="19">
        <f>IF(AQ93="7",BH93,0)</f>
        <v>0</v>
      </c>
      <c r="AE93" s="19">
        <f>IF(AQ93="7",BI93,0)</f>
        <v>0</v>
      </c>
      <c r="AF93" s="19">
        <f>IF(AQ93="2",BH93,0)</f>
        <v>0</v>
      </c>
      <c r="AG93" s="19">
        <f>IF(AQ93="2",BI93,0)</f>
        <v>0</v>
      </c>
      <c r="AH93" s="19">
        <f>IF(AQ93="0",BJ93,0)</f>
        <v>0</v>
      </c>
      <c r="AI93" s="10" t="s">
        <v>46</v>
      </c>
      <c r="AN93" s="19">
        <v>21</v>
      </c>
      <c r="AO93" s="19">
        <f>G93*0</f>
        <v>0</v>
      </c>
      <c r="AP93" s="19">
        <f>G93*(1-0)</f>
        <v>0</v>
      </c>
      <c r="AQ93" s="20" t="s">
        <v>49</v>
      </c>
      <c r="AV93" s="19">
        <f>AW93+AX93</f>
        <v>0</v>
      </c>
      <c r="AW93" s="19">
        <f>F93*AO93</f>
        <v>0</v>
      </c>
      <c r="AX93" s="19">
        <f>F93*AP93</f>
        <v>0</v>
      </c>
      <c r="AY93" s="20" t="s">
        <v>242</v>
      </c>
      <c r="AZ93" s="20" t="s">
        <v>243</v>
      </c>
      <c r="BA93" s="10" t="s">
        <v>55</v>
      </c>
      <c r="BC93" s="19">
        <f>AW93+AX93</f>
        <v>0</v>
      </c>
      <c r="BD93" s="19">
        <f>G93/(100-BE93)*100</f>
        <v>0</v>
      </c>
      <c r="BE93" s="19">
        <v>0</v>
      </c>
      <c r="BF93" s="19">
        <f>93</f>
        <v>93</v>
      </c>
      <c r="BH93" s="19">
        <f>F93*AO93</f>
        <v>0</v>
      </c>
      <c r="BI93" s="19">
        <f>F93*AP93</f>
        <v>0</v>
      </c>
      <c r="BJ93" s="19">
        <f>F93*G93</f>
        <v>0</v>
      </c>
      <c r="BK93" s="19"/>
      <c r="BL93" s="19">
        <v>90</v>
      </c>
      <c r="BW93" s="19">
        <v>12</v>
      </c>
      <c r="BX93" s="4" t="s">
        <v>240</v>
      </c>
    </row>
    <row r="94" spans="1:76" x14ac:dyDescent="0.25">
      <c r="A94" s="2" t="s">
        <v>244</v>
      </c>
      <c r="B94" s="3" t="s">
        <v>245</v>
      </c>
      <c r="C94" s="63" t="s">
        <v>246</v>
      </c>
      <c r="D94" s="58"/>
      <c r="E94" s="3" t="s">
        <v>241</v>
      </c>
      <c r="F94" s="19">
        <v>16</v>
      </c>
      <c r="G94" s="19">
        <v>0</v>
      </c>
      <c r="J94" s="15"/>
      <c r="Z94" s="19">
        <f>IF(AQ94="5",BJ94,0)</f>
        <v>0</v>
      </c>
      <c r="AB94" s="19">
        <f>IF(AQ94="1",BH94,0)</f>
        <v>0</v>
      </c>
      <c r="AC94" s="19">
        <f>IF(AQ94="1",BI94,0)</f>
        <v>0</v>
      </c>
      <c r="AD94" s="19">
        <f>IF(AQ94="7",BH94,0)</f>
        <v>0</v>
      </c>
      <c r="AE94" s="19">
        <f>IF(AQ94="7",BI94,0)</f>
        <v>0</v>
      </c>
      <c r="AF94" s="19">
        <f>IF(AQ94="2",BH94,0)</f>
        <v>0</v>
      </c>
      <c r="AG94" s="19">
        <f>IF(AQ94="2",BI94,0)</f>
        <v>0</v>
      </c>
      <c r="AH94" s="19">
        <f>IF(AQ94="0",BJ94,0)</f>
        <v>0</v>
      </c>
      <c r="AI94" s="10" t="s">
        <v>46</v>
      </c>
      <c r="AN94" s="19">
        <v>21</v>
      </c>
      <c r="AO94" s="19">
        <f>G94*0</f>
        <v>0</v>
      </c>
      <c r="AP94" s="19">
        <f>G94*(1-0)</f>
        <v>0</v>
      </c>
      <c r="AQ94" s="20" t="s">
        <v>49</v>
      </c>
      <c r="AV94" s="19">
        <f>AW94+AX94</f>
        <v>0</v>
      </c>
      <c r="AW94" s="19">
        <f>F94*AO94</f>
        <v>0</v>
      </c>
      <c r="AX94" s="19">
        <f>F94*AP94</f>
        <v>0</v>
      </c>
      <c r="AY94" s="20" t="s">
        <v>242</v>
      </c>
      <c r="AZ94" s="20" t="s">
        <v>243</v>
      </c>
      <c r="BA94" s="10" t="s">
        <v>55</v>
      </c>
      <c r="BC94" s="19">
        <f>AW94+AX94</f>
        <v>0</v>
      </c>
      <c r="BD94" s="19">
        <f>G94/(100-BE94)*100</f>
        <v>0</v>
      </c>
      <c r="BE94" s="19">
        <v>0</v>
      </c>
      <c r="BF94" s="19">
        <f>94</f>
        <v>94</v>
      </c>
      <c r="BH94" s="19">
        <f>F94*AO94</f>
        <v>0</v>
      </c>
      <c r="BI94" s="19">
        <f>F94*AP94</f>
        <v>0</v>
      </c>
      <c r="BJ94" s="19">
        <f>F94*G94</f>
        <v>0</v>
      </c>
      <c r="BK94" s="19"/>
      <c r="BL94" s="19">
        <v>90</v>
      </c>
      <c r="BW94" s="19">
        <v>12</v>
      </c>
      <c r="BX94" s="4" t="s">
        <v>246</v>
      </c>
    </row>
    <row r="95" spans="1:76" ht="13.5" customHeight="1" x14ac:dyDescent="0.25">
      <c r="A95" s="21"/>
      <c r="C95" s="79" t="s">
        <v>247</v>
      </c>
      <c r="D95" s="80"/>
      <c r="E95" s="80"/>
      <c r="F95" s="80"/>
      <c r="G95" s="80"/>
      <c r="H95" s="80"/>
      <c r="I95" s="80"/>
      <c r="J95" s="81"/>
    </row>
    <row r="96" spans="1:76" x14ac:dyDescent="0.25">
      <c r="A96" s="24" t="s">
        <v>46</v>
      </c>
      <c r="B96" s="25" t="s">
        <v>248</v>
      </c>
      <c r="C96" s="77" t="s">
        <v>249</v>
      </c>
      <c r="D96" s="78"/>
      <c r="E96" s="26" t="s">
        <v>31</v>
      </c>
      <c r="F96" s="26" t="s">
        <v>31</v>
      </c>
      <c r="G96" s="26" t="s">
        <v>31</v>
      </c>
      <c r="J96" s="15"/>
      <c r="AI96" s="10" t="s">
        <v>46</v>
      </c>
      <c r="AS96" s="1">
        <f>SUM(AJ97:AJ99)</f>
        <v>0</v>
      </c>
      <c r="AT96" s="1">
        <f>SUM(AK97:AK99)</f>
        <v>0</v>
      </c>
      <c r="AU96" s="1">
        <f>SUM(AL97:AL99)</f>
        <v>0</v>
      </c>
    </row>
    <row r="97" spans="1:76" x14ac:dyDescent="0.25">
      <c r="A97" s="2" t="s">
        <v>250</v>
      </c>
      <c r="B97" s="3" t="s">
        <v>251</v>
      </c>
      <c r="C97" s="63" t="s">
        <v>252</v>
      </c>
      <c r="D97" s="58"/>
      <c r="E97" s="3" t="s">
        <v>70</v>
      </c>
      <c r="F97" s="19">
        <v>2.19</v>
      </c>
      <c r="G97" s="19">
        <v>0</v>
      </c>
      <c r="J97" s="15"/>
      <c r="Z97" s="19">
        <f>IF(AQ97="5",BJ97,0)</f>
        <v>0</v>
      </c>
      <c r="AB97" s="19">
        <f>IF(AQ97="1",BH97,0)</f>
        <v>0</v>
      </c>
      <c r="AC97" s="19">
        <f>IF(AQ97="1",BI97,0)</f>
        <v>0</v>
      </c>
      <c r="AD97" s="19">
        <f>IF(AQ97="7",BH97,0)</f>
        <v>0</v>
      </c>
      <c r="AE97" s="19">
        <f>IF(AQ97="7",BI97,0)</f>
        <v>0</v>
      </c>
      <c r="AF97" s="19">
        <f>IF(AQ97="2",BH97,0)</f>
        <v>0</v>
      </c>
      <c r="AG97" s="19">
        <f>IF(AQ97="2",BI97,0)</f>
        <v>0</v>
      </c>
      <c r="AH97" s="19">
        <f>IF(AQ97="0",BJ97,0)</f>
        <v>0</v>
      </c>
      <c r="AI97" s="10" t="s">
        <v>46</v>
      </c>
      <c r="AN97" s="19">
        <v>21</v>
      </c>
      <c r="AO97" s="19">
        <f>G97*0.069003069</f>
        <v>0</v>
      </c>
      <c r="AP97" s="19">
        <f>G97*(1-0.069003069)</f>
        <v>0</v>
      </c>
      <c r="AQ97" s="20" t="s">
        <v>49</v>
      </c>
      <c r="AV97" s="19">
        <f>AW97+AX97</f>
        <v>0</v>
      </c>
      <c r="AW97" s="19">
        <f>F97*AO97</f>
        <v>0</v>
      </c>
      <c r="AX97" s="19">
        <f>F97*AP97</f>
        <v>0</v>
      </c>
      <c r="AY97" s="20" t="s">
        <v>253</v>
      </c>
      <c r="AZ97" s="20" t="s">
        <v>243</v>
      </c>
      <c r="BA97" s="10" t="s">
        <v>55</v>
      </c>
      <c r="BC97" s="19">
        <f>AW97+AX97</f>
        <v>0</v>
      </c>
      <c r="BD97" s="19">
        <f>G97/(100-BE97)*100</f>
        <v>0</v>
      </c>
      <c r="BE97" s="19">
        <v>0</v>
      </c>
      <c r="BF97" s="19">
        <f>97</f>
        <v>97</v>
      </c>
      <c r="BH97" s="19">
        <f>F97*AO97</f>
        <v>0</v>
      </c>
      <c r="BI97" s="19">
        <f>F97*AP97</f>
        <v>0</v>
      </c>
      <c r="BJ97" s="19">
        <f>F97*G97</f>
        <v>0</v>
      </c>
      <c r="BK97" s="19"/>
      <c r="BL97" s="19">
        <v>96</v>
      </c>
      <c r="BW97" s="19">
        <v>12</v>
      </c>
      <c r="BX97" s="4" t="s">
        <v>252</v>
      </c>
    </row>
    <row r="98" spans="1:76" x14ac:dyDescent="0.25">
      <c r="A98" s="21"/>
      <c r="C98" s="22" t="s">
        <v>254</v>
      </c>
      <c r="D98" s="22" t="s">
        <v>255</v>
      </c>
      <c r="F98" s="23">
        <v>2.19</v>
      </c>
      <c r="J98" s="15"/>
    </row>
    <row r="99" spans="1:76" x14ac:dyDescent="0.25">
      <c r="A99" s="2" t="s">
        <v>256</v>
      </c>
      <c r="B99" s="3" t="s">
        <v>257</v>
      </c>
      <c r="C99" s="63" t="s">
        <v>258</v>
      </c>
      <c r="D99" s="58"/>
      <c r="E99" s="3" t="s">
        <v>70</v>
      </c>
      <c r="F99" s="19">
        <v>1.8</v>
      </c>
      <c r="G99" s="19">
        <v>0</v>
      </c>
      <c r="J99" s="15"/>
      <c r="Z99" s="19">
        <f>IF(AQ99="5",BJ99,0)</f>
        <v>0</v>
      </c>
      <c r="AB99" s="19">
        <f>IF(AQ99="1",BH99,0)</f>
        <v>0</v>
      </c>
      <c r="AC99" s="19">
        <f>IF(AQ99="1",BI99,0)</f>
        <v>0</v>
      </c>
      <c r="AD99" s="19">
        <f>IF(AQ99="7",BH99,0)</f>
        <v>0</v>
      </c>
      <c r="AE99" s="19">
        <f>IF(AQ99="7",BI99,0)</f>
        <v>0</v>
      </c>
      <c r="AF99" s="19">
        <f>IF(AQ99="2",BH99,0)</f>
        <v>0</v>
      </c>
      <c r="AG99" s="19">
        <f>IF(AQ99="2",BI99,0)</f>
        <v>0</v>
      </c>
      <c r="AH99" s="19">
        <f>IF(AQ99="0",BJ99,0)</f>
        <v>0</v>
      </c>
      <c r="AI99" s="10" t="s">
        <v>46</v>
      </c>
      <c r="AN99" s="19">
        <v>21</v>
      </c>
      <c r="AO99" s="19">
        <f>G99*0</f>
        <v>0</v>
      </c>
      <c r="AP99" s="19">
        <f>G99*(1-0)</f>
        <v>0</v>
      </c>
      <c r="AQ99" s="20" t="s">
        <v>49</v>
      </c>
      <c r="AV99" s="19">
        <f>AW99+AX99</f>
        <v>0</v>
      </c>
      <c r="AW99" s="19">
        <f>F99*AO99</f>
        <v>0</v>
      </c>
      <c r="AX99" s="19">
        <f>F99*AP99</f>
        <v>0</v>
      </c>
      <c r="AY99" s="20" t="s">
        <v>253</v>
      </c>
      <c r="AZ99" s="20" t="s">
        <v>243</v>
      </c>
      <c r="BA99" s="10" t="s">
        <v>55</v>
      </c>
      <c r="BC99" s="19">
        <f>AW99+AX99</f>
        <v>0</v>
      </c>
      <c r="BD99" s="19">
        <f>G99/(100-BE99)*100</f>
        <v>0</v>
      </c>
      <c r="BE99" s="19">
        <v>0</v>
      </c>
      <c r="BF99" s="19">
        <f>99</f>
        <v>99</v>
      </c>
      <c r="BH99" s="19">
        <f>F99*AO99</f>
        <v>0</v>
      </c>
      <c r="BI99" s="19">
        <f>F99*AP99</f>
        <v>0</v>
      </c>
      <c r="BJ99" s="19">
        <f>F99*G99</f>
        <v>0</v>
      </c>
      <c r="BK99" s="19"/>
      <c r="BL99" s="19">
        <v>96</v>
      </c>
      <c r="BW99" s="19">
        <v>12</v>
      </c>
      <c r="BX99" s="4" t="s">
        <v>258</v>
      </c>
    </row>
    <row r="100" spans="1:76" x14ac:dyDescent="0.25">
      <c r="A100" s="21"/>
      <c r="C100" s="22" t="s">
        <v>259</v>
      </c>
      <c r="D100" s="22" t="s">
        <v>260</v>
      </c>
      <c r="F100" s="23">
        <v>1.8</v>
      </c>
      <c r="J100" s="15"/>
    </row>
    <row r="101" spans="1:76" x14ac:dyDescent="0.25">
      <c r="A101" s="24" t="s">
        <v>46</v>
      </c>
      <c r="B101" s="25" t="s">
        <v>261</v>
      </c>
      <c r="C101" s="77" t="s">
        <v>262</v>
      </c>
      <c r="D101" s="78"/>
      <c r="E101" s="26" t="s">
        <v>31</v>
      </c>
      <c r="F101" s="26" t="s">
        <v>31</v>
      </c>
      <c r="G101" s="26" t="s">
        <v>31</v>
      </c>
      <c r="J101" s="15"/>
      <c r="AI101" s="10" t="s">
        <v>46</v>
      </c>
      <c r="AS101" s="1">
        <f>SUM(AJ102:AJ107)</f>
        <v>0</v>
      </c>
      <c r="AT101" s="1">
        <f>SUM(AK102:AK107)</f>
        <v>0</v>
      </c>
      <c r="AU101" s="1">
        <f>SUM(AL102:AL107)</f>
        <v>0</v>
      </c>
    </row>
    <row r="102" spans="1:76" x14ac:dyDescent="0.25">
      <c r="A102" s="2" t="s">
        <v>263</v>
      </c>
      <c r="B102" s="3" t="s">
        <v>264</v>
      </c>
      <c r="C102" s="63" t="s">
        <v>265</v>
      </c>
      <c r="D102" s="58"/>
      <c r="E102" s="3" t="s">
        <v>70</v>
      </c>
      <c r="F102" s="19">
        <v>0.56699999999999995</v>
      </c>
      <c r="G102" s="19">
        <v>0</v>
      </c>
      <c r="J102" s="15"/>
      <c r="Z102" s="19">
        <f>IF(AQ102="5",BJ102,0)</f>
        <v>0</v>
      </c>
      <c r="AB102" s="19">
        <f>IF(AQ102="1",BH102,0)</f>
        <v>0</v>
      </c>
      <c r="AC102" s="19">
        <f>IF(AQ102="1",BI102,0)</f>
        <v>0</v>
      </c>
      <c r="AD102" s="19">
        <f>IF(AQ102="7",BH102,0)</f>
        <v>0</v>
      </c>
      <c r="AE102" s="19">
        <f>IF(AQ102="7",BI102,0)</f>
        <v>0</v>
      </c>
      <c r="AF102" s="19">
        <f>IF(AQ102="2",BH102,0)</f>
        <v>0</v>
      </c>
      <c r="AG102" s="19">
        <f>IF(AQ102="2",BI102,0)</f>
        <v>0</v>
      </c>
      <c r="AH102" s="19">
        <f>IF(AQ102="0",BJ102,0)</f>
        <v>0</v>
      </c>
      <c r="AI102" s="10" t="s">
        <v>46</v>
      </c>
      <c r="AN102" s="19">
        <v>21</v>
      </c>
      <c r="AO102" s="19">
        <f>G102*0.01509121</f>
        <v>0</v>
      </c>
      <c r="AP102" s="19">
        <f>G102*(1-0.01509121)</f>
        <v>0</v>
      </c>
      <c r="AQ102" s="20" t="s">
        <v>49</v>
      </c>
      <c r="AV102" s="19">
        <f>AW102+AX102</f>
        <v>0</v>
      </c>
      <c r="AW102" s="19">
        <f>F102*AO102</f>
        <v>0</v>
      </c>
      <c r="AX102" s="19">
        <f>F102*AP102</f>
        <v>0</v>
      </c>
      <c r="AY102" s="20" t="s">
        <v>266</v>
      </c>
      <c r="AZ102" s="20" t="s">
        <v>243</v>
      </c>
      <c r="BA102" s="10" t="s">
        <v>55</v>
      </c>
      <c r="BC102" s="19">
        <f>AW102+AX102</f>
        <v>0</v>
      </c>
      <c r="BD102" s="19">
        <f>G102/(100-BE102)*100</f>
        <v>0</v>
      </c>
      <c r="BE102" s="19">
        <v>0</v>
      </c>
      <c r="BF102" s="19">
        <f>102</f>
        <v>102</v>
      </c>
      <c r="BH102" s="19">
        <f>F102*AO102</f>
        <v>0</v>
      </c>
      <c r="BI102" s="19">
        <f>F102*AP102</f>
        <v>0</v>
      </c>
      <c r="BJ102" s="19">
        <f>F102*G102</f>
        <v>0</v>
      </c>
      <c r="BK102" s="19"/>
      <c r="BL102" s="19">
        <v>97</v>
      </c>
      <c r="BW102" s="19">
        <v>12</v>
      </c>
      <c r="BX102" s="4" t="s">
        <v>265</v>
      </c>
    </row>
    <row r="103" spans="1:76" x14ac:dyDescent="0.25">
      <c r="A103" s="21"/>
      <c r="C103" s="22" t="s">
        <v>201</v>
      </c>
      <c r="D103" s="22" t="s">
        <v>267</v>
      </c>
      <c r="F103" s="23">
        <v>0.56699999999999995</v>
      </c>
      <c r="J103" s="15"/>
    </row>
    <row r="104" spans="1:76" x14ac:dyDescent="0.25">
      <c r="A104" s="2" t="s">
        <v>268</v>
      </c>
      <c r="B104" s="3" t="s">
        <v>269</v>
      </c>
      <c r="C104" s="63" t="s">
        <v>270</v>
      </c>
      <c r="D104" s="58"/>
      <c r="E104" s="3" t="s">
        <v>193</v>
      </c>
      <c r="F104" s="19">
        <v>1</v>
      </c>
      <c r="G104" s="19">
        <v>0</v>
      </c>
      <c r="J104" s="15"/>
      <c r="Z104" s="19">
        <f>IF(AQ104="5",BJ104,0)</f>
        <v>0</v>
      </c>
      <c r="AB104" s="19">
        <f>IF(AQ104="1",BH104,0)</f>
        <v>0</v>
      </c>
      <c r="AC104" s="19">
        <f>IF(AQ104="1",BI104,0)</f>
        <v>0</v>
      </c>
      <c r="AD104" s="19">
        <f>IF(AQ104="7",BH104,0)</f>
        <v>0</v>
      </c>
      <c r="AE104" s="19">
        <f>IF(AQ104="7",BI104,0)</f>
        <v>0</v>
      </c>
      <c r="AF104" s="19">
        <f>IF(AQ104="2",BH104,0)</f>
        <v>0</v>
      </c>
      <c r="AG104" s="19">
        <f>IF(AQ104="2",BI104,0)</f>
        <v>0</v>
      </c>
      <c r="AH104" s="19">
        <f>IF(AQ104="0",BJ104,0)</f>
        <v>0</v>
      </c>
      <c r="AI104" s="10" t="s">
        <v>46</v>
      </c>
      <c r="AN104" s="19">
        <v>21</v>
      </c>
      <c r="AO104" s="19">
        <f>G104*0.327299479</f>
        <v>0</v>
      </c>
      <c r="AP104" s="19">
        <f>G104*(1-0.327299479)</f>
        <v>0</v>
      </c>
      <c r="AQ104" s="20" t="s">
        <v>49</v>
      </c>
      <c r="AV104" s="19">
        <f>AW104+AX104</f>
        <v>0</v>
      </c>
      <c r="AW104" s="19">
        <f>F104*AO104</f>
        <v>0</v>
      </c>
      <c r="AX104" s="19">
        <f>F104*AP104</f>
        <v>0</v>
      </c>
      <c r="AY104" s="20" t="s">
        <v>266</v>
      </c>
      <c r="AZ104" s="20" t="s">
        <v>243</v>
      </c>
      <c r="BA104" s="10" t="s">
        <v>55</v>
      </c>
      <c r="BC104" s="19">
        <f>AW104+AX104</f>
        <v>0</v>
      </c>
      <c r="BD104" s="19">
        <f>G104/(100-BE104)*100</f>
        <v>0</v>
      </c>
      <c r="BE104" s="19">
        <v>0</v>
      </c>
      <c r="BF104" s="19">
        <f>104</f>
        <v>104</v>
      </c>
      <c r="BH104" s="19">
        <f>F104*AO104</f>
        <v>0</v>
      </c>
      <c r="BI104" s="19">
        <f>F104*AP104</f>
        <v>0</v>
      </c>
      <c r="BJ104" s="19">
        <f>F104*G104</f>
        <v>0</v>
      </c>
      <c r="BK104" s="19"/>
      <c r="BL104" s="19">
        <v>97</v>
      </c>
      <c r="BW104" s="19">
        <v>12</v>
      </c>
      <c r="BX104" s="4" t="s">
        <v>270</v>
      </c>
    </row>
    <row r="105" spans="1:76" x14ac:dyDescent="0.25">
      <c r="A105" s="21"/>
      <c r="C105" s="22" t="s">
        <v>46</v>
      </c>
      <c r="D105" s="22" t="s">
        <v>271</v>
      </c>
      <c r="F105" s="23">
        <v>0</v>
      </c>
      <c r="J105" s="15"/>
    </row>
    <row r="106" spans="1:76" x14ac:dyDescent="0.25">
      <c r="A106" s="2" t="s">
        <v>154</v>
      </c>
      <c r="B106" s="3" t="s">
        <v>272</v>
      </c>
      <c r="C106" s="63" t="s">
        <v>273</v>
      </c>
      <c r="D106" s="58"/>
      <c r="E106" s="3" t="s">
        <v>124</v>
      </c>
      <c r="F106" s="19">
        <v>2</v>
      </c>
      <c r="G106" s="19">
        <v>0</v>
      </c>
      <c r="J106" s="15"/>
      <c r="Z106" s="19">
        <f>IF(AQ106="5",BJ106,0)</f>
        <v>0</v>
      </c>
      <c r="AB106" s="19">
        <f>IF(AQ106="1",BH106,0)</f>
        <v>0</v>
      </c>
      <c r="AC106" s="19">
        <f>IF(AQ106="1",BI106,0)</f>
        <v>0</v>
      </c>
      <c r="AD106" s="19">
        <f>IF(AQ106="7",BH106,0)</f>
        <v>0</v>
      </c>
      <c r="AE106" s="19">
        <f>IF(AQ106="7",BI106,0)</f>
        <v>0</v>
      </c>
      <c r="AF106" s="19">
        <f>IF(AQ106="2",BH106,0)</f>
        <v>0</v>
      </c>
      <c r="AG106" s="19">
        <f>IF(AQ106="2",BI106,0)</f>
        <v>0</v>
      </c>
      <c r="AH106" s="19">
        <f>IF(AQ106="0",BJ106,0)</f>
        <v>0</v>
      </c>
      <c r="AI106" s="10" t="s">
        <v>46</v>
      </c>
      <c r="AN106" s="19">
        <v>21</v>
      </c>
      <c r="AO106" s="19">
        <f>G106*0.00844413</f>
        <v>0</v>
      </c>
      <c r="AP106" s="19">
        <f>G106*(1-0.00844413)</f>
        <v>0</v>
      </c>
      <c r="AQ106" s="20" t="s">
        <v>49</v>
      </c>
      <c r="AV106" s="19">
        <f>AW106+AX106</f>
        <v>0</v>
      </c>
      <c r="AW106" s="19">
        <f>F106*AO106</f>
        <v>0</v>
      </c>
      <c r="AX106" s="19">
        <f>F106*AP106</f>
        <v>0</v>
      </c>
      <c r="AY106" s="20" t="s">
        <v>266</v>
      </c>
      <c r="AZ106" s="20" t="s">
        <v>243</v>
      </c>
      <c r="BA106" s="10" t="s">
        <v>55</v>
      </c>
      <c r="BC106" s="19">
        <f>AW106+AX106</f>
        <v>0</v>
      </c>
      <c r="BD106" s="19">
        <f>G106/(100-BE106)*100</f>
        <v>0</v>
      </c>
      <c r="BE106" s="19">
        <v>0</v>
      </c>
      <c r="BF106" s="19">
        <f>106</f>
        <v>106</v>
      </c>
      <c r="BH106" s="19">
        <f>F106*AO106</f>
        <v>0</v>
      </c>
      <c r="BI106" s="19">
        <f>F106*AP106</f>
        <v>0</v>
      </c>
      <c r="BJ106" s="19">
        <f>F106*G106</f>
        <v>0</v>
      </c>
      <c r="BK106" s="19"/>
      <c r="BL106" s="19">
        <v>97</v>
      </c>
      <c r="BW106" s="19">
        <v>12</v>
      </c>
      <c r="BX106" s="4" t="s">
        <v>273</v>
      </c>
    </row>
    <row r="107" spans="1:76" x14ac:dyDescent="0.25">
      <c r="A107" s="2" t="s">
        <v>274</v>
      </c>
      <c r="B107" s="3" t="s">
        <v>275</v>
      </c>
      <c r="C107" s="63" t="s">
        <v>276</v>
      </c>
      <c r="D107" s="58"/>
      <c r="E107" s="3" t="s">
        <v>137</v>
      </c>
      <c r="F107" s="19">
        <v>0.7</v>
      </c>
      <c r="G107" s="19">
        <v>0</v>
      </c>
      <c r="J107" s="15"/>
      <c r="Z107" s="19">
        <f>IF(AQ107="5",BJ107,0)</f>
        <v>0</v>
      </c>
      <c r="AB107" s="19">
        <f>IF(AQ107="1",BH107,0)</f>
        <v>0</v>
      </c>
      <c r="AC107" s="19">
        <f>IF(AQ107="1",BI107,0)</f>
        <v>0</v>
      </c>
      <c r="AD107" s="19">
        <f>IF(AQ107="7",BH107,0)</f>
        <v>0</v>
      </c>
      <c r="AE107" s="19">
        <f>IF(AQ107="7",BI107,0)</f>
        <v>0</v>
      </c>
      <c r="AF107" s="19">
        <f>IF(AQ107="2",BH107,0)</f>
        <v>0</v>
      </c>
      <c r="AG107" s="19">
        <f>IF(AQ107="2",BI107,0)</f>
        <v>0</v>
      </c>
      <c r="AH107" s="19">
        <f>IF(AQ107="0",BJ107,0)</f>
        <v>0</v>
      </c>
      <c r="AI107" s="10" t="s">
        <v>46</v>
      </c>
      <c r="AN107" s="19">
        <v>21</v>
      </c>
      <c r="AO107" s="19">
        <f>G107*0</f>
        <v>0</v>
      </c>
      <c r="AP107" s="19">
        <f>G107*(1-0)</f>
        <v>0</v>
      </c>
      <c r="AQ107" s="20" t="s">
        <v>73</v>
      </c>
      <c r="AV107" s="19">
        <f>AW107+AX107</f>
        <v>0</v>
      </c>
      <c r="AW107" s="19">
        <f>F107*AO107</f>
        <v>0</v>
      </c>
      <c r="AX107" s="19">
        <f>F107*AP107</f>
        <v>0</v>
      </c>
      <c r="AY107" s="20" t="s">
        <v>266</v>
      </c>
      <c r="AZ107" s="20" t="s">
        <v>243</v>
      </c>
      <c r="BA107" s="10" t="s">
        <v>55</v>
      </c>
      <c r="BC107" s="19">
        <f>AW107+AX107</f>
        <v>0</v>
      </c>
      <c r="BD107" s="19">
        <f>G107/(100-BE107)*100</f>
        <v>0</v>
      </c>
      <c r="BE107" s="19">
        <v>0</v>
      </c>
      <c r="BF107" s="19">
        <f>107</f>
        <v>107</v>
      </c>
      <c r="BH107" s="19">
        <f>F107*AO107</f>
        <v>0</v>
      </c>
      <c r="BI107" s="19">
        <f>F107*AP107</f>
        <v>0</v>
      </c>
      <c r="BJ107" s="19">
        <f>F107*G107</f>
        <v>0</v>
      </c>
      <c r="BK107" s="19"/>
      <c r="BL107" s="19">
        <v>97</v>
      </c>
      <c r="BW107" s="19">
        <v>12</v>
      </c>
      <c r="BX107" s="4" t="s">
        <v>276</v>
      </c>
    </row>
    <row r="108" spans="1:76" x14ac:dyDescent="0.25">
      <c r="A108" s="24" t="s">
        <v>46</v>
      </c>
      <c r="B108" s="25" t="s">
        <v>277</v>
      </c>
      <c r="C108" s="77" t="s">
        <v>278</v>
      </c>
      <c r="D108" s="78"/>
      <c r="E108" s="26" t="s">
        <v>31</v>
      </c>
      <c r="F108" s="26" t="s">
        <v>31</v>
      </c>
      <c r="G108" s="26" t="s">
        <v>31</v>
      </c>
      <c r="J108" s="15"/>
      <c r="AI108" s="10" t="s">
        <v>46</v>
      </c>
      <c r="AS108" s="1">
        <f>SUM(AJ109:AJ110)</f>
        <v>0</v>
      </c>
      <c r="AT108" s="1">
        <f>SUM(AK109:AK110)</f>
        <v>0</v>
      </c>
      <c r="AU108" s="1">
        <f>SUM(AL109:AL110)</f>
        <v>0</v>
      </c>
    </row>
    <row r="109" spans="1:76" x14ac:dyDescent="0.25">
      <c r="A109" s="2" t="s">
        <v>279</v>
      </c>
      <c r="B109" s="3" t="s">
        <v>280</v>
      </c>
      <c r="C109" s="63" t="s">
        <v>281</v>
      </c>
      <c r="D109" s="58"/>
      <c r="E109" s="3" t="s">
        <v>282</v>
      </c>
      <c r="F109" s="19">
        <v>1</v>
      </c>
      <c r="G109" s="19">
        <v>0</v>
      </c>
      <c r="J109" s="15"/>
      <c r="Z109" s="19">
        <f>IF(AQ109="5",BJ109,0)</f>
        <v>0</v>
      </c>
      <c r="AB109" s="19">
        <f>IF(AQ109="1",BH109,0)</f>
        <v>0</v>
      </c>
      <c r="AC109" s="19">
        <f>IF(AQ109="1",BI109,0)</f>
        <v>0</v>
      </c>
      <c r="AD109" s="19">
        <f>IF(AQ109="7",BH109,0)</f>
        <v>0</v>
      </c>
      <c r="AE109" s="19">
        <f>IF(AQ109="7",BI109,0)</f>
        <v>0</v>
      </c>
      <c r="AF109" s="19">
        <f>IF(AQ109="2",BH109,0)</f>
        <v>0</v>
      </c>
      <c r="AG109" s="19">
        <f>IF(AQ109="2",BI109,0)</f>
        <v>0</v>
      </c>
      <c r="AH109" s="19">
        <f>IF(AQ109="0",BJ109,0)</f>
        <v>0</v>
      </c>
      <c r="AI109" s="10" t="s">
        <v>46</v>
      </c>
      <c r="AN109" s="19">
        <v>21</v>
      </c>
      <c r="AO109" s="19">
        <f>G109*0</f>
        <v>0</v>
      </c>
      <c r="AP109" s="19">
        <f>G109*(1-0)</f>
        <v>0</v>
      </c>
      <c r="AQ109" s="20" t="s">
        <v>57</v>
      </c>
      <c r="AV109" s="19">
        <f>AW109+AX109</f>
        <v>0</v>
      </c>
      <c r="AW109" s="19">
        <f>F109*AO109</f>
        <v>0</v>
      </c>
      <c r="AX109" s="19">
        <f>F109*AP109</f>
        <v>0</v>
      </c>
      <c r="AY109" s="20" t="s">
        <v>283</v>
      </c>
      <c r="AZ109" s="20" t="s">
        <v>243</v>
      </c>
      <c r="BA109" s="10" t="s">
        <v>55</v>
      </c>
      <c r="BC109" s="19">
        <f>AW109+AX109</f>
        <v>0</v>
      </c>
      <c r="BD109" s="19">
        <f>G109/(100-BE109)*100</f>
        <v>0</v>
      </c>
      <c r="BE109" s="19">
        <v>0</v>
      </c>
      <c r="BF109" s="19">
        <f>109</f>
        <v>109</v>
      </c>
      <c r="BH109" s="19">
        <f>F109*AO109</f>
        <v>0</v>
      </c>
      <c r="BI109" s="19">
        <f>F109*AP109</f>
        <v>0</v>
      </c>
      <c r="BJ109" s="19">
        <f>F109*G109</f>
        <v>0</v>
      </c>
      <c r="BK109" s="19"/>
      <c r="BL109" s="19"/>
      <c r="BW109" s="19">
        <v>12</v>
      </c>
      <c r="BX109" s="4" t="s">
        <v>281</v>
      </c>
    </row>
    <row r="110" spans="1:76" x14ac:dyDescent="0.25">
      <c r="A110" s="2" t="s">
        <v>284</v>
      </c>
      <c r="B110" s="3" t="s">
        <v>285</v>
      </c>
      <c r="C110" s="63" t="s">
        <v>286</v>
      </c>
      <c r="D110" s="58"/>
      <c r="E110" s="3" t="s">
        <v>193</v>
      </c>
      <c r="F110" s="19">
        <v>206.8</v>
      </c>
      <c r="G110" s="19">
        <v>0</v>
      </c>
      <c r="J110" s="15"/>
      <c r="Z110" s="19">
        <f>IF(AQ110="5",BJ110,0)</f>
        <v>0</v>
      </c>
      <c r="AB110" s="19">
        <f>IF(AQ110="1",BH110,0)</f>
        <v>0</v>
      </c>
      <c r="AC110" s="19">
        <f>IF(AQ110="1",BI110,0)</f>
        <v>0</v>
      </c>
      <c r="AD110" s="19">
        <f>IF(AQ110="7",BH110,0)</f>
        <v>0</v>
      </c>
      <c r="AE110" s="19">
        <f>IF(AQ110="7",BI110,0)</f>
        <v>0</v>
      </c>
      <c r="AF110" s="19">
        <f>IF(AQ110="2",BH110,0)</f>
        <v>0</v>
      </c>
      <c r="AG110" s="19">
        <f>IF(AQ110="2",BI110,0)</f>
        <v>0</v>
      </c>
      <c r="AH110" s="19">
        <f>IF(AQ110="0",BJ110,0)</f>
        <v>0</v>
      </c>
      <c r="AI110" s="10" t="s">
        <v>46</v>
      </c>
      <c r="AN110" s="19">
        <v>21</v>
      </c>
      <c r="AO110" s="19">
        <f>G110*0</f>
        <v>0</v>
      </c>
      <c r="AP110" s="19">
        <f>G110*(1-0)</f>
        <v>0</v>
      </c>
      <c r="AQ110" s="20" t="s">
        <v>57</v>
      </c>
      <c r="AV110" s="19">
        <f>AW110+AX110</f>
        <v>0</v>
      </c>
      <c r="AW110" s="19">
        <f>F110*AO110</f>
        <v>0</v>
      </c>
      <c r="AX110" s="19">
        <f>F110*AP110</f>
        <v>0</v>
      </c>
      <c r="AY110" s="20" t="s">
        <v>283</v>
      </c>
      <c r="AZ110" s="20" t="s">
        <v>243</v>
      </c>
      <c r="BA110" s="10" t="s">
        <v>55</v>
      </c>
      <c r="BC110" s="19">
        <f>AW110+AX110</f>
        <v>0</v>
      </c>
      <c r="BD110" s="19">
        <f>G110/(100-BE110)*100</f>
        <v>0</v>
      </c>
      <c r="BE110" s="19">
        <v>0</v>
      </c>
      <c r="BF110" s="19">
        <f>110</f>
        <v>110</v>
      </c>
      <c r="BH110" s="19">
        <f>F110*AO110</f>
        <v>0</v>
      </c>
      <c r="BI110" s="19">
        <f>F110*AP110</f>
        <v>0</v>
      </c>
      <c r="BJ110" s="19">
        <f>F110*G110</f>
        <v>0</v>
      </c>
      <c r="BK110" s="19"/>
      <c r="BL110" s="19"/>
      <c r="BW110" s="19">
        <v>12</v>
      </c>
      <c r="BX110" s="4" t="s">
        <v>286</v>
      </c>
    </row>
    <row r="111" spans="1:76" x14ac:dyDescent="0.25">
      <c r="A111" s="21"/>
      <c r="C111" s="22" t="s">
        <v>287</v>
      </c>
      <c r="D111" s="22" t="s">
        <v>46</v>
      </c>
      <c r="F111" s="23">
        <v>206.8</v>
      </c>
      <c r="J111" s="15"/>
    </row>
    <row r="112" spans="1:76" x14ac:dyDescent="0.25">
      <c r="A112" s="24" t="s">
        <v>46</v>
      </c>
      <c r="B112" s="25" t="s">
        <v>288</v>
      </c>
      <c r="C112" s="77" t="s">
        <v>289</v>
      </c>
      <c r="D112" s="78"/>
      <c r="E112" s="26" t="s">
        <v>31</v>
      </c>
      <c r="F112" s="26" t="s">
        <v>31</v>
      </c>
      <c r="G112" s="26" t="s">
        <v>31</v>
      </c>
      <c r="J112" s="15"/>
      <c r="AI112" s="10" t="s">
        <v>46</v>
      </c>
      <c r="AS112" s="1">
        <f>SUM(AJ113:AJ119)</f>
        <v>0</v>
      </c>
      <c r="AT112" s="1">
        <f>SUM(AK113:AK119)</f>
        <v>0</v>
      </c>
      <c r="AU112" s="1">
        <f>SUM(AL113:AL119)</f>
        <v>0</v>
      </c>
    </row>
    <row r="113" spans="1:76" x14ac:dyDescent="0.25">
      <c r="A113" s="2" t="s">
        <v>290</v>
      </c>
      <c r="B113" s="3" t="s">
        <v>291</v>
      </c>
      <c r="C113" s="63" t="s">
        <v>292</v>
      </c>
      <c r="D113" s="58"/>
      <c r="E113" s="3" t="s">
        <v>193</v>
      </c>
      <c r="F113" s="19">
        <v>519.20000000000005</v>
      </c>
      <c r="G113" s="19">
        <v>0</v>
      </c>
      <c r="J113" s="15"/>
      <c r="Z113" s="19">
        <f>IF(AQ113="5",BJ113,0)</f>
        <v>0</v>
      </c>
      <c r="AB113" s="19">
        <f>IF(AQ113="1",BH113,0)</f>
        <v>0</v>
      </c>
      <c r="AC113" s="19">
        <f>IF(AQ113="1",BI113,0)</f>
        <v>0</v>
      </c>
      <c r="AD113" s="19">
        <f>IF(AQ113="7",BH113,0)</f>
        <v>0</v>
      </c>
      <c r="AE113" s="19">
        <f>IF(AQ113="7",BI113,0)</f>
        <v>0</v>
      </c>
      <c r="AF113" s="19">
        <f>IF(AQ113="2",BH113,0)</f>
        <v>0</v>
      </c>
      <c r="AG113" s="19">
        <f>IF(AQ113="2",BI113,0)</f>
        <v>0</v>
      </c>
      <c r="AH113" s="19">
        <f>IF(AQ113="0",BJ113,0)</f>
        <v>0</v>
      </c>
      <c r="AI113" s="10" t="s">
        <v>46</v>
      </c>
      <c r="AN113" s="19">
        <v>21</v>
      </c>
      <c r="AO113" s="19">
        <f>G113*0</f>
        <v>0</v>
      </c>
      <c r="AP113" s="19">
        <f>G113*(1-0)</f>
        <v>0</v>
      </c>
      <c r="AQ113" s="20" t="s">
        <v>57</v>
      </c>
      <c r="AV113" s="19">
        <f>AW113+AX113</f>
        <v>0</v>
      </c>
      <c r="AW113" s="19">
        <f>F113*AO113</f>
        <v>0</v>
      </c>
      <c r="AX113" s="19">
        <f>F113*AP113</f>
        <v>0</v>
      </c>
      <c r="AY113" s="20" t="s">
        <v>293</v>
      </c>
      <c r="AZ113" s="20" t="s">
        <v>243</v>
      </c>
      <c r="BA113" s="10" t="s">
        <v>55</v>
      </c>
      <c r="BC113" s="19">
        <f>AW113+AX113</f>
        <v>0</v>
      </c>
      <c r="BD113" s="19">
        <f>G113/(100-BE113)*100</f>
        <v>0</v>
      </c>
      <c r="BE113" s="19">
        <v>0</v>
      </c>
      <c r="BF113" s="19">
        <f>113</f>
        <v>113</v>
      </c>
      <c r="BH113" s="19">
        <f>F113*AO113</f>
        <v>0</v>
      </c>
      <c r="BI113" s="19">
        <f>F113*AP113</f>
        <v>0</v>
      </c>
      <c r="BJ113" s="19">
        <f>F113*G113</f>
        <v>0</v>
      </c>
      <c r="BK113" s="19"/>
      <c r="BL113" s="19"/>
      <c r="BW113" s="19">
        <v>12</v>
      </c>
      <c r="BX113" s="4" t="s">
        <v>292</v>
      </c>
    </row>
    <row r="114" spans="1:76" x14ac:dyDescent="0.25">
      <c r="A114" s="21"/>
      <c r="C114" s="22" t="s">
        <v>294</v>
      </c>
      <c r="D114" s="22" t="s">
        <v>46</v>
      </c>
      <c r="F114" s="23">
        <v>519.20000000000005</v>
      </c>
      <c r="J114" s="15"/>
    </row>
    <row r="115" spans="1:76" x14ac:dyDescent="0.25">
      <c r="A115" s="2" t="s">
        <v>295</v>
      </c>
      <c r="B115" s="3" t="s">
        <v>296</v>
      </c>
      <c r="C115" s="63" t="s">
        <v>297</v>
      </c>
      <c r="D115" s="58"/>
      <c r="E115" s="3" t="s">
        <v>193</v>
      </c>
      <c r="F115" s="19">
        <v>140.9</v>
      </c>
      <c r="G115" s="19">
        <v>0</v>
      </c>
      <c r="J115" s="15"/>
      <c r="Z115" s="19">
        <f>IF(AQ115="5",BJ115,0)</f>
        <v>0</v>
      </c>
      <c r="AB115" s="19">
        <f>IF(AQ115="1",BH115,0)</f>
        <v>0</v>
      </c>
      <c r="AC115" s="19">
        <f>IF(AQ115="1",BI115,0)</f>
        <v>0</v>
      </c>
      <c r="AD115" s="19">
        <f>IF(AQ115="7",BH115,0)</f>
        <v>0</v>
      </c>
      <c r="AE115" s="19">
        <f>IF(AQ115="7",BI115,0)</f>
        <v>0</v>
      </c>
      <c r="AF115" s="19">
        <f>IF(AQ115="2",BH115,0)</f>
        <v>0</v>
      </c>
      <c r="AG115" s="19">
        <f>IF(AQ115="2",BI115,0)</f>
        <v>0</v>
      </c>
      <c r="AH115" s="19">
        <f>IF(AQ115="0",BJ115,0)</f>
        <v>0</v>
      </c>
      <c r="AI115" s="10" t="s">
        <v>46</v>
      </c>
      <c r="AN115" s="19">
        <v>21</v>
      </c>
      <c r="AO115" s="19">
        <f>G115*0</f>
        <v>0</v>
      </c>
      <c r="AP115" s="19">
        <f>G115*(1-0)</f>
        <v>0</v>
      </c>
      <c r="AQ115" s="20" t="s">
        <v>57</v>
      </c>
      <c r="AV115" s="19">
        <f>AW115+AX115</f>
        <v>0</v>
      </c>
      <c r="AW115" s="19">
        <f>F115*AO115</f>
        <v>0</v>
      </c>
      <c r="AX115" s="19">
        <f>F115*AP115</f>
        <v>0</v>
      </c>
      <c r="AY115" s="20" t="s">
        <v>293</v>
      </c>
      <c r="AZ115" s="20" t="s">
        <v>243</v>
      </c>
      <c r="BA115" s="10" t="s">
        <v>55</v>
      </c>
      <c r="BC115" s="19">
        <f>AW115+AX115</f>
        <v>0</v>
      </c>
      <c r="BD115" s="19">
        <f>G115/(100-BE115)*100</f>
        <v>0</v>
      </c>
      <c r="BE115" s="19">
        <v>0</v>
      </c>
      <c r="BF115" s="19">
        <f>115</f>
        <v>115</v>
      </c>
      <c r="BH115" s="19">
        <f>F115*AO115</f>
        <v>0</v>
      </c>
      <c r="BI115" s="19">
        <f>F115*AP115</f>
        <v>0</v>
      </c>
      <c r="BJ115" s="19">
        <f>F115*G115</f>
        <v>0</v>
      </c>
      <c r="BK115" s="19"/>
      <c r="BL115" s="19"/>
      <c r="BW115" s="19">
        <v>12</v>
      </c>
      <c r="BX115" s="4" t="s">
        <v>297</v>
      </c>
    </row>
    <row r="116" spans="1:76" x14ac:dyDescent="0.25">
      <c r="A116" s="21"/>
      <c r="C116" s="22" t="s">
        <v>298</v>
      </c>
      <c r="D116" s="22" t="s">
        <v>46</v>
      </c>
      <c r="F116" s="23">
        <v>140.9</v>
      </c>
      <c r="J116" s="15"/>
    </row>
    <row r="117" spans="1:76" x14ac:dyDescent="0.25">
      <c r="A117" s="2" t="s">
        <v>299</v>
      </c>
      <c r="B117" s="3" t="s">
        <v>300</v>
      </c>
      <c r="C117" s="63" t="s">
        <v>301</v>
      </c>
      <c r="D117" s="58"/>
      <c r="E117" s="3" t="s">
        <v>193</v>
      </c>
      <c r="F117" s="19">
        <v>519.20000000000005</v>
      </c>
      <c r="G117" s="19">
        <v>0</v>
      </c>
      <c r="J117" s="15"/>
      <c r="Z117" s="19">
        <f>IF(AQ117="5",BJ117,0)</f>
        <v>0</v>
      </c>
      <c r="AB117" s="19">
        <f>IF(AQ117="1",BH117,0)</f>
        <v>0</v>
      </c>
      <c r="AC117" s="19">
        <f>IF(AQ117="1",BI117,0)</f>
        <v>0</v>
      </c>
      <c r="AD117" s="19">
        <f>IF(AQ117="7",BH117,0)</f>
        <v>0</v>
      </c>
      <c r="AE117" s="19">
        <f>IF(AQ117="7",BI117,0)</f>
        <v>0</v>
      </c>
      <c r="AF117" s="19">
        <f>IF(AQ117="2",BH117,0)</f>
        <v>0</v>
      </c>
      <c r="AG117" s="19">
        <f>IF(AQ117="2",BI117,0)</f>
        <v>0</v>
      </c>
      <c r="AH117" s="19">
        <f>IF(AQ117="0",BJ117,0)</f>
        <v>0</v>
      </c>
      <c r="AI117" s="10" t="s">
        <v>46</v>
      </c>
      <c r="AN117" s="19">
        <v>21</v>
      </c>
      <c r="AO117" s="19">
        <f>G117*0.301867955</f>
        <v>0</v>
      </c>
      <c r="AP117" s="19">
        <f>G117*(1-0.301867955)</f>
        <v>0</v>
      </c>
      <c r="AQ117" s="20" t="s">
        <v>57</v>
      </c>
      <c r="AV117" s="19">
        <f>AW117+AX117</f>
        <v>0</v>
      </c>
      <c r="AW117" s="19">
        <f>F117*AO117</f>
        <v>0</v>
      </c>
      <c r="AX117" s="19">
        <f>F117*AP117</f>
        <v>0</v>
      </c>
      <c r="AY117" s="20" t="s">
        <v>293</v>
      </c>
      <c r="AZ117" s="20" t="s">
        <v>243</v>
      </c>
      <c r="BA117" s="10" t="s">
        <v>55</v>
      </c>
      <c r="BC117" s="19">
        <f>AW117+AX117</f>
        <v>0</v>
      </c>
      <c r="BD117" s="19">
        <f>G117/(100-BE117)*100</f>
        <v>0</v>
      </c>
      <c r="BE117" s="19">
        <v>0</v>
      </c>
      <c r="BF117" s="19">
        <f>117</f>
        <v>117</v>
      </c>
      <c r="BH117" s="19">
        <f>F117*AO117</f>
        <v>0</v>
      </c>
      <c r="BI117" s="19">
        <f>F117*AP117</f>
        <v>0</v>
      </c>
      <c r="BJ117" s="19">
        <f>F117*G117</f>
        <v>0</v>
      </c>
      <c r="BK117" s="19"/>
      <c r="BL117" s="19"/>
      <c r="BW117" s="19">
        <v>12</v>
      </c>
      <c r="BX117" s="4" t="s">
        <v>301</v>
      </c>
    </row>
    <row r="118" spans="1:76" x14ac:dyDescent="0.25">
      <c r="A118" s="21"/>
      <c r="C118" s="22" t="s">
        <v>294</v>
      </c>
      <c r="D118" s="22" t="s">
        <v>46</v>
      </c>
      <c r="F118" s="23">
        <v>519.20000000000005</v>
      </c>
      <c r="J118" s="15"/>
    </row>
    <row r="119" spans="1:76" x14ac:dyDescent="0.25">
      <c r="A119" s="2" t="s">
        <v>302</v>
      </c>
      <c r="B119" s="3" t="s">
        <v>303</v>
      </c>
      <c r="C119" s="63" t="s">
        <v>304</v>
      </c>
      <c r="D119" s="58"/>
      <c r="E119" s="3" t="s">
        <v>193</v>
      </c>
      <c r="F119" s="19">
        <v>140.9</v>
      </c>
      <c r="G119" s="19">
        <v>0</v>
      </c>
      <c r="J119" s="15"/>
      <c r="Z119" s="19">
        <f>IF(AQ119="5",BJ119,0)</f>
        <v>0</v>
      </c>
      <c r="AB119" s="19">
        <f>IF(AQ119="1",BH119,0)</f>
        <v>0</v>
      </c>
      <c r="AC119" s="19">
        <f>IF(AQ119="1",BI119,0)</f>
        <v>0</v>
      </c>
      <c r="AD119" s="19">
        <f>IF(AQ119="7",BH119,0)</f>
        <v>0</v>
      </c>
      <c r="AE119" s="19">
        <f>IF(AQ119="7",BI119,0)</f>
        <v>0</v>
      </c>
      <c r="AF119" s="19">
        <f>IF(AQ119="2",BH119,0)</f>
        <v>0</v>
      </c>
      <c r="AG119" s="19">
        <f>IF(AQ119="2",BI119,0)</f>
        <v>0</v>
      </c>
      <c r="AH119" s="19">
        <f>IF(AQ119="0",BJ119,0)</f>
        <v>0</v>
      </c>
      <c r="AI119" s="10" t="s">
        <v>46</v>
      </c>
      <c r="AN119" s="19">
        <v>21</v>
      </c>
      <c r="AO119" s="19">
        <f>G119*0.266332538</f>
        <v>0</v>
      </c>
      <c r="AP119" s="19">
        <f>G119*(1-0.266332538)</f>
        <v>0</v>
      </c>
      <c r="AQ119" s="20" t="s">
        <v>57</v>
      </c>
      <c r="AV119" s="19">
        <f>AW119+AX119</f>
        <v>0</v>
      </c>
      <c r="AW119" s="19">
        <f>F119*AO119</f>
        <v>0</v>
      </c>
      <c r="AX119" s="19">
        <f>F119*AP119</f>
        <v>0</v>
      </c>
      <c r="AY119" s="20" t="s">
        <v>293</v>
      </c>
      <c r="AZ119" s="20" t="s">
        <v>243</v>
      </c>
      <c r="BA119" s="10" t="s">
        <v>55</v>
      </c>
      <c r="BC119" s="19">
        <f>AW119+AX119</f>
        <v>0</v>
      </c>
      <c r="BD119" s="19">
        <f>G119/(100-BE119)*100</f>
        <v>0</v>
      </c>
      <c r="BE119" s="19">
        <v>0</v>
      </c>
      <c r="BF119" s="19">
        <f>119</f>
        <v>119</v>
      </c>
      <c r="BH119" s="19">
        <f>F119*AO119</f>
        <v>0</v>
      </c>
      <c r="BI119" s="19">
        <f>F119*AP119</f>
        <v>0</v>
      </c>
      <c r="BJ119" s="19">
        <f>F119*G119</f>
        <v>0</v>
      </c>
      <c r="BK119" s="19"/>
      <c r="BL119" s="19"/>
      <c r="BW119" s="19">
        <v>12</v>
      </c>
      <c r="BX119" s="4" t="s">
        <v>304</v>
      </c>
    </row>
    <row r="120" spans="1:76" x14ac:dyDescent="0.25">
      <c r="A120" s="21"/>
      <c r="C120" s="22" t="s">
        <v>298</v>
      </c>
      <c r="D120" s="22" t="s">
        <v>46</v>
      </c>
      <c r="F120" s="23">
        <v>140.9</v>
      </c>
      <c r="J120" s="15"/>
    </row>
    <row r="121" spans="1:76" x14ac:dyDescent="0.25">
      <c r="A121" s="24" t="s">
        <v>46</v>
      </c>
      <c r="B121" s="25" t="s">
        <v>305</v>
      </c>
      <c r="C121" s="77" t="s">
        <v>306</v>
      </c>
      <c r="D121" s="78"/>
      <c r="E121" s="26" t="s">
        <v>31</v>
      </c>
      <c r="F121" s="26" t="s">
        <v>31</v>
      </c>
      <c r="G121" s="26" t="s">
        <v>31</v>
      </c>
      <c r="J121" s="15"/>
      <c r="AI121" s="10" t="s">
        <v>46</v>
      </c>
      <c r="AS121" s="1">
        <f>SUM(AJ122:AJ132)</f>
        <v>0</v>
      </c>
      <c r="AT121" s="1">
        <f>SUM(AK122:AK132)</f>
        <v>0</v>
      </c>
      <c r="AU121" s="1">
        <f>SUM(AL122:AL132)</f>
        <v>0</v>
      </c>
    </row>
    <row r="122" spans="1:76" x14ac:dyDescent="0.25">
      <c r="A122" s="2" t="s">
        <v>307</v>
      </c>
      <c r="B122" s="3" t="s">
        <v>308</v>
      </c>
      <c r="C122" s="63" t="s">
        <v>309</v>
      </c>
      <c r="D122" s="58"/>
      <c r="E122" s="3" t="s">
        <v>137</v>
      </c>
      <c r="F122" s="19">
        <v>68.13</v>
      </c>
      <c r="G122" s="19">
        <v>0</v>
      </c>
      <c r="J122" s="15"/>
      <c r="Z122" s="19">
        <f>IF(AQ122="5",BJ122,0)</f>
        <v>0</v>
      </c>
      <c r="AB122" s="19">
        <f>IF(AQ122="1",BH122,0)</f>
        <v>0</v>
      </c>
      <c r="AC122" s="19">
        <f>IF(AQ122="1",BI122,0)</f>
        <v>0</v>
      </c>
      <c r="AD122" s="19">
        <f>IF(AQ122="7",BH122,0)</f>
        <v>0</v>
      </c>
      <c r="AE122" s="19">
        <f>IF(AQ122="7",BI122,0)</f>
        <v>0</v>
      </c>
      <c r="AF122" s="19">
        <f>IF(AQ122="2",BH122,0)</f>
        <v>0</v>
      </c>
      <c r="AG122" s="19">
        <f>IF(AQ122="2",BI122,0)</f>
        <v>0</v>
      </c>
      <c r="AH122" s="19">
        <f>IF(AQ122="0",BJ122,0)</f>
        <v>0</v>
      </c>
      <c r="AI122" s="10" t="s">
        <v>46</v>
      </c>
      <c r="AN122" s="19">
        <v>21</v>
      </c>
      <c r="AO122" s="19">
        <f>G122*0</f>
        <v>0</v>
      </c>
      <c r="AP122" s="19">
        <f>G122*(1-0)</f>
        <v>0</v>
      </c>
      <c r="AQ122" s="20" t="s">
        <v>73</v>
      </c>
      <c r="AV122" s="19">
        <f>AW122+AX122</f>
        <v>0</v>
      </c>
      <c r="AW122" s="19">
        <f>F122*AO122</f>
        <v>0</v>
      </c>
      <c r="AX122" s="19">
        <f>F122*AP122</f>
        <v>0</v>
      </c>
      <c r="AY122" s="20" t="s">
        <v>310</v>
      </c>
      <c r="AZ122" s="20" t="s">
        <v>243</v>
      </c>
      <c r="BA122" s="10" t="s">
        <v>55</v>
      </c>
      <c r="BC122" s="19">
        <f>AW122+AX122</f>
        <v>0</v>
      </c>
      <c r="BD122" s="19">
        <f>G122/(100-BE122)*100</f>
        <v>0</v>
      </c>
      <c r="BE122" s="19">
        <v>0</v>
      </c>
      <c r="BF122" s="19">
        <f>122</f>
        <v>122</v>
      </c>
      <c r="BH122" s="19">
        <f>F122*AO122</f>
        <v>0</v>
      </c>
      <c r="BI122" s="19">
        <f>F122*AP122</f>
        <v>0</v>
      </c>
      <c r="BJ122" s="19">
        <f>F122*G122</f>
        <v>0</v>
      </c>
      <c r="BK122" s="19"/>
      <c r="BL122" s="19"/>
      <c r="BW122" s="19">
        <v>12</v>
      </c>
      <c r="BX122" s="4" t="s">
        <v>309</v>
      </c>
    </row>
    <row r="123" spans="1:76" x14ac:dyDescent="0.25">
      <c r="A123" s="21"/>
      <c r="C123" s="22" t="s">
        <v>311</v>
      </c>
      <c r="D123" s="22" t="s">
        <v>312</v>
      </c>
      <c r="F123" s="23">
        <v>68.13</v>
      </c>
      <c r="J123" s="15"/>
    </row>
    <row r="124" spans="1:76" x14ac:dyDescent="0.25">
      <c r="A124" s="2" t="s">
        <v>313</v>
      </c>
      <c r="B124" s="3" t="s">
        <v>314</v>
      </c>
      <c r="C124" s="63" t="s">
        <v>315</v>
      </c>
      <c r="D124" s="58"/>
      <c r="E124" s="3" t="s">
        <v>137</v>
      </c>
      <c r="F124" s="19">
        <v>5</v>
      </c>
      <c r="G124" s="19">
        <v>0</v>
      </c>
      <c r="J124" s="15"/>
      <c r="Z124" s="19">
        <f>IF(AQ124="5",BJ124,0)</f>
        <v>0</v>
      </c>
      <c r="AB124" s="19">
        <f>IF(AQ124="1",BH124,0)</f>
        <v>0</v>
      </c>
      <c r="AC124" s="19">
        <f>IF(AQ124="1",BI124,0)</f>
        <v>0</v>
      </c>
      <c r="AD124" s="19">
        <f>IF(AQ124="7",BH124,0)</f>
        <v>0</v>
      </c>
      <c r="AE124" s="19">
        <f>IF(AQ124="7",BI124,0)</f>
        <v>0</v>
      </c>
      <c r="AF124" s="19">
        <f>IF(AQ124="2",BH124,0)</f>
        <v>0</v>
      </c>
      <c r="AG124" s="19">
        <f>IF(AQ124="2",BI124,0)</f>
        <v>0</v>
      </c>
      <c r="AH124" s="19">
        <f>IF(AQ124="0",BJ124,0)</f>
        <v>0</v>
      </c>
      <c r="AI124" s="10" t="s">
        <v>46</v>
      </c>
      <c r="AN124" s="19">
        <v>21</v>
      </c>
      <c r="AO124" s="19">
        <f>G124*0</f>
        <v>0</v>
      </c>
      <c r="AP124" s="19">
        <f>G124*(1-0)</f>
        <v>0</v>
      </c>
      <c r="AQ124" s="20" t="s">
        <v>73</v>
      </c>
      <c r="AV124" s="19">
        <f>AW124+AX124</f>
        <v>0</v>
      </c>
      <c r="AW124" s="19">
        <f>F124*AO124</f>
        <v>0</v>
      </c>
      <c r="AX124" s="19">
        <f>F124*AP124</f>
        <v>0</v>
      </c>
      <c r="AY124" s="20" t="s">
        <v>310</v>
      </c>
      <c r="AZ124" s="20" t="s">
        <v>243</v>
      </c>
      <c r="BA124" s="10" t="s">
        <v>55</v>
      </c>
      <c r="BC124" s="19">
        <f>AW124+AX124</f>
        <v>0</v>
      </c>
      <c r="BD124" s="19">
        <f>G124/(100-BE124)*100</f>
        <v>0</v>
      </c>
      <c r="BE124" s="19">
        <v>0</v>
      </c>
      <c r="BF124" s="19">
        <f>124</f>
        <v>124</v>
      </c>
      <c r="BH124" s="19">
        <f>F124*AO124</f>
        <v>0</v>
      </c>
      <c r="BI124" s="19">
        <f>F124*AP124</f>
        <v>0</v>
      </c>
      <c r="BJ124" s="19">
        <f>F124*G124</f>
        <v>0</v>
      </c>
      <c r="BK124" s="19"/>
      <c r="BL124" s="19"/>
      <c r="BW124" s="19">
        <v>12</v>
      </c>
      <c r="BX124" s="4" t="s">
        <v>315</v>
      </c>
    </row>
    <row r="125" spans="1:76" x14ac:dyDescent="0.25">
      <c r="A125" s="2" t="s">
        <v>316</v>
      </c>
      <c r="B125" s="3" t="s">
        <v>317</v>
      </c>
      <c r="C125" s="63" t="s">
        <v>318</v>
      </c>
      <c r="D125" s="58"/>
      <c r="E125" s="3" t="s">
        <v>137</v>
      </c>
      <c r="F125" s="19">
        <v>5</v>
      </c>
      <c r="G125" s="19">
        <v>0</v>
      </c>
      <c r="J125" s="15"/>
      <c r="Z125" s="19">
        <f>IF(AQ125="5",BJ125,0)</f>
        <v>0</v>
      </c>
      <c r="AB125" s="19">
        <f>IF(AQ125="1",BH125,0)</f>
        <v>0</v>
      </c>
      <c r="AC125" s="19">
        <f>IF(AQ125="1",BI125,0)</f>
        <v>0</v>
      </c>
      <c r="AD125" s="19">
        <f>IF(AQ125="7",BH125,0)</f>
        <v>0</v>
      </c>
      <c r="AE125" s="19">
        <f>IF(AQ125="7",BI125,0)</f>
        <v>0</v>
      </c>
      <c r="AF125" s="19">
        <f>IF(AQ125="2",BH125,0)</f>
        <v>0</v>
      </c>
      <c r="AG125" s="19">
        <f>IF(AQ125="2",BI125,0)</f>
        <v>0</v>
      </c>
      <c r="AH125" s="19">
        <f>IF(AQ125="0",BJ125,0)</f>
        <v>0</v>
      </c>
      <c r="AI125" s="10" t="s">
        <v>46</v>
      </c>
      <c r="AN125" s="19">
        <v>21</v>
      </c>
      <c r="AO125" s="19">
        <f>G125*0</f>
        <v>0</v>
      </c>
      <c r="AP125" s="19">
        <f>G125*(1-0)</f>
        <v>0</v>
      </c>
      <c r="AQ125" s="20" t="s">
        <v>73</v>
      </c>
      <c r="AV125" s="19">
        <f>AW125+AX125</f>
        <v>0</v>
      </c>
      <c r="AW125" s="19">
        <f>F125*AO125</f>
        <v>0</v>
      </c>
      <c r="AX125" s="19">
        <f>F125*AP125</f>
        <v>0</v>
      </c>
      <c r="AY125" s="20" t="s">
        <v>310</v>
      </c>
      <c r="AZ125" s="20" t="s">
        <v>243</v>
      </c>
      <c r="BA125" s="10" t="s">
        <v>55</v>
      </c>
      <c r="BC125" s="19">
        <f>AW125+AX125</f>
        <v>0</v>
      </c>
      <c r="BD125" s="19">
        <f>G125/(100-BE125)*100</f>
        <v>0</v>
      </c>
      <c r="BE125" s="19">
        <v>0</v>
      </c>
      <c r="BF125" s="19">
        <f>125</f>
        <v>125</v>
      </c>
      <c r="BH125" s="19">
        <f>F125*AO125</f>
        <v>0</v>
      </c>
      <c r="BI125" s="19">
        <f>F125*AP125</f>
        <v>0</v>
      </c>
      <c r="BJ125" s="19">
        <f>F125*G125</f>
        <v>0</v>
      </c>
      <c r="BK125" s="19"/>
      <c r="BL125" s="19"/>
      <c r="BW125" s="19">
        <v>12</v>
      </c>
      <c r="BX125" s="4" t="s">
        <v>318</v>
      </c>
    </row>
    <row r="126" spans="1:76" x14ac:dyDescent="0.25">
      <c r="A126" s="2" t="s">
        <v>319</v>
      </c>
      <c r="B126" s="3" t="s">
        <v>320</v>
      </c>
      <c r="C126" s="63" t="s">
        <v>321</v>
      </c>
      <c r="D126" s="58"/>
      <c r="E126" s="3" t="s">
        <v>70</v>
      </c>
      <c r="F126" s="19">
        <v>37.850389999999997</v>
      </c>
      <c r="G126" s="19">
        <v>0</v>
      </c>
      <c r="J126" s="15"/>
      <c r="Z126" s="19">
        <f>IF(AQ126="5",BJ126,0)</f>
        <v>0</v>
      </c>
      <c r="AB126" s="19">
        <f>IF(AQ126="1",BH126,0)</f>
        <v>0</v>
      </c>
      <c r="AC126" s="19">
        <f>IF(AQ126="1",BI126,0)</f>
        <v>0</v>
      </c>
      <c r="AD126" s="19">
        <f>IF(AQ126="7",BH126,0)</f>
        <v>0</v>
      </c>
      <c r="AE126" s="19">
        <f>IF(AQ126="7",BI126,0)</f>
        <v>0</v>
      </c>
      <c r="AF126" s="19">
        <f>IF(AQ126="2",BH126,0)</f>
        <v>0</v>
      </c>
      <c r="AG126" s="19">
        <f>IF(AQ126="2",BI126,0)</f>
        <v>0</v>
      </c>
      <c r="AH126" s="19">
        <f>IF(AQ126="0",BJ126,0)</f>
        <v>0</v>
      </c>
      <c r="AI126" s="10" t="s">
        <v>46</v>
      </c>
      <c r="AN126" s="19">
        <v>21</v>
      </c>
      <c r="AO126" s="19">
        <f>G126*0</f>
        <v>0</v>
      </c>
      <c r="AP126" s="19">
        <f>G126*(1-0)</f>
        <v>0</v>
      </c>
      <c r="AQ126" s="20" t="s">
        <v>49</v>
      </c>
      <c r="AV126" s="19">
        <f>AW126+AX126</f>
        <v>0</v>
      </c>
      <c r="AW126" s="19">
        <f>F126*AO126</f>
        <v>0</v>
      </c>
      <c r="AX126" s="19">
        <f>F126*AP126</f>
        <v>0</v>
      </c>
      <c r="AY126" s="20" t="s">
        <v>310</v>
      </c>
      <c r="AZ126" s="20" t="s">
        <v>243</v>
      </c>
      <c r="BA126" s="10" t="s">
        <v>55</v>
      </c>
      <c r="BC126" s="19">
        <f>AW126+AX126</f>
        <v>0</v>
      </c>
      <c r="BD126" s="19">
        <f>G126/(100-BE126)*100</f>
        <v>0</v>
      </c>
      <c r="BE126" s="19">
        <v>0</v>
      </c>
      <c r="BF126" s="19">
        <f>126</f>
        <v>126</v>
      </c>
      <c r="BH126" s="19">
        <f>F126*AO126</f>
        <v>0</v>
      </c>
      <c r="BI126" s="19">
        <f>F126*AP126</f>
        <v>0</v>
      </c>
      <c r="BJ126" s="19">
        <f>F126*G126</f>
        <v>0</v>
      </c>
      <c r="BK126" s="19"/>
      <c r="BL126" s="19"/>
      <c r="BW126" s="19">
        <v>12</v>
      </c>
      <c r="BX126" s="4" t="s">
        <v>321</v>
      </c>
    </row>
    <row r="127" spans="1:76" ht="13.5" customHeight="1" x14ac:dyDescent="0.25">
      <c r="A127" s="21"/>
      <c r="C127" s="79" t="s">
        <v>322</v>
      </c>
      <c r="D127" s="80"/>
      <c r="E127" s="80"/>
      <c r="F127" s="80"/>
      <c r="G127" s="80"/>
      <c r="H127" s="80"/>
      <c r="I127" s="80"/>
      <c r="J127" s="81"/>
    </row>
    <row r="128" spans="1:76" x14ac:dyDescent="0.25">
      <c r="A128" s="21"/>
      <c r="C128" s="22" t="s">
        <v>323</v>
      </c>
      <c r="D128" s="22" t="s">
        <v>324</v>
      </c>
      <c r="F128" s="23">
        <v>37.850389999999997</v>
      </c>
      <c r="J128" s="15"/>
    </row>
    <row r="129" spans="1:76" x14ac:dyDescent="0.25">
      <c r="A129" s="2" t="s">
        <v>325</v>
      </c>
      <c r="B129" s="3" t="s">
        <v>326</v>
      </c>
      <c r="C129" s="63" t="s">
        <v>327</v>
      </c>
      <c r="D129" s="58"/>
      <c r="E129" s="3" t="s">
        <v>70</v>
      </c>
      <c r="F129" s="19">
        <v>567.75</v>
      </c>
      <c r="G129" s="19">
        <v>0</v>
      </c>
      <c r="J129" s="15"/>
      <c r="Z129" s="19">
        <f>IF(AQ129="5",BJ129,0)</f>
        <v>0</v>
      </c>
      <c r="AB129" s="19">
        <f>IF(AQ129="1",BH129,0)</f>
        <v>0</v>
      </c>
      <c r="AC129" s="19">
        <f>IF(AQ129="1",BI129,0)</f>
        <v>0</v>
      </c>
      <c r="AD129" s="19">
        <f>IF(AQ129="7",BH129,0)</f>
        <v>0</v>
      </c>
      <c r="AE129" s="19">
        <f>IF(AQ129="7",BI129,0)</f>
        <v>0</v>
      </c>
      <c r="AF129" s="19">
        <f>IF(AQ129="2",BH129,0)</f>
        <v>0</v>
      </c>
      <c r="AG129" s="19">
        <f>IF(AQ129="2",BI129,0)</f>
        <v>0</v>
      </c>
      <c r="AH129" s="19">
        <f>IF(AQ129="0",BJ129,0)</f>
        <v>0</v>
      </c>
      <c r="AI129" s="10" t="s">
        <v>46</v>
      </c>
      <c r="AN129" s="19">
        <v>21</v>
      </c>
      <c r="AO129" s="19">
        <f>G129*0</f>
        <v>0</v>
      </c>
      <c r="AP129" s="19">
        <f>G129*(1-0)</f>
        <v>0</v>
      </c>
      <c r="AQ129" s="20" t="s">
        <v>49</v>
      </c>
      <c r="AV129" s="19">
        <f>AW129+AX129</f>
        <v>0</v>
      </c>
      <c r="AW129" s="19">
        <f>F129*AO129</f>
        <v>0</v>
      </c>
      <c r="AX129" s="19">
        <f>F129*AP129</f>
        <v>0</v>
      </c>
      <c r="AY129" s="20" t="s">
        <v>310</v>
      </c>
      <c r="AZ129" s="20" t="s">
        <v>243</v>
      </c>
      <c r="BA129" s="10" t="s">
        <v>55</v>
      </c>
      <c r="BC129" s="19">
        <f>AW129+AX129</f>
        <v>0</v>
      </c>
      <c r="BD129" s="19">
        <f>G129/(100-BE129)*100</f>
        <v>0</v>
      </c>
      <c r="BE129" s="19">
        <v>0</v>
      </c>
      <c r="BF129" s="19">
        <f>129</f>
        <v>129</v>
      </c>
      <c r="BH129" s="19">
        <f>F129*AO129</f>
        <v>0</v>
      </c>
      <c r="BI129" s="19">
        <f>F129*AP129</f>
        <v>0</v>
      </c>
      <c r="BJ129" s="19">
        <f>F129*G129</f>
        <v>0</v>
      </c>
      <c r="BK129" s="19"/>
      <c r="BL129" s="19"/>
      <c r="BW129" s="19">
        <v>12</v>
      </c>
      <c r="BX129" s="4" t="s">
        <v>327</v>
      </c>
    </row>
    <row r="130" spans="1:76" ht="13.5" customHeight="1" x14ac:dyDescent="0.25">
      <c r="A130" s="21"/>
      <c r="C130" s="79" t="s">
        <v>322</v>
      </c>
      <c r="D130" s="80"/>
      <c r="E130" s="80"/>
      <c r="F130" s="80"/>
      <c r="G130" s="80"/>
      <c r="H130" s="80"/>
      <c r="I130" s="80"/>
      <c r="J130" s="81"/>
    </row>
    <row r="131" spans="1:76" x14ac:dyDescent="0.25">
      <c r="A131" s="21"/>
      <c r="C131" s="22" t="s">
        <v>328</v>
      </c>
      <c r="D131" s="22" t="s">
        <v>329</v>
      </c>
      <c r="F131" s="23">
        <v>567.75</v>
      </c>
      <c r="J131" s="15"/>
    </row>
    <row r="132" spans="1:76" x14ac:dyDescent="0.25">
      <c r="A132" s="2" t="s">
        <v>330</v>
      </c>
      <c r="B132" s="3" t="s">
        <v>331</v>
      </c>
      <c r="C132" s="63" t="s">
        <v>332</v>
      </c>
      <c r="D132" s="58"/>
      <c r="E132" s="3" t="s">
        <v>137</v>
      </c>
      <c r="F132" s="19">
        <v>95</v>
      </c>
      <c r="G132" s="19">
        <v>0</v>
      </c>
      <c r="J132" s="15"/>
      <c r="Z132" s="19">
        <f>IF(AQ132="5",BJ132,0)</f>
        <v>0</v>
      </c>
      <c r="AB132" s="19">
        <f>IF(AQ132="1",BH132,0)</f>
        <v>0</v>
      </c>
      <c r="AC132" s="19">
        <f>IF(AQ132="1",BI132,0)</f>
        <v>0</v>
      </c>
      <c r="AD132" s="19">
        <f>IF(AQ132="7",BH132,0)</f>
        <v>0</v>
      </c>
      <c r="AE132" s="19">
        <f>IF(AQ132="7",BI132,0)</f>
        <v>0</v>
      </c>
      <c r="AF132" s="19">
        <f>IF(AQ132="2",BH132,0)</f>
        <v>0</v>
      </c>
      <c r="AG132" s="19">
        <f>IF(AQ132="2",BI132,0)</f>
        <v>0</v>
      </c>
      <c r="AH132" s="19">
        <f>IF(AQ132="0",BJ132,0)</f>
        <v>0</v>
      </c>
      <c r="AI132" s="10" t="s">
        <v>46</v>
      </c>
      <c r="AN132" s="19">
        <v>21</v>
      </c>
      <c r="AO132" s="19">
        <f>G132*0</f>
        <v>0</v>
      </c>
      <c r="AP132" s="19">
        <f>G132*(1-0)</f>
        <v>0</v>
      </c>
      <c r="AQ132" s="20" t="s">
        <v>73</v>
      </c>
      <c r="AV132" s="19">
        <f>AW132+AX132</f>
        <v>0</v>
      </c>
      <c r="AW132" s="19">
        <f>F132*AO132</f>
        <v>0</v>
      </c>
      <c r="AX132" s="19">
        <f>F132*AP132</f>
        <v>0</v>
      </c>
      <c r="AY132" s="20" t="s">
        <v>310</v>
      </c>
      <c r="AZ132" s="20" t="s">
        <v>243</v>
      </c>
      <c r="BA132" s="10" t="s">
        <v>55</v>
      </c>
      <c r="BC132" s="19">
        <f>AW132+AX132</f>
        <v>0</v>
      </c>
      <c r="BD132" s="19">
        <f>G132/(100-BE132)*100</f>
        <v>0</v>
      </c>
      <c r="BE132" s="19">
        <v>0</v>
      </c>
      <c r="BF132" s="19">
        <f>132</f>
        <v>132</v>
      </c>
      <c r="BH132" s="19">
        <f>F132*AO132</f>
        <v>0</v>
      </c>
      <c r="BI132" s="19">
        <f>F132*AP132</f>
        <v>0</v>
      </c>
      <c r="BJ132" s="19">
        <f>F132*G132</f>
        <v>0</v>
      </c>
      <c r="BK132" s="19"/>
      <c r="BL132" s="19"/>
      <c r="BW132" s="19">
        <v>12</v>
      </c>
      <c r="BX132" s="4" t="s">
        <v>332</v>
      </c>
    </row>
    <row r="133" spans="1:76" x14ac:dyDescent="0.25">
      <c r="A133" s="21"/>
      <c r="C133" s="22" t="s">
        <v>333</v>
      </c>
      <c r="D133" s="22" t="s">
        <v>334</v>
      </c>
      <c r="F133" s="23">
        <v>95</v>
      </c>
      <c r="J133" s="15"/>
    </row>
    <row r="134" spans="1:76" x14ac:dyDescent="0.25">
      <c r="A134" s="24" t="s">
        <v>46</v>
      </c>
      <c r="B134" s="25" t="s">
        <v>335</v>
      </c>
      <c r="C134" s="77" t="s">
        <v>336</v>
      </c>
      <c r="D134" s="78"/>
      <c r="E134" s="26" t="s">
        <v>31</v>
      </c>
      <c r="F134" s="26" t="s">
        <v>31</v>
      </c>
      <c r="G134" s="26" t="s">
        <v>31</v>
      </c>
      <c r="J134" s="15"/>
      <c r="AI134" s="10" t="s">
        <v>46</v>
      </c>
      <c r="AS134" s="1">
        <f>SUM(AJ135:AJ152)</f>
        <v>0</v>
      </c>
      <c r="AT134" s="1">
        <f>SUM(AK135:AK152)</f>
        <v>0</v>
      </c>
      <c r="AU134" s="1">
        <f>SUM(AL135:AL152)</f>
        <v>0</v>
      </c>
    </row>
    <row r="135" spans="1:76" x14ac:dyDescent="0.25">
      <c r="A135" s="2" t="s">
        <v>337</v>
      </c>
      <c r="B135" s="3" t="s">
        <v>338</v>
      </c>
      <c r="C135" s="63" t="s">
        <v>339</v>
      </c>
      <c r="D135" s="58"/>
      <c r="E135" s="3" t="s">
        <v>124</v>
      </c>
      <c r="F135" s="19">
        <v>32</v>
      </c>
      <c r="G135" s="19">
        <v>0</v>
      </c>
      <c r="J135" s="15"/>
      <c r="Z135" s="19">
        <f t="shared" ref="Z135:Z152" si="0">IF(AQ135="5",BJ135,0)</f>
        <v>0</v>
      </c>
      <c r="AB135" s="19">
        <f t="shared" ref="AB135:AB152" si="1">IF(AQ135="1",BH135,0)</f>
        <v>0</v>
      </c>
      <c r="AC135" s="19">
        <f t="shared" ref="AC135:AC152" si="2">IF(AQ135="1",BI135,0)</f>
        <v>0</v>
      </c>
      <c r="AD135" s="19">
        <f t="shared" ref="AD135:AD152" si="3">IF(AQ135="7",BH135,0)</f>
        <v>0</v>
      </c>
      <c r="AE135" s="19">
        <f t="shared" ref="AE135:AE152" si="4">IF(AQ135="7",BI135,0)</f>
        <v>0</v>
      </c>
      <c r="AF135" s="19">
        <f t="shared" ref="AF135:AF152" si="5">IF(AQ135="2",BH135,0)</f>
        <v>0</v>
      </c>
      <c r="AG135" s="19">
        <f t="shared" ref="AG135:AG152" si="6">IF(AQ135="2",BI135,0)</f>
        <v>0</v>
      </c>
      <c r="AH135" s="19">
        <f t="shared" ref="AH135:AH152" si="7">IF(AQ135="0",BJ135,0)</f>
        <v>0</v>
      </c>
      <c r="AI135" s="10" t="s">
        <v>46</v>
      </c>
      <c r="AN135" s="19">
        <v>21</v>
      </c>
      <c r="AO135" s="19">
        <f t="shared" ref="AO135:AO152" si="8">G135*1</f>
        <v>0</v>
      </c>
      <c r="AP135" s="19">
        <f t="shared" ref="AP135:AP152" si="9">G135*(1-1)</f>
        <v>0</v>
      </c>
      <c r="AQ135" s="20" t="s">
        <v>340</v>
      </c>
      <c r="AV135" s="19">
        <f t="shared" ref="AV135:AV152" si="10">AW135+AX135</f>
        <v>0</v>
      </c>
      <c r="AW135" s="19">
        <f t="shared" ref="AW135:AW152" si="11">F135*AO135</f>
        <v>0</v>
      </c>
      <c r="AX135" s="19">
        <f t="shared" ref="AX135:AX152" si="12">F135*AP135</f>
        <v>0</v>
      </c>
      <c r="AY135" s="20" t="s">
        <v>341</v>
      </c>
      <c r="AZ135" s="20" t="s">
        <v>342</v>
      </c>
      <c r="BA135" s="10" t="s">
        <v>55</v>
      </c>
      <c r="BC135" s="19">
        <f t="shared" ref="BC135:BC152" si="13">AW135+AX135</f>
        <v>0</v>
      </c>
      <c r="BD135" s="19">
        <f t="shared" ref="BD135:BD152" si="14">G135/(100-BE135)*100</f>
        <v>0</v>
      </c>
      <c r="BE135" s="19">
        <v>0</v>
      </c>
      <c r="BF135" s="19">
        <f>135</f>
        <v>135</v>
      </c>
      <c r="BH135" s="19">
        <f t="shared" ref="BH135:BH152" si="15">F135*AO135</f>
        <v>0</v>
      </c>
      <c r="BI135" s="19">
        <f t="shared" ref="BI135:BI152" si="16">F135*AP135</f>
        <v>0</v>
      </c>
      <c r="BJ135" s="19">
        <f t="shared" ref="BJ135:BJ152" si="17">F135*G135</f>
        <v>0</v>
      </c>
      <c r="BK135" s="19"/>
      <c r="BL135" s="19"/>
      <c r="BW135" s="19">
        <v>12</v>
      </c>
      <c r="BX135" s="4" t="s">
        <v>339</v>
      </c>
    </row>
    <row r="136" spans="1:76" x14ac:dyDescent="0.25">
      <c r="A136" s="2" t="s">
        <v>343</v>
      </c>
      <c r="B136" s="3" t="s">
        <v>344</v>
      </c>
      <c r="C136" s="63" t="s">
        <v>345</v>
      </c>
      <c r="D136" s="58"/>
      <c r="E136" s="3" t="s">
        <v>124</v>
      </c>
      <c r="F136" s="19">
        <v>5</v>
      </c>
      <c r="G136" s="19">
        <v>0</v>
      </c>
      <c r="J136" s="15"/>
      <c r="Z136" s="19">
        <f t="shared" si="0"/>
        <v>0</v>
      </c>
      <c r="AB136" s="19">
        <f t="shared" si="1"/>
        <v>0</v>
      </c>
      <c r="AC136" s="19">
        <f t="shared" si="2"/>
        <v>0</v>
      </c>
      <c r="AD136" s="19">
        <f t="shared" si="3"/>
        <v>0</v>
      </c>
      <c r="AE136" s="19">
        <f t="shared" si="4"/>
        <v>0</v>
      </c>
      <c r="AF136" s="19">
        <f t="shared" si="5"/>
        <v>0</v>
      </c>
      <c r="AG136" s="19">
        <f t="shared" si="6"/>
        <v>0</v>
      </c>
      <c r="AH136" s="19">
        <f t="shared" si="7"/>
        <v>0</v>
      </c>
      <c r="AI136" s="10" t="s">
        <v>46</v>
      </c>
      <c r="AN136" s="19">
        <v>21</v>
      </c>
      <c r="AO136" s="19">
        <f t="shared" si="8"/>
        <v>0</v>
      </c>
      <c r="AP136" s="19">
        <f t="shared" si="9"/>
        <v>0</v>
      </c>
      <c r="AQ136" s="20" t="s">
        <v>340</v>
      </c>
      <c r="AV136" s="19">
        <f t="shared" si="10"/>
        <v>0</v>
      </c>
      <c r="AW136" s="19">
        <f t="shared" si="11"/>
        <v>0</v>
      </c>
      <c r="AX136" s="19">
        <f t="shared" si="12"/>
        <v>0</v>
      </c>
      <c r="AY136" s="20" t="s">
        <v>341</v>
      </c>
      <c r="AZ136" s="20" t="s">
        <v>342</v>
      </c>
      <c r="BA136" s="10" t="s">
        <v>55</v>
      </c>
      <c r="BC136" s="19">
        <f t="shared" si="13"/>
        <v>0</v>
      </c>
      <c r="BD136" s="19">
        <f t="shared" si="14"/>
        <v>0</v>
      </c>
      <c r="BE136" s="19">
        <v>0</v>
      </c>
      <c r="BF136" s="19">
        <f>136</f>
        <v>136</v>
      </c>
      <c r="BH136" s="19">
        <f t="shared" si="15"/>
        <v>0</v>
      </c>
      <c r="BI136" s="19">
        <f t="shared" si="16"/>
        <v>0</v>
      </c>
      <c r="BJ136" s="19">
        <f t="shared" si="17"/>
        <v>0</v>
      </c>
      <c r="BK136" s="19"/>
      <c r="BL136" s="19"/>
      <c r="BW136" s="19">
        <v>12</v>
      </c>
      <c r="BX136" s="4" t="s">
        <v>345</v>
      </c>
    </row>
    <row r="137" spans="1:76" x14ac:dyDescent="0.25">
      <c r="A137" s="2" t="s">
        <v>346</v>
      </c>
      <c r="B137" s="3" t="s">
        <v>347</v>
      </c>
      <c r="C137" s="63" t="s">
        <v>348</v>
      </c>
      <c r="D137" s="58"/>
      <c r="E137" s="3" t="s">
        <v>124</v>
      </c>
      <c r="F137" s="19">
        <v>5</v>
      </c>
      <c r="G137" s="19">
        <v>0</v>
      </c>
      <c r="J137" s="15"/>
      <c r="Z137" s="19">
        <f t="shared" si="0"/>
        <v>0</v>
      </c>
      <c r="AB137" s="19">
        <f t="shared" si="1"/>
        <v>0</v>
      </c>
      <c r="AC137" s="19">
        <f t="shared" si="2"/>
        <v>0</v>
      </c>
      <c r="AD137" s="19">
        <f t="shared" si="3"/>
        <v>0</v>
      </c>
      <c r="AE137" s="19">
        <f t="shared" si="4"/>
        <v>0</v>
      </c>
      <c r="AF137" s="19">
        <f t="shared" si="5"/>
        <v>0</v>
      </c>
      <c r="AG137" s="19">
        <f t="shared" si="6"/>
        <v>0</v>
      </c>
      <c r="AH137" s="19">
        <f t="shared" si="7"/>
        <v>0</v>
      </c>
      <c r="AI137" s="10" t="s">
        <v>46</v>
      </c>
      <c r="AN137" s="19">
        <v>21</v>
      </c>
      <c r="AO137" s="19">
        <f t="shared" si="8"/>
        <v>0</v>
      </c>
      <c r="AP137" s="19">
        <f t="shared" si="9"/>
        <v>0</v>
      </c>
      <c r="AQ137" s="20" t="s">
        <v>340</v>
      </c>
      <c r="AV137" s="19">
        <f t="shared" si="10"/>
        <v>0</v>
      </c>
      <c r="AW137" s="19">
        <f t="shared" si="11"/>
        <v>0</v>
      </c>
      <c r="AX137" s="19">
        <f t="shared" si="12"/>
        <v>0</v>
      </c>
      <c r="AY137" s="20" t="s">
        <v>341</v>
      </c>
      <c r="AZ137" s="20" t="s">
        <v>342</v>
      </c>
      <c r="BA137" s="10" t="s">
        <v>55</v>
      </c>
      <c r="BC137" s="19">
        <f t="shared" si="13"/>
        <v>0</v>
      </c>
      <c r="BD137" s="19">
        <f t="shared" si="14"/>
        <v>0</v>
      </c>
      <c r="BE137" s="19">
        <v>0</v>
      </c>
      <c r="BF137" s="19">
        <f>137</f>
        <v>137</v>
      </c>
      <c r="BH137" s="19">
        <f t="shared" si="15"/>
        <v>0</v>
      </c>
      <c r="BI137" s="19">
        <f t="shared" si="16"/>
        <v>0</v>
      </c>
      <c r="BJ137" s="19">
        <f t="shared" si="17"/>
        <v>0</v>
      </c>
      <c r="BK137" s="19"/>
      <c r="BL137" s="19"/>
      <c r="BW137" s="19">
        <v>12</v>
      </c>
      <c r="BX137" s="4" t="s">
        <v>348</v>
      </c>
    </row>
    <row r="138" spans="1:76" x14ac:dyDescent="0.25">
      <c r="A138" s="2" t="s">
        <v>349</v>
      </c>
      <c r="B138" s="3" t="s">
        <v>350</v>
      </c>
      <c r="C138" s="63" t="s">
        <v>351</v>
      </c>
      <c r="D138" s="58"/>
      <c r="E138" s="3" t="s">
        <v>124</v>
      </c>
      <c r="F138" s="19">
        <v>2</v>
      </c>
      <c r="G138" s="19">
        <v>0</v>
      </c>
      <c r="J138" s="15"/>
      <c r="Z138" s="19">
        <f t="shared" si="0"/>
        <v>0</v>
      </c>
      <c r="AB138" s="19">
        <f t="shared" si="1"/>
        <v>0</v>
      </c>
      <c r="AC138" s="19">
        <f t="shared" si="2"/>
        <v>0</v>
      </c>
      <c r="AD138" s="19">
        <f t="shared" si="3"/>
        <v>0</v>
      </c>
      <c r="AE138" s="19">
        <f t="shared" si="4"/>
        <v>0</v>
      </c>
      <c r="AF138" s="19">
        <f t="shared" si="5"/>
        <v>0</v>
      </c>
      <c r="AG138" s="19">
        <f t="shared" si="6"/>
        <v>0</v>
      </c>
      <c r="AH138" s="19">
        <f t="shared" si="7"/>
        <v>0</v>
      </c>
      <c r="AI138" s="10" t="s">
        <v>46</v>
      </c>
      <c r="AN138" s="19">
        <v>21</v>
      </c>
      <c r="AO138" s="19">
        <f t="shared" si="8"/>
        <v>0</v>
      </c>
      <c r="AP138" s="19">
        <f t="shared" si="9"/>
        <v>0</v>
      </c>
      <c r="AQ138" s="20" t="s">
        <v>340</v>
      </c>
      <c r="AV138" s="19">
        <f t="shared" si="10"/>
        <v>0</v>
      </c>
      <c r="AW138" s="19">
        <f t="shared" si="11"/>
        <v>0</v>
      </c>
      <c r="AX138" s="19">
        <f t="shared" si="12"/>
        <v>0</v>
      </c>
      <c r="AY138" s="20" t="s">
        <v>341</v>
      </c>
      <c r="AZ138" s="20" t="s">
        <v>342</v>
      </c>
      <c r="BA138" s="10" t="s">
        <v>55</v>
      </c>
      <c r="BC138" s="19">
        <f t="shared" si="13"/>
        <v>0</v>
      </c>
      <c r="BD138" s="19">
        <f t="shared" si="14"/>
        <v>0</v>
      </c>
      <c r="BE138" s="19">
        <v>0</v>
      </c>
      <c r="BF138" s="19">
        <f>138</f>
        <v>138</v>
      </c>
      <c r="BH138" s="19">
        <f t="shared" si="15"/>
        <v>0</v>
      </c>
      <c r="BI138" s="19">
        <f t="shared" si="16"/>
        <v>0</v>
      </c>
      <c r="BJ138" s="19">
        <f t="shared" si="17"/>
        <v>0</v>
      </c>
      <c r="BK138" s="19"/>
      <c r="BL138" s="19"/>
      <c r="BW138" s="19">
        <v>12</v>
      </c>
      <c r="BX138" s="4" t="s">
        <v>351</v>
      </c>
    </row>
    <row r="139" spans="1:76" x14ac:dyDescent="0.25">
      <c r="A139" s="2" t="s">
        <v>352</v>
      </c>
      <c r="B139" s="3" t="s">
        <v>350</v>
      </c>
      <c r="C139" s="63" t="s">
        <v>353</v>
      </c>
      <c r="D139" s="58"/>
      <c r="E139" s="3" t="s">
        <v>124</v>
      </c>
      <c r="F139" s="19">
        <v>3</v>
      </c>
      <c r="G139" s="19">
        <v>0</v>
      </c>
      <c r="J139" s="15"/>
      <c r="Z139" s="19">
        <f t="shared" si="0"/>
        <v>0</v>
      </c>
      <c r="AB139" s="19">
        <f t="shared" si="1"/>
        <v>0</v>
      </c>
      <c r="AC139" s="19">
        <f t="shared" si="2"/>
        <v>0</v>
      </c>
      <c r="AD139" s="19">
        <f t="shared" si="3"/>
        <v>0</v>
      </c>
      <c r="AE139" s="19">
        <f t="shared" si="4"/>
        <v>0</v>
      </c>
      <c r="AF139" s="19">
        <f t="shared" si="5"/>
        <v>0</v>
      </c>
      <c r="AG139" s="19">
        <f t="shared" si="6"/>
        <v>0</v>
      </c>
      <c r="AH139" s="19">
        <f t="shared" si="7"/>
        <v>0</v>
      </c>
      <c r="AI139" s="10" t="s">
        <v>46</v>
      </c>
      <c r="AN139" s="19">
        <v>21</v>
      </c>
      <c r="AO139" s="19">
        <f t="shared" si="8"/>
        <v>0</v>
      </c>
      <c r="AP139" s="19">
        <f t="shared" si="9"/>
        <v>0</v>
      </c>
      <c r="AQ139" s="20" t="s">
        <v>340</v>
      </c>
      <c r="AV139" s="19">
        <f t="shared" si="10"/>
        <v>0</v>
      </c>
      <c r="AW139" s="19">
        <f t="shared" si="11"/>
        <v>0</v>
      </c>
      <c r="AX139" s="19">
        <f t="shared" si="12"/>
        <v>0</v>
      </c>
      <c r="AY139" s="20" t="s">
        <v>341</v>
      </c>
      <c r="AZ139" s="20" t="s">
        <v>342</v>
      </c>
      <c r="BA139" s="10" t="s">
        <v>55</v>
      </c>
      <c r="BC139" s="19">
        <f t="shared" si="13"/>
        <v>0</v>
      </c>
      <c r="BD139" s="19">
        <f t="shared" si="14"/>
        <v>0</v>
      </c>
      <c r="BE139" s="19">
        <v>0</v>
      </c>
      <c r="BF139" s="19">
        <f>139</f>
        <v>139</v>
      </c>
      <c r="BH139" s="19">
        <f t="shared" si="15"/>
        <v>0</v>
      </c>
      <c r="BI139" s="19">
        <f t="shared" si="16"/>
        <v>0</v>
      </c>
      <c r="BJ139" s="19">
        <f t="shared" si="17"/>
        <v>0</v>
      </c>
      <c r="BK139" s="19"/>
      <c r="BL139" s="19"/>
      <c r="BW139" s="19">
        <v>12</v>
      </c>
      <c r="BX139" s="4" t="s">
        <v>353</v>
      </c>
    </row>
    <row r="140" spans="1:76" x14ac:dyDescent="0.25">
      <c r="A140" s="2" t="s">
        <v>354</v>
      </c>
      <c r="B140" s="3" t="s">
        <v>355</v>
      </c>
      <c r="C140" s="63" t="s">
        <v>356</v>
      </c>
      <c r="D140" s="58"/>
      <c r="E140" s="3" t="s">
        <v>124</v>
      </c>
      <c r="F140" s="19">
        <v>1</v>
      </c>
      <c r="G140" s="19">
        <v>0</v>
      </c>
      <c r="J140" s="15"/>
      <c r="Z140" s="19">
        <f t="shared" si="0"/>
        <v>0</v>
      </c>
      <c r="AB140" s="19">
        <f t="shared" si="1"/>
        <v>0</v>
      </c>
      <c r="AC140" s="19">
        <f t="shared" si="2"/>
        <v>0</v>
      </c>
      <c r="AD140" s="19">
        <f t="shared" si="3"/>
        <v>0</v>
      </c>
      <c r="AE140" s="19">
        <f t="shared" si="4"/>
        <v>0</v>
      </c>
      <c r="AF140" s="19">
        <f t="shared" si="5"/>
        <v>0</v>
      </c>
      <c r="AG140" s="19">
        <f t="shared" si="6"/>
        <v>0</v>
      </c>
      <c r="AH140" s="19">
        <f t="shared" si="7"/>
        <v>0</v>
      </c>
      <c r="AI140" s="10" t="s">
        <v>46</v>
      </c>
      <c r="AN140" s="19">
        <v>21</v>
      </c>
      <c r="AO140" s="19">
        <f t="shared" si="8"/>
        <v>0</v>
      </c>
      <c r="AP140" s="19">
        <f t="shared" si="9"/>
        <v>0</v>
      </c>
      <c r="AQ140" s="20" t="s">
        <v>340</v>
      </c>
      <c r="AV140" s="19">
        <f t="shared" si="10"/>
        <v>0</v>
      </c>
      <c r="AW140" s="19">
        <f t="shared" si="11"/>
        <v>0</v>
      </c>
      <c r="AX140" s="19">
        <f t="shared" si="12"/>
        <v>0</v>
      </c>
      <c r="AY140" s="20" t="s">
        <v>341</v>
      </c>
      <c r="AZ140" s="20" t="s">
        <v>342</v>
      </c>
      <c r="BA140" s="10" t="s">
        <v>55</v>
      </c>
      <c r="BC140" s="19">
        <f t="shared" si="13"/>
        <v>0</v>
      </c>
      <c r="BD140" s="19">
        <f t="shared" si="14"/>
        <v>0</v>
      </c>
      <c r="BE140" s="19">
        <v>0</v>
      </c>
      <c r="BF140" s="19">
        <f>140</f>
        <v>140</v>
      </c>
      <c r="BH140" s="19">
        <f t="shared" si="15"/>
        <v>0</v>
      </c>
      <c r="BI140" s="19">
        <f t="shared" si="16"/>
        <v>0</v>
      </c>
      <c r="BJ140" s="19">
        <f t="shared" si="17"/>
        <v>0</v>
      </c>
      <c r="BK140" s="19"/>
      <c r="BL140" s="19"/>
      <c r="BW140" s="19">
        <v>12</v>
      </c>
      <c r="BX140" s="4" t="s">
        <v>356</v>
      </c>
    </row>
    <row r="141" spans="1:76" x14ac:dyDescent="0.25">
      <c r="A141" s="2" t="s">
        <v>357</v>
      </c>
      <c r="B141" s="3" t="s">
        <v>358</v>
      </c>
      <c r="C141" s="63" t="s">
        <v>359</v>
      </c>
      <c r="D141" s="58"/>
      <c r="E141" s="3" t="s">
        <v>124</v>
      </c>
      <c r="F141" s="19">
        <v>2</v>
      </c>
      <c r="G141" s="19">
        <v>0</v>
      </c>
      <c r="J141" s="15"/>
      <c r="Z141" s="19">
        <f t="shared" si="0"/>
        <v>0</v>
      </c>
      <c r="AB141" s="19">
        <f t="shared" si="1"/>
        <v>0</v>
      </c>
      <c r="AC141" s="19">
        <f t="shared" si="2"/>
        <v>0</v>
      </c>
      <c r="AD141" s="19">
        <f t="shared" si="3"/>
        <v>0</v>
      </c>
      <c r="AE141" s="19">
        <f t="shared" si="4"/>
        <v>0</v>
      </c>
      <c r="AF141" s="19">
        <f t="shared" si="5"/>
        <v>0</v>
      </c>
      <c r="AG141" s="19">
        <f t="shared" si="6"/>
        <v>0</v>
      </c>
      <c r="AH141" s="19">
        <f t="shared" si="7"/>
        <v>0</v>
      </c>
      <c r="AI141" s="10" t="s">
        <v>46</v>
      </c>
      <c r="AN141" s="19">
        <v>21</v>
      </c>
      <c r="AO141" s="19">
        <f t="shared" si="8"/>
        <v>0</v>
      </c>
      <c r="AP141" s="19">
        <f t="shared" si="9"/>
        <v>0</v>
      </c>
      <c r="AQ141" s="20" t="s">
        <v>340</v>
      </c>
      <c r="AV141" s="19">
        <f t="shared" si="10"/>
        <v>0</v>
      </c>
      <c r="AW141" s="19">
        <f t="shared" si="11"/>
        <v>0</v>
      </c>
      <c r="AX141" s="19">
        <f t="shared" si="12"/>
        <v>0</v>
      </c>
      <c r="AY141" s="20" t="s">
        <v>341</v>
      </c>
      <c r="AZ141" s="20" t="s">
        <v>342</v>
      </c>
      <c r="BA141" s="10" t="s">
        <v>55</v>
      </c>
      <c r="BC141" s="19">
        <f t="shared" si="13"/>
        <v>0</v>
      </c>
      <c r="BD141" s="19">
        <f t="shared" si="14"/>
        <v>0</v>
      </c>
      <c r="BE141" s="19">
        <v>0</v>
      </c>
      <c r="BF141" s="19">
        <f>141</f>
        <v>141</v>
      </c>
      <c r="BH141" s="19">
        <f t="shared" si="15"/>
        <v>0</v>
      </c>
      <c r="BI141" s="19">
        <f t="shared" si="16"/>
        <v>0</v>
      </c>
      <c r="BJ141" s="19">
        <f t="shared" si="17"/>
        <v>0</v>
      </c>
      <c r="BK141" s="19"/>
      <c r="BL141" s="19"/>
      <c r="BW141" s="19">
        <v>12</v>
      </c>
      <c r="BX141" s="4" t="s">
        <v>359</v>
      </c>
    </row>
    <row r="142" spans="1:76" x14ac:dyDescent="0.25">
      <c r="A142" s="2" t="s">
        <v>360</v>
      </c>
      <c r="B142" s="3" t="s">
        <v>361</v>
      </c>
      <c r="C142" s="63" t="s">
        <v>362</v>
      </c>
      <c r="D142" s="58"/>
      <c r="E142" s="3" t="s">
        <v>124</v>
      </c>
      <c r="F142" s="19">
        <v>1</v>
      </c>
      <c r="G142" s="19">
        <v>0</v>
      </c>
      <c r="J142" s="15"/>
      <c r="Z142" s="19">
        <f t="shared" si="0"/>
        <v>0</v>
      </c>
      <c r="AB142" s="19">
        <f t="shared" si="1"/>
        <v>0</v>
      </c>
      <c r="AC142" s="19">
        <f t="shared" si="2"/>
        <v>0</v>
      </c>
      <c r="AD142" s="19">
        <f t="shared" si="3"/>
        <v>0</v>
      </c>
      <c r="AE142" s="19">
        <f t="shared" si="4"/>
        <v>0</v>
      </c>
      <c r="AF142" s="19">
        <f t="shared" si="5"/>
        <v>0</v>
      </c>
      <c r="AG142" s="19">
        <f t="shared" si="6"/>
        <v>0</v>
      </c>
      <c r="AH142" s="19">
        <f t="shared" si="7"/>
        <v>0</v>
      </c>
      <c r="AI142" s="10" t="s">
        <v>46</v>
      </c>
      <c r="AN142" s="19">
        <v>21</v>
      </c>
      <c r="AO142" s="19">
        <f t="shared" si="8"/>
        <v>0</v>
      </c>
      <c r="AP142" s="19">
        <f t="shared" si="9"/>
        <v>0</v>
      </c>
      <c r="AQ142" s="20" t="s">
        <v>340</v>
      </c>
      <c r="AV142" s="19">
        <f t="shared" si="10"/>
        <v>0</v>
      </c>
      <c r="AW142" s="19">
        <f t="shared" si="11"/>
        <v>0</v>
      </c>
      <c r="AX142" s="19">
        <f t="shared" si="12"/>
        <v>0</v>
      </c>
      <c r="AY142" s="20" t="s">
        <v>341</v>
      </c>
      <c r="AZ142" s="20" t="s">
        <v>342</v>
      </c>
      <c r="BA142" s="10" t="s">
        <v>55</v>
      </c>
      <c r="BC142" s="19">
        <f t="shared" si="13"/>
        <v>0</v>
      </c>
      <c r="BD142" s="19">
        <f t="shared" si="14"/>
        <v>0</v>
      </c>
      <c r="BE142" s="19">
        <v>0</v>
      </c>
      <c r="BF142" s="19">
        <f>142</f>
        <v>142</v>
      </c>
      <c r="BH142" s="19">
        <f t="shared" si="15"/>
        <v>0</v>
      </c>
      <c r="BI142" s="19">
        <f t="shared" si="16"/>
        <v>0</v>
      </c>
      <c r="BJ142" s="19">
        <f t="shared" si="17"/>
        <v>0</v>
      </c>
      <c r="BK142" s="19"/>
      <c r="BL142" s="19"/>
      <c r="BW142" s="19">
        <v>12</v>
      </c>
      <c r="BX142" s="4" t="s">
        <v>362</v>
      </c>
    </row>
    <row r="143" spans="1:76" x14ac:dyDescent="0.25">
      <c r="A143" s="2" t="s">
        <v>363</v>
      </c>
      <c r="B143" s="3" t="s">
        <v>364</v>
      </c>
      <c r="C143" s="63" t="s">
        <v>365</v>
      </c>
      <c r="D143" s="58"/>
      <c r="E143" s="3" t="s">
        <v>124</v>
      </c>
      <c r="F143" s="19">
        <v>4</v>
      </c>
      <c r="G143" s="19">
        <v>0</v>
      </c>
      <c r="J143" s="15"/>
      <c r="Z143" s="19">
        <f t="shared" si="0"/>
        <v>0</v>
      </c>
      <c r="AB143" s="19">
        <f t="shared" si="1"/>
        <v>0</v>
      </c>
      <c r="AC143" s="19">
        <f t="shared" si="2"/>
        <v>0</v>
      </c>
      <c r="AD143" s="19">
        <f t="shared" si="3"/>
        <v>0</v>
      </c>
      <c r="AE143" s="19">
        <f t="shared" si="4"/>
        <v>0</v>
      </c>
      <c r="AF143" s="19">
        <f t="shared" si="5"/>
        <v>0</v>
      </c>
      <c r="AG143" s="19">
        <f t="shared" si="6"/>
        <v>0</v>
      </c>
      <c r="AH143" s="19">
        <f t="shared" si="7"/>
        <v>0</v>
      </c>
      <c r="AI143" s="10" t="s">
        <v>46</v>
      </c>
      <c r="AN143" s="19">
        <v>21</v>
      </c>
      <c r="AO143" s="19">
        <f t="shared" si="8"/>
        <v>0</v>
      </c>
      <c r="AP143" s="19">
        <f t="shared" si="9"/>
        <v>0</v>
      </c>
      <c r="AQ143" s="20" t="s">
        <v>340</v>
      </c>
      <c r="AV143" s="19">
        <f t="shared" si="10"/>
        <v>0</v>
      </c>
      <c r="AW143" s="19">
        <f t="shared" si="11"/>
        <v>0</v>
      </c>
      <c r="AX143" s="19">
        <f t="shared" si="12"/>
        <v>0</v>
      </c>
      <c r="AY143" s="20" t="s">
        <v>341</v>
      </c>
      <c r="AZ143" s="20" t="s">
        <v>342</v>
      </c>
      <c r="BA143" s="10" t="s">
        <v>55</v>
      </c>
      <c r="BC143" s="19">
        <f t="shared" si="13"/>
        <v>0</v>
      </c>
      <c r="BD143" s="19">
        <f t="shared" si="14"/>
        <v>0</v>
      </c>
      <c r="BE143" s="19">
        <v>0</v>
      </c>
      <c r="BF143" s="19">
        <f>143</f>
        <v>143</v>
      </c>
      <c r="BH143" s="19">
        <f t="shared" si="15"/>
        <v>0</v>
      </c>
      <c r="BI143" s="19">
        <f t="shared" si="16"/>
        <v>0</v>
      </c>
      <c r="BJ143" s="19">
        <f t="shared" si="17"/>
        <v>0</v>
      </c>
      <c r="BK143" s="19"/>
      <c r="BL143" s="19"/>
      <c r="BW143" s="19">
        <v>12</v>
      </c>
      <c r="BX143" s="4" t="s">
        <v>365</v>
      </c>
    </row>
    <row r="144" spans="1:76" x14ac:dyDescent="0.25">
      <c r="A144" s="2" t="s">
        <v>366</v>
      </c>
      <c r="B144" s="3" t="s">
        <v>367</v>
      </c>
      <c r="C144" s="63" t="s">
        <v>368</v>
      </c>
      <c r="D144" s="58"/>
      <c r="E144" s="3" t="s">
        <v>124</v>
      </c>
      <c r="F144" s="19">
        <v>1</v>
      </c>
      <c r="G144" s="19">
        <v>0</v>
      </c>
      <c r="J144" s="15"/>
      <c r="Z144" s="19">
        <f t="shared" si="0"/>
        <v>0</v>
      </c>
      <c r="AB144" s="19">
        <f t="shared" si="1"/>
        <v>0</v>
      </c>
      <c r="AC144" s="19">
        <f t="shared" si="2"/>
        <v>0</v>
      </c>
      <c r="AD144" s="19">
        <f t="shared" si="3"/>
        <v>0</v>
      </c>
      <c r="AE144" s="19">
        <f t="shared" si="4"/>
        <v>0</v>
      </c>
      <c r="AF144" s="19">
        <f t="shared" si="5"/>
        <v>0</v>
      </c>
      <c r="AG144" s="19">
        <f t="shared" si="6"/>
        <v>0</v>
      </c>
      <c r="AH144" s="19">
        <f t="shared" si="7"/>
        <v>0</v>
      </c>
      <c r="AI144" s="10" t="s">
        <v>46</v>
      </c>
      <c r="AN144" s="19">
        <v>21</v>
      </c>
      <c r="AO144" s="19">
        <f t="shared" si="8"/>
        <v>0</v>
      </c>
      <c r="AP144" s="19">
        <f t="shared" si="9"/>
        <v>0</v>
      </c>
      <c r="AQ144" s="20" t="s">
        <v>340</v>
      </c>
      <c r="AV144" s="19">
        <f t="shared" si="10"/>
        <v>0</v>
      </c>
      <c r="AW144" s="19">
        <f t="shared" si="11"/>
        <v>0</v>
      </c>
      <c r="AX144" s="19">
        <f t="shared" si="12"/>
        <v>0</v>
      </c>
      <c r="AY144" s="20" t="s">
        <v>341</v>
      </c>
      <c r="AZ144" s="20" t="s">
        <v>342</v>
      </c>
      <c r="BA144" s="10" t="s">
        <v>55</v>
      </c>
      <c r="BC144" s="19">
        <f t="shared" si="13"/>
        <v>0</v>
      </c>
      <c r="BD144" s="19">
        <f t="shared" si="14"/>
        <v>0</v>
      </c>
      <c r="BE144" s="19">
        <v>0</v>
      </c>
      <c r="BF144" s="19">
        <f>144</f>
        <v>144</v>
      </c>
      <c r="BH144" s="19">
        <f t="shared" si="15"/>
        <v>0</v>
      </c>
      <c r="BI144" s="19">
        <f t="shared" si="16"/>
        <v>0</v>
      </c>
      <c r="BJ144" s="19">
        <f t="shared" si="17"/>
        <v>0</v>
      </c>
      <c r="BK144" s="19"/>
      <c r="BL144" s="19"/>
      <c r="BW144" s="19">
        <v>12</v>
      </c>
      <c r="BX144" s="4" t="s">
        <v>368</v>
      </c>
    </row>
    <row r="145" spans="1:76" x14ac:dyDescent="0.25">
      <c r="A145" s="2" t="s">
        <v>369</v>
      </c>
      <c r="B145" s="3" t="s">
        <v>370</v>
      </c>
      <c r="C145" s="63" t="s">
        <v>371</v>
      </c>
      <c r="D145" s="58"/>
      <c r="E145" s="3" t="s">
        <v>124</v>
      </c>
      <c r="F145" s="19">
        <v>1</v>
      </c>
      <c r="G145" s="19">
        <v>0</v>
      </c>
      <c r="J145" s="15"/>
      <c r="Z145" s="19">
        <f t="shared" si="0"/>
        <v>0</v>
      </c>
      <c r="AB145" s="19">
        <f t="shared" si="1"/>
        <v>0</v>
      </c>
      <c r="AC145" s="19">
        <f t="shared" si="2"/>
        <v>0</v>
      </c>
      <c r="AD145" s="19">
        <f t="shared" si="3"/>
        <v>0</v>
      </c>
      <c r="AE145" s="19">
        <f t="shared" si="4"/>
        <v>0</v>
      </c>
      <c r="AF145" s="19">
        <f t="shared" si="5"/>
        <v>0</v>
      </c>
      <c r="AG145" s="19">
        <f t="shared" si="6"/>
        <v>0</v>
      </c>
      <c r="AH145" s="19">
        <f t="shared" si="7"/>
        <v>0</v>
      </c>
      <c r="AI145" s="10" t="s">
        <v>46</v>
      </c>
      <c r="AN145" s="19">
        <v>21</v>
      </c>
      <c r="AO145" s="19">
        <f t="shared" si="8"/>
        <v>0</v>
      </c>
      <c r="AP145" s="19">
        <f t="shared" si="9"/>
        <v>0</v>
      </c>
      <c r="AQ145" s="20" t="s">
        <v>340</v>
      </c>
      <c r="AV145" s="19">
        <f t="shared" si="10"/>
        <v>0</v>
      </c>
      <c r="AW145" s="19">
        <f t="shared" si="11"/>
        <v>0</v>
      </c>
      <c r="AX145" s="19">
        <f t="shared" si="12"/>
        <v>0</v>
      </c>
      <c r="AY145" s="20" t="s">
        <v>341</v>
      </c>
      <c r="AZ145" s="20" t="s">
        <v>342</v>
      </c>
      <c r="BA145" s="10" t="s">
        <v>55</v>
      </c>
      <c r="BC145" s="19">
        <f t="shared" si="13"/>
        <v>0</v>
      </c>
      <c r="BD145" s="19">
        <f t="shared" si="14"/>
        <v>0</v>
      </c>
      <c r="BE145" s="19">
        <v>0</v>
      </c>
      <c r="BF145" s="19">
        <f>145</f>
        <v>145</v>
      </c>
      <c r="BH145" s="19">
        <f t="shared" si="15"/>
        <v>0</v>
      </c>
      <c r="BI145" s="19">
        <f t="shared" si="16"/>
        <v>0</v>
      </c>
      <c r="BJ145" s="19">
        <f t="shared" si="17"/>
        <v>0</v>
      </c>
      <c r="BK145" s="19"/>
      <c r="BL145" s="19"/>
      <c r="BW145" s="19">
        <v>12</v>
      </c>
      <c r="BX145" s="4" t="s">
        <v>371</v>
      </c>
    </row>
    <row r="146" spans="1:76" x14ac:dyDescent="0.25">
      <c r="A146" s="2" t="s">
        <v>372</v>
      </c>
      <c r="B146" s="3" t="s">
        <v>373</v>
      </c>
      <c r="C146" s="63" t="s">
        <v>374</v>
      </c>
      <c r="D146" s="58"/>
      <c r="E146" s="3" t="s">
        <v>124</v>
      </c>
      <c r="F146" s="19">
        <v>8</v>
      </c>
      <c r="G146" s="19">
        <v>0</v>
      </c>
      <c r="J146" s="15"/>
      <c r="Z146" s="19">
        <f t="shared" si="0"/>
        <v>0</v>
      </c>
      <c r="AB146" s="19">
        <f t="shared" si="1"/>
        <v>0</v>
      </c>
      <c r="AC146" s="19">
        <f t="shared" si="2"/>
        <v>0</v>
      </c>
      <c r="AD146" s="19">
        <f t="shared" si="3"/>
        <v>0</v>
      </c>
      <c r="AE146" s="19">
        <f t="shared" si="4"/>
        <v>0</v>
      </c>
      <c r="AF146" s="19">
        <f t="shared" si="5"/>
        <v>0</v>
      </c>
      <c r="AG146" s="19">
        <f t="shared" si="6"/>
        <v>0</v>
      </c>
      <c r="AH146" s="19">
        <f t="shared" si="7"/>
        <v>0</v>
      </c>
      <c r="AI146" s="10" t="s">
        <v>46</v>
      </c>
      <c r="AN146" s="19">
        <v>21</v>
      </c>
      <c r="AO146" s="19">
        <f t="shared" si="8"/>
        <v>0</v>
      </c>
      <c r="AP146" s="19">
        <f t="shared" si="9"/>
        <v>0</v>
      </c>
      <c r="AQ146" s="20" t="s">
        <v>340</v>
      </c>
      <c r="AV146" s="19">
        <f t="shared" si="10"/>
        <v>0</v>
      </c>
      <c r="AW146" s="19">
        <f t="shared" si="11"/>
        <v>0</v>
      </c>
      <c r="AX146" s="19">
        <f t="shared" si="12"/>
        <v>0</v>
      </c>
      <c r="AY146" s="20" t="s">
        <v>341</v>
      </c>
      <c r="AZ146" s="20" t="s">
        <v>342</v>
      </c>
      <c r="BA146" s="10" t="s">
        <v>55</v>
      </c>
      <c r="BC146" s="19">
        <f t="shared" si="13"/>
        <v>0</v>
      </c>
      <c r="BD146" s="19">
        <f t="shared" si="14"/>
        <v>0</v>
      </c>
      <c r="BE146" s="19">
        <v>0</v>
      </c>
      <c r="BF146" s="19">
        <f>146</f>
        <v>146</v>
      </c>
      <c r="BH146" s="19">
        <f t="shared" si="15"/>
        <v>0</v>
      </c>
      <c r="BI146" s="19">
        <f t="shared" si="16"/>
        <v>0</v>
      </c>
      <c r="BJ146" s="19">
        <f t="shared" si="17"/>
        <v>0</v>
      </c>
      <c r="BK146" s="19"/>
      <c r="BL146" s="19"/>
      <c r="BW146" s="19">
        <v>12</v>
      </c>
      <c r="BX146" s="4" t="s">
        <v>374</v>
      </c>
    </row>
    <row r="147" spans="1:76" x14ac:dyDescent="0.25">
      <c r="A147" s="2" t="s">
        <v>375</v>
      </c>
      <c r="B147" s="3" t="s">
        <v>376</v>
      </c>
      <c r="C147" s="63" t="s">
        <v>377</v>
      </c>
      <c r="D147" s="58"/>
      <c r="E147" s="3" t="s">
        <v>124</v>
      </c>
      <c r="F147" s="19">
        <v>2</v>
      </c>
      <c r="G147" s="19">
        <v>0</v>
      </c>
      <c r="J147" s="15"/>
      <c r="Z147" s="19">
        <f t="shared" si="0"/>
        <v>0</v>
      </c>
      <c r="AB147" s="19">
        <f t="shared" si="1"/>
        <v>0</v>
      </c>
      <c r="AC147" s="19">
        <f t="shared" si="2"/>
        <v>0</v>
      </c>
      <c r="AD147" s="19">
        <f t="shared" si="3"/>
        <v>0</v>
      </c>
      <c r="AE147" s="19">
        <f t="shared" si="4"/>
        <v>0</v>
      </c>
      <c r="AF147" s="19">
        <f t="shared" si="5"/>
        <v>0</v>
      </c>
      <c r="AG147" s="19">
        <f t="shared" si="6"/>
        <v>0</v>
      </c>
      <c r="AH147" s="19">
        <f t="shared" si="7"/>
        <v>0</v>
      </c>
      <c r="AI147" s="10" t="s">
        <v>46</v>
      </c>
      <c r="AN147" s="19">
        <v>21</v>
      </c>
      <c r="AO147" s="19">
        <f t="shared" si="8"/>
        <v>0</v>
      </c>
      <c r="AP147" s="19">
        <f t="shared" si="9"/>
        <v>0</v>
      </c>
      <c r="AQ147" s="20" t="s">
        <v>340</v>
      </c>
      <c r="AV147" s="19">
        <f t="shared" si="10"/>
        <v>0</v>
      </c>
      <c r="AW147" s="19">
        <f t="shared" si="11"/>
        <v>0</v>
      </c>
      <c r="AX147" s="19">
        <f t="shared" si="12"/>
        <v>0</v>
      </c>
      <c r="AY147" s="20" t="s">
        <v>341</v>
      </c>
      <c r="AZ147" s="20" t="s">
        <v>342</v>
      </c>
      <c r="BA147" s="10" t="s">
        <v>55</v>
      </c>
      <c r="BC147" s="19">
        <f t="shared" si="13"/>
        <v>0</v>
      </c>
      <c r="BD147" s="19">
        <f t="shared" si="14"/>
        <v>0</v>
      </c>
      <c r="BE147" s="19">
        <v>0</v>
      </c>
      <c r="BF147" s="19">
        <f>147</f>
        <v>147</v>
      </c>
      <c r="BH147" s="19">
        <f t="shared" si="15"/>
        <v>0</v>
      </c>
      <c r="BI147" s="19">
        <f t="shared" si="16"/>
        <v>0</v>
      </c>
      <c r="BJ147" s="19">
        <f t="shared" si="17"/>
        <v>0</v>
      </c>
      <c r="BK147" s="19"/>
      <c r="BL147" s="19"/>
      <c r="BW147" s="19">
        <v>12</v>
      </c>
      <c r="BX147" s="4" t="s">
        <v>377</v>
      </c>
    </row>
    <row r="148" spans="1:76" x14ac:dyDescent="0.25">
      <c r="A148" s="2" t="s">
        <v>378</v>
      </c>
      <c r="B148" s="3" t="s">
        <v>379</v>
      </c>
      <c r="C148" s="63" t="s">
        <v>380</v>
      </c>
      <c r="D148" s="58"/>
      <c r="E148" s="3" t="s">
        <v>124</v>
      </c>
      <c r="F148" s="19">
        <v>8</v>
      </c>
      <c r="G148" s="19">
        <v>0</v>
      </c>
      <c r="J148" s="15"/>
      <c r="Z148" s="19">
        <f t="shared" si="0"/>
        <v>0</v>
      </c>
      <c r="AB148" s="19">
        <f t="shared" si="1"/>
        <v>0</v>
      </c>
      <c r="AC148" s="19">
        <f t="shared" si="2"/>
        <v>0</v>
      </c>
      <c r="AD148" s="19">
        <f t="shared" si="3"/>
        <v>0</v>
      </c>
      <c r="AE148" s="19">
        <f t="shared" si="4"/>
        <v>0</v>
      </c>
      <c r="AF148" s="19">
        <f t="shared" si="5"/>
        <v>0</v>
      </c>
      <c r="AG148" s="19">
        <f t="shared" si="6"/>
        <v>0</v>
      </c>
      <c r="AH148" s="19">
        <f t="shared" si="7"/>
        <v>0</v>
      </c>
      <c r="AI148" s="10" t="s">
        <v>46</v>
      </c>
      <c r="AN148" s="19">
        <v>21</v>
      </c>
      <c r="AO148" s="19">
        <f t="shared" si="8"/>
        <v>0</v>
      </c>
      <c r="AP148" s="19">
        <f t="shared" si="9"/>
        <v>0</v>
      </c>
      <c r="AQ148" s="20" t="s">
        <v>340</v>
      </c>
      <c r="AV148" s="19">
        <f t="shared" si="10"/>
        <v>0</v>
      </c>
      <c r="AW148" s="19">
        <f t="shared" si="11"/>
        <v>0</v>
      </c>
      <c r="AX148" s="19">
        <f t="shared" si="12"/>
        <v>0</v>
      </c>
      <c r="AY148" s="20" t="s">
        <v>341</v>
      </c>
      <c r="AZ148" s="20" t="s">
        <v>342</v>
      </c>
      <c r="BA148" s="10" t="s">
        <v>55</v>
      </c>
      <c r="BC148" s="19">
        <f t="shared" si="13"/>
        <v>0</v>
      </c>
      <c r="BD148" s="19">
        <f t="shared" si="14"/>
        <v>0</v>
      </c>
      <c r="BE148" s="19">
        <v>0</v>
      </c>
      <c r="BF148" s="19">
        <f>148</f>
        <v>148</v>
      </c>
      <c r="BH148" s="19">
        <f t="shared" si="15"/>
        <v>0</v>
      </c>
      <c r="BI148" s="19">
        <f t="shared" si="16"/>
        <v>0</v>
      </c>
      <c r="BJ148" s="19">
        <f t="shared" si="17"/>
        <v>0</v>
      </c>
      <c r="BK148" s="19"/>
      <c r="BL148" s="19"/>
      <c r="BW148" s="19">
        <v>12</v>
      </c>
      <c r="BX148" s="4" t="s">
        <v>380</v>
      </c>
    </row>
    <row r="149" spans="1:76" x14ac:dyDescent="0.25">
      <c r="A149" s="2" t="s">
        <v>381</v>
      </c>
      <c r="B149" s="3" t="s">
        <v>382</v>
      </c>
      <c r="C149" s="63" t="s">
        <v>383</v>
      </c>
      <c r="D149" s="58"/>
      <c r="E149" s="3" t="s">
        <v>124</v>
      </c>
      <c r="F149" s="19">
        <v>2</v>
      </c>
      <c r="G149" s="19">
        <v>0</v>
      </c>
      <c r="J149" s="15"/>
      <c r="Z149" s="19">
        <f t="shared" si="0"/>
        <v>0</v>
      </c>
      <c r="AB149" s="19">
        <f t="shared" si="1"/>
        <v>0</v>
      </c>
      <c r="AC149" s="19">
        <f t="shared" si="2"/>
        <v>0</v>
      </c>
      <c r="AD149" s="19">
        <f t="shared" si="3"/>
        <v>0</v>
      </c>
      <c r="AE149" s="19">
        <f t="shared" si="4"/>
        <v>0</v>
      </c>
      <c r="AF149" s="19">
        <f t="shared" si="5"/>
        <v>0</v>
      </c>
      <c r="AG149" s="19">
        <f t="shared" si="6"/>
        <v>0</v>
      </c>
      <c r="AH149" s="19">
        <f t="shared" si="7"/>
        <v>0</v>
      </c>
      <c r="AI149" s="10" t="s">
        <v>46</v>
      </c>
      <c r="AN149" s="19">
        <v>21</v>
      </c>
      <c r="AO149" s="19">
        <f t="shared" si="8"/>
        <v>0</v>
      </c>
      <c r="AP149" s="19">
        <f t="shared" si="9"/>
        <v>0</v>
      </c>
      <c r="AQ149" s="20" t="s">
        <v>340</v>
      </c>
      <c r="AV149" s="19">
        <f t="shared" si="10"/>
        <v>0</v>
      </c>
      <c r="AW149" s="19">
        <f t="shared" si="11"/>
        <v>0</v>
      </c>
      <c r="AX149" s="19">
        <f t="shared" si="12"/>
        <v>0</v>
      </c>
      <c r="AY149" s="20" t="s">
        <v>341</v>
      </c>
      <c r="AZ149" s="20" t="s">
        <v>342</v>
      </c>
      <c r="BA149" s="10" t="s">
        <v>55</v>
      </c>
      <c r="BC149" s="19">
        <f t="shared" si="13"/>
        <v>0</v>
      </c>
      <c r="BD149" s="19">
        <f t="shared" si="14"/>
        <v>0</v>
      </c>
      <c r="BE149" s="19">
        <v>0</v>
      </c>
      <c r="BF149" s="19">
        <f>149</f>
        <v>149</v>
      </c>
      <c r="BH149" s="19">
        <f t="shared" si="15"/>
        <v>0</v>
      </c>
      <c r="BI149" s="19">
        <f t="shared" si="16"/>
        <v>0</v>
      </c>
      <c r="BJ149" s="19">
        <f t="shared" si="17"/>
        <v>0</v>
      </c>
      <c r="BK149" s="19"/>
      <c r="BL149" s="19"/>
      <c r="BW149" s="19">
        <v>12</v>
      </c>
      <c r="BX149" s="4" t="s">
        <v>383</v>
      </c>
    </row>
    <row r="150" spans="1:76" x14ac:dyDescent="0.25">
      <c r="A150" s="2" t="s">
        <v>384</v>
      </c>
      <c r="B150" s="3" t="s">
        <v>385</v>
      </c>
      <c r="C150" s="63" t="s">
        <v>386</v>
      </c>
      <c r="D150" s="58"/>
      <c r="E150" s="3" t="s">
        <v>124</v>
      </c>
      <c r="F150" s="19">
        <v>8</v>
      </c>
      <c r="G150" s="19">
        <v>0</v>
      </c>
      <c r="J150" s="15"/>
      <c r="Z150" s="19">
        <f t="shared" si="0"/>
        <v>0</v>
      </c>
      <c r="AB150" s="19">
        <f t="shared" si="1"/>
        <v>0</v>
      </c>
      <c r="AC150" s="19">
        <f t="shared" si="2"/>
        <v>0</v>
      </c>
      <c r="AD150" s="19">
        <f t="shared" si="3"/>
        <v>0</v>
      </c>
      <c r="AE150" s="19">
        <f t="shared" si="4"/>
        <v>0</v>
      </c>
      <c r="AF150" s="19">
        <f t="shared" si="5"/>
        <v>0</v>
      </c>
      <c r="AG150" s="19">
        <f t="shared" si="6"/>
        <v>0</v>
      </c>
      <c r="AH150" s="19">
        <f t="shared" si="7"/>
        <v>0</v>
      </c>
      <c r="AI150" s="10" t="s">
        <v>46</v>
      </c>
      <c r="AN150" s="19">
        <v>21</v>
      </c>
      <c r="AO150" s="19">
        <f t="shared" si="8"/>
        <v>0</v>
      </c>
      <c r="AP150" s="19">
        <f t="shared" si="9"/>
        <v>0</v>
      </c>
      <c r="AQ150" s="20" t="s">
        <v>340</v>
      </c>
      <c r="AV150" s="19">
        <f t="shared" si="10"/>
        <v>0</v>
      </c>
      <c r="AW150" s="19">
        <f t="shared" si="11"/>
        <v>0</v>
      </c>
      <c r="AX150" s="19">
        <f t="shared" si="12"/>
        <v>0</v>
      </c>
      <c r="AY150" s="20" t="s">
        <v>341</v>
      </c>
      <c r="AZ150" s="20" t="s">
        <v>342</v>
      </c>
      <c r="BA150" s="10" t="s">
        <v>55</v>
      </c>
      <c r="BC150" s="19">
        <f t="shared" si="13"/>
        <v>0</v>
      </c>
      <c r="BD150" s="19">
        <f t="shared" si="14"/>
        <v>0</v>
      </c>
      <c r="BE150" s="19">
        <v>0</v>
      </c>
      <c r="BF150" s="19">
        <f>150</f>
        <v>150</v>
      </c>
      <c r="BH150" s="19">
        <f t="shared" si="15"/>
        <v>0</v>
      </c>
      <c r="BI150" s="19">
        <f t="shared" si="16"/>
        <v>0</v>
      </c>
      <c r="BJ150" s="19">
        <f t="shared" si="17"/>
        <v>0</v>
      </c>
      <c r="BK150" s="19"/>
      <c r="BL150" s="19"/>
      <c r="BW150" s="19">
        <v>12</v>
      </c>
      <c r="BX150" s="4" t="s">
        <v>386</v>
      </c>
    </row>
    <row r="151" spans="1:76" x14ac:dyDescent="0.25">
      <c r="A151" s="2" t="s">
        <v>387</v>
      </c>
      <c r="B151" s="3" t="s">
        <v>388</v>
      </c>
      <c r="C151" s="63" t="s">
        <v>389</v>
      </c>
      <c r="D151" s="58"/>
      <c r="E151" s="3" t="s">
        <v>124</v>
      </c>
      <c r="F151" s="19">
        <v>2</v>
      </c>
      <c r="G151" s="19">
        <v>0</v>
      </c>
      <c r="J151" s="15"/>
      <c r="Z151" s="19">
        <f t="shared" si="0"/>
        <v>0</v>
      </c>
      <c r="AB151" s="19">
        <f t="shared" si="1"/>
        <v>0</v>
      </c>
      <c r="AC151" s="19">
        <f t="shared" si="2"/>
        <v>0</v>
      </c>
      <c r="AD151" s="19">
        <f t="shared" si="3"/>
        <v>0</v>
      </c>
      <c r="AE151" s="19">
        <f t="shared" si="4"/>
        <v>0</v>
      </c>
      <c r="AF151" s="19">
        <f t="shared" si="5"/>
        <v>0</v>
      </c>
      <c r="AG151" s="19">
        <f t="shared" si="6"/>
        <v>0</v>
      </c>
      <c r="AH151" s="19">
        <f t="shared" si="7"/>
        <v>0</v>
      </c>
      <c r="AI151" s="10" t="s">
        <v>46</v>
      </c>
      <c r="AN151" s="19">
        <v>21</v>
      </c>
      <c r="AO151" s="19">
        <f t="shared" si="8"/>
        <v>0</v>
      </c>
      <c r="AP151" s="19">
        <f t="shared" si="9"/>
        <v>0</v>
      </c>
      <c r="AQ151" s="20" t="s">
        <v>340</v>
      </c>
      <c r="AV151" s="19">
        <f t="shared" si="10"/>
        <v>0</v>
      </c>
      <c r="AW151" s="19">
        <f t="shared" si="11"/>
        <v>0</v>
      </c>
      <c r="AX151" s="19">
        <f t="shared" si="12"/>
        <v>0</v>
      </c>
      <c r="AY151" s="20" t="s">
        <v>341</v>
      </c>
      <c r="AZ151" s="20" t="s">
        <v>342</v>
      </c>
      <c r="BA151" s="10" t="s">
        <v>55</v>
      </c>
      <c r="BC151" s="19">
        <f t="shared" si="13"/>
        <v>0</v>
      </c>
      <c r="BD151" s="19">
        <f t="shared" si="14"/>
        <v>0</v>
      </c>
      <c r="BE151" s="19">
        <v>0</v>
      </c>
      <c r="BF151" s="19">
        <f>151</f>
        <v>151</v>
      </c>
      <c r="BH151" s="19">
        <f t="shared" si="15"/>
        <v>0</v>
      </c>
      <c r="BI151" s="19">
        <f t="shared" si="16"/>
        <v>0</v>
      </c>
      <c r="BJ151" s="19">
        <f t="shared" si="17"/>
        <v>0</v>
      </c>
      <c r="BK151" s="19"/>
      <c r="BL151" s="19"/>
      <c r="BW151" s="19">
        <v>12</v>
      </c>
      <c r="BX151" s="4" t="s">
        <v>389</v>
      </c>
    </row>
    <row r="152" spans="1:76" x14ac:dyDescent="0.25">
      <c r="A152" s="2" t="s">
        <v>390</v>
      </c>
      <c r="B152" s="3" t="s">
        <v>391</v>
      </c>
      <c r="C152" s="63" t="s">
        <v>392</v>
      </c>
      <c r="D152" s="58"/>
      <c r="E152" s="3" t="s">
        <v>124</v>
      </c>
      <c r="F152" s="19">
        <v>1</v>
      </c>
      <c r="G152" s="19">
        <v>0</v>
      </c>
      <c r="J152" s="15"/>
      <c r="Z152" s="19">
        <f t="shared" si="0"/>
        <v>0</v>
      </c>
      <c r="AB152" s="19">
        <f t="shared" si="1"/>
        <v>0</v>
      </c>
      <c r="AC152" s="19">
        <f t="shared" si="2"/>
        <v>0</v>
      </c>
      <c r="AD152" s="19">
        <f t="shared" si="3"/>
        <v>0</v>
      </c>
      <c r="AE152" s="19">
        <f t="shared" si="4"/>
        <v>0</v>
      </c>
      <c r="AF152" s="19">
        <f t="shared" si="5"/>
        <v>0</v>
      </c>
      <c r="AG152" s="19">
        <f t="shared" si="6"/>
        <v>0</v>
      </c>
      <c r="AH152" s="19">
        <f t="shared" si="7"/>
        <v>0</v>
      </c>
      <c r="AI152" s="10" t="s">
        <v>46</v>
      </c>
      <c r="AN152" s="19">
        <v>21</v>
      </c>
      <c r="AO152" s="19">
        <f t="shared" si="8"/>
        <v>0</v>
      </c>
      <c r="AP152" s="19">
        <f t="shared" si="9"/>
        <v>0</v>
      </c>
      <c r="AQ152" s="20" t="s">
        <v>340</v>
      </c>
      <c r="AV152" s="19">
        <f t="shared" si="10"/>
        <v>0</v>
      </c>
      <c r="AW152" s="19">
        <f t="shared" si="11"/>
        <v>0</v>
      </c>
      <c r="AX152" s="19">
        <f t="shared" si="12"/>
        <v>0</v>
      </c>
      <c r="AY152" s="20" t="s">
        <v>341</v>
      </c>
      <c r="AZ152" s="20" t="s">
        <v>342</v>
      </c>
      <c r="BA152" s="10" t="s">
        <v>55</v>
      </c>
      <c r="BC152" s="19">
        <f t="shared" si="13"/>
        <v>0</v>
      </c>
      <c r="BD152" s="19">
        <f t="shared" si="14"/>
        <v>0</v>
      </c>
      <c r="BE152" s="19">
        <v>0</v>
      </c>
      <c r="BF152" s="19">
        <f>152</f>
        <v>152</v>
      </c>
      <c r="BH152" s="19">
        <f t="shared" si="15"/>
        <v>0</v>
      </c>
      <c r="BI152" s="19">
        <f t="shared" si="16"/>
        <v>0</v>
      </c>
      <c r="BJ152" s="19">
        <f t="shared" si="17"/>
        <v>0</v>
      </c>
      <c r="BK152" s="19"/>
      <c r="BL152" s="19"/>
      <c r="BW152" s="19">
        <v>12</v>
      </c>
      <c r="BX152" s="4" t="s">
        <v>392</v>
      </c>
    </row>
    <row r="153" spans="1:76" x14ac:dyDescent="0.25">
      <c r="A153" s="21"/>
      <c r="C153" s="22" t="s">
        <v>46</v>
      </c>
      <c r="D153" s="22" t="s">
        <v>393</v>
      </c>
      <c r="F153" s="23">
        <v>0</v>
      </c>
      <c r="J153" s="15"/>
    </row>
    <row r="154" spans="1:76" x14ac:dyDescent="0.25">
      <c r="A154" s="24" t="s">
        <v>46</v>
      </c>
      <c r="B154" s="25" t="s">
        <v>394</v>
      </c>
      <c r="C154" s="77" t="s">
        <v>395</v>
      </c>
      <c r="D154" s="78"/>
      <c r="E154" s="26" t="s">
        <v>31</v>
      </c>
      <c r="F154" s="26" t="s">
        <v>31</v>
      </c>
      <c r="G154" s="26" t="s">
        <v>31</v>
      </c>
      <c r="J154" s="15"/>
      <c r="AI154" s="10" t="s">
        <v>46</v>
      </c>
    </row>
    <row r="155" spans="1:76" x14ac:dyDescent="0.25">
      <c r="A155" s="24" t="s">
        <v>46</v>
      </c>
      <c r="B155" s="25" t="s">
        <v>396</v>
      </c>
      <c r="C155" s="77" t="s">
        <v>397</v>
      </c>
      <c r="D155" s="78"/>
      <c r="E155" s="26" t="s">
        <v>31</v>
      </c>
      <c r="F155" s="26" t="s">
        <v>31</v>
      </c>
      <c r="G155" s="26" t="s">
        <v>31</v>
      </c>
      <c r="J155" s="15"/>
      <c r="AI155" s="10" t="s">
        <v>46</v>
      </c>
      <c r="AS155" s="1">
        <f>SUM(AJ156:AJ159)</f>
        <v>0</v>
      </c>
      <c r="AT155" s="1">
        <f>SUM(AK156:AK159)</f>
        <v>0</v>
      </c>
      <c r="AU155" s="1">
        <f>SUM(AL156:AL159)</f>
        <v>0</v>
      </c>
    </row>
    <row r="156" spans="1:76" x14ac:dyDescent="0.25">
      <c r="A156" s="2" t="s">
        <v>398</v>
      </c>
      <c r="B156" s="3" t="s">
        <v>399</v>
      </c>
      <c r="C156" s="63" t="s">
        <v>400</v>
      </c>
      <c r="D156" s="58"/>
      <c r="E156" s="3" t="s">
        <v>401</v>
      </c>
      <c r="F156" s="19">
        <v>1</v>
      </c>
      <c r="G156" s="19">
        <v>0</v>
      </c>
      <c r="J156" s="15"/>
      <c r="Z156" s="19">
        <f>IF(AQ156="5",BJ156,0)</f>
        <v>0</v>
      </c>
      <c r="AB156" s="19">
        <f>IF(AQ156="1",BH156,0)</f>
        <v>0</v>
      </c>
      <c r="AC156" s="19">
        <f>IF(AQ156="1",BI156,0)</f>
        <v>0</v>
      </c>
      <c r="AD156" s="19">
        <f>IF(AQ156="7",BH156,0)</f>
        <v>0</v>
      </c>
      <c r="AE156" s="19">
        <f>IF(AQ156="7",BI156,0)</f>
        <v>0</v>
      </c>
      <c r="AF156" s="19">
        <f>IF(AQ156="2",BH156,0)</f>
        <v>0</v>
      </c>
      <c r="AG156" s="19">
        <f>IF(AQ156="2",BI156,0)</f>
        <v>0</v>
      </c>
      <c r="AH156" s="19">
        <f>IF(AQ156="0",BJ156,0)</f>
        <v>0</v>
      </c>
      <c r="AI156" s="10" t="s">
        <v>46</v>
      </c>
      <c r="AN156" s="19">
        <v>21</v>
      </c>
      <c r="AO156" s="19">
        <f>G156*0</f>
        <v>0</v>
      </c>
      <c r="AP156" s="19">
        <f>G156*(1-0)</f>
        <v>0</v>
      </c>
      <c r="AQ156" s="20" t="s">
        <v>402</v>
      </c>
      <c r="AV156" s="19">
        <f>AW156+AX156</f>
        <v>0</v>
      </c>
      <c r="AW156" s="19">
        <f>F156*AO156</f>
        <v>0</v>
      </c>
      <c r="AX156" s="19">
        <f>F156*AP156</f>
        <v>0</v>
      </c>
      <c r="AY156" s="20" t="s">
        <v>403</v>
      </c>
      <c r="AZ156" s="20" t="s">
        <v>404</v>
      </c>
      <c r="BA156" s="10" t="s">
        <v>55</v>
      </c>
      <c r="BC156" s="19">
        <f>AW156+AX156</f>
        <v>0</v>
      </c>
      <c r="BD156" s="19">
        <f>G156/(100-BE156)*100</f>
        <v>0</v>
      </c>
      <c r="BE156" s="19">
        <v>0</v>
      </c>
      <c r="BF156" s="19">
        <f>156</f>
        <v>156</v>
      </c>
      <c r="BH156" s="19">
        <f>F156*AO156</f>
        <v>0</v>
      </c>
      <c r="BI156" s="19">
        <f>F156*AP156</f>
        <v>0</v>
      </c>
      <c r="BJ156" s="19">
        <f>F156*G156</f>
        <v>0</v>
      </c>
      <c r="BK156" s="19"/>
      <c r="BL156" s="19"/>
      <c r="BM156" s="19">
        <f>F156*G156</f>
        <v>0</v>
      </c>
      <c r="BW156" s="19">
        <v>12</v>
      </c>
      <c r="BX156" s="4" t="s">
        <v>400</v>
      </c>
    </row>
    <row r="157" spans="1:76" ht="13.5" customHeight="1" x14ac:dyDescent="0.25">
      <c r="A157" s="21"/>
      <c r="C157" s="79" t="s">
        <v>405</v>
      </c>
      <c r="D157" s="80"/>
      <c r="E157" s="80"/>
      <c r="F157" s="80"/>
      <c r="G157" s="80"/>
      <c r="H157" s="80"/>
      <c r="I157" s="80"/>
      <c r="J157" s="81"/>
    </row>
    <row r="158" spans="1:76" x14ac:dyDescent="0.25">
      <c r="A158" s="21"/>
      <c r="C158" s="22" t="s">
        <v>46</v>
      </c>
      <c r="D158" s="22" t="s">
        <v>406</v>
      </c>
      <c r="F158" s="23">
        <v>0</v>
      </c>
      <c r="J158" s="15"/>
    </row>
    <row r="159" spans="1:76" x14ac:dyDescent="0.25">
      <c r="A159" s="2" t="s">
        <v>407</v>
      </c>
      <c r="B159" s="3" t="s">
        <v>408</v>
      </c>
      <c r="C159" s="63" t="s">
        <v>409</v>
      </c>
      <c r="D159" s="58"/>
      <c r="E159" s="3" t="s">
        <v>401</v>
      </c>
      <c r="F159" s="19">
        <v>1</v>
      </c>
      <c r="G159" s="19">
        <v>0</v>
      </c>
      <c r="J159" s="15"/>
      <c r="Z159" s="19">
        <f>IF(AQ159="5",BJ159,0)</f>
        <v>0</v>
      </c>
      <c r="AB159" s="19">
        <f>IF(AQ159="1",BH159,0)</f>
        <v>0</v>
      </c>
      <c r="AC159" s="19">
        <f>IF(AQ159="1",BI159,0)</f>
        <v>0</v>
      </c>
      <c r="AD159" s="19">
        <f>IF(AQ159="7",BH159,0)</f>
        <v>0</v>
      </c>
      <c r="AE159" s="19">
        <f>IF(AQ159="7",BI159,0)</f>
        <v>0</v>
      </c>
      <c r="AF159" s="19">
        <f>IF(AQ159="2",BH159,0)</f>
        <v>0</v>
      </c>
      <c r="AG159" s="19">
        <f>IF(AQ159="2",BI159,0)</f>
        <v>0</v>
      </c>
      <c r="AH159" s="19">
        <f>IF(AQ159="0",BJ159,0)</f>
        <v>0</v>
      </c>
      <c r="AI159" s="10" t="s">
        <v>46</v>
      </c>
      <c r="AN159" s="19">
        <v>21</v>
      </c>
      <c r="AO159" s="19">
        <f>G159*0</f>
        <v>0</v>
      </c>
      <c r="AP159" s="19">
        <f>G159*(1-0)</f>
        <v>0</v>
      </c>
      <c r="AQ159" s="20" t="s">
        <v>402</v>
      </c>
      <c r="AV159" s="19">
        <f>AW159+AX159</f>
        <v>0</v>
      </c>
      <c r="AW159" s="19">
        <f>F159*AO159</f>
        <v>0</v>
      </c>
      <c r="AX159" s="19">
        <f>F159*AP159</f>
        <v>0</v>
      </c>
      <c r="AY159" s="20" t="s">
        <v>403</v>
      </c>
      <c r="AZ159" s="20" t="s">
        <v>404</v>
      </c>
      <c r="BA159" s="10" t="s">
        <v>55</v>
      </c>
      <c r="BC159" s="19">
        <f>AW159+AX159</f>
        <v>0</v>
      </c>
      <c r="BD159" s="19">
        <f>G159/(100-BE159)*100</f>
        <v>0</v>
      </c>
      <c r="BE159" s="19">
        <v>0</v>
      </c>
      <c r="BF159" s="19">
        <f>159</f>
        <v>159</v>
      </c>
      <c r="BH159" s="19">
        <f>F159*AO159</f>
        <v>0</v>
      </c>
      <c r="BI159" s="19">
        <f>F159*AP159</f>
        <v>0</v>
      </c>
      <c r="BJ159" s="19">
        <f>F159*G159</f>
        <v>0</v>
      </c>
      <c r="BK159" s="19"/>
      <c r="BL159" s="19"/>
      <c r="BM159" s="19">
        <f>F159*G159</f>
        <v>0</v>
      </c>
      <c r="BW159" s="19">
        <v>12</v>
      </c>
      <c r="BX159" s="4" t="s">
        <v>409</v>
      </c>
    </row>
    <row r="160" spans="1:76" x14ac:dyDescent="0.25">
      <c r="A160" s="21"/>
      <c r="C160" s="22" t="s">
        <v>46</v>
      </c>
      <c r="D160" s="22" t="s">
        <v>410</v>
      </c>
      <c r="F160" s="23">
        <v>0</v>
      </c>
      <c r="J160" s="15"/>
    </row>
    <row r="161" spans="1:76" x14ac:dyDescent="0.25">
      <c r="A161" s="24" t="s">
        <v>46</v>
      </c>
      <c r="B161" s="25" t="s">
        <v>411</v>
      </c>
      <c r="C161" s="77" t="s">
        <v>412</v>
      </c>
      <c r="D161" s="78"/>
      <c r="E161" s="26" t="s">
        <v>31</v>
      </c>
      <c r="F161" s="26" t="s">
        <v>31</v>
      </c>
      <c r="G161" s="26" t="s">
        <v>31</v>
      </c>
      <c r="J161" s="15"/>
      <c r="AI161" s="10" t="s">
        <v>46</v>
      </c>
      <c r="AS161" s="1">
        <f>SUM(AJ162:AJ163)</f>
        <v>0</v>
      </c>
      <c r="AT161" s="1">
        <f>SUM(AK162:AK163)</f>
        <v>0</v>
      </c>
      <c r="AU161" s="1">
        <f>SUM(AL162:AL163)</f>
        <v>0</v>
      </c>
    </row>
    <row r="162" spans="1:76" x14ac:dyDescent="0.25">
      <c r="A162" s="2" t="s">
        <v>414</v>
      </c>
      <c r="B162" s="3" t="s">
        <v>415</v>
      </c>
      <c r="C162" s="63" t="s">
        <v>486</v>
      </c>
      <c r="D162" s="58"/>
      <c r="E162" s="3" t="s">
        <v>401</v>
      </c>
      <c r="F162" s="19">
        <v>1</v>
      </c>
      <c r="G162" s="19">
        <v>0</v>
      </c>
      <c r="J162" s="15"/>
      <c r="Z162" s="19">
        <f>IF(AQ162="5",BJ162,0)</f>
        <v>0</v>
      </c>
      <c r="AB162" s="19">
        <f>IF(AQ162="1",BH162,0)</f>
        <v>0</v>
      </c>
      <c r="AC162" s="19">
        <f>IF(AQ162="1",BI162,0)</f>
        <v>0</v>
      </c>
      <c r="AD162" s="19">
        <f>IF(AQ162="7",BH162,0)</f>
        <v>0</v>
      </c>
      <c r="AE162" s="19">
        <f>IF(AQ162="7",BI162,0)</f>
        <v>0</v>
      </c>
      <c r="AF162" s="19">
        <f>IF(AQ162="2",BH162,0)</f>
        <v>0</v>
      </c>
      <c r="AG162" s="19">
        <f>IF(AQ162="2",BI162,0)</f>
        <v>0</v>
      </c>
      <c r="AH162" s="19">
        <f>IF(AQ162="0",BJ162,0)</f>
        <v>0</v>
      </c>
      <c r="AI162" s="10" t="s">
        <v>46</v>
      </c>
      <c r="AN162" s="19">
        <v>21</v>
      </c>
      <c r="AO162" s="19">
        <f>G162*0</f>
        <v>0</v>
      </c>
      <c r="AP162" s="19">
        <f>G162*(1-0)</f>
        <v>0</v>
      </c>
      <c r="AQ162" s="20" t="s">
        <v>402</v>
      </c>
      <c r="AV162" s="19">
        <f>AW162+AX162</f>
        <v>0</v>
      </c>
      <c r="AW162" s="19">
        <f>F162*AO162</f>
        <v>0</v>
      </c>
      <c r="AX162" s="19">
        <f>F162*AP162</f>
        <v>0</v>
      </c>
      <c r="AY162" s="20" t="s">
        <v>413</v>
      </c>
      <c r="AZ162" s="20" t="s">
        <v>404</v>
      </c>
      <c r="BA162" s="10" t="s">
        <v>55</v>
      </c>
      <c r="BC162" s="19">
        <f>AW162+AX162</f>
        <v>0</v>
      </c>
      <c r="BD162" s="19">
        <f>G162/(100-BE162)*100</f>
        <v>0</v>
      </c>
      <c r="BE162" s="19">
        <v>0</v>
      </c>
      <c r="BF162" s="19">
        <f>163</f>
        <v>163</v>
      </c>
      <c r="BH162" s="19">
        <f>F162*AO162</f>
        <v>0</v>
      </c>
      <c r="BI162" s="19">
        <f>F162*AP162</f>
        <v>0</v>
      </c>
      <c r="BJ162" s="19">
        <f>F162*G162</f>
        <v>0</v>
      </c>
      <c r="BK162" s="19"/>
      <c r="BL162" s="19"/>
      <c r="BO162" s="19">
        <f>F162*G162</f>
        <v>0</v>
      </c>
      <c r="BW162" s="19">
        <v>12</v>
      </c>
      <c r="BX162" s="4" t="s">
        <v>416</v>
      </c>
    </row>
    <row r="163" spans="1:76" x14ac:dyDescent="0.25">
      <c r="A163" s="2" t="s">
        <v>417</v>
      </c>
      <c r="B163" s="3" t="s">
        <v>418</v>
      </c>
      <c r="C163" s="63" t="s">
        <v>412</v>
      </c>
      <c r="D163" s="58"/>
      <c r="E163" s="3" t="s">
        <v>401</v>
      </c>
      <c r="F163" s="19">
        <v>1</v>
      </c>
      <c r="G163" s="19">
        <v>0</v>
      </c>
      <c r="J163" s="15"/>
      <c r="Z163" s="19">
        <f>IF(AQ163="5",BJ163,0)</f>
        <v>0</v>
      </c>
      <c r="AB163" s="19">
        <f>IF(AQ163="1",BH163,0)</f>
        <v>0</v>
      </c>
      <c r="AC163" s="19">
        <f>IF(AQ163="1",BI163,0)</f>
        <v>0</v>
      </c>
      <c r="AD163" s="19">
        <f>IF(AQ163="7",BH163,0)</f>
        <v>0</v>
      </c>
      <c r="AE163" s="19">
        <f>IF(AQ163="7",BI163,0)</f>
        <v>0</v>
      </c>
      <c r="AF163" s="19">
        <f>IF(AQ163="2",BH163,0)</f>
        <v>0</v>
      </c>
      <c r="AG163" s="19">
        <f>IF(AQ163="2",BI163,0)</f>
        <v>0</v>
      </c>
      <c r="AH163" s="19">
        <f>IF(AQ163="0",BJ163,0)</f>
        <v>0</v>
      </c>
      <c r="AI163" s="10" t="s">
        <v>46</v>
      </c>
      <c r="AN163" s="19">
        <v>21</v>
      </c>
      <c r="AO163" s="19">
        <f>G163*0</f>
        <v>0</v>
      </c>
      <c r="AP163" s="19">
        <f>G163*(1-0)</f>
        <v>0</v>
      </c>
      <c r="AQ163" s="20" t="s">
        <v>402</v>
      </c>
      <c r="AV163" s="19">
        <f>AW163+AX163</f>
        <v>0</v>
      </c>
      <c r="AW163" s="19">
        <f>F163*AO163</f>
        <v>0</v>
      </c>
      <c r="AX163" s="19">
        <f>F163*AP163</f>
        <v>0</v>
      </c>
      <c r="AY163" s="20" t="s">
        <v>413</v>
      </c>
      <c r="AZ163" s="20" t="s">
        <v>404</v>
      </c>
      <c r="BA163" s="10" t="s">
        <v>55</v>
      </c>
      <c r="BC163" s="19">
        <f>AW163+AX163</f>
        <v>0</v>
      </c>
      <c r="BD163" s="19">
        <f>G163/(100-BE163)*100</f>
        <v>0</v>
      </c>
      <c r="BE163" s="19">
        <v>0</v>
      </c>
      <c r="BF163" s="19">
        <f>164</f>
        <v>164</v>
      </c>
      <c r="BH163" s="19">
        <f>F163*AO163</f>
        <v>0</v>
      </c>
      <c r="BI163" s="19">
        <f>F163*AP163</f>
        <v>0</v>
      </c>
      <c r="BJ163" s="19">
        <f>F163*G163</f>
        <v>0</v>
      </c>
      <c r="BK163" s="19"/>
      <c r="BL163" s="19"/>
      <c r="BO163" s="19">
        <f>F163*G163</f>
        <v>0</v>
      </c>
      <c r="BW163" s="19">
        <v>12</v>
      </c>
      <c r="BX163" s="4" t="s">
        <v>412</v>
      </c>
    </row>
    <row r="164" spans="1:76" x14ac:dyDescent="0.25">
      <c r="A164" s="24" t="s">
        <v>46</v>
      </c>
      <c r="B164" s="25" t="s">
        <v>419</v>
      </c>
      <c r="C164" s="77" t="s">
        <v>420</v>
      </c>
      <c r="D164" s="78"/>
      <c r="E164" s="26" t="s">
        <v>31</v>
      </c>
      <c r="F164" s="26" t="s">
        <v>31</v>
      </c>
      <c r="G164" s="26" t="s">
        <v>31</v>
      </c>
      <c r="J164" s="15"/>
      <c r="AI164" s="10" t="s">
        <v>46</v>
      </c>
      <c r="AS164" s="1">
        <f>SUM(AJ165:AJ165)</f>
        <v>0</v>
      </c>
      <c r="AT164" s="1">
        <f>SUM(AK165:AK165)</f>
        <v>0</v>
      </c>
      <c r="AU164" s="1">
        <f>SUM(AL165:AL165)</f>
        <v>0</v>
      </c>
    </row>
    <row r="165" spans="1:76" ht="32.25" customHeight="1" x14ac:dyDescent="0.25">
      <c r="A165" s="27" t="s">
        <v>421</v>
      </c>
      <c r="B165" s="5" t="s">
        <v>422</v>
      </c>
      <c r="C165" s="82" t="s">
        <v>487</v>
      </c>
      <c r="D165" s="64"/>
      <c r="E165" s="5" t="s">
        <v>401</v>
      </c>
      <c r="F165" s="28">
        <v>0</v>
      </c>
      <c r="G165" s="28">
        <v>0</v>
      </c>
      <c r="H165" s="29"/>
      <c r="I165" s="29"/>
      <c r="J165" s="30"/>
      <c r="Z165" s="19">
        <f>IF(AQ165="5",BJ165,0)</f>
        <v>0</v>
      </c>
      <c r="AB165" s="19">
        <f>IF(AQ165="1",BH165,0)</f>
        <v>0</v>
      </c>
      <c r="AC165" s="19">
        <f>IF(AQ165="1",BI165,0)</f>
        <v>0</v>
      </c>
      <c r="AD165" s="19">
        <f>IF(AQ165="7",BH165,0)</f>
        <v>0</v>
      </c>
      <c r="AE165" s="19">
        <f>IF(AQ165="7",BI165,0)</f>
        <v>0</v>
      </c>
      <c r="AF165" s="19">
        <f>IF(AQ165="2",BH165,0)</f>
        <v>0</v>
      </c>
      <c r="AG165" s="19">
        <f>IF(AQ165="2",BI165,0)</f>
        <v>0</v>
      </c>
      <c r="AH165" s="19">
        <f>IF(AQ165="0",BJ165,0)</f>
        <v>0</v>
      </c>
      <c r="AI165" s="10" t="s">
        <v>46</v>
      </c>
      <c r="AN165" s="19">
        <v>21</v>
      </c>
      <c r="AO165" s="19">
        <f>G165*0</f>
        <v>0</v>
      </c>
      <c r="AP165" s="19">
        <f>G165*(1-0)</f>
        <v>0</v>
      </c>
      <c r="AQ165" s="20" t="s">
        <v>402</v>
      </c>
      <c r="AV165" s="19">
        <f>AW165+AX165</f>
        <v>0</v>
      </c>
      <c r="AW165" s="19">
        <f>F165*AO165</f>
        <v>0</v>
      </c>
      <c r="AX165" s="19">
        <f>F165*AP165</f>
        <v>0</v>
      </c>
      <c r="AY165" s="20" t="s">
        <v>424</v>
      </c>
      <c r="AZ165" s="20" t="s">
        <v>404</v>
      </c>
      <c r="BA165" s="10" t="s">
        <v>55</v>
      </c>
      <c r="BC165" s="19">
        <f>AW165+AX165</f>
        <v>0</v>
      </c>
      <c r="BD165" s="19">
        <f>G165/(100-BE165)*100</f>
        <v>0</v>
      </c>
      <c r="BE165" s="19">
        <v>0</v>
      </c>
      <c r="BF165" s="19">
        <f>166</f>
        <v>166</v>
      </c>
      <c r="BH165" s="19">
        <f>F165*AO165</f>
        <v>0</v>
      </c>
      <c r="BI165" s="19">
        <f>F165*AP165</f>
        <v>0</v>
      </c>
      <c r="BJ165" s="19">
        <f>F165*G165</f>
        <v>0</v>
      </c>
      <c r="BK165" s="19"/>
      <c r="BL165" s="19"/>
      <c r="BP165" s="19">
        <f>F165*G165</f>
        <v>0</v>
      </c>
      <c r="BW165" s="19">
        <v>12</v>
      </c>
      <c r="BX165" s="4" t="s">
        <v>423</v>
      </c>
    </row>
    <row r="167" spans="1:76" x14ac:dyDescent="0.25">
      <c r="A167" s="31" t="s">
        <v>425</v>
      </c>
    </row>
    <row r="168" spans="1:76" ht="12.75" customHeight="1" x14ac:dyDescent="0.25">
      <c r="A168" s="63" t="s">
        <v>46</v>
      </c>
      <c r="B168" s="58"/>
      <c r="C168" s="58"/>
      <c r="D168" s="58"/>
      <c r="E168" s="58"/>
      <c r="F168" s="58"/>
      <c r="G168" s="58"/>
      <c r="H168" s="58"/>
      <c r="I168" s="58"/>
      <c r="J168" s="58"/>
    </row>
  </sheetData>
  <mergeCells count="139">
    <mergeCell ref="C163:D163"/>
    <mergeCell ref="C164:D164"/>
    <mergeCell ref="C165:D165"/>
    <mergeCell ref="A168:J168"/>
    <mergeCell ref="C157:J157"/>
    <mergeCell ref="C159:D159"/>
    <mergeCell ref="C161:D161"/>
    <mergeCell ref="C162:D162"/>
    <mergeCell ref="C151:D151"/>
    <mergeCell ref="C152:D152"/>
    <mergeCell ref="C154:D154"/>
    <mergeCell ref="C155:D155"/>
    <mergeCell ref="C156:D156"/>
    <mergeCell ref="C146:D146"/>
    <mergeCell ref="C147:D147"/>
    <mergeCell ref="C148:D148"/>
    <mergeCell ref="C149:D149"/>
    <mergeCell ref="C150:D150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29:D129"/>
    <mergeCell ref="C130:J130"/>
    <mergeCell ref="C132:D132"/>
    <mergeCell ref="C134:D134"/>
    <mergeCell ref="C135:D135"/>
    <mergeCell ref="C122:D122"/>
    <mergeCell ref="C124:D124"/>
    <mergeCell ref="C125:D125"/>
    <mergeCell ref="C126:D126"/>
    <mergeCell ref="C127:J127"/>
    <mergeCell ref="C113:D113"/>
    <mergeCell ref="C115:D115"/>
    <mergeCell ref="C117:D117"/>
    <mergeCell ref="C119:D119"/>
    <mergeCell ref="C121:D121"/>
    <mergeCell ref="C107:D107"/>
    <mergeCell ref="C108:D108"/>
    <mergeCell ref="C109:D109"/>
    <mergeCell ref="C110:D110"/>
    <mergeCell ref="C112:D112"/>
    <mergeCell ref="C99:D99"/>
    <mergeCell ref="C101:D101"/>
    <mergeCell ref="C102:D102"/>
    <mergeCell ref="C104:D104"/>
    <mergeCell ref="C106:D106"/>
    <mergeCell ref="C93:D93"/>
    <mergeCell ref="C94:D94"/>
    <mergeCell ref="C95:J95"/>
    <mergeCell ref="C96:D96"/>
    <mergeCell ref="C97:D97"/>
    <mergeCell ref="C88:D88"/>
    <mergeCell ref="C89:D89"/>
    <mergeCell ref="C90:D90"/>
    <mergeCell ref="C91:D91"/>
    <mergeCell ref="C92:D92"/>
    <mergeCell ref="C80:D80"/>
    <mergeCell ref="C81:D81"/>
    <mergeCell ref="C83:D83"/>
    <mergeCell ref="C85:D85"/>
    <mergeCell ref="C86:D86"/>
    <mergeCell ref="C73:D73"/>
    <mergeCell ref="C74:D74"/>
    <mergeCell ref="C75:D75"/>
    <mergeCell ref="C77:D77"/>
    <mergeCell ref="C79:D79"/>
    <mergeCell ref="C65:D65"/>
    <mergeCell ref="C67:D67"/>
    <mergeCell ref="C69:D69"/>
    <mergeCell ref="C71:D71"/>
    <mergeCell ref="C72:D72"/>
    <mergeCell ref="C55:D55"/>
    <mergeCell ref="C58:D58"/>
    <mergeCell ref="C59:D59"/>
    <mergeCell ref="C61:D61"/>
    <mergeCell ref="C63:D63"/>
    <mergeCell ref="C48:D48"/>
    <mergeCell ref="C50:D50"/>
    <mergeCell ref="C51:J51"/>
    <mergeCell ref="C53:D53"/>
    <mergeCell ref="C54:J54"/>
    <mergeCell ref="C42:D42"/>
    <mergeCell ref="C43:D43"/>
    <mergeCell ref="C44:D44"/>
    <mergeCell ref="C45:D45"/>
    <mergeCell ref="C47:D47"/>
    <mergeCell ref="C34:D34"/>
    <mergeCell ref="C35:J35"/>
    <mergeCell ref="C37:D37"/>
    <mergeCell ref="C39:D39"/>
    <mergeCell ref="C41:D41"/>
    <mergeCell ref="C27:D27"/>
    <mergeCell ref="C29:D29"/>
    <mergeCell ref="C30:D30"/>
    <mergeCell ref="C32:D32"/>
    <mergeCell ref="C33:D33"/>
    <mergeCell ref="C18:D18"/>
    <mergeCell ref="C19:D19"/>
    <mergeCell ref="C21:D21"/>
    <mergeCell ref="C23:D23"/>
    <mergeCell ref="C25:D25"/>
    <mergeCell ref="C11:D11"/>
    <mergeCell ref="C12:D12"/>
    <mergeCell ref="C13:D13"/>
    <mergeCell ref="C15:D15"/>
    <mergeCell ref="C16:D16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83" t="s">
        <v>426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5" t="s">
        <v>1</v>
      </c>
      <c r="B2" s="56"/>
      <c r="C2" s="65" t="str">
        <f>'Stavební rozpočet'!C2</f>
        <v>Přípojka splaškové kanalizace areálu hradu Trúba</v>
      </c>
      <c r="D2" s="66"/>
      <c r="E2" s="62" t="s">
        <v>4</v>
      </c>
      <c r="F2" s="62" t="str">
        <f>'Stavební rozpočet'!I2</f>
        <v> </v>
      </c>
      <c r="G2" s="56"/>
      <c r="H2" s="62" t="s">
        <v>427</v>
      </c>
      <c r="I2" s="72" t="s">
        <v>46</v>
      </c>
    </row>
    <row r="3" spans="1:9" ht="15" customHeight="1" x14ac:dyDescent="0.25">
      <c r="A3" s="57"/>
      <c r="B3" s="58"/>
      <c r="C3" s="67"/>
      <c r="D3" s="67"/>
      <c r="E3" s="58"/>
      <c r="F3" s="58"/>
      <c r="G3" s="58"/>
      <c r="H3" s="58"/>
      <c r="I3" s="73"/>
    </row>
    <row r="4" spans="1:9" x14ac:dyDescent="0.25">
      <c r="A4" s="59" t="s">
        <v>6</v>
      </c>
      <c r="B4" s="58"/>
      <c r="C4" s="63" t="str">
        <f>'Stavební rozpočet'!C4</f>
        <v>přípojka budovy občanského vybavení</v>
      </c>
      <c r="D4" s="58"/>
      <c r="E4" s="63" t="s">
        <v>10</v>
      </c>
      <c r="F4" s="63" t="str">
        <f>'Stavební rozpočet'!I4</f>
        <v> </v>
      </c>
      <c r="G4" s="58"/>
      <c r="H4" s="63" t="s">
        <v>427</v>
      </c>
      <c r="I4" s="73" t="s">
        <v>46</v>
      </c>
    </row>
    <row r="5" spans="1:9" ht="15" customHeight="1" x14ac:dyDescent="0.25">
      <c r="A5" s="57"/>
      <c r="B5" s="58"/>
      <c r="C5" s="58"/>
      <c r="D5" s="58"/>
      <c r="E5" s="58"/>
      <c r="F5" s="58"/>
      <c r="G5" s="58"/>
      <c r="H5" s="58"/>
      <c r="I5" s="73"/>
    </row>
    <row r="6" spans="1:9" x14ac:dyDescent="0.25">
      <c r="A6" s="59" t="s">
        <v>11</v>
      </c>
      <c r="B6" s="58"/>
      <c r="C6" s="63" t="str">
        <f>'Stavební rozpočet'!C6</f>
        <v>Štramberk</v>
      </c>
      <c r="D6" s="58"/>
      <c r="E6" s="63" t="s">
        <v>15</v>
      </c>
      <c r="F6" s="63" t="str">
        <f>'Stavební rozpočet'!I6</f>
        <v> </v>
      </c>
      <c r="G6" s="58"/>
      <c r="H6" s="63" t="s">
        <v>427</v>
      </c>
      <c r="I6" s="73" t="s">
        <v>46</v>
      </c>
    </row>
    <row r="7" spans="1:9" ht="15" customHeight="1" x14ac:dyDescent="0.25">
      <c r="A7" s="57"/>
      <c r="B7" s="58"/>
      <c r="C7" s="58"/>
      <c r="D7" s="58"/>
      <c r="E7" s="58"/>
      <c r="F7" s="58"/>
      <c r="G7" s="58"/>
      <c r="H7" s="58"/>
      <c r="I7" s="73"/>
    </row>
    <row r="8" spans="1:9" x14ac:dyDescent="0.25">
      <c r="A8" s="59" t="s">
        <v>8</v>
      </c>
      <c r="B8" s="58"/>
      <c r="C8" s="63" t="str">
        <f>'Stavební rozpočet'!G4</f>
        <v>01.03.2025</v>
      </c>
      <c r="D8" s="58"/>
      <c r="E8" s="63" t="s">
        <v>13</v>
      </c>
      <c r="F8" s="63" t="str">
        <f>'Stavební rozpočet'!G6</f>
        <v>15.06.2025</v>
      </c>
      <c r="G8" s="58"/>
      <c r="H8" s="58" t="s">
        <v>428</v>
      </c>
      <c r="I8" s="84">
        <v>83</v>
      </c>
    </row>
    <row r="9" spans="1:9" x14ac:dyDescent="0.25">
      <c r="A9" s="57"/>
      <c r="B9" s="58"/>
      <c r="C9" s="58"/>
      <c r="D9" s="58"/>
      <c r="E9" s="58"/>
      <c r="F9" s="58"/>
      <c r="G9" s="58"/>
      <c r="H9" s="58"/>
      <c r="I9" s="73"/>
    </row>
    <row r="10" spans="1:9" x14ac:dyDescent="0.25">
      <c r="A10" s="59" t="s">
        <v>16</v>
      </c>
      <c r="B10" s="58"/>
      <c r="C10" s="63" t="str">
        <f>'Stavební rozpočet'!C8</f>
        <v>8272111</v>
      </c>
      <c r="D10" s="58"/>
      <c r="E10" s="63" t="s">
        <v>20</v>
      </c>
      <c r="F10" s="63" t="str">
        <f>'Stavební rozpočet'!I8</f>
        <v>Ing. Grygarčík</v>
      </c>
      <c r="G10" s="58"/>
      <c r="H10" s="58" t="s">
        <v>429</v>
      </c>
      <c r="I10" s="85" t="str">
        <f>'Stavební rozpočet'!G8</f>
        <v>05.11.2024</v>
      </c>
    </row>
    <row r="11" spans="1:9" x14ac:dyDescent="0.25">
      <c r="A11" s="89"/>
      <c r="B11" s="64"/>
      <c r="C11" s="64"/>
      <c r="D11" s="64"/>
      <c r="E11" s="64"/>
      <c r="F11" s="64"/>
      <c r="G11" s="64"/>
      <c r="H11" s="64"/>
      <c r="I11" s="74"/>
    </row>
    <row r="12" spans="1:9" ht="23.25" x14ac:dyDescent="0.25">
      <c r="A12" s="86" t="s">
        <v>430</v>
      </c>
      <c r="B12" s="86"/>
      <c r="C12" s="86"/>
      <c r="D12" s="86"/>
      <c r="E12" s="86"/>
      <c r="F12" s="86"/>
      <c r="G12" s="86"/>
      <c r="H12" s="86"/>
      <c r="I12" s="86"/>
    </row>
    <row r="13" spans="1:9" ht="26.25" customHeight="1" x14ac:dyDescent="0.25">
      <c r="A13" s="32" t="s">
        <v>431</v>
      </c>
      <c r="B13" s="87" t="s">
        <v>432</v>
      </c>
      <c r="C13" s="88"/>
      <c r="D13" s="33" t="s">
        <v>433</v>
      </c>
      <c r="E13" s="87" t="s">
        <v>434</v>
      </c>
      <c r="F13" s="88"/>
      <c r="G13" s="33" t="s">
        <v>435</v>
      </c>
      <c r="H13" s="87" t="s">
        <v>436</v>
      </c>
      <c r="I13" s="88"/>
    </row>
    <row r="14" spans="1:9" ht="15.75" x14ac:dyDescent="0.25">
      <c r="A14" s="34" t="s">
        <v>437</v>
      </c>
      <c r="B14" s="35" t="s">
        <v>438</v>
      </c>
      <c r="C14" s="36">
        <f>SUM('Stavební rozpočet'!AB12:AB165)</f>
        <v>0</v>
      </c>
      <c r="D14" s="96" t="s">
        <v>439</v>
      </c>
      <c r="E14" s="97"/>
      <c r="F14" s="36">
        <f>VORN!I15</f>
        <v>0</v>
      </c>
      <c r="G14" s="96" t="s">
        <v>412</v>
      </c>
      <c r="H14" s="97"/>
      <c r="I14" s="37">
        <f>VORN!I21</f>
        <v>0</v>
      </c>
    </row>
    <row r="15" spans="1:9" ht="15.75" x14ac:dyDescent="0.25">
      <c r="A15" s="38" t="s">
        <v>46</v>
      </c>
      <c r="B15" s="35" t="s">
        <v>440</v>
      </c>
      <c r="C15" s="36">
        <f>SUM('Stavební rozpočet'!AC12:AC165)</f>
        <v>0</v>
      </c>
      <c r="D15" s="96" t="s">
        <v>441</v>
      </c>
      <c r="E15" s="97"/>
      <c r="F15" s="36">
        <f>VORN!I16</f>
        <v>0</v>
      </c>
      <c r="G15" s="96" t="s">
        <v>442</v>
      </c>
      <c r="H15" s="97"/>
      <c r="I15" s="37">
        <f>VORN!I22</f>
        <v>0</v>
      </c>
    </row>
    <row r="16" spans="1:9" ht="15.75" x14ac:dyDescent="0.25">
      <c r="A16" s="34" t="s">
        <v>443</v>
      </c>
      <c r="B16" s="35" t="s">
        <v>438</v>
      </c>
      <c r="C16" s="36">
        <f>SUM('Stavební rozpočet'!AD12:AD165)</f>
        <v>0</v>
      </c>
      <c r="D16" s="96" t="s">
        <v>444</v>
      </c>
      <c r="E16" s="97"/>
      <c r="F16" s="36">
        <f>VORN!I17</f>
        <v>0</v>
      </c>
      <c r="G16" s="96" t="s">
        <v>445</v>
      </c>
      <c r="H16" s="97"/>
      <c r="I16" s="37">
        <f>VORN!I23</f>
        <v>0</v>
      </c>
    </row>
    <row r="17" spans="1:9" ht="15.75" x14ac:dyDescent="0.25">
      <c r="A17" s="38" t="s">
        <v>46</v>
      </c>
      <c r="B17" s="35" t="s">
        <v>440</v>
      </c>
      <c r="C17" s="36">
        <f>SUM('Stavební rozpočet'!AE12:AE165)</f>
        <v>0</v>
      </c>
      <c r="D17" s="96" t="s">
        <v>46</v>
      </c>
      <c r="E17" s="97"/>
      <c r="F17" s="37" t="s">
        <v>46</v>
      </c>
      <c r="G17" s="96" t="s">
        <v>446</v>
      </c>
      <c r="H17" s="97"/>
      <c r="I17" s="37">
        <f>VORN!I24</f>
        <v>0</v>
      </c>
    </row>
    <row r="18" spans="1:9" ht="15.75" x14ac:dyDescent="0.25">
      <c r="A18" s="34" t="s">
        <v>447</v>
      </c>
      <c r="B18" s="35" t="s">
        <v>438</v>
      </c>
      <c r="C18" s="36">
        <f>SUM('Stavební rozpočet'!AF12:AF165)</f>
        <v>0</v>
      </c>
      <c r="D18" s="96" t="s">
        <v>46</v>
      </c>
      <c r="E18" s="97"/>
      <c r="F18" s="37" t="s">
        <v>46</v>
      </c>
      <c r="G18" s="96" t="s">
        <v>448</v>
      </c>
      <c r="H18" s="97"/>
      <c r="I18" s="37">
        <f>VORN!I25</f>
        <v>0</v>
      </c>
    </row>
    <row r="19" spans="1:9" ht="15.75" x14ac:dyDescent="0.25">
      <c r="A19" s="38" t="s">
        <v>46</v>
      </c>
      <c r="B19" s="35" t="s">
        <v>440</v>
      </c>
      <c r="C19" s="36">
        <f>SUM('Stavební rozpočet'!AG12:AG165)</f>
        <v>0</v>
      </c>
      <c r="D19" s="96" t="s">
        <v>46</v>
      </c>
      <c r="E19" s="97"/>
      <c r="F19" s="37" t="s">
        <v>46</v>
      </c>
      <c r="G19" s="96" t="s">
        <v>449</v>
      </c>
      <c r="H19" s="97"/>
      <c r="I19" s="37">
        <f>VORN!I26</f>
        <v>0</v>
      </c>
    </row>
    <row r="20" spans="1:9" ht="15.75" x14ac:dyDescent="0.25">
      <c r="A20" s="90" t="s">
        <v>336</v>
      </c>
      <c r="B20" s="91"/>
      <c r="C20" s="36">
        <f>SUM('Stavební rozpočet'!AH12:AH165)</f>
        <v>0</v>
      </c>
      <c r="D20" s="96" t="s">
        <v>46</v>
      </c>
      <c r="E20" s="97"/>
      <c r="F20" s="37" t="s">
        <v>46</v>
      </c>
      <c r="G20" s="96" t="s">
        <v>46</v>
      </c>
      <c r="H20" s="97"/>
      <c r="I20" s="37" t="s">
        <v>46</v>
      </c>
    </row>
    <row r="21" spans="1:9" ht="15.75" x14ac:dyDescent="0.25">
      <c r="A21" s="92" t="s">
        <v>450</v>
      </c>
      <c r="B21" s="93"/>
      <c r="C21" s="39">
        <f>SUM('Stavební rozpočet'!Z12:Z165)</f>
        <v>0</v>
      </c>
      <c r="D21" s="98" t="s">
        <v>46</v>
      </c>
      <c r="E21" s="99"/>
      <c r="F21" s="40" t="s">
        <v>46</v>
      </c>
      <c r="G21" s="98" t="s">
        <v>46</v>
      </c>
      <c r="H21" s="99"/>
      <c r="I21" s="40" t="s">
        <v>46</v>
      </c>
    </row>
    <row r="22" spans="1:9" ht="16.5" customHeight="1" x14ac:dyDescent="0.25">
      <c r="A22" s="94" t="s">
        <v>451</v>
      </c>
      <c r="B22" s="95"/>
      <c r="C22" s="41">
        <f>SUM(C14:C21)</f>
        <v>0</v>
      </c>
      <c r="D22" s="100" t="s">
        <v>452</v>
      </c>
      <c r="E22" s="95"/>
      <c r="F22" s="41">
        <f>SUM(F14:F21)</f>
        <v>0</v>
      </c>
      <c r="G22" s="100" t="s">
        <v>453</v>
      </c>
      <c r="H22" s="95"/>
      <c r="I22" s="41">
        <f>SUM(I14:I21)</f>
        <v>0</v>
      </c>
    </row>
    <row r="23" spans="1:9" ht="15.75" x14ac:dyDescent="0.25">
      <c r="D23" s="90" t="s">
        <v>454</v>
      </c>
      <c r="E23" s="91"/>
      <c r="F23" s="42">
        <v>0</v>
      </c>
      <c r="G23" s="101" t="s">
        <v>455</v>
      </c>
      <c r="H23" s="91"/>
      <c r="I23" s="36">
        <v>0</v>
      </c>
    </row>
    <row r="24" spans="1:9" ht="15.75" x14ac:dyDescent="0.25">
      <c r="G24" s="90" t="s">
        <v>456</v>
      </c>
      <c r="H24" s="91"/>
      <c r="I24" s="39">
        <f>vorn_sum</f>
        <v>0</v>
      </c>
    </row>
    <row r="25" spans="1:9" ht="15.75" x14ac:dyDescent="0.25">
      <c r="G25" s="90" t="s">
        <v>457</v>
      </c>
      <c r="H25" s="91"/>
      <c r="I25" s="41">
        <v>0</v>
      </c>
    </row>
    <row r="27" spans="1:9" ht="15.75" x14ac:dyDescent="0.25">
      <c r="A27" s="102" t="s">
        <v>458</v>
      </c>
      <c r="B27" s="103"/>
      <c r="C27" s="43">
        <f>SUM('Stavební rozpočet'!AJ12:AJ165)</f>
        <v>0</v>
      </c>
    </row>
    <row r="28" spans="1:9" ht="15.75" x14ac:dyDescent="0.25">
      <c r="A28" s="104" t="s">
        <v>459</v>
      </c>
      <c r="B28" s="105"/>
      <c r="C28" s="44">
        <f>SUM('Stavební rozpočet'!AK12:AK165)</f>
        <v>0</v>
      </c>
      <c r="D28" s="106" t="s">
        <v>460</v>
      </c>
      <c r="E28" s="103"/>
      <c r="F28" s="43">
        <f>ROUND(C28*(12/100),2)</f>
        <v>0</v>
      </c>
      <c r="G28" s="106" t="s">
        <v>461</v>
      </c>
      <c r="H28" s="103"/>
      <c r="I28" s="43">
        <f>SUM(C27:C29)</f>
        <v>0</v>
      </c>
    </row>
    <row r="29" spans="1:9" ht="15.75" x14ac:dyDescent="0.25">
      <c r="A29" s="104" t="s">
        <v>462</v>
      </c>
      <c r="B29" s="105"/>
      <c r="C29" s="44">
        <f>SUM('Stavební rozpočet'!AL12:AL165)</f>
        <v>0</v>
      </c>
      <c r="D29" s="107" t="s">
        <v>463</v>
      </c>
      <c r="E29" s="105"/>
      <c r="F29" s="44">
        <f>ROUND(C29*(21/100),2)</f>
        <v>0</v>
      </c>
      <c r="G29" s="107" t="s">
        <v>464</v>
      </c>
      <c r="H29" s="105"/>
      <c r="I29" s="44">
        <f>SUM(F28:F29)+I28</f>
        <v>0</v>
      </c>
    </row>
    <row r="31" spans="1:9" x14ac:dyDescent="0.25">
      <c r="A31" s="117" t="s">
        <v>465</v>
      </c>
      <c r="B31" s="109"/>
      <c r="C31" s="110"/>
      <c r="D31" s="108" t="s">
        <v>466</v>
      </c>
      <c r="E31" s="109"/>
      <c r="F31" s="110"/>
      <c r="G31" s="108" t="s">
        <v>467</v>
      </c>
      <c r="H31" s="109"/>
      <c r="I31" s="110"/>
    </row>
    <row r="32" spans="1:9" x14ac:dyDescent="0.25">
      <c r="A32" s="118" t="s">
        <v>46</v>
      </c>
      <c r="B32" s="112"/>
      <c r="C32" s="113"/>
      <c r="D32" s="111" t="s">
        <v>46</v>
      </c>
      <c r="E32" s="112"/>
      <c r="F32" s="113"/>
      <c r="G32" s="111" t="s">
        <v>46</v>
      </c>
      <c r="H32" s="112"/>
      <c r="I32" s="113"/>
    </row>
    <row r="33" spans="1:9" x14ac:dyDescent="0.25">
      <c r="A33" s="118" t="s">
        <v>46</v>
      </c>
      <c r="B33" s="112"/>
      <c r="C33" s="113"/>
      <c r="D33" s="111" t="s">
        <v>46</v>
      </c>
      <c r="E33" s="112"/>
      <c r="F33" s="113"/>
      <c r="G33" s="111" t="s">
        <v>46</v>
      </c>
      <c r="H33" s="112"/>
      <c r="I33" s="113"/>
    </row>
    <row r="34" spans="1:9" x14ac:dyDescent="0.25">
      <c r="A34" s="118" t="s">
        <v>46</v>
      </c>
      <c r="B34" s="112"/>
      <c r="C34" s="113"/>
      <c r="D34" s="111" t="s">
        <v>46</v>
      </c>
      <c r="E34" s="112"/>
      <c r="F34" s="113"/>
      <c r="G34" s="111" t="s">
        <v>46</v>
      </c>
      <c r="H34" s="112"/>
      <c r="I34" s="113"/>
    </row>
    <row r="35" spans="1:9" x14ac:dyDescent="0.25">
      <c r="A35" s="119" t="s">
        <v>468</v>
      </c>
      <c r="B35" s="115"/>
      <c r="C35" s="116"/>
      <c r="D35" s="114" t="s">
        <v>468</v>
      </c>
      <c r="E35" s="115"/>
      <c r="F35" s="116"/>
      <c r="G35" s="114" t="s">
        <v>468</v>
      </c>
      <c r="H35" s="115"/>
      <c r="I35" s="116"/>
    </row>
    <row r="36" spans="1:9" x14ac:dyDescent="0.25">
      <c r="A36" s="45" t="s">
        <v>425</v>
      </c>
    </row>
    <row r="37" spans="1:9" ht="12.75" customHeight="1" x14ac:dyDescent="0.25">
      <c r="A37" s="63" t="s">
        <v>46</v>
      </c>
      <c r="B37" s="58"/>
      <c r="C37" s="58"/>
      <c r="D37" s="58"/>
      <c r="E37" s="58"/>
      <c r="F37" s="58"/>
      <c r="G37" s="58"/>
      <c r="H37" s="58"/>
      <c r="I37" s="58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3" t="s">
        <v>395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5" t="s">
        <v>1</v>
      </c>
      <c r="B2" s="56"/>
      <c r="C2" s="65" t="str">
        <f>'Stavební rozpočet'!C2</f>
        <v>Přípojka splaškové kanalizace areálu hradu Trúba</v>
      </c>
      <c r="D2" s="66"/>
      <c r="E2" s="62" t="s">
        <v>4</v>
      </c>
      <c r="F2" s="62" t="str">
        <f>'Stavební rozpočet'!I2</f>
        <v> </v>
      </c>
      <c r="G2" s="56"/>
      <c r="H2" s="62" t="s">
        <v>427</v>
      </c>
      <c r="I2" s="72" t="s">
        <v>46</v>
      </c>
    </row>
    <row r="3" spans="1:9" ht="15" customHeight="1" x14ac:dyDescent="0.25">
      <c r="A3" s="57"/>
      <c r="B3" s="58"/>
      <c r="C3" s="67"/>
      <c r="D3" s="67"/>
      <c r="E3" s="58"/>
      <c r="F3" s="58"/>
      <c r="G3" s="58"/>
      <c r="H3" s="58"/>
      <c r="I3" s="73"/>
    </row>
    <row r="4" spans="1:9" x14ac:dyDescent="0.25">
      <c r="A4" s="59" t="s">
        <v>6</v>
      </c>
      <c r="B4" s="58"/>
      <c r="C4" s="63" t="str">
        <f>'Stavební rozpočet'!C4</f>
        <v>přípojka budovy občanského vybavení</v>
      </c>
      <c r="D4" s="58"/>
      <c r="E4" s="63" t="s">
        <v>10</v>
      </c>
      <c r="F4" s="63" t="str">
        <f>'Stavební rozpočet'!I4</f>
        <v> </v>
      </c>
      <c r="G4" s="58"/>
      <c r="H4" s="63" t="s">
        <v>427</v>
      </c>
      <c r="I4" s="73" t="s">
        <v>46</v>
      </c>
    </row>
    <row r="5" spans="1:9" ht="15" customHeight="1" x14ac:dyDescent="0.25">
      <c r="A5" s="57"/>
      <c r="B5" s="58"/>
      <c r="C5" s="58"/>
      <c r="D5" s="58"/>
      <c r="E5" s="58"/>
      <c r="F5" s="58"/>
      <c r="G5" s="58"/>
      <c r="H5" s="58"/>
      <c r="I5" s="73"/>
    </row>
    <row r="6" spans="1:9" x14ac:dyDescent="0.25">
      <c r="A6" s="59" t="s">
        <v>11</v>
      </c>
      <c r="B6" s="58"/>
      <c r="C6" s="63" t="str">
        <f>'Stavební rozpočet'!C6</f>
        <v>Štramberk</v>
      </c>
      <c r="D6" s="58"/>
      <c r="E6" s="63" t="s">
        <v>15</v>
      </c>
      <c r="F6" s="63" t="str">
        <f>'Stavební rozpočet'!I6</f>
        <v> </v>
      </c>
      <c r="G6" s="58"/>
      <c r="H6" s="63" t="s">
        <v>427</v>
      </c>
      <c r="I6" s="73" t="s">
        <v>46</v>
      </c>
    </row>
    <row r="7" spans="1:9" ht="15" customHeight="1" x14ac:dyDescent="0.25">
      <c r="A7" s="57"/>
      <c r="B7" s="58"/>
      <c r="C7" s="58"/>
      <c r="D7" s="58"/>
      <c r="E7" s="58"/>
      <c r="F7" s="58"/>
      <c r="G7" s="58"/>
      <c r="H7" s="58"/>
      <c r="I7" s="73"/>
    </row>
    <row r="8" spans="1:9" x14ac:dyDescent="0.25">
      <c r="A8" s="59" t="s">
        <v>8</v>
      </c>
      <c r="B8" s="58"/>
      <c r="C8" s="63" t="str">
        <f>'Stavební rozpočet'!G4</f>
        <v>01.03.2025</v>
      </c>
      <c r="D8" s="58"/>
      <c r="E8" s="63" t="s">
        <v>13</v>
      </c>
      <c r="F8" s="63" t="str">
        <f>'Stavební rozpočet'!G6</f>
        <v>15.06.2025</v>
      </c>
      <c r="G8" s="58"/>
      <c r="H8" s="58" t="s">
        <v>428</v>
      </c>
      <c r="I8" s="84">
        <v>83</v>
      </c>
    </row>
    <row r="9" spans="1:9" x14ac:dyDescent="0.25">
      <c r="A9" s="57"/>
      <c r="B9" s="58"/>
      <c r="C9" s="58"/>
      <c r="D9" s="58"/>
      <c r="E9" s="58"/>
      <c r="F9" s="58"/>
      <c r="G9" s="58"/>
      <c r="H9" s="58"/>
      <c r="I9" s="73"/>
    </row>
    <row r="10" spans="1:9" x14ac:dyDescent="0.25">
      <c r="A10" s="59" t="s">
        <v>16</v>
      </c>
      <c r="B10" s="58"/>
      <c r="C10" s="63" t="str">
        <f>'Stavební rozpočet'!C8</f>
        <v>8272111</v>
      </c>
      <c r="D10" s="58"/>
      <c r="E10" s="63" t="s">
        <v>20</v>
      </c>
      <c r="F10" s="63" t="str">
        <f>'Stavební rozpočet'!I8</f>
        <v>Ing. Grygarčík</v>
      </c>
      <c r="G10" s="58"/>
      <c r="H10" s="58" t="s">
        <v>429</v>
      </c>
      <c r="I10" s="85" t="str">
        <f>'Stavební rozpočet'!G8</f>
        <v>05.11.2024</v>
      </c>
    </row>
    <row r="11" spans="1:9" x14ac:dyDescent="0.25">
      <c r="A11" s="89"/>
      <c r="B11" s="64"/>
      <c r="C11" s="64"/>
      <c r="D11" s="64"/>
      <c r="E11" s="64"/>
      <c r="F11" s="64"/>
      <c r="G11" s="64"/>
      <c r="H11" s="64"/>
      <c r="I11" s="74"/>
    </row>
    <row r="13" spans="1:9" ht="15.75" x14ac:dyDescent="0.25">
      <c r="A13" s="120" t="s">
        <v>469</v>
      </c>
      <c r="B13" s="120"/>
      <c r="C13" s="120"/>
      <c r="D13" s="120"/>
      <c r="E13" s="120"/>
    </row>
    <row r="14" spans="1:9" x14ac:dyDescent="0.25">
      <c r="A14" s="121" t="s">
        <v>470</v>
      </c>
      <c r="B14" s="122"/>
      <c r="C14" s="122"/>
      <c r="D14" s="122"/>
      <c r="E14" s="123"/>
      <c r="F14" s="46" t="s">
        <v>471</v>
      </c>
      <c r="G14" s="46" t="s">
        <v>472</v>
      </c>
      <c r="H14" s="46" t="s">
        <v>473</v>
      </c>
      <c r="I14" s="46" t="s">
        <v>471</v>
      </c>
    </row>
    <row r="15" spans="1:9" x14ac:dyDescent="0.25">
      <c r="A15" s="124" t="s">
        <v>439</v>
      </c>
      <c r="B15" s="125"/>
      <c r="C15" s="125"/>
      <c r="D15" s="125"/>
      <c r="E15" s="126"/>
      <c r="F15" s="47">
        <v>0</v>
      </c>
      <c r="G15" s="48" t="s">
        <v>46</v>
      </c>
      <c r="H15" s="48" t="s">
        <v>46</v>
      </c>
      <c r="I15" s="47">
        <f>F15</f>
        <v>0</v>
      </c>
    </row>
    <row r="16" spans="1:9" x14ac:dyDescent="0.25">
      <c r="A16" s="124" t="s">
        <v>441</v>
      </c>
      <c r="B16" s="125"/>
      <c r="C16" s="125"/>
      <c r="D16" s="125"/>
      <c r="E16" s="126"/>
      <c r="F16" s="47">
        <v>0</v>
      </c>
      <c r="G16" s="48" t="s">
        <v>46</v>
      </c>
      <c r="H16" s="48" t="s">
        <v>46</v>
      </c>
      <c r="I16" s="47">
        <f>F16</f>
        <v>0</v>
      </c>
    </row>
    <row r="17" spans="1:9" x14ac:dyDescent="0.25">
      <c r="A17" s="127" t="s">
        <v>444</v>
      </c>
      <c r="B17" s="128"/>
      <c r="C17" s="128"/>
      <c r="D17" s="128"/>
      <c r="E17" s="129"/>
      <c r="F17" s="49">
        <v>0</v>
      </c>
      <c r="G17" s="50" t="s">
        <v>46</v>
      </c>
      <c r="H17" s="50" t="s">
        <v>46</v>
      </c>
      <c r="I17" s="49">
        <f>F17</f>
        <v>0</v>
      </c>
    </row>
    <row r="18" spans="1:9" x14ac:dyDescent="0.25">
      <c r="A18" s="130" t="s">
        <v>474</v>
      </c>
      <c r="B18" s="131"/>
      <c r="C18" s="131"/>
      <c r="D18" s="131"/>
      <c r="E18" s="132"/>
      <c r="F18" s="51" t="s">
        <v>46</v>
      </c>
      <c r="G18" s="52" t="s">
        <v>46</v>
      </c>
      <c r="H18" s="52" t="s">
        <v>46</v>
      </c>
      <c r="I18" s="53">
        <f>SUM(I15:I17)</f>
        <v>0</v>
      </c>
    </row>
    <row r="20" spans="1:9" x14ac:dyDescent="0.25">
      <c r="A20" s="121" t="s">
        <v>436</v>
      </c>
      <c r="B20" s="122"/>
      <c r="C20" s="122"/>
      <c r="D20" s="122"/>
      <c r="E20" s="123"/>
      <c r="F20" s="46" t="s">
        <v>471</v>
      </c>
      <c r="G20" s="46" t="s">
        <v>472</v>
      </c>
      <c r="H20" s="46" t="s">
        <v>473</v>
      </c>
      <c r="I20" s="46" t="s">
        <v>471</v>
      </c>
    </row>
    <row r="21" spans="1:9" x14ac:dyDescent="0.25">
      <c r="A21" s="124" t="s">
        <v>412</v>
      </c>
      <c r="B21" s="125"/>
      <c r="C21" s="125"/>
      <c r="D21" s="125"/>
      <c r="E21" s="126"/>
      <c r="F21" s="47">
        <v>0</v>
      </c>
      <c r="G21" s="48" t="s">
        <v>46</v>
      </c>
      <c r="H21" s="48" t="s">
        <v>46</v>
      </c>
      <c r="I21" s="47">
        <f t="shared" ref="I21:I26" si="0">F21</f>
        <v>0</v>
      </c>
    </row>
    <row r="22" spans="1:9" x14ac:dyDescent="0.25">
      <c r="A22" s="124" t="s">
        <v>442</v>
      </c>
      <c r="B22" s="125"/>
      <c r="C22" s="125"/>
      <c r="D22" s="125"/>
      <c r="E22" s="126"/>
      <c r="F22" s="47">
        <v>0</v>
      </c>
      <c r="G22" s="48" t="s">
        <v>46</v>
      </c>
      <c r="H22" s="48" t="s">
        <v>46</v>
      </c>
      <c r="I22" s="47">
        <f t="shared" si="0"/>
        <v>0</v>
      </c>
    </row>
    <row r="23" spans="1:9" x14ac:dyDescent="0.25">
      <c r="A23" s="124" t="s">
        <v>445</v>
      </c>
      <c r="B23" s="125"/>
      <c r="C23" s="125"/>
      <c r="D23" s="125"/>
      <c r="E23" s="126"/>
      <c r="F23" s="47">
        <v>0</v>
      </c>
      <c r="G23" s="48" t="s">
        <v>46</v>
      </c>
      <c r="H23" s="48" t="s">
        <v>46</v>
      </c>
      <c r="I23" s="47">
        <f t="shared" si="0"/>
        <v>0</v>
      </c>
    </row>
    <row r="24" spans="1:9" x14ac:dyDescent="0.25">
      <c r="A24" s="124" t="s">
        <v>446</v>
      </c>
      <c r="B24" s="125"/>
      <c r="C24" s="125"/>
      <c r="D24" s="125"/>
      <c r="E24" s="126"/>
      <c r="F24" s="47">
        <v>0</v>
      </c>
      <c r="G24" s="48" t="s">
        <v>46</v>
      </c>
      <c r="H24" s="48" t="s">
        <v>46</v>
      </c>
      <c r="I24" s="47">
        <f t="shared" si="0"/>
        <v>0</v>
      </c>
    </row>
    <row r="25" spans="1:9" x14ac:dyDescent="0.25">
      <c r="A25" s="124" t="s">
        <v>448</v>
      </c>
      <c r="B25" s="125"/>
      <c r="C25" s="125"/>
      <c r="D25" s="125"/>
      <c r="E25" s="126"/>
      <c r="F25" s="47">
        <v>0</v>
      </c>
      <c r="G25" s="48" t="s">
        <v>46</v>
      </c>
      <c r="H25" s="48" t="s">
        <v>46</v>
      </c>
      <c r="I25" s="47">
        <f t="shared" si="0"/>
        <v>0</v>
      </c>
    </row>
    <row r="26" spans="1:9" x14ac:dyDescent="0.25">
      <c r="A26" s="127" t="s">
        <v>449</v>
      </c>
      <c r="B26" s="128"/>
      <c r="C26" s="128"/>
      <c r="D26" s="128"/>
      <c r="E26" s="129"/>
      <c r="F26" s="49">
        <v>0</v>
      </c>
      <c r="G26" s="50" t="s">
        <v>46</v>
      </c>
      <c r="H26" s="50" t="s">
        <v>46</v>
      </c>
      <c r="I26" s="49">
        <f t="shared" si="0"/>
        <v>0</v>
      </c>
    </row>
    <row r="27" spans="1:9" x14ac:dyDescent="0.25">
      <c r="A27" s="130" t="s">
        <v>475</v>
      </c>
      <c r="B27" s="131"/>
      <c r="C27" s="131"/>
      <c r="D27" s="131"/>
      <c r="E27" s="132"/>
      <c r="F27" s="51" t="s">
        <v>46</v>
      </c>
      <c r="G27" s="52" t="s">
        <v>46</v>
      </c>
      <c r="H27" s="52" t="s">
        <v>46</v>
      </c>
      <c r="I27" s="53">
        <f>SUM(I21:I26)</f>
        <v>0</v>
      </c>
    </row>
    <row r="29" spans="1:9" ht="15.75" x14ac:dyDescent="0.25">
      <c r="A29" s="133" t="s">
        <v>476</v>
      </c>
      <c r="B29" s="134"/>
      <c r="C29" s="134"/>
      <c r="D29" s="134"/>
      <c r="E29" s="135"/>
      <c r="F29" s="136">
        <f>I18+I27</f>
        <v>0</v>
      </c>
      <c r="G29" s="137"/>
      <c r="H29" s="137"/>
      <c r="I29" s="138"/>
    </row>
    <row r="33" spans="1:9" ht="15.75" x14ac:dyDescent="0.25">
      <c r="A33" s="120" t="s">
        <v>477</v>
      </c>
      <c r="B33" s="120"/>
      <c r="C33" s="120"/>
      <c r="D33" s="120"/>
      <c r="E33" s="120"/>
    </row>
    <row r="34" spans="1:9" x14ac:dyDescent="0.25">
      <c r="A34" s="121" t="s">
        <v>478</v>
      </c>
      <c r="B34" s="122"/>
      <c r="C34" s="122"/>
      <c r="D34" s="122"/>
      <c r="E34" s="123"/>
      <c r="F34" s="46" t="s">
        <v>471</v>
      </c>
      <c r="G34" s="46" t="s">
        <v>472</v>
      </c>
      <c r="H34" s="46" t="s">
        <v>473</v>
      </c>
      <c r="I34" s="46" t="s">
        <v>471</v>
      </c>
    </row>
    <row r="35" spans="1:9" x14ac:dyDescent="0.25">
      <c r="A35" s="124" t="s">
        <v>397</v>
      </c>
      <c r="B35" s="125"/>
      <c r="C35" s="125"/>
      <c r="D35" s="125"/>
      <c r="E35" s="126"/>
      <c r="F35" s="47">
        <f>SUM('Stavební rozpočet'!BM12:BM165)</f>
        <v>0</v>
      </c>
      <c r="G35" s="48" t="s">
        <v>46</v>
      </c>
      <c r="H35" s="48" t="s">
        <v>46</v>
      </c>
      <c r="I35" s="47">
        <f t="shared" ref="I35:I44" si="1">F35</f>
        <v>0</v>
      </c>
    </row>
    <row r="36" spans="1:9" x14ac:dyDescent="0.25">
      <c r="A36" s="124" t="s">
        <v>479</v>
      </c>
      <c r="B36" s="125"/>
      <c r="C36" s="125"/>
      <c r="D36" s="125"/>
      <c r="E36" s="126"/>
      <c r="F36" s="47">
        <f>SUM('Stavební rozpočet'!BN12:BN165)</f>
        <v>0</v>
      </c>
      <c r="G36" s="48" t="s">
        <v>46</v>
      </c>
      <c r="H36" s="48" t="s">
        <v>46</v>
      </c>
      <c r="I36" s="47">
        <f t="shared" si="1"/>
        <v>0</v>
      </c>
    </row>
    <row r="37" spans="1:9" x14ac:dyDescent="0.25">
      <c r="A37" s="124" t="s">
        <v>412</v>
      </c>
      <c r="B37" s="125"/>
      <c r="C37" s="125"/>
      <c r="D37" s="125"/>
      <c r="E37" s="126"/>
      <c r="F37" s="47">
        <f>SUM('Stavební rozpočet'!BO12:BO165)</f>
        <v>0</v>
      </c>
      <c r="G37" s="48" t="s">
        <v>46</v>
      </c>
      <c r="H37" s="48" t="s">
        <v>46</v>
      </c>
      <c r="I37" s="47">
        <f t="shared" si="1"/>
        <v>0</v>
      </c>
    </row>
    <row r="38" spans="1:9" x14ac:dyDescent="0.25">
      <c r="A38" s="124" t="s">
        <v>420</v>
      </c>
      <c r="B38" s="125"/>
      <c r="C38" s="125"/>
      <c r="D38" s="125"/>
      <c r="E38" s="126"/>
      <c r="F38" s="47">
        <f>SUM('Stavební rozpočet'!BP12:BP165)</f>
        <v>0</v>
      </c>
      <c r="G38" s="48" t="s">
        <v>46</v>
      </c>
      <c r="H38" s="48" t="s">
        <v>46</v>
      </c>
      <c r="I38" s="47">
        <f t="shared" si="1"/>
        <v>0</v>
      </c>
    </row>
    <row r="39" spans="1:9" x14ac:dyDescent="0.25">
      <c r="A39" s="124" t="s">
        <v>480</v>
      </c>
      <c r="B39" s="125"/>
      <c r="C39" s="125"/>
      <c r="D39" s="125"/>
      <c r="E39" s="126"/>
      <c r="F39" s="47">
        <f>SUM('Stavební rozpočet'!BQ12:BQ165)</f>
        <v>0</v>
      </c>
      <c r="G39" s="48" t="s">
        <v>46</v>
      </c>
      <c r="H39" s="48" t="s">
        <v>46</v>
      </c>
      <c r="I39" s="47">
        <f t="shared" si="1"/>
        <v>0</v>
      </c>
    </row>
    <row r="40" spans="1:9" x14ac:dyDescent="0.25">
      <c r="A40" s="124" t="s">
        <v>445</v>
      </c>
      <c r="B40" s="125"/>
      <c r="C40" s="125"/>
      <c r="D40" s="125"/>
      <c r="E40" s="126"/>
      <c r="F40" s="47">
        <f>SUM('Stavební rozpočet'!BR12:BR165)</f>
        <v>0</v>
      </c>
      <c r="G40" s="48" t="s">
        <v>46</v>
      </c>
      <c r="H40" s="48" t="s">
        <v>46</v>
      </c>
      <c r="I40" s="47">
        <f t="shared" si="1"/>
        <v>0</v>
      </c>
    </row>
    <row r="41" spans="1:9" x14ac:dyDescent="0.25">
      <c r="A41" s="124" t="s">
        <v>446</v>
      </c>
      <c r="B41" s="125"/>
      <c r="C41" s="125"/>
      <c r="D41" s="125"/>
      <c r="E41" s="126"/>
      <c r="F41" s="47">
        <f>SUM('Stavební rozpočet'!BS12:BS165)</f>
        <v>0</v>
      </c>
      <c r="G41" s="48" t="s">
        <v>46</v>
      </c>
      <c r="H41" s="48" t="s">
        <v>46</v>
      </c>
      <c r="I41" s="47">
        <f t="shared" si="1"/>
        <v>0</v>
      </c>
    </row>
    <row r="42" spans="1:9" x14ac:dyDescent="0.25">
      <c r="A42" s="124" t="s">
        <v>481</v>
      </c>
      <c r="B42" s="125"/>
      <c r="C42" s="125"/>
      <c r="D42" s="125"/>
      <c r="E42" s="126"/>
      <c r="F42" s="47">
        <f>SUM('Stavební rozpočet'!BT12:BT165)</f>
        <v>0</v>
      </c>
      <c r="G42" s="48" t="s">
        <v>46</v>
      </c>
      <c r="H42" s="48" t="s">
        <v>46</v>
      </c>
      <c r="I42" s="47">
        <f t="shared" si="1"/>
        <v>0</v>
      </c>
    </row>
    <row r="43" spans="1:9" x14ac:dyDescent="0.25">
      <c r="A43" s="124" t="s">
        <v>482</v>
      </c>
      <c r="B43" s="125"/>
      <c r="C43" s="125"/>
      <c r="D43" s="125"/>
      <c r="E43" s="126"/>
      <c r="F43" s="47">
        <f>SUM('Stavební rozpočet'!BU12:BU165)</f>
        <v>0</v>
      </c>
      <c r="G43" s="48" t="s">
        <v>46</v>
      </c>
      <c r="H43" s="48" t="s">
        <v>46</v>
      </c>
      <c r="I43" s="47">
        <f t="shared" si="1"/>
        <v>0</v>
      </c>
    </row>
    <row r="44" spans="1:9" x14ac:dyDescent="0.25">
      <c r="A44" s="127" t="s">
        <v>483</v>
      </c>
      <c r="B44" s="128"/>
      <c r="C44" s="128"/>
      <c r="D44" s="128"/>
      <c r="E44" s="129"/>
      <c r="F44" s="49">
        <f>SUM('Stavební rozpočet'!BV12:BV165)</f>
        <v>0</v>
      </c>
      <c r="G44" s="50" t="s">
        <v>46</v>
      </c>
      <c r="H44" s="50" t="s">
        <v>46</v>
      </c>
      <c r="I44" s="49">
        <f t="shared" si="1"/>
        <v>0</v>
      </c>
    </row>
    <row r="45" spans="1:9" x14ac:dyDescent="0.25">
      <c r="A45" s="130" t="s">
        <v>484</v>
      </c>
      <c r="B45" s="131"/>
      <c r="C45" s="131"/>
      <c r="D45" s="131"/>
      <c r="E45" s="132"/>
      <c r="F45" s="51" t="s">
        <v>46</v>
      </c>
      <c r="G45" s="52" t="s">
        <v>46</v>
      </c>
      <c r="H45" s="52" t="s">
        <v>46</v>
      </c>
      <c r="I45" s="53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Juřena</cp:lastModifiedBy>
  <dcterms:created xsi:type="dcterms:W3CDTF">2021-06-10T20:06:38Z</dcterms:created>
  <dcterms:modified xsi:type="dcterms:W3CDTF">2025-02-03T14:07:14Z</dcterms:modified>
</cp:coreProperties>
</file>