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1100" activeTab="0"/>
  </bookViews>
  <sheets>
    <sheet name="Krycí list rozpočtu" sheetId="1" r:id="rId1"/>
    <sheet name="VORN" sheetId="2" state="hidden" r:id="rId2"/>
    <sheet name="Stavební rozpočet" sheetId="3" r:id="rId3"/>
    <sheet name="Výkaz výměr" sheetId="4" r:id="rId4"/>
  </sheets>
  <definedNames>
    <definedName name="vorn_sum">'VORN'!$I$45</definedName>
  </definedNames>
  <calcPr fullCalcOnLoad="1"/>
</workbook>
</file>

<file path=xl/sharedStrings.xml><?xml version="1.0" encoding="utf-8"?>
<sst xmlns="http://schemas.openxmlformats.org/spreadsheetml/2006/main" count="2068" uniqueCount="520">
  <si>
    <t>((5*23,77)+(4*18,13))</t>
  </si>
  <si>
    <t>58156113</t>
  </si>
  <si>
    <t>Doba výstavby:</t>
  </si>
  <si>
    <t>bílá fotbal</t>
  </si>
  <si>
    <t>Projektant</t>
  </si>
  <si>
    <t>_9_</t>
  </si>
  <si>
    <t>Ostatní rozpočtové náklady (VORN)</t>
  </si>
  <si>
    <t>_2_</t>
  </si>
  <si>
    <t>Základ 15%</t>
  </si>
  <si>
    <t>Přesun hmot,umělý povrch dílce,přípl.za další 1km do celkvých 50km</t>
  </si>
  <si>
    <t>Vedlejší a ostatní rozpočtové náklady VORN</t>
  </si>
  <si>
    <t>lajnování volejbal, nohejbal, tenis, fotbal</t>
  </si>
  <si>
    <t>pár</t>
  </si>
  <si>
    <t>1,2*0,3*0,4*4</t>
  </si>
  <si>
    <t>(0,4*0,4*0,7)*41</t>
  </si>
  <si>
    <t>Ing. arch. Vratislav Ansorge</t>
  </si>
  <si>
    <t>Ochranná síť bezuzlová PP 3,0 mm, oko 45 mm</t>
  </si>
  <si>
    <t>vnější obvodový pás 0,5m k podhrabovým deskám</t>
  </si>
  <si>
    <t>pásovina 70*5mm</t>
  </si>
  <si>
    <t>Základ 21%</t>
  </si>
  <si>
    <t>55342652.1</t>
  </si>
  <si>
    <t>20</t>
  </si>
  <si>
    <t>03VRN</t>
  </si>
  <si>
    <t>zaokrouhlení a ztratné</t>
  </si>
  <si>
    <t>Dodávka</t>
  </si>
  <si>
    <t>Branka vstupní 1000*2000mm, včetně uzavírání a 2 pantů výplet pletivo nebo síť</t>
  </si>
  <si>
    <t>NUS celkem z obj.</t>
  </si>
  <si>
    <t>Název stavby:</t>
  </si>
  <si>
    <t>1310</t>
  </si>
  <si>
    <t>Ostatní materiál</t>
  </si>
  <si>
    <t>48</t>
  </si>
  <si>
    <t>29</t>
  </si>
  <si>
    <t>12ks sloupy krátké 1,73m (vyrobeno z 6m /3ks)</t>
  </si>
  <si>
    <t>Č</t>
  </si>
  <si>
    <t>28ks sloupy dlouhé 4,8m (vyrobeno z 6m/1ks)</t>
  </si>
  <si>
    <t>((23,77*4)+(10,97*2)+(8,13*2)+12,54)</t>
  </si>
  <si>
    <t>Poznámka:</t>
  </si>
  <si>
    <t>Lokalita:</t>
  </si>
  <si>
    <t>(8+16+8)*2</t>
  </si>
  <si>
    <t>59233175</t>
  </si>
  <si>
    <t>zaokrouhlení / ztratné</t>
  </si>
  <si>
    <t>275310030RA0</t>
  </si>
  <si>
    <t>(7*4*4)/1000</t>
  </si>
  <si>
    <t>16</t>
  </si>
  <si>
    <t>Podklad ze štěrkodrti po zhutnění tloušťky 10 cm štěrkodrť frakce 0-32 mm</t>
  </si>
  <si>
    <t>PSV</t>
  </si>
  <si>
    <t>24</t>
  </si>
  <si>
    <t>Celkem</t>
  </si>
  <si>
    <t>Vrut pro dřevostavby 6x40 mm čočková hlava, kuželovitá, drážka torx</t>
  </si>
  <si>
    <t>Zařízení staveniště</t>
  </si>
  <si>
    <t>1310,4</t>
  </si>
  <si>
    <t>11_</t>
  </si>
  <si>
    <t>soub</t>
  </si>
  <si>
    <t>4</t>
  </si>
  <si>
    <t>94</t>
  </si>
  <si>
    <t>60</t>
  </si>
  <si>
    <t>plocha sportoviště 600m2, přímý vsyp po instalaci umělého trávníku</t>
  </si>
  <si>
    <t>Základní rozpočtové náklady</t>
  </si>
  <si>
    <t>(13*4*4)/1000</t>
  </si>
  <si>
    <t>329,94</t>
  </si>
  <si>
    <t>311716502</t>
  </si>
  <si>
    <t>26</t>
  </si>
  <si>
    <t>Hranol konstrukční KVH NSi, SM, C24, 40 x 160 mm, 3m, v ceně je napočítáno krácení vrtání, sražení hran</t>
  </si>
  <si>
    <t>profil čtvercový 70*3mm</t>
  </si>
  <si>
    <t>((26+24+14+14)*0,73*2,36)/1000</t>
  </si>
  <si>
    <t>45/5</t>
  </si>
  <si>
    <t>(0,16*0,04*3)*(13*4)</t>
  </si>
  <si>
    <t>Rekonstrukce sportovního hřiště Rtyně v Podkrkonoší</t>
  </si>
  <si>
    <t>Celkem bez DPH</t>
  </si>
  <si>
    <t>28611154.A</t>
  </si>
  <si>
    <t>Vedlejší a ostatní rozpočtové náklady</t>
  </si>
  <si>
    <t>314520512</t>
  </si>
  <si>
    <t>Profil dutý čtvercový svařovaný S235JRH 70 x 3,0 mm</t>
  </si>
  <si>
    <t>6741000VD</t>
  </si>
  <si>
    <t>montáž dílů sportovního hřiště 1ks patka, včetně materiálu, instalace na místo</t>
  </si>
  <si>
    <t>6</t>
  </si>
  <si>
    <t>Rozpočtové náklady v Kč</t>
  </si>
  <si>
    <t>pásovina 50*5mm</t>
  </si>
  <si>
    <t>Písek křemičitý ST 05/10 - křemičitý písek, bal. 25 kg</t>
  </si>
  <si>
    <t>Metalizace žárovým zinkem</t>
  </si>
  <si>
    <t>3114840245.1</t>
  </si>
  <si>
    <t>14587281</t>
  </si>
  <si>
    <t>B</t>
  </si>
  <si>
    <t>Náklady na umístění stavby (NUS)</t>
  </si>
  <si>
    <t>střídačky</t>
  </si>
  <si>
    <t>42</t>
  </si>
  <si>
    <t>18,27*3,1</t>
  </si>
  <si>
    <t>ztratné</t>
  </si>
  <si>
    <t>Montáž</t>
  </si>
  <si>
    <t>(4*6*6,24)/1000</t>
  </si>
  <si>
    <t>Datum, razítko a podpis</t>
  </si>
  <si>
    <t>Trubka kanalizační KGEM SN 4 PVC 150x4,0x5000 mm</t>
  </si>
  <si>
    <t>289971212R00</t>
  </si>
  <si>
    <t>776_</t>
  </si>
  <si>
    <t>ZRN celkem</t>
  </si>
  <si>
    <t>74446908/není</t>
  </si>
  <si>
    <t>41,44</t>
  </si>
  <si>
    <t>Nezařazeno</t>
  </si>
  <si>
    <t>(329,94)/70</t>
  </si>
  <si>
    <t>6741001VD</t>
  </si>
  <si>
    <t>00278238/CZ00278238</t>
  </si>
  <si>
    <t>709-209N045VD</t>
  </si>
  <si>
    <t>tenisový KIT</t>
  </si>
  <si>
    <t>bm</t>
  </si>
  <si>
    <t>8,69</t>
  </si>
  <si>
    <t>sloupy pro sportovní sítě</t>
  </si>
  <si>
    <t>33</t>
  </si>
  <si>
    <t>DPH 15%</t>
  </si>
  <si>
    <t>patky pro kotvení sloupů sportovních sítí</t>
  </si>
  <si>
    <t>((0,16*3*2)+(0,04*3*2))*(10)</t>
  </si>
  <si>
    <t>patky pro kotvení střídaček</t>
  </si>
  <si>
    <t>13*4</t>
  </si>
  <si>
    <t>Krycí list slepého rozpočtu</t>
  </si>
  <si>
    <t>63</t>
  </si>
  <si>
    <t>122301109R00</t>
  </si>
  <si>
    <t>03VRN_</t>
  </si>
  <si>
    <t>Montáž ochranné sítě z umělých vláken, včetně přistavení lešení a ostatních nákladů na vyvěšení lešení (lanka, napínáky atd.)</t>
  </si>
  <si>
    <t>_78_</t>
  </si>
  <si>
    <t>783_</t>
  </si>
  <si>
    <t>patky pro kotvení sloupů záchytných sítí</t>
  </si>
  <si>
    <t>Základna</t>
  </si>
  <si>
    <t>25</t>
  </si>
  <si>
    <t>kus</t>
  </si>
  <si>
    <t>dlouhá strana s brankou a bránou</t>
  </si>
  <si>
    <t>Odkopávky a prokopávky</t>
  </si>
  <si>
    <t>fotbalové branky</t>
  </si>
  <si>
    <t>Dodávky</t>
  </si>
  <si>
    <t>1*0,3*0,1*4</t>
  </si>
  <si>
    <t>soustava</t>
  </si>
  <si>
    <t>34,2*18,6</t>
  </si>
  <si>
    <t>564801112R00</t>
  </si>
  <si>
    <t>(0,4*0,4*0,55)*41</t>
  </si>
  <si>
    <t>Podklad ze štěrkodrti po zhutnění tloušťky 4 cm</t>
  </si>
  <si>
    <t>Ostatní mat.</t>
  </si>
  <si>
    <t>Ostatní náklady</t>
  </si>
  <si>
    <t>Cenová</t>
  </si>
  <si>
    <t>krátký sloup 1,73m</t>
  </si>
  <si>
    <t>Geotextilie GUTTATEX 200 g/m2 š. 2000 mm PES</t>
  </si>
  <si>
    <t>0,4*0,4*0,3*2</t>
  </si>
  <si>
    <t>HSV prac</t>
  </si>
  <si>
    <t>767_</t>
  </si>
  <si>
    <t>výplety do brány a branky</t>
  </si>
  <si>
    <t>30995725.1</t>
  </si>
  <si>
    <t>13</t>
  </si>
  <si>
    <t>557.340VD</t>
  </si>
  <si>
    <t>krátká strana</t>
  </si>
  <si>
    <t>18,2*4*3</t>
  </si>
  <si>
    <t>18,2*4</t>
  </si>
  <si>
    <t>podlepovací páska C145 š.30cm návin v roli 100m</t>
  </si>
  <si>
    <t>Zřízení vrstvy z geotextilie rovina, sklon do 1:5 š.do 6 m</t>
  </si>
  <si>
    <t>"M"</t>
  </si>
  <si>
    <t>Vytrhání dřevěných lemovacích prkem</t>
  </si>
  <si>
    <t>Konstrukce doplňkové stavební (zámečnické)</t>
  </si>
  <si>
    <t>VORN celkem z obj.</t>
  </si>
  <si>
    <t>předsahy</t>
  </si>
  <si>
    <t>162601102R00</t>
  </si>
  <si>
    <t>Tyč ocelová plochá S235JR, rozměr 70 x 5 mm</t>
  </si>
  <si>
    <t>140</t>
  </si>
  <si>
    <t>Umělý sportovní trávník výška 18mm, pískový zásyp 10kg/m2</t>
  </si>
  <si>
    <t>Sportovní areál u restaurace u Vlčků</t>
  </si>
  <si>
    <t>(2*6*6,24)/1000</t>
  </si>
  <si>
    <t>55342602.1</t>
  </si>
  <si>
    <t>Cena/MJ</t>
  </si>
  <si>
    <t>RTS I / 2020</t>
  </si>
  <si>
    <t>pásovina 70mm</t>
  </si>
  <si>
    <t>Konec výstavby:</t>
  </si>
  <si>
    <t>H22_</t>
  </si>
  <si>
    <t>Kód</t>
  </si>
  <si>
    <t>43</t>
  </si>
  <si>
    <t>platle pro vrchní vzpěry dřevěné</t>
  </si>
  <si>
    <t>-((34,4+18,6+34,4+18,6)*0,5*0,3)</t>
  </si>
  <si>
    <t>sloupů</t>
  </si>
  <si>
    <t>sloupky UNI na volejbal, nohejbal, tenis</t>
  </si>
  <si>
    <t>((2,53*1,29)+(1*1,29))</t>
  </si>
  <si>
    <t>((4+4+4+4)*0,16*2,36)/1000</t>
  </si>
  <si>
    <t>Úprava podloží a základové spáry</t>
  </si>
  <si>
    <t>Ostatní přesuny hmot</t>
  </si>
  <si>
    <t>soubor</t>
  </si>
  <si>
    <t>MJ</t>
  </si>
  <si>
    <t>34,2*18,6*0,3</t>
  </si>
  <si>
    <t>24,32</t>
  </si>
  <si>
    <t>33,8*4</t>
  </si>
  <si>
    <t>45</t>
  </si>
  <si>
    <t>40</t>
  </si>
  <si>
    <t>Pozinkovaná karabina 6 cm, kotvení sítě k lanku po cca 30cm</t>
  </si>
  <si>
    <t>944944011R00</t>
  </si>
  <si>
    <t>H22</t>
  </si>
  <si>
    <t>69366201</t>
  </si>
  <si>
    <t>Branka na házenou 3x2m</t>
  </si>
  <si>
    <t>Doplňkové náklady</t>
  </si>
  <si>
    <t>Multifunkční ocelové sloupky kulaté, včetně zemního pouzdra s víčkem</t>
  </si>
  <si>
    <t>omotávka rohových sloupů + 2 prostřední</t>
  </si>
  <si>
    <t>Lepidlo polyuretanové dvousložkové pro umělé trávníky 0,45kg/1m</t>
  </si>
  <si>
    <t>PSV prac</t>
  </si>
  <si>
    <t>HSV</t>
  </si>
  <si>
    <t>998227115R00</t>
  </si>
  <si>
    <t>Vedlejší rozpočtové náklady VRN</t>
  </si>
  <si>
    <t>(34,4+18,6+34,4+18,6)*0,5</t>
  </si>
  <si>
    <t>RTS I / 2022</t>
  </si>
  <si>
    <t>9</t>
  </si>
  <si>
    <t>23,8*11</t>
  </si>
  <si>
    <t>(1*6*6,24)/1000</t>
  </si>
  <si>
    <t>0,8</t>
  </si>
  <si>
    <t>Vodorovné přemístění výkopku z hor.1-4 do 5000 m</t>
  </si>
  <si>
    <t>Spotřební materiál, sada šplachtlí, odlamovací a speciální nože, čistícího materiálu na práci s lepidlem při pokládkách UT na každých 70bm</t>
  </si>
  <si>
    <t>776572100R01</t>
  </si>
  <si>
    <t>15</t>
  </si>
  <si>
    <t>60515805</t>
  </si>
  <si>
    <t>ISWORK</t>
  </si>
  <si>
    <t>Celkem včetně DPH</t>
  </si>
  <si>
    <t>Celkem NUS</t>
  </si>
  <si>
    <t>překlady a ztratné</t>
  </si>
  <si>
    <t>Základ 0%</t>
  </si>
  <si>
    <t>28342433.1</t>
  </si>
  <si>
    <t>18,27*2</t>
  </si>
  <si>
    <t>52</t>
  </si>
  <si>
    <t>51</t>
  </si>
  <si>
    <t>709-35200255VD</t>
  </si>
  <si>
    <t>767995108R00</t>
  </si>
  <si>
    <t>11,06</t>
  </si>
  <si>
    <t>Mont prac</t>
  </si>
  <si>
    <t>146,804</t>
  </si>
  <si>
    <t>_3_</t>
  </si>
  <si>
    <t>Rozebrání dlažeb z betonových dlaždic na sucho</t>
  </si>
  <si>
    <t>Napínák M8 oko-hák</t>
  </si>
  <si>
    <t>44</t>
  </si>
  <si>
    <t>_5_</t>
  </si>
  <si>
    <t>767996803R00</t>
  </si>
  <si>
    <t>Nátěr truhlářských výrobků lazurovacím lakem, dvojnásobný Luxolem</t>
  </si>
  <si>
    <t>23</t>
  </si>
  <si>
    <t>RTS II / 2023</t>
  </si>
  <si>
    <t>((5*23,77)+(4*18,13))/70</t>
  </si>
  <si>
    <t>767</t>
  </si>
  <si>
    <t>59</t>
  </si>
  <si>
    <t>28_</t>
  </si>
  <si>
    <t>1000 ks</t>
  </si>
  <si>
    <t>Držák podhrabové desky Zn jednostranný - 30 cm</t>
  </si>
  <si>
    <t>557-CU-P468VD</t>
  </si>
  <si>
    <t>t</t>
  </si>
  <si>
    <t> </t>
  </si>
  <si>
    <t>53</t>
  </si>
  <si>
    <t>Montáž vrat na ocelové sloupky, plochy do 6 m2</t>
  </si>
  <si>
    <t>99</t>
  </si>
  <si>
    <t>((30,73*2)+(13,97*2)+(3,43*4))</t>
  </si>
  <si>
    <t>Průzkumy, geodetické a projektové práce</t>
  </si>
  <si>
    <t>012002VRN</t>
  </si>
  <si>
    <t>33,87*2</t>
  </si>
  <si>
    <t>Přesun hmot,umělé sportovní povrchy,kryt z dílců</t>
  </si>
  <si>
    <t>767911822R00</t>
  </si>
  <si>
    <t>01VRN_</t>
  </si>
  <si>
    <t>Podklad z kameniva drceného vel.32-63 mm,tl. 15 cm</t>
  </si>
  <si>
    <t>výplety do branek</t>
  </si>
  <si>
    <t>JKSO:</t>
  </si>
  <si>
    <t>674001VD</t>
  </si>
  <si>
    <t>13320370</t>
  </si>
  <si>
    <t>1ks sloup u branky</t>
  </si>
  <si>
    <t>18_</t>
  </si>
  <si>
    <t>1*0,3*0,4*4</t>
  </si>
  <si>
    <t>(0,16*0,04*3)*(7*4)</t>
  </si>
  <si>
    <t>0,2</t>
  </si>
  <si>
    <t>12_</t>
  </si>
  <si>
    <t>Slepení pásů (koberců) textilních na podlepovací pásku (bez pásky a lepidla oceňuje se zvlášť)</t>
  </si>
  <si>
    <t>DN celkem</t>
  </si>
  <si>
    <t>H99_</t>
  </si>
  <si>
    <t>Komunikace pozemní a letiště</t>
  </si>
  <si>
    <t>Položení lajn včetně rozměření, řezání a vlepení (bez materiálu, oceňuje se zvlášť)</t>
  </si>
  <si>
    <t>GROUPCODE</t>
  </si>
  <si>
    <t>(33,8*18,2)*5</t>
  </si>
  <si>
    <t>Provozní vlivy</t>
  </si>
  <si>
    <t>5</t>
  </si>
  <si>
    <t>Sloupy a pilíře, stožáry a rámové stojky</t>
  </si>
  <si>
    <t>(9*0,17*2,75)/1000</t>
  </si>
  <si>
    <t>318110011RT1</t>
  </si>
  <si>
    <t>Druh stavby:</t>
  </si>
  <si>
    <t>Přípravné a přidružené práce</t>
  </si>
  <si>
    <t>sportovní stavby</t>
  </si>
  <si>
    <t>Zpevňování hornin a konstrukcí</t>
  </si>
  <si>
    <t>Příplatek za lepivost - odkopávky v hor. 4</t>
  </si>
  <si>
    <t>4111000VD</t>
  </si>
  <si>
    <t>(28*6*6,24)/1000</t>
  </si>
  <si>
    <t>767920230R00</t>
  </si>
  <si>
    <t>Zpracováno dne:</t>
  </si>
  <si>
    <t>Nakládání výkopku z hor. 1 ÷ 4</t>
  </si>
  <si>
    <t>9*9</t>
  </si>
  <si>
    <t>Přesun hmot, komunikace z kameniva, příplatek 1 km do celkových 10km</t>
  </si>
  <si>
    <t>783</t>
  </si>
  <si>
    <t>RTS II / 2021</t>
  </si>
  <si>
    <t>zaokrouhlení bílé lajny na dělitelné 20bm</t>
  </si>
  <si>
    <t>215901101R00</t>
  </si>
  <si>
    <t>10</t>
  </si>
  <si>
    <t>58</t>
  </si>
  <si>
    <t>Brána 2530*2000mm dvoukřídlá (1,5+1m), FeZn, včetně uzavírání a 4 pantů výplet pletivo nebo síť</t>
  </si>
  <si>
    <t>36</t>
  </si>
  <si>
    <t>13,73087*49</t>
  </si>
  <si>
    <t>14</t>
  </si>
  <si>
    <t>VORN - Vedlejší a ostatní rozpočtové náklady</t>
  </si>
  <si>
    <t>31</t>
  </si>
  <si>
    <t>557-CU-P475VD</t>
  </si>
  <si>
    <t>_77_</t>
  </si>
  <si>
    <t>Položení volné podlah z pásů textilních, pouze položení - koberec ve specifikaci</t>
  </si>
  <si>
    <t>Množství</t>
  </si>
  <si>
    <t>38</t>
  </si>
  <si>
    <t>VORN celkem</t>
  </si>
  <si>
    <t>21_</t>
  </si>
  <si>
    <t>Typ skupiny</t>
  </si>
  <si>
    <t>762</t>
  </si>
  <si>
    <t>odpočet na vnější dosypání k obvodu plochy</t>
  </si>
  <si>
    <t>33,8*3,1</t>
  </si>
  <si>
    <t>762_</t>
  </si>
  <si>
    <t>Montáž konstrukce stěn z řeziva hraněn. do 120 cm2</t>
  </si>
  <si>
    <t>56</t>
  </si>
  <si>
    <t>998222011R00</t>
  </si>
  <si>
    <t>19</t>
  </si>
  <si>
    <t>4ks horizontální vzpěra nad brankami a pro kotvení basketbal.koše</t>
  </si>
  <si>
    <t>dlouhý sloup 4,8m</t>
  </si>
  <si>
    <t>C</t>
  </si>
  <si>
    <t>Náklady (Kč)</t>
  </si>
  <si>
    <t>Výroba a montáž kov. atypických konstr. nad 500 kg</t>
  </si>
  <si>
    <t>39</t>
  </si>
  <si>
    <t>30</t>
  </si>
  <si>
    <t>(160)/1000</t>
  </si>
  <si>
    <t>IČO/DIČ:</t>
  </si>
  <si>
    <t>Ostatní</t>
  </si>
  <si>
    <t>sloupy stávajícího oplocení</t>
  </si>
  <si>
    <t>Pletená šňůra PP o 4,0 mm, návin 50 m</t>
  </si>
  <si>
    <t>přídlažba u sportovní plochy</t>
  </si>
  <si>
    <t>55</t>
  </si>
  <si>
    <t>Podlahy povlakové</t>
  </si>
  <si>
    <t>030001VRN</t>
  </si>
  <si>
    <t>Zpracoval:</t>
  </si>
  <si>
    <t>Podkladní vrstvy komunikací, letišť a ploch</t>
  </si>
  <si>
    <t>pásovina 50mm</t>
  </si>
  <si>
    <t>1761100VD</t>
  </si>
  <si>
    <t>Soubor</t>
  </si>
  <si>
    <t>((0,16*3*2)+(0,04*3*2))*(7*4)</t>
  </si>
  <si>
    <t>Geodetické práce, skutečné zaměření vybudované stavby</t>
  </si>
  <si>
    <t>Zhotovitel</t>
  </si>
  <si>
    <t>RTS I / 2023</t>
  </si>
  <si>
    <t>180402111R00</t>
  </si>
  <si>
    <t>27_</t>
  </si>
  <si>
    <t>2</t>
  </si>
  <si>
    <t>(0,16*0,04*3)*(10)</t>
  </si>
  <si>
    <t>Projektant:</t>
  </si>
  <si>
    <t>krátké výběhy</t>
  </si>
  <si>
    <t/>
  </si>
  <si>
    <t>přímý vsyp po instalaci umělého trávníku</t>
  </si>
  <si>
    <t>17</t>
  </si>
  <si>
    <t>ks</t>
  </si>
  <si>
    <t>Základová patka z betonu C 16/20, včetně bednění a usazení KGEM pouzdra pro ukotvení sloupů</t>
  </si>
  <si>
    <t>Lešení a stavební výtahy</t>
  </si>
  <si>
    <t>23,8*4*2</t>
  </si>
  <si>
    <t>Kalkulovaná cena je bez DPH 21%, vyčíslení DPH a ostatních nákladů je v Krycím listě pro stavbu.
Odvoz odkopávek a prokopávek v rozpočtu je pouze do vzdálenosti 5km od stavby na deponii investora (rozpočet neobsahuje skládkovné). Odvoz na jiné místo musí spolu s případným skládkovným být dopočítáno jako vícepráce.
Přepravy jsou kalkulovány u běžných materiálů (obrubníky, betony štěrky) do 10km od místa stavby a do 50km materál na sportovní kryt (umělý trávník, materiál na záchytné sítě, písky na zásypy a jiné ne obvyklé).
Rozpočet je kalkulován pro stavbu na rovině, neobsahuje náklady na vytvoření terénních zářezů, dosypávek nebo vybudování případných zídek.
Jednotlivé položky podkladních vrstev obsahují hutnění a dále musí být hutněny zvlášť - navíc a jsou oceněny položkou (vrstvy s 0 je potřeba je hutnit za vlhka, výrobce UT doporučuje modul deformace min.Ev2&lt;60MPa a Evd&lt;32MPa dle ČSN18035).
Doporučená rovinatost konstrukčních vrstev je ± 10mm a nivelačních ± 20mm měřeno 4m latí.
Provozní deponie bude v místě stavby po domluvě s investorem, případné náklady na zřízení nebo provoz musí byt oceněny jako vícenáklady.</t>
  </si>
  <si>
    <t>21</t>
  </si>
  <si>
    <t>31_</t>
  </si>
  <si>
    <t>82333</t>
  </si>
  <si>
    <t>Šroub vratový M10+matka+podložky+krytka na matku.</t>
  </si>
  <si>
    <t>Lano ocelové 6-pramenné 42 drátů, pr. 4,0 mm, Zn</t>
  </si>
  <si>
    <t>61</t>
  </si>
  <si>
    <t>Město Rtyně v Podkrkonoší</t>
  </si>
  <si>
    <t>12</t>
  </si>
  <si>
    <t>Odkopávky nezapažené v hor. 4</t>
  </si>
  <si>
    <t>01VRN</t>
  </si>
  <si>
    <t>O003_</t>
  </si>
  <si>
    <t>Objekt</t>
  </si>
  <si>
    <t>DPH 21%</t>
  </si>
  <si>
    <t>3*25</t>
  </si>
  <si>
    <t>Demontáž drátěného pletiva výšky do 4,0 m</t>
  </si>
  <si>
    <t>Hráčská kabina pro 10 uživatelů délka 5m</t>
  </si>
  <si>
    <t>30+16+30+16</t>
  </si>
  <si>
    <t>122301101R00</t>
  </si>
  <si>
    <t>sloupy 70mm</t>
  </si>
  <si>
    <t>Písek křemičitý ST 05/10 - big-bag 1 t</t>
  </si>
  <si>
    <t>_</t>
  </si>
  <si>
    <t>Celkem VORN</t>
  </si>
  <si>
    <t>Lajny vyřezávaná 5cm, bílá, žlutá  (zaokrouhleno na 20m pásy)</t>
  </si>
  <si>
    <t>776572199</t>
  </si>
  <si>
    <t>49</t>
  </si>
  <si>
    <t>Přesuny</t>
  </si>
  <si>
    <t>MAT</t>
  </si>
  <si>
    <t>564751111R00</t>
  </si>
  <si>
    <t>776572110RT1</t>
  </si>
  <si>
    <t>776</t>
  </si>
  <si>
    <t>8</t>
  </si>
  <si>
    <t>Celkem:</t>
  </si>
  <si>
    <t>(18,27*2)*3</t>
  </si>
  <si>
    <t>Mimostav. doprava</t>
  </si>
  <si>
    <t>Nátěry</t>
  </si>
  <si>
    <t>18</t>
  </si>
  <si>
    <t>DN celkem z obj.</t>
  </si>
  <si>
    <t>46</t>
  </si>
  <si>
    <t>soub.</t>
  </si>
  <si>
    <t>platle na vzpěry horizontální ocelové</t>
  </si>
  <si>
    <t>181006116R00</t>
  </si>
  <si>
    <t>_76_</t>
  </si>
  <si>
    <t>55346481</t>
  </si>
  <si>
    <t>50</t>
  </si>
  <si>
    <t>Základy</t>
  </si>
  <si>
    <t>Montáž dřev./ocel. sloupu do 8,2 m</t>
  </si>
  <si>
    <t>m</t>
  </si>
  <si>
    <t>Inženýrské činnosti</t>
  </si>
  <si>
    <t>339951111R00</t>
  </si>
  <si>
    <t>311.2121VD</t>
  </si>
  <si>
    <t>Přemístění výkopku</t>
  </si>
  <si>
    <t>11</t>
  </si>
  <si>
    <t>bílá lajnování tenis</t>
  </si>
  <si>
    <t>32</t>
  </si>
  <si>
    <t>167101101R00</t>
  </si>
  <si>
    <t>Objednatel:</t>
  </si>
  <si>
    <t>998227111R00</t>
  </si>
  <si>
    <t>1,2*0,3*0,1*4</t>
  </si>
  <si>
    <t>viz. odkopávky</t>
  </si>
  <si>
    <t>Zhutnění podloží z hornin nesoudržných do 92% PS, Válcem 3,2 t, s kropením</t>
  </si>
  <si>
    <t>brána 2 křídlá, branka</t>
  </si>
  <si>
    <t>Osazení beton. podhrabové desky do ZN držáků</t>
  </si>
  <si>
    <t>PSV mat</t>
  </si>
  <si>
    <t>Potřebné množství</t>
  </si>
  <si>
    <t>Příprava staveniště</t>
  </si>
  <si>
    <t>3</t>
  </si>
  <si>
    <t>spojení jednotlivých pásů</t>
  </si>
  <si>
    <t>_1_</t>
  </si>
  <si>
    <t>Zhotovitel:</t>
  </si>
  <si>
    <t>%</t>
  </si>
  <si>
    <t>(3,09*10)*3</t>
  </si>
  <si>
    <t>_ _</t>
  </si>
  <si>
    <t>113106121R00</t>
  </si>
  <si>
    <t>35</t>
  </si>
  <si>
    <t>Začátek výstavby:</t>
  </si>
  <si>
    <t>dlouhé výběhy</t>
  </si>
  <si>
    <t>564831111RT2</t>
  </si>
  <si>
    <t>A</t>
  </si>
  <si>
    <t>Mont mat</t>
  </si>
  <si>
    <t>107,3</t>
  </si>
  <si>
    <t>Slepý stavební rozpočet</t>
  </si>
  <si>
    <t>Přesun hmot, pozemní komunikace, kryt z kameniva</t>
  </si>
  <si>
    <t>platle pro montáž prkené výdřevy</t>
  </si>
  <si>
    <t>54</t>
  </si>
  <si>
    <t xml:space="preserve"> </t>
  </si>
  <si>
    <t>16_</t>
  </si>
  <si>
    <t>783181000VD</t>
  </si>
  <si>
    <t>patky pro kotvení branek</t>
  </si>
  <si>
    <t>Vlastní VORN</t>
  </si>
  <si>
    <t>kg</t>
  </si>
  <si>
    <t>Objednatel</t>
  </si>
  <si>
    <t>57</t>
  </si>
  <si>
    <t>(Kč)</t>
  </si>
  <si>
    <t>22</t>
  </si>
  <si>
    <t>Finanční náklady</t>
  </si>
  <si>
    <t>Územní vlivy</t>
  </si>
  <si>
    <t>Zdi podpěrné a volné</t>
  </si>
  <si>
    <t>stávající záchytné sítě</t>
  </si>
  <si>
    <t>m3</t>
  </si>
  <si>
    <t>Datum:</t>
  </si>
  <si>
    <t>27</t>
  </si>
  <si>
    <t>37</t>
  </si>
  <si>
    <t>m2</t>
  </si>
  <si>
    <t>41</t>
  </si>
  <si>
    <t>(9+9)*25</t>
  </si>
  <si>
    <t>Přesun hmot a sutí</t>
  </si>
  <si>
    <t>NUS z rozpočtu</t>
  </si>
  <si>
    <t>Výkaz výměr</t>
  </si>
  <si>
    <t>1</t>
  </si>
  <si>
    <t>žlutá lajna volejbal / nohejbal</t>
  </si>
  <si>
    <t>Tyč ocelová plochá S355J2, rozměr 50 x 5 mm</t>
  </si>
  <si>
    <t>7</t>
  </si>
  <si>
    <t>2471000VD</t>
  </si>
  <si>
    <t>Rozměry</t>
  </si>
  <si>
    <t>762112110R00</t>
  </si>
  <si>
    <t>Položek:</t>
  </si>
  <si>
    <t>NUS celkem</t>
  </si>
  <si>
    <t>WORK</t>
  </si>
  <si>
    <t>Pískový zásyp ručně nebo strojem, kartáčování a úprava do požadované tloušťky</t>
  </si>
  <si>
    <t>Povrchové úpravy terénu</t>
  </si>
  <si>
    <t>odpočet - stávající sportovní plocha je utopená</t>
  </si>
  <si>
    <t>0,4*0,4*0,6*2</t>
  </si>
  <si>
    <t>47</t>
  </si>
  <si>
    <t>přesahy a zpratné</t>
  </si>
  <si>
    <t>998222091R00</t>
  </si>
  <si>
    <t>(33,87*2)*3</t>
  </si>
  <si>
    <t>HSV mat</t>
  </si>
  <si>
    <t>Kč</t>
  </si>
  <si>
    <t>dlouhá strana s brankou</t>
  </si>
  <si>
    <t>113204111.1</t>
  </si>
  <si>
    <t>vsyp při budoucí údržbě</t>
  </si>
  <si>
    <t>56_</t>
  </si>
  <si>
    <t>Celkem VRN</t>
  </si>
  <si>
    <t>Založení trávníku parkového výsevem v rovině</t>
  </si>
  <si>
    <t>Konstrukce tesařské</t>
  </si>
  <si>
    <t>33,73*18,13</t>
  </si>
  <si>
    <t>H99</t>
  </si>
  <si>
    <t>-(30*16*0,1)</t>
  </si>
  <si>
    <t>7*4</t>
  </si>
  <si>
    <t>479,61172*9</t>
  </si>
  <si>
    <t>163,88</t>
  </si>
  <si>
    <t>basketbalové desky</t>
  </si>
  <si>
    <t>plocha sportoviště</t>
  </si>
  <si>
    <t>Celkem DN</t>
  </si>
  <si>
    <t>((0,16*3*2)+(0,04*3*2))*(13*4)</t>
  </si>
  <si>
    <t>Zkrácený popis</t>
  </si>
  <si>
    <t>28</t>
  </si>
  <si>
    <t>Deska plotová podhrabová 300 x 50 x 2500 mm</t>
  </si>
  <si>
    <t>Rozprostření zemin v rov./sklonu 1:5</t>
  </si>
  <si>
    <t>33_</t>
  </si>
  <si>
    <t>11,5*2</t>
  </si>
  <si>
    <t>CELK</t>
  </si>
  <si>
    <t>Demontáž atypických ocelových konstr. do 250 kg</t>
  </si>
  <si>
    <t>94_</t>
  </si>
  <si>
    <t>767MO001</t>
  </si>
  <si>
    <t>rozměr sportoviště</t>
  </si>
  <si>
    <t>VATTAX</t>
  </si>
  <si>
    <t>140,04</t>
  </si>
  <si>
    <t>783620020RAB</t>
  </si>
  <si>
    <t>34</t>
  </si>
  <si>
    <t>62</t>
  </si>
  <si>
    <t>13321220</t>
  </si>
  <si>
    <t>Doplňkové náklady DN</t>
  </si>
  <si>
    <t>Krytka PVC černá, 70*70 mm</t>
  </si>
  <si>
    <t>Náklady na pracovníky</t>
  </si>
  <si>
    <t>58156112</t>
  </si>
  <si>
    <t>O003</t>
  </si>
  <si>
    <t>Vyplňujte pouze žlutě podbarvené políčka, nemažte vzorce, hodnoty se přenáší automaiticky i mezi listy.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</si>
</sst>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6">
    <font>
      <sz val="8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9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9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/>
    </border>
    <border>
      <left style="thin"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>
        <color rgb="FFC0C0C0"/>
      </left>
      <right style="thin">
        <color rgb="FFC0C0C0"/>
      </right>
      <top>
        <color rgb="FFC0C0C0"/>
      </top>
      <bottom>
        <color rgb="FFC0C0C0"/>
      </bottom>
    </border>
    <border>
      <left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>
        <color rgb="FF000000"/>
      </left>
      <right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C0C0C0"/>
      </left>
      <right style="thin">
        <color rgb="FFC0C0C0"/>
      </right>
      <top>
        <color rgb="FFC0C0C0"/>
      </top>
      <bottom style="thin">
        <color rgb="FFC0C0C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91">
    <xf numFmtId="0" fontId="1" fillId="0" borderId="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4" fontId="47" fillId="0" borderId="11" xfId="0" applyNumberFormat="1" applyFont="1" applyFill="1" applyBorder="1" applyAlignment="1" applyProtection="1">
      <alignment horizontal="right" vertical="center"/>
      <protection/>
    </xf>
    <xf numFmtId="4" fontId="46" fillId="0" borderId="12" xfId="0" applyNumberFormat="1" applyFont="1" applyFill="1" applyBorder="1" applyAlignment="1" applyProtection="1">
      <alignment horizontal="right" vertical="center"/>
      <protection/>
    </xf>
    <xf numFmtId="0" fontId="46" fillId="34" borderId="13" xfId="0" applyNumberFormat="1" applyFont="1" applyFill="1" applyBorder="1" applyAlignment="1" applyProtection="1">
      <alignment horizontal="left" vertical="center"/>
      <protection/>
    </xf>
    <xf numFmtId="0" fontId="46" fillId="34" borderId="14" xfId="0" applyNumberFormat="1" applyFont="1" applyFill="1" applyBorder="1" applyAlignment="1" applyProtection="1">
      <alignment horizontal="right" vertical="center"/>
      <protection/>
    </xf>
    <xf numFmtId="0" fontId="46" fillId="34" borderId="15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20" xfId="0" applyNumberFormat="1" applyFont="1" applyFill="1" applyBorder="1" applyAlignment="1" applyProtection="1">
      <alignment horizontal="center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21" xfId="0" applyNumberFormat="1" applyFont="1" applyFill="1" applyBorder="1" applyAlignment="1" applyProtection="1">
      <alignment horizontal="center" vertical="center"/>
      <protection/>
    </xf>
    <xf numFmtId="0" fontId="50" fillId="33" borderId="22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12" xfId="0" applyNumberFormat="1" applyFont="1" applyFill="1" applyBorder="1" applyAlignment="1" applyProtection="1">
      <alignment horizontal="righ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46" fillId="34" borderId="24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33" borderId="12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4" fontId="47" fillId="35" borderId="0" xfId="0" applyNumberFormat="1" applyFont="1" applyFill="1" applyBorder="1" applyAlignment="1" applyProtection="1">
      <alignment horizontal="right" vertical="center"/>
      <protection/>
    </xf>
    <xf numFmtId="4" fontId="49" fillId="0" borderId="17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35" borderId="24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right" vertical="center"/>
      <protection/>
    </xf>
    <xf numFmtId="0" fontId="47" fillId="35" borderId="14" xfId="0" applyNumberFormat="1" applyFont="1" applyFill="1" applyBorder="1" applyAlignment="1" applyProtection="1">
      <alignment horizontal="right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6" fillId="0" borderId="16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center" vertical="center"/>
      <protection/>
    </xf>
    <xf numFmtId="0" fontId="5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50" fillId="33" borderId="28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35" borderId="0" xfId="0" applyNumberFormat="1" applyFont="1" applyFill="1" applyBorder="1" applyAlignment="1" applyProtection="1">
      <alignment horizontal="left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47" fillId="33" borderId="12" xfId="0" applyNumberFormat="1" applyFont="1" applyFill="1" applyBorder="1" applyAlignment="1" applyProtection="1">
      <alignment horizontal="right" vertical="center"/>
      <protection/>
    </xf>
    <xf numFmtId="0" fontId="47" fillId="0" borderId="29" xfId="0" applyNumberFormat="1" applyFont="1" applyFill="1" applyBorder="1" applyAlignment="1" applyProtection="1">
      <alignment horizontal="center" vertical="center"/>
      <protection/>
    </xf>
    <xf numFmtId="0" fontId="47" fillId="33" borderId="12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7" fillId="35" borderId="14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4" fontId="51" fillId="33" borderId="16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4" fontId="47" fillId="35" borderId="0" xfId="0" applyNumberFormat="1" applyFont="1" applyFill="1" applyBorder="1" applyAlignment="1" applyProtection="1">
      <alignment horizontal="right" vertical="center"/>
      <protection/>
    </xf>
    <xf numFmtId="0" fontId="47" fillId="35" borderId="0" xfId="0" applyNumberFormat="1" applyFont="1" applyFill="1" applyBorder="1" applyAlignment="1" applyProtection="1">
      <alignment horizontal="left" vertical="center"/>
      <protection/>
    </xf>
    <xf numFmtId="4" fontId="51" fillId="33" borderId="22" xfId="0" applyNumberFormat="1" applyFont="1" applyFill="1" applyBorder="1" applyAlignment="1" applyProtection="1">
      <alignment horizontal="right" vertical="center"/>
      <protection/>
    </xf>
    <xf numFmtId="0" fontId="46" fillId="34" borderId="14" xfId="0" applyNumberFormat="1" applyFont="1" applyFill="1" applyBorder="1" applyAlignment="1" applyProtection="1">
      <alignment horizontal="right" vertical="center"/>
      <protection/>
    </xf>
    <xf numFmtId="1" fontId="47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left" vertical="center"/>
      <protection/>
    </xf>
    <xf numFmtId="0" fontId="46" fillId="34" borderId="32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center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34" xfId="0" applyNumberFormat="1" applyFont="1" applyFill="1" applyBorder="1" applyAlignment="1" applyProtection="1">
      <alignment/>
      <protection/>
    </xf>
    <xf numFmtId="4" fontId="48" fillId="0" borderId="22" xfId="0" applyNumberFormat="1" applyFont="1" applyFill="1" applyBorder="1" applyAlignment="1" applyProtection="1">
      <alignment horizontal="righ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4" fontId="48" fillId="0" borderId="25" xfId="0" applyNumberFormat="1" applyFont="1" applyFill="1" applyBorder="1" applyAlignment="1" applyProtection="1">
      <alignment horizontal="right" vertical="center"/>
      <protection/>
    </xf>
    <xf numFmtId="0" fontId="46" fillId="33" borderId="10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46" fillId="34" borderId="15" xfId="0" applyNumberFormat="1" applyFont="1" applyFill="1" applyBorder="1" applyAlignment="1" applyProtection="1">
      <alignment horizontal="right" vertical="center"/>
      <protection/>
    </xf>
    <xf numFmtId="0" fontId="46" fillId="35" borderId="24" xfId="0" applyNumberFormat="1" applyFont="1" applyFill="1" applyBorder="1" applyAlignment="1" applyProtection="1">
      <alignment horizontal="left" vertical="center"/>
      <protection/>
    </xf>
    <xf numFmtId="0" fontId="46" fillId="34" borderId="24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righ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7" fillId="33" borderId="12" xfId="0" applyNumberFormat="1" applyFont="1" applyFill="1" applyBorder="1" applyAlignment="1" applyProtection="1">
      <alignment horizontal="right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0" fontId="1" fillId="36" borderId="0" xfId="0" applyNumberFormat="1" applyFont="1" applyFill="1" applyBorder="1" applyAlignment="1" applyProtection="1">
      <alignment/>
      <protection/>
    </xf>
    <xf numFmtId="4" fontId="46" fillId="36" borderId="15" xfId="0" applyNumberFormat="1" applyFont="1" applyFill="1" applyBorder="1" applyAlignment="1" applyProtection="1">
      <alignment horizontal="right" vertical="center"/>
      <protection/>
    </xf>
    <xf numFmtId="4" fontId="46" fillId="36" borderId="0" xfId="0" applyNumberFormat="1" applyFont="1" applyFill="1" applyBorder="1" applyAlignment="1" applyProtection="1">
      <alignment horizontal="right" vertical="center"/>
      <protection/>
    </xf>
    <xf numFmtId="0" fontId="48" fillId="36" borderId="20" xfId="0" applyNumberFormat="1" applyFont="1" applyFill="1" applyBorder="1" applyAlignment="1" applyProtection="1">
      <alignment horizontal="left" vertical="center"/>
      <protection/>
    </xf>
    <xf numFmtId="0" fontId="48" fillId="36" borderId="38" xfId="0" applyNumberFormat="1" applyFont="1" applyFill="1" applyBorder="1" applyAlignment="1" applyProtection="1">
      <alignment horizontal="left" vertical="center"/>
      <protection/>
    </xf>
    <xf numFmtId="0" fontId="48" fillId="36" borderId="0" xfId="0" applyNumberFormat="1" applyFont="1" applyFill="1" applyBorder="1" applyAlignment="1" applyProtection="1">
      <alignment horizontal="left" vertical="center"/>
      <protection/>
    </xf>
    <xf numFmtId="0" fontId="48" fillId="36" borderId="39" xfId="0" applyNumberFormat="1" applyFont="1" applyFill="1" applyBorder="1" applyAlignment="1" applyProtection="1">
      <alignment horizontal="left" vertical="center"/>
      <protection/>
    </xf>
    <xf numFmtId="0" fontId="48" fillId="36" borderId="35" xfId="0" applyNumberFormat="1" applyFont="1" applyFill="1" applyBorder="1" applyAlignment="1" applyProtection="1">
      <alignment horizontal="left" vertical="center"/>
      <protection/>
    </xf>
    <xf numFmtId="0" fontId="48" fillId="36" borderId="21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38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35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left" vertical="center"/>
      <protection/>
    </xf>
    <xf numFmtId="0" fontId="51" fillId="33" borderId="43" xfId="0" applyNumberFormat="1" applyFont="1" applyFill="1" applyBorder="1" applyAlignment="1" applyProtection="1">
      <alignment horizontal="left" vertical="center"/>
      <protection/>
    </xf>
    <xf numFmtId="0" fontId="51" fillId="33" borderId="44" xfId="0" applyNumberFormat="1" applyFont="1" applyFill="1" applyBorder="1" applyAlignment="1" applyProtection="1">
      <alignment horizontal="left" vertical="center"/>
      <protection/>
    </xf>
    <xf numFmtId="0" fontId="51" fillId="33" borderId="34" xfId="0" applyNumberFormat="1" applyFont="1" applyFill="1" applyBorder="1" applyAlignment="1" applyProtection="1">
      <alignment horizontal="left" vertical="center"/>
      <protection/>
    </xf>
    <xf numFmtId="0" fontId="51" fillId="33" borderId="17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44" xfId="0" applyNumberFormat="1" applyFont="1" applyFill="1" applyBorder="1" applyAlignment="1" applyProtection="1">
      <alignment horizontal="lef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3" fillId="0" borderId="44" xfId="0" applyNumberFormat="1" applyFont="1" applyFill="1" applyBorder="1" applyAlignment="1" applyProtection="1">
      <alignment horizontal="left" vertical="center"/>
      <protection/>
    </xf>
    <xf numFmtId="0" fontId="53" fillId="0" borderId="22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43" xfId="0" applyNumberFormat="1" applyFont="1" applyFill="1" applyBorder="1" applyAlignment="1" applyProtection="1">
      <alignment horizontal="left" vertical="center"/>
      <protection/>
    </xf>
    <xf numFmtId="0" fontId="46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36" borderId="12" xfId="0" applyNumberFormat="1" applyFont="1" applyFill="1" applyBorder="1" applyAlignment="1" applyProtection="1">
      <alignment horizontal="left" vertical="center"/>
      <protection/>
    </xf>
    <xf numFmtId="1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 wrapText="1"/>
      <protection/>
    </xf>
    <xf numFmtId="0" fontId="46" fillId="0" borderId="16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6" xfId="0" applyNumberFormat="1" applyFont="1" applyFill="1" applyBorder="1" applyAlignment="1" applyProtection="1">
      <alignment horizontal="left" vertical="center" wrapText="1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46" xfId="0" applyNumberFormat="1" applyFont="1" applyFill="1" applyBorder="1" applyAlignment="1" applyProtection="1">
      <alignment horizontal="left" vertical="center" wrapText="1"/>
      <protection/>
    </xf>
    <xf numFmtId="0" fontId="47" fillId="0" borderId="46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47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 wrapText="1"/>
      <protection/>
    </xf>
    <xf numFmtId="0" fontId="46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48" xfId="0" applyNumberFormat="1" applyFont="1" applyFill="1" applyBorder="1" applyAlignment="1" applyProtection="1">
      <alignment horizontal="left" vertical="center"/>
      <protection/>
    </xf>
    <xf numFmtId="0" fontId="47" fillId="0" borderId="26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51" fillId="0" borderId="48" xfId="0" applyNumberFormat="1" applyFont="1" applyFill="1" applyBorder="1" applyAlignment="1" applyProtection="1">
      <alignment horizontal="left" vertical="center"/>
      <protection/>
    </xf>
    <xf numFmtId="0" fontId="51" fillId="0" borderId="26" xfId="0" applyNumberFormat="1" applyFont="1" applyFill="1" applyBorder="1" applyAlignment="1" applyProtection="1">
      <alignment horizontal="left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4" fontId="51" fillId="0" borderId="26" xfId="0" applyNumberFormat="1" applyFont="1" applyFill="1" applyBorder="1" applyAlignment="1" applyProtection="1">
      <alignment horizontal="right" vertical="center"/>
      <protection/>
    </xf>
    <xf numFmtId="0" fontId="51" fillId="0" borderId="26" xfId="0" applyNumberFormat="1" applyFont="1" applyFill="1" applyBorder="1" applyAlignment="1" applyProtection="1">
      <alignment horizontal="right" vertical="center"/>
      <protection/>
    </xf>
    <xf numFmtId="0" fontId="51" fillId="0" borderId="11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left" vertical="center"/>
      <protection/>
    </xf>
    <xf numFmtId="0" fontId="47" fillId="0" borderId="50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33" borderId="0" xfId="0" applyNumberFormat="1" applyFont="1" applyFill="1" applyBorder="1" applyAlignment="1" applyProtection="1">
      <alignment horizontal="left" vertical="center" wrapText="1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46" fillId="34" borderId="15" xfId="0" applyNumberFormat="1" applyFont="1" applyFill="1" applyBorder="1" applyAlignment="1" applyProtection="1">
      <alignment horizontal="left" vertical="center" wrapText="1"/>
      <protection/>
    </xf>
    <xf numFmtId="0" fontId="46" fillId="34" borderId="15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 wrapText="1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7" fillId="35" borderId="0" xfId="0" applyNumberFormat="1" applyFont="1" applyFill="1" applyBorder="1" applyAlignment="1" applyProtection="1">
      <alignment horizontal="left" vertical="center" wrapText="1"/>
      <protection/>
    </xf>
    <xf numFmtId="0" fontId="47" fillId="35" borderId="0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49" xfId="0" applyNumberFormat="1" applyFont="1" applyFill="1" applyBorder="1" applyAlignment="1" applyProtection="1">
      <alignment horizontal="center" vertical="center"/>
      <protection/>
    </xf>
    <xf numFmtId="0" fontId="47" fillId="0" borderId="50" xfId="0" applyNumberFormat="1" applyFont="1" applyFill="1" applyBorder="1" applyAlignment="1" applyProtection="1">
      <alignment horizontal="center" vertical="center"/>
      <protection/>
    </xf>
    <xf numFmtId="0" fontId="47" fillId="0" borderId="36" xfId="0" applyNumberFormat="1" applyFont="1" applyFill="1" applyBorder="1" applyAlignment="1" applyProtection="1">
      <alignment horizontal="center" vertical="center"/>
      <protection/>
    </xf>
    <xf numFmtId="0" fontId="46" fillId="36" borderId="0" xfId="0" applyNumberFormat="1" applyFont="1" applyFill="1" applyBorder="1" applyAlignment="1" applyProtection="1">
      <alignment horizontal="left" vertical="center"/>
      <protection/>
    </xf>
    <xf numFmtId="0" fontId="46" fillId="36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7" xfId="0" applyNumberFormat="1" applyFont="1" applyFill="1" applyBorder="1" applyAlignment="1" applyProtection="1">
      <alignment horizontal="left" vertical="center"/>
      <protection/>
    </xf>
    <xf numFmtId="0" fontId="47" fillId="0" borderId="31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tabSelected="1" showOutlineSymbols="0" zoomScalePageLayoutView="0" workbookViewId="0" topLeftCell="A1">
      <selection activeCell="A1" sqref="A1:I1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23.25">
      <c r="A1" s="152" t="s">
        <v>112</v>
      </c>
      <c r="B1" s="153"/>
      <c r="C1" s="153"/>
      <c r="D1" s="153"/>
      <c r="E1" s="153"/>
      <c r="F1" s="153"/>
      <c r="G1" s="153"/>
      <c r="H1" s="153"/>
      <c r="I1" s="153"/>
    </row>
    <row r="2" spans="1:9" ht="15" customHeight="1">
      <c r="A2" s="154" t="s">
        <v>27</v>
      </c>
      <c r="B2" s="147"/>
      <c r="C2" s="149" t="str">
        <f>'Stavební rozpočet'!C2</f>
        <v>Rekonstrukce sportovního hřiště Rtyně v Podkrkonoší</v>
      </c>
      <c r="D2" s="150"/>
      <c r="E2" s="146" t="s">
        <v>407</v>
      </c>
      <c r="F2" s="146" t="str">
        <f>'Stavební rozpočet'!I2</f>
        <v>Město Rtyně v Podkrkonoší</v>
      </c>
      <c r="G2" s="147"/>
      <c r="H2" s="146" t="s">
        <v>321</v>
      </c>
      <c r="I2" s="139" t="s">
        <v>100</v>
      </c>
    </row>
    <row r="3" spans="1:9" ht="15" customHeight="1">
      <c r="A3" s="155"/>
      <c r="B3" s="112"/>
      <c r="C3" s="151"/>
      <c r="D3" s="151"/>
      <c r="E3" s="112"/>
      <c r="F3" s="112"/>
      <c r="G3" s="112"/>
      <c r="H3" s="112"/>
      <c r="I3" s="140"/>
    </row>
    <row r="4" spans="1:9" ht="15" customHeight="1">
      <c r="A4" s="156" t="s">
        <v>273</v>
      </c>
      <c r="B4" s="112"/>
      <c r="C4" s="111" t="str">
        <f>'Stavební rozpočet'!C4</f>
        <v>sportovní stavby</v>
      </c>
      <c r="D4" s="112"/>
      <c r="E4" s="111" t="s">
        <v>342</v>
      </c>
      <c r="F4" s="111" t="str">
        <f>'Stavební rozpočet'!I4</f>
        <v>Ing. arch. Vratislav Ansorge</v>
      </c>
      <c r="G4" s="112"/>
      <c r="H4" s="111" t="s">
        <v>321</v>
      </c>
      <c r="I4" s="140" t="s">
        <v>95</v>
      </c>
    </row>
    <row r="5" spans="1:9" ht="15" customHeight="1">
      <c r="A5" s="155"/>
      <c r="B5" s="112"/>
      <c r="C5" s="112"/>
      <c r="D5" s="112"/>
      <c r="E5" s="112"/>
      <c r="F5" s="112"/>
      <c r="G5" s="112"/>
      <c r="H5" s="112"/>
      <c r="I5" s="140"/>
    </row>
    <row r="6" spans="1:9" ht="15" customHeight="1">
      <c r="A6" s="156" t="s">
        <v>37</v>
      </c>
      <c r="B6" s="112"/>
      <c r="C6" s="111" t="str">
        <f>'Stavební rozpočet'!C6</f>
        <v>Sportovní areál u restaurace u Vlčků</v>
      </c>
      <c r="D6" s="112"/>
      <c r="E6" s="111" t="s">
        <v>420</v>
      </c>
      <c r="F6" s="111" t="str">
        <f>'Stavební rozpočet'!I6</f>
        <v> </v>
      </c>
      <c r="G6" s="112"/>
      <c r="H6" s="111" t="s">
        <v>321</v>
      </c>
      <c r="I6" s="141" t="s">
        <v>344</v>
      </c>
    </row>
    <row r="7" spans="1:9" ht="15" customHeight="1">
      <c r="A7" s="155"/>
      <c r="B7" s="112"/>
      <c r="C7" s="112"/>
      <c r="D7" s="112"/>
      <c r="E7" s="112"/>
      <c r="F7" s="112"/>
      <c r="G7" s="112"/>
      <c r="H7" s="112"/>
      <c r="I7" s="141"/>
    </row>
    <row r="8" spans="1:9" ht="15" customHeight="1">
      <c r="A8" s="156" t="s">
        <v>426</v>
      </c>
      <c r="B8" s="112"/>
      <c r="C8" s="111" t="str">
        <f>'Stavební rozpočet'!G4</f>
        <v> </v>
      </c>
      <c r="D8" s="112"/>
      <c r="E8" s="111" t="s">
        <v>165</v>
      </c>
      <c r="F8" s="111" t="str">
        <f>'Stavební rozpočet'!G6</f>
        <v> </v>
      </c>
      <c r="G8" s="112"/>
      <c r="H8" s="112" t="s">
        <v>467</v>
      </c>
      <c r="I8" s="142">
        <v>63</v>
      </c>
    </row>
    <row r="9" spans="1:9" ht="15" customHeight="1">
      <c r="A9" s="155"/>
      <c r="B9" s="112"/>
      <c r="C9" s="112"/>
      <c r="D9" s="112"/>
      <c r="E9" s="112"/>
      <c r="F9" s="112"/>
      <c r="G9" s="112"/>
      <c r="H9" s="112"/>
      <c r="I9" s="140"/>
    </row>
    <row r="10" spans="1:9" ht="15" customHeight="1">
      <c r="A10" s="156" t="s">
        <v>252</v>
      </c>
      <c r="B10" s="112"/>
      <c r="C10" s="111" t="str">
        <f>'Stavební rozpočet'!C8</f>
        <v>82333</v>
      </c>
      <c r="D10" s="112"/>
      <c r="E10" s="111" t="s">
        <v>329</v>
      </c>
      <c r="F10" s="111">
        <f>'Stavební rozpočet'!I8</f>
        <v>0</v>
      </c>
      <c r="G10" s="112"/>
      <c r="H10" s="112" t="s">
        <v>451</v>
      </c>
      <c r="I10" s="143" t="str">
        <f>'Stavební rozpočet'!G8</f>
        <v> </v>
      </c>
    </row>
    <row r="11" spans="1:9" ht="15" customHeight="1">
      <c r="A11" s="157"/>
      <c r="B11" s="148"/>
      <c r="C11" s="148"/>
      <c r="D11" s="148"/>
      <c r="E11" s="148"/>
      <c r="F11" s="148"/>
      <c r="G11" s="148"/>
      <c r="H11" s="148"/>
      <c r="I11" s="144"/>
    </row>
    <row r="12" spans="1:9" ht="22.5" customHeight="1">
      <c r="A12" s="145" t="s">
        <v>76</v>
      </c>
      <c r="B12" s="145"/>
      <c r="C12" s="145"/>
      <c r="D12" s="145"/>
      <c r="E12" s="145"/>
      <c r="F12" s="145"/>
      <c r="G12" s="145"/>
      <c r="H12" s="145"/>
      <c r="I12" s="145"/>
    </row>
    <row r="13" spans="1:9" ht="26.25" customHeight="1">
      <c r="A13" s="50" t="s">
        <v>429</v>
      </c>
      <c r="B13" s="134" t="s">
        <v>57</v>
      </c>
      <c r="C13" s="135"/>
      <c r="D13" s="24" t="s">
        <v>82</v>
      </c>
      <c r="E13" s="134" t="s">
        <v>189</v>
      </c>
      <c r="F13" s="135"/>
      <c r="G13" s="24" t="s">
        <v>315</v>
      </c>
      <c r="H13" s="134" t="s">
        <v>83</v>
      </c>
      <c r="I13" s="135"/>
    </row>
    <row r="14" spans="1:9" ht="15" customHeight="1">
      <c r="A14" s="48" t="s">
        <v>194</v>
      </c>
      <c r="B14" s="13" t="s">
        <v>126</v>
      </c>
      <c r="C14" s="33">
        <f>SUM('Stavební rozpočet'!AB12:AB96)</f>
        <v>0</v>
      </c>
      <c r="D14" s="126" t="s">
        <v>344</v>
      </c>
      <c r="E14" s="127"/>
      <c r="F14" s="33">
        <f>VORN!I15</f>
        <v>0</v>
      </c>
      <c r="G14" s="126" t="s">
        <v>49</v>
      </c>
      <c r="H14" s="127"/>
      <c r="I14" s="7">
        <f>VORN!I21</f>
        <v>0</v>
      </c>
    </row>
    <row r="15" spans="1:9" ht="15" customHeight="1">
      <c r="A15" s="27" t="s">
        <v>344</v>
      </c>
      <c r="B15" s="13" t="s">
        <v>88</v>
      </c>
      <c r="C15" s="33">
        <f>SUM('Stavební rozpočet'!AC12:AC96)</f>
        <v>0</v>
      </c>
      <c r="D15" s="126" t="s">
        <v>344</v>
      </c>
      <c r="E15" s="127"/>
      <c r="F15" s="33">
        <f>VORN!I16</f>
        <v>0</v>
      </c>
      <c r="G15" s="126" t="s">
        <v>385</v>
      </c>
      <c r="H15" s="127"/>
      <c r="I15" s="7">
        <f>VORN!I22</f>
        <v>0</v>
      </c>
    </row>
    <row r="16" spans="1:9" ht="15" customHeight="1">
      <c r="A16" s="48" t="s">
        <v>45</v>
      </c>
      <c r="B16" s="13" t="s">
        <v>126</v>
      </c>
      <c r="C16" s="33">
        <f>SUM('Stavební rozpočet'!AD12:AD96)</f>
        <v>0</v>
      </c>
      <c r="D16" s="126" t="s">
        <v>344</v>
      </c>
      <c r="E16" s="127"/>
      <c r="F16" s="33">
        <f>VORN!I17</f>
        <v>0</v>
      </c>
      <c r="G16" s="126" t="s">
        <v>447</v>
      </c>
      <c r="H16" s="127"/>
      <c r="I16" s="7">
        <f>VORN!I23</f>
        <v>0</v>
      </c>
    </row>
    <row r="17" spans="1:9" ht="15" customHeight="1">
      <c r="A17" s="27" t="s">
        <v>344</v>
      </c>
      <c r="B17" s="13" t="s">
        <v>88</v>
      </c>
      <c r="C17" s="33">
        <f>SUM('Stavební rozpočet'!AE12:AE96)</f>
        <v>0</v>
      </c>
      <c r="D17" s="126" t="s">
        <v>344</v>
      </c>
      <c r="E17" s="127"/>
      <c r="F17" s="7" t="s">
        <v>344</v>
      </c>
      <c r="G17" s="126" t="s">
        <v>268</v>
      </c>
      <c r="H17" s="127"/>
      <c r="I17" s="7">
        <f>VORN!I24</f>
        <v>0</v>
      </c>
    </row>
    <row r="18" spans="1:9" ht="15" customHeight="1">
      <c r="A18" s="48" t="s">
        <v>150</v>
      </c>
      <c r="B18" s="13" t="s">
        <v>126</v>
      </c>
      <c r="C18" s="33">
        <f>SUM('Stavební rozpočet'!AF12:AF96)</f>
        <v>0</v>
      </c>
      <c r="D18" s="126" t="s">
        <v>344</v>
      </c>
      <c r="E18" s="127"/>
      <c r="F18" s="7" t="s">
        <v>344</v>
      </c>
      <c r="G18" s="126" t="s">
        <v>322</v>
      </c>
      <c r="H18" s="127"/>
      <c r="I18" s="7">
        <f>VORN!I25</f>
        <v>0</v>
      </c>
    </row>
    <row r="19" spans="1:9" ht="15" customHeight="1">
      <c r="A19" s="27" t="s">
        <v>344</v>
      </c>
      <c r="B19" s="13" t="s">
        <v>88</v>
      </c>
      <c r="C19" s="33">
        <f>SUM('Stavební rozpočet'!AG12:AG96)</f>
        <v>0</v>
      </c>
      <c r="D19" s="126" t="s">
        <v>344</v>
      </c>
      <c r="E19" s="127"/>
      <c r="F19" s="7" t="s">
        <v>344</v>
      </c>
      <c r="G19" s="126" t="s">
        <v>458</v>
      </c>
      <c r="H19" s="127"/>
      <c r="I19" s="7">
        <f>VORN!I26</f>
        <v>0</v>
      </c>
    </row>
    <row r="20" spans="1:9" ht="15" customHeight="1">
      <c r="A20" s="133" t="s">
        <v>29</v>
      </c>
      <c r="B20" s="132"/>
      <c r="C20" s="33">
        <f>SUM('Stavební rozpočet'!AH12:AH96)</f>
        <v>0</v>
      </c>
      <c r="D20" s="126" t="s">
        <v>344</v>
      </c>
      <c r="E20" s="127"/>
      <c r="F20" s="7" t="s">
        <v>344</v>
      </c>
      <c r="G20" s="126" t="s">
        <v>344</v>
      </c>
      <c r="H20" s="127"/>
      <c r="I20" s="7" t="s">
        <v>344</v>
      </c>
    </row>
    <row r="21" spans="1:9" ht="15" customHeight="1">
      <c r="A21" s="136" t="s">
        <v>457</v>
      </c>
      <c r="B21" s="137"/>
      <c r="C21" s="53">
        <f>SUM('Stavební rozpočet'!Z12:Z96)</f>
        <v>0</v>
      </c>
      <c r="D21" s="117" t="s">
        <v>344</v>
      </c>
      <c r="E21" s="128"/>
      <c r="F21" s="101" t="s">
        <v>344</v>
      </c>
      <c r="G21" s="117" t="s">
        <v>344</v>
      </c>
      <c r="H21" s="128"/>
      <c r="I21" s="101" t="s">
        <v>344</v>
      </c>
    </row>
    <row r="22" spans="1:9" ht="16.5" customHeight="1">
      <c r="A22" s="138" t="s">
        <v>94</v>
      </c>
      <c r="B22" s="130"/>
      <c r="C22" s="87">
        <f>SUM(C14:C21)</f>
        <v>0</v>
      </c>
      <c r="D22" s="129" t="s">
        <v>262</v>
      </c>
      <c r="E22" s="130"/>
      <c r="F22" s="87">
        <f>SUM(F14:F21)</f>
        <v>0</v>
      </c>
      <c r="G22" s="129" t="s">
        <v>468</v>
      </c>
      <c r="H22" s="130"/>
      <c r="I22" s="87">
        <f>SUM(I14:I21)</f>
        <v>0</v>
      </c>
    </row>
    <row r="23" spans="4:9" ht="15" customHeight="1">
      <c r="D23" s="133" t="s">
        <v>388</v>
      </c>
      <c r="E23" s="132"/>
      <c r="F23" s="89">
        <v>0</v>
      </c>
      <c r="G23" s="131" t="s">
        <v>26</v>
      </c>
      <c r="H23" s="132"/>
      <c r="I23" s="33">
        <v>0</v>
      </c>
    </row>
    <row r="24" spans="7:9" ht="15" customHeight="1">
      <c r="G24" s="133" t="s">
        <v>302</v>
      </c>
      <c r="H24" s="132"/>
      <c r="I24" s="53">
        <f>vorn_sum</f>
        <v>0</v>
      </c>
    </row>
    <row r="25" spans="7:9" ht="15" customHeight="1">
      <c r="G25" s="133" t="s">
        <v>153</v>
      </c>
      <c r="H25" s="132"/>
      <c r="I25" s="87">
        <v>0</v>
      </c>
    </row>
    <row r="27" spans="1:3" ht="15" customHeight="1">
      <c r="A27" s="122" t="s">
        <v>212</v>
      </c>
      <c r="B27" s="123"/>
      <c r="C27" s="69">
        <f>SUM('Stavební rozpočet'!AJ12:AJ96)</f>
        <v>0</v>
      </c>
    </row>
    <row r="28" spans="1:9" ht="15" customHeight="1">
      <c r="A28" s="124" t="s">
        <v>8</v>
      </c>
      <c r="B28" s="125"/>
      <c r="C28" s="64">
        <f>SUM('Stavební rozpočet'!AK12:AK96)</f>
        <v>0</v>
      </c>
      <c r="D28" s="123" t="s">
        <v>107</v>
      </c>
      <c r="E28" s="123"/>
      <c r="F28" s="69">
        <f>ROUND(C28*(15/100),2)</f>
        <v>0</v>
      </c>
      <c r="G28" s="123" t="s">
        <v>68</v>
      </c>
      <c r="H28" s="123"/>
      <c r="I28" s="69">
        <f>SUM(C27:C29)</f>
        <v>0</v>
      </c>
    </row>
    <row r="29" spans="1:9" ht="15" customHeight="1">
      <c r="A29" s="124" t="s">
        <v>19</v>
      </c>
      <c r="B29" s="125"/>
      <c r="C29" s="64">
        <f>SUM('Stavební rozpočet'!AL12:AL96)</f>
        <v>0</v>
      </c>
      <c r="D29" s="125" t="s">
        <v>364</v>
      </c>
      <c r="E29" s="125"/>
      <c r="F29" s="64">
        <f>ROUND(C29*(21/100),2)</f>
        <v>0</v>
      </c>
      <c r="G29" s="125" t="s">
        <v>209</v>
      </c>
      <c r="H29" s="125"/>
      <c r="I29" s="64">
        <f>ROUND(SUM(F28:F29)+I28,0)</f>
        <v>0</v>
      </c>
    </row>
    <row r="31" spans="1:9" ht="15" customHeight="1">
      <c r="A31" s="113" t="s">
        <v>4</v>
      </c>
      <c r="B31" s="114"/>
      <c r="C31" s="115"/>
      <c r="D31" s="114" t="s">
        <v>442</v>
      </c>
      <c r="E31" s="114"/>
      <c r="F31" s="115"/>
      <c r="G31" s="105" t="s">
        <v>336</v>
      </c>
      <c r="H31" s="105"/>
      <c r="I31" s="106"/>
    </row>
    <row r="32" spans="1:9" ht="15" customHeight="1">
      <c r="A32" s="116" t="s">
        <v>344</v>
      </c>
      <c r="B32" s="117"/>
      <c r="C32" s="118"/>
      <c r="D32" s="117" t="s">
        <v>344</v>
      </c>
      <c r="E32" s="117"/>
      <c r="F32" s="118"/>
      <c r="G32" s="107" t="s">
        <v>344</v>
      </c>
      <c r="H32" s="107"/>
      <c r="I32" s="108"/>
    </row>
    <row r="33" spans="1:9" ht="15" customHeight="1">
      <c r="A33" s="116" t="s">
        <v>344</v>
      </c>
      <c r="B33" s="117"/>
      <c r="C33" s="118"/>
      <c r="D33" s="117" t="s">
        <v>344</v>
      </c>
      <c r="E33" s="117"/>
      <c r="F33" s="118"/>
      <c r="G33" s="107" t="s">
        <v>344</v>
      </c>
      <c r="H33" s="107"/>
      <c r="I33" s="108"/>
    </row>
    <row r="34" spans="1:9" ht="15" customHeight="1">
      <c r="A34" s="116" t="s">
        <v>344</v>
      </c>
      <c r="B34" s="117"/>
      <c r="C34" s="118"/>
      <c r="D34" s="117" t="s">
        <v>344</v>
      </c>
      <c r="E34" s="117"/>
      <c r="F34" s="118"/>
      <c r="G34" s="107" t="s">
        <v>344</v>
      </c>
      <c r="H34" s="107"/>
      <c r="I34" s="108"/>
    </row>
    <row r="35" spans="1:9" ht="15" customHeight="1">
      <c r="A35" s="119" t="s">
        <v>90</v>
      </c>
      <c r="B35" s="120"/>
      <c r="C35" s="121"/>
      <c r="D35" s="120" t="s">
        <v>90</v>
      </c>
      <c r="E35" s="120"/>
      <c r="F35" s="121"/>
      <c r="G35" s="109" t="s">
        <v>90</v>
      </c>
      <c r="H35" s="109"/>
      <c r="I35" s="110"/>
    </row>
    <row r="36" spans="1:7" ht="15" customHeight="1">
      <c r="A36" s="35" t="s">
        <v>36</v>
      </c>
      <c r="B36" s="102" t="s">
        <v>519</v>
      </c>
      <c r="C36" s="102"/>
      <c r="D36" s="102"/>
      <c r="E36" s="102"/>
      <c r="F36" s="102"/>
      <c r="G36" s="102"/>
    </row>
    <row r="37" spans="1:9" ht="135" customHeight="1">
      <c r="A37" s="111" t="s">
        <v>351</v>
      </c>
      <c r="B37" s="112"/>
      <c r="C37" s="112"/>
      <c r="D37" s="112"/>
      <c r="E37" s="112"/>
      <c r="F37" s="112"/>
      <c r="G37" s="112"/>
      <c r="H37" s="112"/>
      <c r="I37" s="112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OutlineSymbols="0" zoomScalePageLayoutView="0" workbookViewId="0" topLeftCell="A1">
      <selection activeCell="A45" sqref="A45:E45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52" t="s">
        <v>70</v>
      </c>
      <c r="B1" s="153"/>
      <c r="C1" s="153"/>
      <c r="D1" s="153"/>
      <c r="E1" s="153"/>
      <c r="F1" s="153"/>
      <c r="G1" s="153"/>
      <c r="H1" s="153"/>
      <c r="I1" s="153"/>
    </row>
    <row r="2" spans="1:9" ht="15" customHeight="1">
      <c r="A2" s="154" t="s">
        <v>27</v>
      </c>
      <c r="B2" s="147"/>
      <c r="C2" s="149" t="str">
        <f>'Stavební rozpočet'!C2</f>
        <v>Rekonstrukce sportovního hřiště Rtyně v Podkrkonoší</v>
      </c>
      <c r="D2" s="150"/>
      <c r="E2" s="146" t="s">
        <v>407</v>
      </c>
      <c r="F2" s="146" t="str">
        <f>'Stavební rozpočet'!I2</f>
        <v>Město Rtyně v Podkrkonoší</v>
      </c>
      <c r="G2" s="147"/>
      <c r="H2" s="146" t="s">
        <v>321</v>
      </c>
      <c r="I2" s="139" t="s">
        <v>100</v>
      </c>
    </row>
    <row r="3" spans="1:9" ht="15" customHeight="1">
      <c r="A3" s="155"/>
      <c r="B3" s="112"/>
      <c r="C3" s="151"/>
      <c r="D3" s="151"/>
      <c r="E3" s="112"/>
      <c r="F3" s="112"/>
      <c r="G3" s="112"/>
      <c r="H3" s="112"/>
      <c r="I3" s="140"/>
    </row>
    <row r="4" spans="1:9" ht="15" customHeight="1">
      <c r="A4" s="156" t="s">
        <v>273</v>
      </c>
      <c r="B4" s="112"/>
      <c r="C4" s="111" t="str">
        <f>'Stavební rozpočet'!C4</f>
        <v>sportovní stavby</v>
      </c>
      <c r="D4" s="112"/>
      <c r="E4" s="111" t="s">
        <v>342</v>
      </c>
      <c r="F4" s="111" t="str">
        <f>'Stavební rozpočet'!I4</f>
        <v>Ing. arch. Vratislav Ansorge</v>
      </c>
      <c r="G4" s="112"/>
      <c r="H4" s="111" t="s">
        <v>321</v>
      </c>
      <c r="I4" s="140" t="s">
        <v>95</v>
      </c>
    </row>
    <row r="5" spans="1:9" ht="15" customHeight="1">
      <c r="A5" s="155"/>
      <c r="B5" s="112"/>
      <c r="C5" s="112"/>
      <c r="D5" s="112"/>
      <c r="E5" s="112"/>
      <c r="F5" s="112"/>
      <c r="G5" s="112"/>
      <c r="H5" s="112"/>
      <c r="I5" s="140"/>
    </row>
    <row r="6" spans="1:9" ht="15" customHeight="1">
      <c r="A6" s="156" t="s">
        <v>37</v>
      </c>
      <c r="B6" s="112"/>
      <c r="C6" s="111" t="str">
        <f>'Stavební rozpočet'!C6</f>
        <v>Sportovní areál u restaurace u Vlčků</v>
      </c>
      <c r="D6" s="112"/>
      <c r="E6" s="111" t="s">
        <v>420</v>
      </c>
      <c r="F6" s="111" t="str">
        <f>'Stavební rozpočet'!I6</f>
        <v> </v>
      </c>
      <c r="G6" s="112"/>
      <c r="H6" s="111" t="s">
        <v>321</v>
      </c>
      <c r="I6" s="140" t="s">
        <v>344</v>
      </c>
    </row>
    <row r="7" spans="1:9" ht="15" customHeight="1">
      <c r="A7" s="155"/>
      <c r="B7" s="112"/>
      <c r="C7" s="112"/>
      <c r="D7" s="112"/>
      <c r="E7" s="112"/>
      <c r="F7" s="112"/>
      <c r="G7" s="112"/>
      <c r="H7" s="112"/>
      <c r="I7" s="140"/>
    </row>
    <row r="8" spans="1:9" ht="15" customHeight="1">
      <c r="A8" s="156" t="s">
        <v>426</v>
      </c>
      <c r="B8" s="112"/>
      <c r="C8" s="111" t="str">
        <f>'Stavební rozpočet'!G4</f>
        <v> </v>
      </c>
      <c r="D8" s="112"/>
      <c r="E8" s="111" t="s">
        <v>165</v>
      </c>
      <c r="F8" s="111" t="str">
        <f>'Stavební rozpočet'!G6</f>
        <v> </v>
      </c>
      <c r="G8" s="112"/>
      <c r="H8" s="112" t="s">
        <v>467</v>
      </c>
      <c r="I8" s="142">
        <v>63</v>
      </c>
    </row>
    <row r="9" spans="1:9" ht="15" customHeight="1">
      <c r="A9" s="155"/>
      <c r="B9" s="112"/>
      <c r="C9" s="112"/>
      <c r="D9" s="112"/>
      <c r="E9" s="112"/>
      <c r="F9" s="112"/>
      <c r="G9" s="112"/>
      <c r="H9" s="112"/>
      <c r="I9" s="140"/>
    </row>
    <row r="10" spans="1:9" ht="15" customHeight="1">
      <c r="A10" s="156" t="s">
        <v>252</v>
      </c>
      <c r="B10" s="112"/>
      <c r="C10" s="111" t="str">
        <f>'Stavební rozpočet'!C8</f>
        <v>82333</v>
      </c>
      <c r="D10" s="112"/>
      <c r="E10" s="111" t="s">
        <v>329</v>
      </c>
      <c r="F10" s="111">
        <f>'Stavební rozpočet'!I8</f>
        <v>0</v>
      </c>
      <c r="G10" s="112"/>
      <c r="H10" s="112" t="s">
        <v>451</v>
      </c>
      <c r="I10" s="143" t="str">
        <f>'Stavební rozpočet'!G8</f>
        <v> </v>
      </c>
    </row>
    <row r="11" spans="1:9" ht="15" customHeight="1">
      <c r="A11" s="157"/>
      <c r="B11" s="148"/>
      <c r="C11" s="148"/>
      <c r="D11" s="148"/>
      <c r="E11" s="148"/>
      <c r="F11" s="148"/>
      <c r="G11" s="148"/>
      <c r="H11" s="148"/>
      <c r="I11" s="144"/>
    </row>
    <row r="13" spans="1:5" ht="15.75" customHeight="1">
      <c r="A13" s="167" t="s">
        <v>196</v>
      </c>
      <c r="B13" s="167"/>
      <c r="C13" s="167"/>
      <c r="D13" s="167"/>
      <c r="E13" s="167"/>
    </row>
    <row r="14" spans="1:9" ht="15" customHeight="1">
      <c r="A14" s="168" t="s">
        <v>514</v>
      </c>
      <c r="B14" s="169"/>
      <c r="C14" s="169"/>
      <c r="D14" s="169"/>
      <c r="E14" s="170"/>
      <c r="F14" s="97" t="s">
        <v>479</v>
      </c>
      <c r="G14" s="97" t="s">
        <v>421</v>
      </c>
      <c r="H14" s="97" t="s">
        <v>120</v>
      </c>
      <c r="I14" s="97" t="s">
        <v>479</v>
      </c>
    </row>
    <row r="15" spans="1:9" ht="15" customHeight="1">
      <c r="A15" s="157" t="s">
        <v>344</v>
      </c>
      <c r="B15" s="148"/>
      <c r="C15" s="148"/>
      <c r="D15" s="148"/>
      <c r="E15" s="144"/>
      <c r="F15" s="45">
        <v>0</v>
      </c>
      <c r="G15" s="10" t="s">
        <v>344</v>
      </c>
      <c r="H15" s="10" t="s">
        <v>344</v>
      </c>
      <c r="I15" s="45">
        <f>F15</f>
        <v>0</v>
      </c>
    </row>
    <row r="16" spans="1:9" ht="15" customHeight="1">
      <c r="A16" s="157" t="s">
        <v>344</v>
      </c>
      <c r="B16" s="148"/>
      <c r="C16" s="148"/>
      <c r="D16" s="148"/>
      <c r="E16" s="144"/>
      <c r="F16" s="45">
        <v>0</v>
      </c>
      <c r="G16" s="10" t="s">
        <v>344</v>
      </c>
      <c r="H16" s="10" t="s">
        <v>344</v>
      </c>
      <c r="I16" s="45">
        <f>F16</f>
        <v>0</v>
      </c>
    </row>
    <row r="17" spans="1:9" ht="15" customHeight="1">
      <c r="A17" s="155" t="s">
        <v>344</v>
      </c>
      <c r="B17" s="112"/>
      <c r="C17" s="112"/>
      <c r="D17" s="112"/>
      <c r="E17" s="140"/>
      <c r="F17" s="3">
        <v>0</v>
      </c>
      <c r="G17" s="21" t="s">
        <v>344</v>
      </c>
      <c r="H17" s="21" t="s">
        <v>344</v>
      </c>
      <c r="I17" s="3">
        <f>F17</f>
        <v>0</v>
      </c>
    </row>
    <row r="18" spans="1:9" ht="15" customHeight="1">
      <c r="A18" s="158" t="s">
        <v>495</v>
      </c>
      <c r="B18" s="159"/>
      <c r="C18" s="159"/>
      <c r="D18" s="159"/>
      <c r="E18" s="160"/>
      <c r="F18" s="88" t="s">
        <v>344</v>
      </c>
      <c r="G18" s="22" t="s">
        <v>344</v>
      </c>
      <c r="H18" s="22" t="s">
        <v>344</v>
      </c>
      <c r="I18" s="2">
        <f>SUM(I15:I17)</f>
        <v>0</v>
      </c>
    </row>
    <row r="20" spans="1:9" ht="15" customHeight="1">
      <c r="A20" s="168" t="s">
        <v>83</v>
      </c>
      <c r="B20" s="169"/>
      <c r="C20" s="169"/>
      <c r="D20" s="169"/>
      <c r="E20" s="170"/>
      <c r="F20" s="97" t="s">
        <v>479</v>
      </c>
      <c r="G20" s="97" t="s">
        <v>421</v>
      </c>
      <c r="H20" s="97" t="s">
        <v>120</v>
      </c>
      <c r="I20" s="97" t="s">
        <v>479</v>
      </c>
    </row>
    <row r="21" spans="1:9" ht="15" customHeight="1">
      <c r="A21" s="157" t="s">
        <v>49</v>
      </c>
      <c r="B21" s="148"/>
      <c r="C21" s="148"/>
      <c r="D21" s="148"/>
      <c r="E21" s="144"/>
      <c r="F21" s="45">
        <v>0</v>
      </c>
      <c r="G21" s="10" t="s">
        <v>344</v>
      </c>
      <c r="H21" s="10" t="s">
        <v>344</v>
      </c>
      <c r="I21" s="45">
        <f aca="true" t="shared" si="0" ref="I21:I26">F21</f>
        <v>0</v>
      </c>
    </row>
    <row r="22" spans="1:9" ht="15" customHeight="1">
      <c r="A22" s="157" t="s">
        <v>385</v>
      </c>
      <c r="B22" s="148"/>
      <c r="C22" s="148"/>
      <c r="D22" s="148"/>
      <c r="E22" s="144"/>
      <c r="F22" s="45">
        <v>0</v>
      </c>
      <c r="G22" s="10" t="s">
        <v>344</v>
      </c>
      <c r="H22" s="10" t="s">
        <v>344</v>
      </c>
      <c r="I22" s="45">
        <f t="shared" si="0"/>
        <v>0</v>
      </c>
    </row>
    <row r="23" spans="1:9" ht="15" customHeight="1">
      <c r="A23" s="157" t="s">
        <v>447</v>
      </c>
      <c r="B23" s="148"/>
      <c r="C23" s="148"/>
      <c r="D23" s="148"/>
      <c r="E23" s="144"/>
      <c r="F23" s="45">
        <v>0</v>
      </c>
      <c r="G23" s="10" t="s">
        <v>344</v>
      </c>
      <c r="H23" s="10" t="s">
        <v>344</v>
      </c>
      <c r="I23" s="45">
        <f t="shared" si="0"/>
        <v>0</v>
      </c>
    </row>
    <row r="24" spans="1:9" ht="15" customHeight="1">
      <c r="A24" s="157" t="s">
        <v>268</v>
      </c>
      <c r="B24" s="148"/>
      <c r="C24" s="148"/>
      <c r="D24" s="148"/>
      <c r="E24" s="144"/>
      <c r="F24" s="45">
        <v>0</v>
      </c>
      <c r="G24" s="10" t="s">
        <v>344</v>
      </c>
      <c r="H24" s="10" t="s">
        <v>344</v>
      </c>
      <c r="I24" s="45">
        <f t="shared" si="0"/>
        <v>0</v>
      </c>
    </row>
    <row r="25" spans="1:9" ht="15" customHeight="1">
      <c r="A25" s="157" t="s">
        <v>322</v>
      </c>
      <c r="B25" s="148"/>
      <c r="C25" s="148"/>
      <c r="D25" s="148"/>
      <c r="E25" s="144"/>
      <c r="F25" s="45">
        <v>0</v>
      </c>
      <c r="G25" s="10" t="s">
        <v>344</v>
      </c>
      <c r="H25" s="10" t="s">
        <v>344</v>
      </c>
      <c r="I25" s="45">
        <f t="shared" si="0"/>
        <v>0</v>
      </c>
    </row>
    <row r="26" spans="1:9" ht="15" customHeight="1">
      <c r="A26" s="155" t="s">
        <v>458</v>
      </c>
      <c r="B26" s="112"/>
      <c r="C26" s="112"/>
      <c r="D26" s="112"/>
      <c r="E26" s="140"/>
      <c r="F26" s="3">
        <v>0</v>
      </c>
      <c r="G26" s="21" t="s">
        <v>344</v>
      </c>
      <c r="H26" s="21" t="s">
        <v>344</v>
      </c>
      <c r="I26" s="3">
        <f t="shared" si="0"/>
        <v>0</v>
      </c>
    </row>
    <row r="27" spans="1:9" ht="15" customHeight="1">
      <c r="A27" s="158" t="s">
        <v>210</v>
      </c>
      <c r="B27" s="159"/>
      <c r="C27" s="159"/>
      <c r="D27" s="159"/>
      <c r="E27" s="160"/>
      <c r="F27" s="88" t="s">
        <v>344</v>
      </c>
      <c r="G27" s="22" t="s">
        <v>344</v>
      </c>
      <c r="H27" s="22" t="s">
        <v>344</v>
      </c>
      <c r="I27" s="2">
        <f>SUM(I21:I26)</f>
        <v>0</v>
      </c>
    </row>
    <row r="29" spans="1:9" ht="15.75" customHeight="1">
      <c r="A29" s="161" t="s">
        <v>484</v>
      </c>
      <c r="B29" s="162"/>
      <c r="C29" s="162"/>
      <c r="D29" s="162"/>
      <c r="E29" s="163"/>
      <c r="F29" s="164">
        <f>I18+I27</f>
        <v>0</v>
      </c>
      <c r="G29" s="165"/>
      <c r="H29" s="165"/>
      <c r="I29" s="166"/>
    </row>
    <row r="33" spans="1:5" ht="15.75" customHeight="1">
      <c r="A33" s="167" t="s">
        <v>10</v>
      </c>
      <c r="B33" s="167"/>
      <c r="C33" s="167"/>
      <c r="D33" s="167"/>
      <c r="E33" s="167"/>
    </row>
    <row r="34" spans="1:9" ht="15" customHeight="1">
      <c r="A34" s="168" t="s">
        <v>6</v>
      </c>
      <c r="B34" s="169"/>
      <c r="C34" s="169"/>
      <c r="D34" s="169"/>
      <c r="E34" s="170"/>
      <c r="F34" s="97" t="s">
        <v>479</v>
      </c>
      <c r="G34" s="97" t="s">
        <v>421</v>
      </c>
      <c r="H34" s="97" t="s">
        <v>120</v>
      </c>
      <c r="I34" s="97" t="s">
        <v>479</v>
      </c>
    </row>
    <row r="35" spans="1:9" ht="15" customHeight="1">
      <c r="A35" s="157" t="s">
        <v>244</v>
      </c>
      <c r="B35" s="148"/>
      <c r="C35" s="148"/>
      <c r="D35" s="148"/>
      <c r="E35" s="144"/>
      <c r="F35" s="45">
        <f>SUM('Stavební rozpočet'!BM12:BM96)</f>
        <v>0</v>
      </c>
      <c r="G35" s="10" t="s">
        <v>344</v>
      </c>
      <c r="H35" s="10" t="s">
        <v>344</v>
      </c>
      <c r="I35" s="45">
        <f aca="true" t="shared" si="1" ref="I35:I44">F35</f>
        <v>0</v>
      </c>
    </row>
    <row r="36" spans="1:9" ht="15" customHeight="1">
      <c r="A36" s="157" t="s">
        <v>416</v>
      </c>
      <c r="B36" s="148"/>
      <c r="C36" s="148"/>
      <c r="D36" s="148"/>
      <c r="E36" s="144"/>
      <c r="F36" s="45">
        <f>SUM('Stavební rozpočet'!BN12:BN96)</f>
        <v>0</v>
      </c>
      <c r="G36" s="10" t="s">
        <v>344</v>
      </c>
      <c r="H36" s="10" t="s">
        <v>344</v>
      </c>
      <c r="I36" s="45">
        <f t="shared" si="1"/>
        <v>0</v>
      </c>
    </row>
    <row r="37" spans="1:9" ht="15" customHeight="1">
      <c r="A37" s="157" t="s">
        <v>49</v>
      </c>
      <c r="B37" s="148"/>
      <c r="C37" s="148"/>
      <c r="D37" s="148"/>
      <c r="E37" s="144"/>
      <c r="F37" s="45">
        <f>SUM('Stavební rozpočet'!BO12:BO96)</f>
        <v>0</v>
      </c>
      <c r="G37" s="10" t="s">
        <v>344</v>
      </c>
      <c r="H37" s="10" t="s">
        <v>344</v>
      </c>
      <c r="I37" s="45">
        <f t="shared" si="1"/>
        <v>0</v>
      </c>
    </row>
    <row r="38" spans="1:9" ht="15" customHeight="1">
      <c r="A38" s="157" t="s">
        <v>399</v>
      </c>
      <c r="B38" s="148"/>
      <c r="C38" s="148"/>
      <c r="D38" s="148"/>
      <c r="E38" s="144"/>
      <c r="F38" s="45">
        <f>SUM('Stavební rozpočet'!BP12:BP96)</f>
        <v>0</v>
      </c>
      <c r="G38" s="10" t="s">
        <v>344</v>
      </c>
      <c r="H38" s="10" t="s">
        <v>344</v>
      </c>
      <c r="I38" s="45">
        <f t="shared" si="1"/>
        <v>0</v>
      </c>
    </row>
    <row r="39" spans="1:9" ht="15" customHeight="1">
      <c r="A39" s="157" t="s">
        <v>446</v>
      </c>
      <c r="B39" s="148"/>
      <c r="C39" s="148"/>
      <c r="D39" s="148"/>
      <c r="E39" s="144"/>
      <c r="F39" s="45">
        <f>SUM('Stavební rozpočet'!BQ12:BQ96)</f>
        <v>0</v>
      </c>
      <c r="G39" s="10" t="s">
        <v>344</v>
      </c>
      <c r="H39" s="10" t="s">
        <v>344</v>
      </c>
      <c r="I39" s="45">
        <f t="shared" si="1"/>
        <v>0</v>
      </c>
    </row>
    <row r="40" spans="1:9" ht="15" customHeight="1">
      <c r="A40" s="157" t="s">
        <v>447</v>
      </c>
      <c r="B40" s="148"/>
      <c r="C40" s="148"/>
      <c r="D40" s="148"/>
      <c r="E40" s="144"/>
      <c r="F40" s="45">
        <f>SUM('Stavební rozpočet'!BR12:BR96)</f>
        <v>0</v>
      </c>
      <c r="G40" s="10" t="s">
        <v>344</v>
      </c>
      <c r="H40" s="10" t="s">
        <v>344</v>
      </c>
      <c r="I40" s="45">
        <f t="shared" si="1"/>
        <v>0</v>
      </c>
    </row>
    <row r="41" spans="1:9" ht="15" customHeight="1">
      <c r="A41" s="157" t="s">
        <v>268</v>
      </c>
      <c r="B41" s="148"/>
      <c r="C41" s="148"/>
      <c r="D41" s="148"/>
      <c r="E41" s="144"/>
      <c r="F41" s="45">
        <f>SUM('Stavební rozpočet'!BS12:BS96)</f>
        <v>0</v>
      </c>
      <c r="G41" s="10" t="s">
        <v>344</v>
      </c>
      <c r="H41" s="10" t="s">
        <v>344</v>
      </c>
      <c r="I41" s="45">
        <f t="shared" si="1"/>
        <v>0</v>
      </c>
    </row>
    <row r="42" spans="1:9" ht="15" customHeight="1">
      <c r="A42" s="157" t="s">
        <v>516</v>
      </c>
      <c r="B42" s="148"/>
      <c r="C42" s="148"/>
      <c r="D42" s="148"/>
      <c r="E42" s="144"/>
      <c r="F42" s="45">
        <f>SUM('Stavební rozpočet'!BT12:BT96)</f>
        <v>0</v>
      </c>
      <c r="G42" s="10" t="s">
        <v>344</v>
      </c>
      <c r="H42" s="10" t="s">
        <v>344</v>
      </c>
      <c r="I42" s="45">
        <f t="shared" si="1"/>
        <v>0</v>
      </c>
    </row>
    <row r="43" spans="1:9" ht="15" customHeight="1">
      <c r="A43" s="157" t="s">
        <v>134</v>
      </c>
      <c r="B43" s="148"/>
      <c r="C43" s="148"/>
      <c r="D43" s="148"/>
      <c r="E43" s="144"/>
      <c r="F43" s="45">
        <f>SUM('Stavební rozpočet'!BU12:BU96)</f>
        <v>0</v>
      </c>
      <c r="G43" s="10" t="s">
        <v>344</v>
      </c>
      <c r="H43" s="10" t="s">
        <v>344</v>
      </c>
      <c r="I43" s="45">
        <f t="shared" si="1"/>
        <v>0</v>
      </c>
    </row>
    <row r="44" spans="1:9" ht="15" customHeight="1">
      <c r="A44" s="155" t="s">
        <v>440</v>
      </c>
      <c r="B44" s="112"/>
      <c r="C44" s="112"/>
      <c r="D44" s="112"/>
      <c r="E44" s="140"/>
      <c r="F44" s="3">
        <f>SUM('Stavební rozpočet'!BV12:BV96)</f>
        <v>0</v>
      </c>
      <c r="G44" s="21" t="s">
        <v>344</v>
      </c>
      <c r="H44" s="21" t="s">
        <v>344</v>
      </c>
      <c r="I44" s="3">
        <f t="shared" si="1"/>
        <v>0</v>
      </c>
    </row>
    <row r="45" spans="1:9" ht="15" customHeight="1">
      <c r="A45" s="158" t="s">
        <v>373</v>
      </c>
      <c r="B45" s="159"/>
      <c r="C45" s="159"/>
      <c r="D45" s="159"/>
      <c r="E45" s="160"/>
      <c r="F45" s="88" t="s">
        <v>344</v>
      </c>
      <c r="G45" s="22" t="s">
        <v>344</v>
      </c>
      <c r="H45" s="22" t="s">
        <v>344</v>
      </c>
      <c r="I45" s="2">
        <f>SUM(I35:I44)</f>
        <v>0</v>
      </c>
    </row>
  </sheetData>
  <sheetProtection/>
  <mergeCells count="60"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42:E42"/>
    <mergeCell ref="A43:E43"/>
    <mergeCell ref="A44:E44"/>
    <mergeCell ref="A45:E45"/>
    <mergeCell ref="A36:E36"/>
    <mergeCell ref="A37:E37"/>
    <mergeCell ref="A38:E38"/>
    <mergeCell ref="A39:E39"/>
    <mergeCell ref="A40:E40"/>
    <mergeCell ref="A41:E4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BW99"/>
  <sheetViews>
    <sheetView showOutlineSymbols="0" zoomScalePageLayoutView="0" workbookViewId="0" topLeftCell="A1">
      <pane ySplit="11" topLeftCell="A12" activePane="bottomLeft" state="frozen"/>
      <selection pane="topLeft" activeCell="A99" sqref="A99:K99"/>
      <selection pane="bottomLeft" activeCell="I8" sqref="I8:K9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50" style="0" customWidth="1"/>
    <col min="4" max="4" width="41.66015625" style="0" customWidth="1"/>
    <col min="5" max="5" width="8.66015625" style="0" customWidth="1"/>
    <col min="6" max="6" width="15" style="0" customWidth="1"/>
    <col min="7" max="7" width="14" style="0" customWidth="1"/>
    <col min="8" max="10" width="18.33203125" style="0" customWidth="1"/>
    <col min="11" max="11" width="15.66015625" style="0" customWidth="1"/>
    <col min="12" max="24" width="14.16015625" style="0" customWidth="1"/>
    <col min="25" max="75" width="14.16015625" style="0" hidden="1" customWidth="1"/>
  </cols>
  <sheetData>
    <row r="1" spans="1:47" ht="23.25">
      <c r="A1" s="153" t="s">
        <v>432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AS1" s="91">
        <f>SUM(AJ1:AJ2)</f>
        <v>0</v>
      </c>
      <c r="AT1" s="91">
        <f>SUM(AK1:AK2)</f>
        <v>0</v>
      </c>
      <c r="AU1" s="91">
        <f>SUM(AL1:AL2)</f>
        <v>0</v>
      </c>
    </row>
    <row r="2" spans="1:11" ht="15" customHeight="1">
      <c r="A2" s="154" t="s">
        <v>27</v>
      </c>
      <c r="B2" s="147"/>
      <c r="C2" s="149" t="s">
        <v>67</v>
      </c>
      <c r="D2" s="150"/>
      <c r="E2" s="147" t="s">
        <v>2</v>
      </c>
      <c r="F2" s="147"/>
      <c r="G2" s="147" t="s">
        <v>436</v>
      </c>
      <c r="H2" s="146" t="s">
        <v>407</v>
      </c>
      <c r="I2" s="146" t="s">
        <v>358</v>
      </c>
      <c r="J2" s="147"/>
      <c r="K2" s="139"/>
    </row>
    <row r="3" spans="1:11" ht="15" customHeight="1">
      <c r="A3" s="155"/>
      <c r="B3" s="112"/>
      <c r="C3" s="151"/>
      <c r="D3" s="151"/>
      <c r="E3" s="112"/>
      <c r="F3" s="112"/>
      <c r="G3" s="112"/>
      <c r="H3" s="112"/>
      <c r="I3" s="112"/>
      <c r="J3" s="112"/>
      <c r="K3" s="140"/>
    </row>
    <row r="4" spans="1:11" ht="15" customHeight="1">
      <c r="A4" s="156" t="s">
        <v>273</v>
      </c>
      <c r="B4" s="112"/>
      <c r="C4" s="111" t="s">
        <v>275</v>
      </c>
      <c r="D4" s="112"/>
      <c r="E4" s="112" t="s">
        <v>426</v>
      </c>
      <c r="F4" s="112"/>
      <c r="G4" s="112" t="s">
        <v>436</v>
      </c>
      <c r="H4" s="111" t="s">
        <v>342</v>
      </c>
      <c r="I4" s="111" t="s">
        <v>15</v>
      </c>
      <c r="J4" s="112"/>
      <c r="K4" s="140"/>
    </row>
    <row r="5" spans="1:11" ht="15" customHeight="1">
      <c r="A5" s="155"/>
      <c r="B5" s="112"/>
      <c r="C5" s="112"/>
      <c r="D5" s="112"/>
      <c r="E5" s="112"/>
      <c r="F5" s="112"/>
      <c r="G5" s="112"/>
      <c r="H5" s="112"/>
      <c r="I5" s="112"/>
      <c r="J5" s="112"/>
      <c r="K5" s="140"/>
    </row>
    <row r="6" spans="1:11" ht="15" customHeight="1">
      <c r="A6" s="156" t="s">
        <v>37</v>
      </c>
      <c r="B6" s="112"/>
      <c r="C6" s="111" t="s">
        <v>159</v>
      </c>
      <c r="D6" s="112"/>
      <c r="E6" s="112" t="s">
        <v>165</v>
      </c>
      <c r="F6" s="112"/>
      <c r="G6" s="112" t="s">
        <v>436</v>
      </c>
      <c r="H6" s="111" t="s">
        <v>420</v>
      </c>
      <c r="I6" s="184" t="s">
        <v>239</v>
      </c>
      <c r="J6" s="184"/>
      <c r="K6" s="141"/>
    </row>
    <row r="7" spans="1:11" ht="15" customHeight="1">
      <c r="A7" s="155"/>
      <c r="B7" s="112"/>
      <c r="C7" s="112"/>
      <c r="D7" s="112"/>
      <c r="E7" s="112"/>
      <c r="F7" s="112"/>
      <c r="G7" s="112"/>
      <c r="H7" s="112"/>
      <c r="I7" s="184"/>
      <c r="J7" s="184"/>
      <c r="K7" s="141"/>
    </row>
    <row r="8" spans="1:11" ht="15" customHeight="1">
      <c r="A8" s="156" t="s">
        <v>252</v>
      </c>
      <c r="B8" s="112"/>
      <c r="C8" s="111" t="s">
        <v>354</v>
      </c>
      <c r="D8" s="112"/>
      <c r="E8" s="112" t="s">
        <v>281</v>
      </c>
      <c r="F8" s="112"/>
      <c r="G8" s="112" t="s">
        <v>436</v>
      </c>
      <c r="H8" s="111" t="s">
        <v>329</v>
      </c>
      <c r="I8" s="185"/>
      <c r="J8" s="184"/>
      <c r="K8" s="141"/>
    </row>
    <row r="9" spans="1:11" ht="15" customHeight="1">
      <c r="A9" s="155"/>
      <c r="B9" s="112"/>
      <c r="C9" s="112"/>
      <c r="D9" s="112"/>
      <c r="E9" s="112"/>
      <c r="F9" s="112"/>
      <c r="G9" s="112"/>
      <c r="H9" s="112"/>
      <c r="I9" s="184"/>
      <c r="J9" s="184"/>
      <c r="K9" s="141"/>
    </row>
    <row r="10" spans="1:75" ht="15" customHeight="1">
      <c r="A10" s="98" t="s">
        <v>33</v>
      </c>
      <c r="B10" s="17" t="s">
        <v>167</v>
      </c>
      <c r="C10" s="186" t="s">
        <v>497</v>
      </c>
      <c r="D10" s="187"/>
      <c r="E10" s="17" t="s">
        <v>178</v>
      </c>
      <c r="F10" s="47" t="s">
        <v>300</v>
      </c>
      <c r="G10" s="20" t="s">
        <v>162</v>
      </c>
      <c r="H10" s="181" t="s">
        <v>316</v>
      </c>
      <c r="I10" s="182"/>
      <c r="J10" s="183"/>
      <c r="K10" s="47" t="s">
        <v>135</v>
      </c>
      <c r="BK10" s="60" t="s">
        <v>208</v>
      </c>
      <c r="BL10" s="77" t="s">
        <v>266</v>
      </c>
      <c r="BW10" s="77" t="s">
        <v>508</v>
      </c>
    </row>
    <row r="11" spans="1:62" ht="15" customHeight="1">
      <c r="A11" s="61" t="s">
        <v>436</v>
      </c>
      <c r="B11" s="32" t="s">
        <v>436</v>
      </c>
      <c r="C11" s="179" t="s">
        <v>465</v>
      </c>
      <c r="D11" s="180"/>
      <c r="E11" s="32" t="s">
        <v>436</v>
      </c>
      <c r="F11" s="32" t="s">
        <v>436</v>
      </c>
      <c r="G11" s="96" t="s">
        <v>444</v>
      </c>
      <c r="H11" s="55" t="s">
        <v>24</v>
      </c>
      <c r="I11" s="80" t="s">
        <v>88</v>
      </c>
      <c r="J11" s="23" t="s">
        <v>47</v>
      </c>
      <c r="K11" s="80" t="s">
        <v>128</v>
      </c>
      <c r="Z11" s="60" t="s">
        <v>377</v>
      </c>
      <c r="AA11" s="60" t="s">
        <v>304</v>
      </c>
      <c r="AB11" s="60" t="s">
        <v>478</v>
      </c>
      <c r="AC11" s="60" t="s">
        <v>139</v>
      </c>
      <c r="AD11" s="60" t="s">
        <v>414</v>
      </c>
      <c r="AE11" s="60" t="s">
        <v>193</v>
      </c>
      <c r="AF11" s="60" t="s">
        <v>430</v>
      </c>
      <c r="AG11" s="60" t="s">
        <v>220</v>
      </c>
      <c r="AH11" s="60" t="s">
        <v>133</v>
      </c>
      <c r="BH11" s="60" t="s">
        <v>378</v>
      </c>
      <c r="BI11" s="60" t="s">
        <v>469</v>
      </c>
      <c r="BJ11" s="60" t="s">
        <v>503</v>
      </c>
    </row>
    <row r="12" spans="1:11" ht="15" customHeight="1">
      <c r="A12" s="1" t="s">
        <v>344</v>
      </c>
      <c r="B12" s="18" t="s">
        <v>344</v>
      </c>
      <c r="C12" s="171" t="s">
        <v>97</v>
      </c>
      <c r="D12" s="172"/>
      <c r="E12" s="44" t="s">
        <v>436</v>
      </c>
      <c r="F12" s="44" t="s">
        <v>436</v>
      </c>
      <c r="G12" s="44" t="s">
        <v>436</v>
      </c>
      <c r="H12" s="34">
        <f>H13+H16+H19+H22+H25+H27+H29+H31+H33+H35+H39+H41+H47+H50+H55+H57+H60+H63+H93+H95</f>
        <v>0</v>
      </c>
      <c r="I12" s="34">
        <f>I13+I16+I19+I22+I25+I27+I29+I31+I33+I35+I39+I41+I47+I50+I55+I57+I60+I63+I93+I95</f>
        <v>0</v>
      </c>
      <c r="J12" s="34">
        <f>J13+J16+J19+J22+J25+J27+J29+J31+J33+J35+J39+J41+J47+J50+J55+J57+J60+J63+J93+J95</f>
        <v>0</v>
      </c>
      <c r="K12" s="30" t="s">
        <v>344</v>
      </c>
    </row>
    <row r="13" spans="1:47" ht="15" customHeight="1">
      <c r="A13" s="90" t="s">
        <v>344</v>
      </c>
      <c r="B13" s="84" t="s">
        <v>403</v>
      </c>
      <c r="C13" s="171" t="s">
        <v>274</v>
      </c>
      <c r="D13" s="172"/>
      <c r="E13" s="58" t="s">
        <v>436</v>
      </c>
      <c r="F13" s="58" t="s">
        <v>436</v>
      </c>
      <c r="G13" s="58" t="s">
        <v>436</v>
      </c>
      <c r="H13" s="78">
        <f>SUM(H14:H15)</f>
        <v>0</v>
      </c>
      <c r="I13" s="78">
        <f>SUM(I14:I15)</f>
        <v>0</v>
      </c>
      <c r="J13" s="78">
        <f>SUM(J14:J15)</f>
        <v>0</v>
      </c>
      <c r="K13" s="26" t="s">
        <v>344</v>
      </c>
      <c r="AI13" s="60" t="s">
        <v>344</v>
      </c>
      <c r="AS13" s="91">
        <f>SUM(AJ14:AJ15)</f>
        <v>0</v>
      </c>
      <c r="AT13" s="91">
        <f>SUM(AK14:AK15)</f>
        <v>0</v>
      </c>
      <c r="AU13" s="91">
        <f>SUM(AL14:AL15)</f>
        <v>0</v>
      </c>
    </row>
    <row r="14" spans="1:75" ht="13.5" customHeight="1">
      <c r="A14" s="95" t="s">
        <v>460</v>
      </c>
      <c r="B14" s="79" t="s">
        <v>424</v>
      </c>
      <c r="C14" s="175" t="s">
        <v>223</v>
      </c>
      <c r="D14" s="176"/>
      <c r="E14" s="79" t="s">
        <v>454</v>
      </c>
      <c r="F14" s="82">
        <v>23</v>
      </c>
      <c r="G14" s="104">
        <v>0</v>
      </c>
      <c r="H14" s="82">
        <f>F14*AO14</f>
        <v>0</v>
      </c>
      <c r="I14" s="82">
        <f>F14*AP14</f>
        <v>0</v>
      </c>
      <c r="J14" s="82">
        <f>F14*G14</f>
        <v>0</v>
      </c>
      <c r="K14" s="5" t="s">
        <v>230</v>
      </c>
      <c r="Z14" s="12">
        <f>IF(AQ14="5",BJ14,0)</f>
        <v>0</v>
      </c>
      <c r="AB14" s="12">
        <f>IF(AQ14="1",BH14,0)</f>
        <v>0</v>
      </c>
      <c r="AC14" s="12">
        <f>IF(AQ14="1",BI14,0)</f>
        <v>0</v>
      </c>
      <c r="AD14" s="12">
        <f>IF(AQ14="7",BH14,0)</f>
        <v>0</v>
      </c>
      <c r="AE14" s="12">
        <f>IF(AQ14="7",BI14,0)</f>
        <v>0</v>
      </c>
      <c r="AF14" s="12">
        <f>IF(AQ14="2",BH14,0)</f>
        <v>0</v>
      </c>
      <c r="AG14" s="12">
        <f>IF(AQ14="2",BI14,0)</f>
        <v>0</v>
      </c>
      <c r="AH14" s="12">
        <f>IF(AQ14="0",BJ14,0)</f>
        <v>0</v>
      </c>
      <c r="AI14" s="60" t="s">
        <v>344</v>
      </c>
      <c r="AJ14" s="12">
        <f>IF(AN14=0,J14,0)</f>
        <v>0</v>
      </c>
      <c r="AK14" s="12">
        <f>IF(AN14=15,J14,0)</f>
        <v>0</v>
      </c>
      <c r="AL14" s="12">
        <f>IF(AN14=21,J14,0)</f>
        <v>0</v>
      </c>
      <c r="AN14" s="12">
        <v>21</v>
      </c>
      <c r="AO14" s="12">
        <f>G14*0</f>
        <v>0</v>
      </c>
      <c r="AP14" s="12">
        <f>G14*(1-0)</f>
        <v>0</v>
      </c>
      <c r="AQ14" s="31" t="s">
        <v>460</v>
      </c>
      <c r="AV14" s="12">
        <f>AW14+AX14</f>
        <v>0</v>
      </c>
      <c r="AW14" s="12">
        <f>F14*AO14</f>
        <v>0</v>
      </c>
      <c r="AX14" s="12">
        <f>F14*AP14</f>
        <v>0</v>
      </c>
      <c r="AY14" s="31" t="s">
        <v>51</v>
      </c>
      <c r="AZ14" s="31" t="s">
        <v>419</v>
      </c>
      <c r="BA14" s="60" t="s">
        <v>372</v>
      </c>
      <c r="BC14" s="12">
        <f>AW14+AX14</f>
        <v>0</v>
      </c>
      <c r="BD14" s="12">
        <f>G14/(100-BE14)*100</f>
        <v>0</v>
      </c>
      <c r="BE14" s="12">
        <v>0</v>
      </c>
      <c r="BF14" s="12">
        <f>14</f>
        <v>14</v>
      </c>
      <c r="BH14" s="12">
        <f>F14*AO14</f>
        <v>0</v>
      </c>
      <c r="BI14" s="12">
        <f>F14*AP14</f>
        <v>0</v>
      </c>
      <c r="BJ14" s="12">
        <f>F14*G14</f>
        <v>0</v>
      </c>
      <c r="BK14" s="12"/>
      <c r="BL14" s="12">
        <v>11</v>
      </c>
      <c r="BW14" s="12">
        <v>21</v>
      </c>
    </row>
    <row r="15" spans="1:75" ht="13.5" customHeight="1">
      <c r="A15" s="28" t="s">
        <v>340</v>
      </c>
      <c r="B15" s="81" t="s">
        <v>481</v>
      </c>
      <c r="C15" s="175" t="s">
        <v>151</v>
      </c>
      <c r="D15" s="176"/>
      <c r="E15" s="81" t="s">
        <v>398</v>
      </c>
      <c r="F15" s="11">
        <v>92</v>
      </c>
      <c r="G15" s="104">
        <v>0</v>
      </c>
      <c r="H15" s="11">
        <f>F15*AO15</f>
        <v>0</v>
      </c>
      <c r="I15" s="11">
        <f>F15*AP15</f>
        <v>0</v>
      </c>
      <c r="J15" s="11">
        <f>F15*G15</f>
        <v>0</v>
      </c>
      <c r="K15" s="70" t="s">
        <v>230</v>
      </c>
      <c r="Z15" s="12">
        <f>IF(AQ15="5",BJ15,0)</f>
        <v>0</v>
      </c>
      <c r="AB15" s="12">
        <f>IF(AQ15="1",BH15,0)</f>
        <v>0</v>
      </c>
      <c r="AC15" s="12">
        <f>IF(AQ15="1",BI15,0)</f>
        <v>0</v>
      </c>
      <c r="AD15" s="12">
        <f>IF(AQ15="7",BH15,0)</f>
        <v>0</v>
      </c>
      <c r="AE15" s="12">
        <f>IF(AQ15="7",BI15,0)</f>
        <v>0</v>
      </c>
      <c r="AF15" s="12">
        <f>IF(AQ15="2",BH15,0)</f>
        <v>0</v>
      </c>
      <c r="AG15" s="12">
        <f>IF(AQ15="2",BI15,0)</f>
        <v>0</v>
      </c>
      <c r="AH15" s="12">
        <f>IF(AQ15="0",BJ15,0)</f>
        <v>0</v>
      </c>
      <c r="AI15" s="60" t="s">
        <v>344</v>
      </c>
      <c r="AJ15" s="12">
        <f>IF(AN15=0,J15,0)</f>
        <v>0</v>
      </c>
      <c r="AK15" s="12">
        <f>IF(AN15=15,J15,0)</f>
        <v>0</v>
      </c>
      <c r="AL15" s="12">
        <f>IF(AN15=21,J15,0)</f>
        <v>0</v>
      </c>
      <c r="AN15" s="12">
        <v>21</v>
      </c>
      <c r="AO15" s="12">
        <f>G15*0</f>
        <v>0</v>
      </c>
      <c r="AP15" s="12">
        <f>G15*(1-0)</f>
        <v>0</v>
      </c>
      <c r="AQ15" s="31" t="s">
        <v>460</v>
      </c>
      <c r="AV15" s="12">
        <f>AW15+AX15</f>
        <v>0</v>
      </c>
      <c r="AW15" s="12">
        <f>F15*AO15</f>
        <v>0</v>
      </c>
      <c r="AX15" s="12">
        <f>F15*AP15</f>
        <v>0</v>
      </c>
      <c r="AY15" s="31" t="s">
        <v>51</v>
      </c>
      <c r="AZ15" s="31" t="s">
        <v>419</v>
      </c>
      <c r="BA15" s="60" t="s">
        <v>372</v>
      </c>
      <c r="BC15" s="12">
        <f>AW15+AX15</f>
        <v>0</v>
      </c>
      <c r="BD15" s="12">
        <f>G15/(100-BE15)*100</f>
        <v>0</v>
      </c>
      <c r="BE15" s="12">
        <v>0</v>
      </c>
      <c r="BF15" s="12">
        <f>15</f>
        <v>15</v>
      </c>
      <c r="BH15" s="12">
        <f>F15*AO15</f>
        <v>0</v>
      </c>
      <c r="BI15" s="12">
        <f>F15*AP15</f>
        <v>0</v>
      </c>
      <c r="BJ15" s="12">
        <f>F15*G15</f>
        <v>0</v>
      </c>
      <c r="BK15" s="12"/>
      <c r="BL15" s="12">
        <v>11</v>
      </c>
      <c r="BW15" s="12">
        <v>21</v>
      </c>
    </row>
    <row r="16" spans="1:47" ht="15" customHeight="1">
      <c r="A16" s="43" t="s">
        <v>344</v>
      </c>
      <c r="B16" s="29" t="s">
        <v>359</v>
      </c>
      <c r="C16" s="171" t="s">
        <v>124</v>
      </c>
      <c r="D16" s="172"/>
      <c r="E16" s="25" t="s">
        <v>436</v>
      </c>
      <c r="F16" s="25" t="s">
        <v>436</v>
      </c>
      <c r="G16" s="25" t="s">
        <v>436</v>
      </c>
      <c r="H16" s="85">
        <f>SUM(H17:H18)</f>
        <v>0</v>
      </c>
      <c r="I16" s="85">
        <f>SUM(I17:I18)</f>
        <v>0</v>
      </c>
      <c r="J16" s="85">
        <f>SUM(J17:J18)</f>
        <v>0</v>
      </c>
      <c r="K16" s="54" t="s">
        <v>344</v>
      </c>
      <c r="AI16" s="60" t="s">
        <v>344</v>
      </c>
      <c r="AS16" s="91">
        <f>SUM(AJ17:AJ18)</f>
        <v>0</v>
      </c>
      <c r="AT16" s="91">
        <f>SUM(AK17:AK18)</f>
        <v>0</v>
      </c>
      <c r="AU16" s="91">
        <f>SUM(AL17:AL18)</f>
        <v>0</v>
      </c>
    </row>
    <row r="17" spans="1:75" ht="13.5" customHeight="1">
      <c r="A17" s="95" t="s">
        <v>417</v>
      </c>
      <c r="B17" s="79" t="s">
        <v>369</v>
      </c>
      <c r="C17" s="175" t="s">
        <v>360</v>
      </c>
      <c r="D17" s="176"/>
      <c r="E17" s="79" t="s">
        <v>450</v>
      </c>
      <c r="F17" s="82">
        <v>146.804</v>
      </c>
      <c r="G17" s="104">
        <v>0</v>
      </c>
      <c r="H17" s="82">
        <f>F17*AO17</f>
        <v>0</v>
      </c>
      <c r="I17" s="82">
        <f>F17*AP17</f>
        <v>0</v>
      </c>
      <c r="J17" s="82">
        <f>F17*G17</f>
        <v>0</v>
      </c>
      <c r="K17" s="5" t="s">
        <v>230</v>
      </c>
      <c r="Z17" s="12">
        <f>IF(AQ17="5",BJ17,0)</f>
        <v>0</v>
      </c>
      <c r="AB17" s="12">
        <f>IF(AQ17="1",BH17,0)</f>
        <v>0</v>
      </c>
      <c r="AC17" s="12">
        <f>IF(AQ17="1",BI17,0)</f>
        <v>0</v>
      </c>
      <c r="AD17" s="12">
        <f>IF(AQ17="7",BH17,0)</f>
        <v>0</v>
      </c>
      <c r="AE17" s="12">
        <f>IF(AQ17="7",BI17,0)</f>
        <v>0</v>
      </c>
      <c r="AF17" s="12">
        <f>IF(AQ17="2",BH17,0)</f>
        <v>0</v>
      </c>
      <c r="AG17" s="12">
        <f>IF(AQ17="2",BI17,0)</f>
        <v>0</v>
      </c>
      <c r="AH17" s="12">
        <f>IF(AQ17="0",BJ17,0)</f>
        <v>0</v>
      </c>
      <c r="AI17" s="60" t="s">
        <v>344</v>
      </c>
      <c r="AJ17" s="12">
        <f>IF(AN17=0,J17,0)</f>
        <v>0</v>
      </c>
      <c r="AK17" s="12">
        <f>IF(AN17=15,J17,0)</f>
        <v>0</v>
      </c>
      <c r="AL17" s="12">
        <f>IF(AN17=21,J17,0)</f>
        <v>0</v>
      </c>
      <c r="AN17" s="12">
        <v>21</v>
      </c>
      <c r="AO17" s="12">
        <f>G17*0</f>
        <v>0</v>
      </c>
      <c r="AP17" s="12">
        <f>G17*(1-0)</f>
        <v>0</v>
      </c>
      <c r="AQ17" s="31" t="s">
        <v>460</v>
      </c>
      <c r="AV17" s="12">
        <f>AW17+AX17</f>
        <v>0</v>
      </c>
      <c r="AW17" s="12">
        <f>F17*AO17</f>
        <v>0</v>
      </c>
      <c r="AX17" s="12">
        <f>F17*AP17</f>
        <v>0</v>
      </c>
      <c r="AY17" s="31" t="s">
        <v>260</v>
      </c>
      <c r="AZ17" s="31" t="s">
        <v>419</v>
      </c>
      <c r="BA17" s="60" t="s">
        <v>372</v>
      </c>
      <c r="BC17" s="12">
        <f>AW17+AX17</f>
        <v>0</v>
      </c>
      <c r="BD17" s="12">
        <f>G17/(100-BE17)*100</f>
        <v>0</v>
      </c>
      <c r="BE17" s="12">
        <v>0</v>
      </c>
      <c r="BF17" s="12">
        <f>17</f>
        <v>17</v>
      </c>
      <c r="BH17" s="12">
        <f>F17*AO17</f>
        <v>0</v>
      </c>
      <c r="BI17" s="12">
        <f>F17*AP17</f>
        <v>0</v>
      </c>
      <c r="BJ17" s="12">
        <f>F17*G17</f>
        <v>0</v>
      </c>
      <c r="BK17" s="12"/>
      <c r="BL17" s="12">
        <v>12</v>
      </c>
      <c r="BW17" s="12">
        <v>21</v>
      </c>
    </row>
    <row r="18" spans="1:75" ht="13.5" customHeight="1">
      <c r="A18" s="28" t="s">
        <v>53</v>
      </c>
      <c r="B18" s="81" t="s">
        <v>114</v>
      </c>
      <c r="C18" s="175" t="s">
        <v>277</v>
      </c>
      <c r="D18" s="176"/>
      <c r="E18" s="81" t="s">
        <v>450</v>
      </c>
      <c r="F18" s="11">
        <v>130.904</v>
      </c>
      <c r="G18" s="104">
        <v>0</v>
      </c>
      <c r="H18" s="11">
        <f>F18*AO18</f>
        <v>0</v>
      </c>
      <c r="I18" s="11">
        <f>F18*AP18</f>
        <v>0</v>
      </c>
      <c r="J18" s="11">
        <f>F18*G18</f>
        <v>0</v>
      </c>
      <c r="K18" s="70" t="s">
        <v>230</v>
      </c>
      <c r="Z18" s="12">
        <f>IF(AQ18="5",BJ18,0)</f>
        <v>0</v>
      </c>
      <c r="AB18" s="12">
        <f>IF(AQ18="1",BH18,0)</f>
        <v>0</v>
      </c>
      <c r="AC18" s="12">
        <f>IF(AQ18="1",BI18,0)</f>
        <v>0</v>
      </c>
      <c r="AD18" s="12">
        <f>IF(AQ18="7",BH18,0)</f>
        <v>0</v>
      </c>
      <c r="AE18" s="12">
        <f>IF(AQ18="7",BI18,0)</f>
        <v>0</v>
      </c>
      <c r="AF18" s="12">
        <f>IF(AQ18="2",BH18,0)</f>
        <v>0</v>
      </c>
      <c r="AG18" s="12">
        <f>IF(AQ18="2",BI18,0)</f>
        <v>0</v>
      </c>
      <c r="AH18" s="12">
        <f>IF(AQ18="0",BJ18,0)</f>
        <v>0</v>
      </c>
      <c r="AI18" s="60" t="s">
        <v>344</v>
      </c>
      <c r="AJ18" s="12">
        <f>IF(AN18=0,J18,0)</f>
        <v>0</v>
      </c>
      <c r="AK18" s="12">
        <f>IF(AN18=15,J18,0)</f>
        <v>0</v>
      </c>
      <c r="AL18" s="12">
        <f>IF(AN18=21,J18,0)</f>
        <v>0</v>
      </c>
      <c r="AN18" s="12">
        <v>21</v>
      </c>
      <c r="AO18" s="12">
        <f>G18*0</f>
        <v>0</v>
      </c>
      <c r="AP18" s="12">
        <f>G18*(1-0)</f>
        <v>0</v>
      </c>
      <c r="AQ18" s="31" t="s">
        <v>460</v>
      </c>
      <c r="AV18" s="12">
        <f>AW18+AX18</f>
        <v>0</v>
      </c>
      <c r="AW18" s="12">
        <f>F18*AO18</f>
        <v>0</v>
      </c>
      <c r="AX18" s="12">
        <f>F18*AP18</f>
        <v>0</v>
      </c>
      <c r="AY18" s="31" t="s">
        <v>260</v>
      </c>
      <c r="AZ18" s="31" t="s">
        <v>419</v>
      </c>
      <c r="BA18" s="60" t="s">
        <v>372</v>
      </c>
      <c r="BC18" s="12">
        <f>AW18+AX18</f>
        <v>0</v>
      </c>
      <c r="BD18" s="12">
        <f>G18/(100-BE18)*100</f>
        <v>0</v>
      </c>
      <c r="BE18" s="12">
        <v>0</v>
      </c>
      <c r="BF18" s="12">
        <f>18</f>
        <v>18</v>
      </c>
      <c r="BH18" s="12">
        <f>F18*AO18</f>
        <v>0</v>
      </c>
      <c r="BI18" s="12">
        <f>F18*AP18</f>
        <v>0</v>
      </c>
      <c r="BJ18" s="12">
        <f>F18*G18</f>
        <v>0</v>
      </c>
      <c r="BK18" s="12"/>
      <c r="BL18" s="12">
        <v>12</v>
      </c>
      <c r="BW18" s="12">
        <v>21</v>
      </c>
    </row>
    <row r="19" spans="1:47" ht="15" customHeight="1">
      <c r="A19" s="43" t="s">
        <v>344</v>
      </c>
      <c r="B19" s="29" t="s">
        <v>43</v>
      </c>
      <c r="C19" s="171" t="s">
        <v>402</v>
      </c>
      <c r="D19" s="172"/>
      <c r="E19" s="25" t="s">
        <v>436</v>
      </c>
      <c r="F19" s="25" t="s">
        <v>436</v>
      </c>
      <c r="G19" s="25" t="s">
        <v>436</v>
      </c>
      <c r="H19" s="85">
        <f>SUM(H20:H21)</f>
        <v>0</v>
      </c>
      <c r="I19" s="85">
        <f>SUM(I20:I21)</f>
        <v>0</v>
      </c>
      <c r="J19" s="85">
        <f>SUM(J20:J21)</f>
        <v>0</v>
      </c>
      <c r="K19" s="54" t="s">
        <v>344</v>
      </c>
      <c r="AI19" s="60" t="s">
        <v>344</v>
      </c>
      <c r="AS19" s="91">
        <f>SUM(AJ20:AJ21)</f>
        <v>0</v>
      </c>
      <c r="AT19" s="91">
        <f>SUM(AK20:AK21)</f>
        <v>0</v>
      </c>
      <c r="AU19" s="91">
        <f>SUM(AL20:AL21)</f>
        <v>0</v>
      </c>
    </row>
    <row r="20" spans="1:75" ht="13.5" customHeight="1">
      <c r="A20" s="95" t="s">
        <v>269</v>
      </c>
      <c r="B20" s="79" t="s">
        <v>406</v>
      </c>
      <c r="C20" s="175" t="s">
        <v>282</v>
      </c>
      <c r="D20" s="176"/>
      <c r="E20" s="79" t="s">
        <v>450</v>
      </c>
      <c r="F20" s="82">
        <v>130.904</v>
      </c>
      <c r="G20" s="104">
        <v>0</v>
      </c>
      <c r="H20" s="82">
        <f>F20*AO20</f>
        <v>0</v>
      </c>
      <c r="I20" s="82">
        <f>F20*AP20</f>
        <v>0</v>
      </c>
      <c r="J20" s="82">
        <f>F20*G20</f>
        <v>0</v>
      </c>
      <c r="K20" s="5" t="s">
        <v>230</v>
      </c>
      <c r="Z20" s="12">
        <f>IF(AQ20="5",BJ20,0)</f>
        <v>0</v>
      </c>
      <c r="AB20" s="12">
        <f>IF(AQ20="1",BH20,0)</f>
        <v>0</v>
      </c>
      <c r="AC20" s="12">
        <f>IF(AQ20="1",BI20,0)</f>
        <v>0</v>
      </c>
      <c r="AD20" s="12">
        <f>IF(AQ20="7",BH20,0)</f>
        <v>0</v>
      </c>
      <c r="AE20" s="12">
        <f>IF(AQ20="7",BI20,0)</f>
        <v>0</v>
      </c>
      <c r="AF20" s="12">
        <f>IF(AQ20="2",BH20,0)</f>
        <v>0</v>
      </c>
      <c r="AG20" s="12">
        <f>IF(AQ20="2",BI20,0)</f>
        <v>0</v>
      </c>
      <c r="AH20" s="12">
        <f>IF(AQ20="0",BJ20,0)</f>
        <v>0</v>
      </c>
      <c r="AI20" s="60" t="s">
        <v>344</v>
      </c>
      <c r="AJ20" s="12">
        <f>IF(AN20=0,J20,0)</f>
        <v>0</v>
      </c>
      <c r="AK20" s="12">
        <f>IF(AN20=15,J20,0)</f>
        <v>0</v>
      </c>
      <c r="AL20" s="12">
        <f>IF(AN20=21,J20,0)</f>
        <v>0</v>
      </c>
      <c r="AN20" s="12">
        <v>21</v>
      </c>
      <c r="AO20" s="12">
        <f>G20*0</f>
        <v>0</v>
      </c>
      <c r="AP20" s="12">
        <f>G20*(1-0)</f>
        <v>0</v>
      </c>
      <c r="AQ20" s="31" t="s">
        <v>460</v>
      </c>
      <c r="AV20" s="12">
        <f>AW20+AX20</f>
        <v>0</v>
      </c>
      <c r="AW20" s="12">
        <f>F20*AO20</f>
        <v>0</v>
      </c>
      <c r="AX20" s="12">
        <f>F20*AP20</f>
        <v>0</v>
      </c>
      <c r="AY20" s="31" t="s">
        <v>437</v>
      </c>
      <c r="AZ20" s="31" t="s">
        <v>419</v>
      </c>
      <c r="BA20" s="60" t="s">
        <v>372</v>
      </c>
      <c r="BC20" s="12">
        <f>AW20+AX20</f>
        <v>0</v>
      </c>
      <c r="BD20" s="12">
        <f>G20/(100-BE20)*100</f>
        <v>0</v>
      </c>
      <c r="BE20" s="12">
        <v>0</v>
      </c>
      <c r="BF20" s="12">
        <f>20</f>
        <v>20</v>
      </c>
      <c r="BH20" s="12">
        <f>F20*AO20</f>
        <v>0</v>
      </c>
      <c r="BI20" s="12">
        <f>F20*AP20</f>
        <v>0</v>
      </c>
      <c r="BJ20" s="12">
        <f>F20*G20</f>
        <v>0</v>
      </c>
      <c r="BK20" s="12"/>
      <c r="BL20" s="12">
        <v>16</v>
      </c>
      <c r="BW20" s="12">
        <v>21</v>
      </c>
    </row>
    <row r="21" spans="1:75" ht="13.5" customHeight="1">
      <c r="A21" s="28" t="s">
        <v>75</v>
      </c>
      <c r="B21" s="81" t="s">
        <v>155</v>
      </c>
      <c r="C21" s="175" t="s">
        <v>203</v>
      </c>
      <c r="D21" s="176"/>
      <c r="E21" s="81" t="s">
        <v>450</v>
      </c>
      <c r="F21" s="11">
        <v>130.904</v>
      </c>
      <c r="G21" s="104">
        <v>0</v>
      </c>
      <c r="H21" s="11">
        <f>F21*AO21</f>
        <v>0</v>
      </c>
      <c r="I21" s="11">
        <f>F21*AP21</f>
        <v>0</v>
      </c>
      <c r="J21" s="11">
        <f>F21*G21</f>
        <v>0</v>
      </c>
      <c r="K21" s="70" t="s">
        <v>230</v>
      </c>
      <c r="Z21" s="12">
        <f>IF(AQ21="5",BJ21,0)</f>
        <v>0</v>
      </c>
      <c r="AB21" s="12">
        <f>IF(AQ21="1",BH21,0)</f>
        <v>0</v>
      </c>
      <c r="AC21" s="12">
        <f>IF(AQ21="1",BI21,0)</f>
        <v>0</v>
      </c>
      <c r="AD21" s="12">
        <f>IF(AQ21="7",BH21,0)</f>
        <v>0</v>
      </c>
      <c r="AE21" s="12">
        <f>IF(AQ21="7",BI21,0)</f>
        <v>0</v>
      </c>
      <c r="AF21" s="12">
        <f>IF(AQ21="2",BH21,0)</f>
        <v>0</v>
      </c>
      <c r="AG21" s="12">
        <f>IF(AQ21="2",BI21,0)</f>
        <v>0</v>
      </c>
      <c r="AH21" s="12">
        <f>IF(AQ21="0",BJ21,0)</f>
        <v>0</v>
      </c>
      <c r="AI21" s="60" t="s">
        <v>344</v>
      </c>
      <c r="AJ21" s="12">
        <f>IF(AN21=0,J21,0)</f>
        <v>0</v>
      </c>
      <c r="AK21" s="12">
        <f>IF(AN21=15,J21,0)</f>
        <v>0</v>
      </c>
      <c r="AL21" s="12">
        <f>IF(AN21=21,J21,0)</f>
        <v>0</v>
      </c>
      <c r="AN21" s="12">
        <v>21</v>
      </c>
      <c r="AO21" s="12">
        <f>G21*0</f>
        <v>0</v>
      </c>
      <c r="AP21" s="12">
        <f>G21*(1-0)</f>
        <v>0</v>
      </c>
      <c r="AQ21" s="31" t="s">
        <v>460</v>
      </c>
      <c r="AV21" s="12">
        <f>AW21+AX21</f>
        <v>0</v>
      </c>
      <c r="AW21" s="12">
        <f>F21*AO21</f>
        <v>0</v>
      </c>
      <c r="AX21" s="12">
        <f>F21*AP21</f>
        <v>0</v>
      </c>
      <c r="AY21" s="31" t="s">
        <v>437</v>
      </c>
      <c r="AZ21" s="31" t="s">
        <v>419</v>
      </c>
      <c r="BA21" s="60" t="s">
        <v>372</v>
      </c>
      <c r="BC21" s="12">
        <f>AW21+AX21</f>
        <v>0</v>
      </c>
      <c r="BD21" s="12">
        <f>G21/(100-BE21)*100</f>
        <v>0</v>
      </c>
      <c r="BE21" s="12">
        <v>0</v>
      </c>
      <c r="BF21" s="12">
        <f>21</f>
        <v>21</v>
      </c>
      <c r="BH21" s="12">
        <f>F21*AO21</f>
        <v>0</v>
      </c>
      <c r="BI21" s="12">
        <f>F21*AP21</f>
        <v>0</v>
      </c>
      <c r="BJ21" s="12">
        <f>F21*G21</f>
        <v>0</v>
      </c>
      <c r="BK21" s="12"/>
      <c r="BL21" s="12">
        <v>16</v>
      </c>
      <c r="BW21" s="12">
        <v>21</v>
      </c>
    </row>
    <row r="22" spans="1:47" ht="15" customHeight="1">
      <c r="A22" s="43" t="s">
        <v>344</v>
      </c>
      <c r="B22" s="29" t="s">
        <v>387</v>
      </c>
      <c r="C22" s="171" t="s">
        <v>471</v>
      </c>
      <c r="D22" s="172"/>
      <c r="E22" s="25" t="s">
        <v>436</v>
      </c>
      <c r="F22" s="25" t="s">
        <v>436</v>
      </c>
      <c r="G22" s="25" t="s">
        <v>436</v>
      </c>
      <c r="H22" s="85">
        <f>SUM(H23:H24)</f>
        <v>0</v>
      </c>
      <c r="I22" s="85">
        <f>SUM(I23:I24)</f>
        <v>0</v>
      </c>
      <c r="J22" s="85">
        <f>SUM(J23:J24)</f>
        <v>0</v>
      </c>
      <c r="K22" s="54" t="s">
        <v>344</v>
      </c>
      <c r="AI22" s="60" t="s">
        <v>344</v>
      </c>
      <c r="AS22" s="91">
        <f>SUM(AJ23:AJ24)</f>
        <v>0</v>
      </c>
      <c r="AT22" s="91">
        <f>SUM(AK23:AK24)</f>
        <v>0</v>
      </c>
      <c r="AU22" s="91">
        <f>SUM(AL23:AL24)</f>
        <v>0</v>
      </c>
    </row>
    <row r="23" spans="1:75" ht="13.5" customHeight="1">
      <c r="A23" s="95" t="s">
        <v>463</v>
      </c>
      <c r="B23" s="79" t="s">
        <v>392</v>
      </c>
      <c r="C23" s="175" t="s">
        <v>500</v>
      </c>
      <c r="D23" s="176"/>
      <c r="E23" s="79" t="s">
        <v>454</v>
      </c>
      <c r="F23" s="82">
        <v>53</v>
      </c>
      <c r="G23" s="104">
        <v>0</v>
      </c>
      <c r="H23" s="82">
        <f>F23*AO23</f>
        <v>0</v>
      </c>
      <c r="I23" s="82">
        <f>F23*AP23</f>
        <v>0</v>
      </c>
      <c r="J23" s="82">
        <f>F23*G23</f>
        <v>0</v>
      </c>
      <c r="K23" s="5" t="s">
        <v>230</v>
      </c>
      <c r="Z23" s="12">
        <f>IF(AQ23="5",BJ23,0)</f>
        <v>0</v>
      </c>
      <c r="AB23" s="12">
        <f>IF(AQ23="1",BH23,0)</f>
        <v>0</v>
      </c>
      <c r="AC23" s="12">
        <f>IF(AQ23="1",BI23,0)</f>
        <v>0</v>
      </c>
      <c r="AD23" s="12">
        <f>IF(AQ23="7",BH23,0)</f>
        <v>0</v>
      </c>
      <c r="AE23" s="12">
        <f>IF(AQ23="7",BI23,0)</f>
        <v>0</v>
      </c>
      <c r="AF23" s="12">
        <f>IF(AQ23="2",BH23,0)</f>
        <v>0</v>
      </c>
      <c r="AG23" s="12">
        <f>IF(AQ23="2",BI23,0)</f>
        <v>0</v>
      </c>
      <c r="AH23" s="12">
        <f>IF(AQ23="0",BJ23,0)</f>
        <v>0</v>
      </c>
      <c r="AI23" s="60" t="s">
        <v>344</v>
      </c>
      <c r="AJ23" s="12">
        <f>IF(AN23=0,J23,0)</f>
        <v>0</v>
      </c>
      <c r="AK23" s="12">
        <f>IF(AN23=15,J23,0)</f>
        <v>0</v>
      </c>
      <c r="AL23" s="12">
        <f>IF(AN23=21,J23,0)</f>
        <v>0</v>
      </c>
      <c r="AN23" s="12">
        <v>21</v>
      </c>
      <c r="AO23" s="12">
        <f>G23*0</f>
        <v>0</v>
      </c>
      <c r="AP23" s="12">
        <f>G23*(1-0)</f>
        <v>0</v>
      </c>
      <c r="AQ23" s="31" t="s">
        <v>460</v>
      </c>
      <c r="AV23" s="12">
        <f>AW23+AX23</f>
        <v>0</v>
      </c>
      <c r="AW23" s="12">
        <f>F23*AO23</f>
        <v>0</v>
      </c>
      <c r="AX23" s="12">
        <f>F23*AP23</f>
        <v>0</v>
      </c>
      <c r="AY23" s="31" t="s">
        <v>256</v>
      </c>
      <c r="AZ23" s="31" t="s">
        <v>419</v>
      </c>
      <c r="BA23" s="60" t="s">
        <v>372</v>
      </c>
      <c r="BC23" s="12">
        <f>AW23+AX23</f>
        <v>0</v>
      </c>
      <c r="BD23" s="12">
        <f>G23/(100-BE23)*100</f>
        <v>0</v>
      </c>
      <c r="BE23" s="12">
        <v>0</v>
      </c>
      <c r="BF23" s="12">
        <f>23</f>
        <v>23</v>
      </c>
      <c r="BH23" s="12">
        <f>F23*AO23</f>
        <v>0</v>
      </c>
      <c r="BI23" s="12">
        <f>F23*AP23</f>
        <v>0</v>
      </c>
      <c r="BJ23" s="12">
        <f>F23*G23</f>
        <v>0</v>
      </c>
      <c r="BK23" s="12"/>
      <c r="BL23" s="12">
        <v>18</v>
      </c>
      <c r="BW23" s="12">
        <v>21</v>
      </c>
    </row>
    <row r="24" spans="1:75" ht="13.5" customHeight="1">
      <c r="A24" s="28" t="s">
        <v>382</v>
      </c>
      <c r="B24" s="81" t="s">
        <v>338</v>
      </c>
      <c r="C24" s="175" t="s">
        <v>485</v>
      </c>
      <c r="D24" s="176"/>
      <c r="E24" s="81" t="s">
        <v>454</v>
      </c>
      <c r="F24" s="11">
        <v>53</v>
      </c>
      <c r="G24" s="104">
        <v>0</v>
      </c>
      <c r="H24" s="11">
        <f>F24*AO24</f>
        <v>0</v>
      </c>
      <c r="I24" s="11">
        <f>F24*AP24</f>
        <v>0</v>
      </c>
      <c r="J24" s="11">
        <f>F24*G24</f>
        <v>0</v>
      </c>
      <c r="K24" s="70" t="s">
        <v>230</v>
      </c>
      <c r="Z24" s="12">
        <f>IF(AQ24="5",BJ24,0)</f>
        <v>0</v>
      </c>
      <c r="AB24" s="12">
        <f>IF(AQ24="1",BH24,0)</f>
        <v>0</v>
      </c>
      <c r="AC24" s="12">
        <f>IF(AQ24="1",BI24,0)</f>
        <v>0</v>
      </c>
      <c r="AD24" s="12">
        <f>IF(AQ24="7",BH24,0)</f>
        <v>0</v>
      </c>
      <c r="AE24" s="12">
        <f>IF(AQ24="7",BI24,0)</f>
        <v>0</v>
      </c>
      <c r="AF24" s="12">
        <f>IF(AQ24="2",BH24,0)</f>
        <v>0</v>
      </c>
      <c r="AG24" s="12">
        <f>IF(AQ24="2",BI24,0)</f>
        <v>0</v>
      </c>
      <c r="AH24" s="12">
        <f>IF(AQ24="0",BJ24,0)</f>
        <v>0</v>
      </c>
      <c r="AI24" s="60" t="s">
        <v>344</v>
      </c>
      <c r="AJ24" s="12">
        <f>IF(AN24=0,J24,0)</f>
        <v>0</v>
      </c>
      <c r="AK24" s="12">
        <f>IF(AN24=15,J24,0)</f>
        <v>0</v>
      </c>
      <c r="AL24" s="12">
        <f>IF(AN24=21,J24,0)</f>
        <v>0</v>
      </c>
      <c r="AN24" s="12">
        <v>21</v>
      </c>
      <c r="AO24" s="12">
        <f>G24*0.0737676663219579</f>
        <v>0</v>
      </c>
      <c r="AP24" s="12">
        <f>G24*(1-0.0737676663219579)</f>
        <v>0</v>
      </c>
      <c r="AQ24" s="31" t="s">
        <v>460</v>
      </c>
      <c r="AV24" s="12">
        <f>AW24+AX24</f>
        <v>0</v>
      </c>
      <c r="AW24" s="12">
        <f>F24*AO24</f>
        <v>0</v>
      </c>
      <c r="AX24" s="12">
        <f>F24*AP24</f>
        <v>0</v>
      </c>
      <c r="AY24" s="31" t="s">
        <v>256</v>
      </c>
      <c r="AZ24" s="31" t="s">
        <v>419</v>
      </c>
      <c r="BA24" s="60" t="s">
        <v>372</v>
      </c>
      <c r="BC24" s="12">
        <f>AW24+AX24</f>
        <v>0</v>
      </c>
      <c r="BD24" s="12">
        <f>G24/(100-BE24)*100</f>
        <v>0</v>
      </c>
      <c r="BE24" s="12">
        <v>0</v>
      </c>
      <c r="BF24" s="12">
        <f>24</f>
        <v>24</v>
      </c>
      <c r="BH24" s="12">
        <f>F24*AO24</f>
        <v>0</v>
      </c>
      <c r="BI24" s="12">
        <f>F24*AP24</f>
        <v>0</v>
      </c>
      <c r="BJ24" s="12">
        <f>F24*G24</f>
        <v>0</v>
      </c>
      <c r="BK24" s="12"/>
      <c r="BL24" s="12">
        <v>18</v>
      </c>
      <c r="BW24" s="12">
        <v>21</v>
      </c>
    </row>
    <row r="25" spans="1:47" ht="15" customHeight="1">
      <c r="A25" s="43" t="s">
        <v>344</v>
      </c>
      <c r="B25" s="29" t="s">
        <v>352</v>
      </c>
      <c r="C25" s="171" t="s">
        <v>175</v>
      </c>
      <c r="D25" s="172"/>
      <c r="E25" s="25" t="s">
        <v>436</v>
      </c>
      <c r="F25" s="25" t="s">
        <v>436</v>
      </c>
      <c r="G25" s="25" t="s">
        <v>436</v>
      </c>
      <c r="H25" s="85">
        <f>SUM(H26:H26)</f>
        <v>0</v>
      </c>
      <c r="I25" s="85">
        <f>SUM(I26:I26)</f>
        <v>0</v>
      </c>
      <c r="J25" s="85">
        <f>SUM(J26:J26)</f>
        <v>0</v>
      </c>
      <c r="K25" s="54" t="s">
        <v>344</v>
      </c>
      <c r="AI25" s="60" t="s">
        <v>344</v>
      </c>
      <c r="AS25" s="91">
        <f>SUM(AJ26:AJ26)</f>
        <v>0</v>
      </c>
      <c r="AT25" s="91">
        <f>SUM(AK26:AK26)</f>
        <v>0</v>
      </c>
      <c r="AU25" s="91">
        <f>SUM(AL26:AL26)</f>
        <v>0</v>
      </c>
    </row>
    <row r="26" spans="1:75" ht="13.5" customHeight="1">
      <c r="A26" s="95" t="s">
        <v>199</v>
      </c>
      <c r="B26" s="79" t="s">
        <v>288</v>
      </c>
      <c r="C26" s="175" t="s">
        <v>411</v>
      </c>
      <c r="D26" s="176"/>
      <c r="E26" s="79" t="s">
        <v>454</v>
      </c>
      <c r="F26" s="82">
        <v>3075.8</v>
      </c>
      <c r="G26" s="104">
        <v>0</v>
      </c>
      <c r="H26" s="82">
        <f>F26*AO26</f>
        <v>0</v>
      </c>
      <c r="I26" s="82">
        <f>F26*AP26</f>
        <v>0</v>
      </c>
      <c r="J26" s="82">
        <f>F26*G26</f>
        <v>0</v>
      </c>
      <c r="K26" s="5" t="s">
        <v>230</v>
      </c>
      <c r="Z26" s="12">
        <f>IF(AQ26="5",BJ26,0)</f>
        <v>0</v>
      </c>
      <c r="AB26" s="12">
        <f>IF(AQ26="1",BH26,0)</f>
        <v>0</v>
      </c>
      <c r="AC26" s="12">
        <f>IF(AQ26="1",BI26,0)</f>
        <v>0</v>
      </c>
      <c r="AD26" s="12">
        <f>IF(AQ26="7",BH26,0)</f>
        <v>0</v>
      </c>
      <c r="AE26" s="12">
        <f>IF(AQ26="7",BI26,0)</f>
        <v>0</v>
      </c>
      <c r="AF26" s="12">
        <f>IF(AQ26="2",BH26,0)</f>
        <v>0</v>
      </c>
      <c r="AG26" s="12">
        <f>IF(AQ26="2",BI26,0)</f>
        <v>0</v>
      </c>
      <c r="AH26" s="12">
        <f>IF(AQ26="0",BJ26,0)</f>
        <v>0</v>
      </c>
      <c r="AI26" s="60" t="s">
        <v>344</v>
      </c>
      <c r="AJ26" s="12">
        <f>IF(AN26=0,J26,0)</f>
        <v>0</v>
      </c>
      <c r="AK26" s="12">
        <f>IF(AN26=15,J26,0)</f>
        <v>0</v>
      </c>
      <c r="AL26" s="12">
        <f>IF(AN26=21,J26,0)</f>
        <v>0</v>
      </c>
      <c r="AN26" s="12">
        <v>21</v>
      </c>
      <c r="AO26" s="12">
        <f>G26*0</f>
        <v>0</v>
      </c>
      <c r="AP26" s="12">
        <f>G26*(1-0)</f>
        <v>0</v>
      </c>
      <c r="AQ26" s="31" t="s">
        <v>460</v>
      </c>
      <c r="AV26" s="12">
        <f>AW26+AX26</f>
        <v>0</v>
      </c>
      <c r="AW26" s="12">
        <f>F26*AO26</f>
        <v>0</v>
      </c>
      <c r="AX26" s="12">
        <f>F26*AP26</f>
        <v>0</v>
      </c>
      <c r="AY26" s="31" t="s">
        <v>303</v>
      </c>
      <c r="AZ26" s="31" t="s">
        <v>7</v>
      </c>
      <c r="BA26" s="60" t="s">
        <v>372</v>
      </c>
      <c r="BC26" s="12">
        <f>AW26+AX26</f>
        <v>0</v>
      </c>
      <c r="BD26" s="12">
        <f>G26/(100-BE26)*100</f>
        <v>0</v>
      </c>
      <c r="BE26" s="12">
        <v>0</v>
      </c>
      <c r="BF26" s="12">
        <f>26</f>
        <v>26</v>
      </c>
      <c r="BH26" s="12">
        <f>F26*AO26</f>
        <v>0</v>
      </c>
      <c r="BI26" s="12">
        <f>F26*AP26</f>
        <v>0</v>
      </c>
      <c r="BJ26" s="12">
        <f>F26*G26</f>
        <v>0</v>
      </c>
      <c r="BK26" s="12"/>
      <c r="BL26" s="12">
        <v>21</v>
      </c>
      <c r="BW26" s="12">
        <v>21</v>
      </c>
    </row>
    <row r="27" spans="1:47" ht="15" customHeight="1">
      <c r="A27" s="43" t="s">
        <v>344</v>
      </c>
      <c r="B27" s="29" t="s">
        <v>452</v>
      </c>
      <c r="C27" s="171" t="s">
        <v>396</v>
      </c>
      <c r="D27" s="172"/>
      <c r="E27" s="25" t="s">
        <v>436</v>
      </c>
      <c r="F27" s="25" t="s">
        <v>436</v>
      </c>
      <c r="G27" s="25" t="s">
        <v>436</v>
      </c>
      <c r="H27" s="85">
        <f>SUM(H28:H28)</f>
        <v>0</v>
      </c>
      <c r="I27" s="85">
        <f>SUM(I28:I28)</f>
        <v>0</v>
      </c>
      <c r="J27" s="85">
        <f>SUM(J28:J28)</f>
        <v>0</v>
      </c>
      <c r="K27" s="54" t="s">
        <v>344</v>
      </c>
      <c r="AI27" s="60" t="s">
        <v>344</v>
      </c>
      <c r="AS27" s="91">
        <f>SUM(AJ28:AJ28)</f>
        <v>0</v>
      </c>
      <c r="AT27" s="91">
        <f>SUM(AK28:AK28)</f>
        <v>0</v>
      </c>
      <c r="AU27" s="91">
        <f>SUM(AL28:AL28)</f>
        <v>0</v>
      </c>
    </row>
    <row r="28" spans="1:75" ht="27" customHeight="1">
      <c r="A28" s="95" t="s">
        <v>289</v>
      </c>
      <c r="B28" s="79" t="s">
        <v>41</v>
      </c>
      <c r="C28" s="175" t="s">
        <v>348</v>
      </c>
      <c r="D28" s="176"/>
      <c r="E28" s="79" t="s">
        <v>450</v>
      </c>
      <c r="F28" s="82">
        <v>5.84</v>
      </c>
      <c r="G28" s="104">
        <v>0</v>
      </c>
      <c r="H28" s="82">
        <f>F28*AO28</f>
        <v>0</v>
      </c>
      <c r="I28" s="82">
        <f>F28*AP28</f>
        <v>0</v>
      </c>
      <c r="J28" s="82">
        <f>F28*G28</f>
        <v>0</v>
      </c>
      <c r="K28" s="5" t="s">
        <v>230</v>
      </c>
      <c r="Z28" s="12">
        <f>IF(AQ28="5",BJ28,0)</f>
        <v>0</v>
      </c>
      <c r="AB28" s="12">
        <f>IF(AQ28="1",BH28,0)</f>
        <v>0</v>
      </c>
      <c r="AC28" s="12">
        <f>IF(AQ28="1",BI28,0)</f>
        <v>0</v>
      </c>
      <c r="AD28" s="12">
        <f>IF(AQ28="7",BH28,0)</f>
        <v>0</v>
      </c>
      <c r="AE28" s="12">
        <f>IF(AQ28="7",BI28,0)</f>
        <v>0</v>
      </c>
      <c r="AF28" s="12">
        <f>IF(AQ28="2",BH28,0)</f>
        <v>0</v>
      </c>
      <c r="AG28" s="12">
        <f>IF(AQ28="2",BI28,0)</f>
        <v>0</v>
      </c>
      <c r="AH28" s="12">
        <f>IF(AQ28="0",BJ28,0)</f>
        <v>0</v>
      </c>
      <c r="AI28" s="60" t="s">
        <v>344</v>
      </c>
      <c r="AJ28" s="12">
        <f>IF(AN28=0,J28,0)</f>
        <v>0</v>
      </c>
      <c r="AK28" s="12">
        <f>IF(AN28=15,J28,0)</f>
        <v>0</v>
      </c>
      <c r="AL28" s="12">
        <f>IF(AN28=21,J28,0)</f>
        <v>0</v>
      </c>
      <c r="AN28" s="12">
        <v>21</v>
      </c>
      <c r="AO28" s="12">
        <f>G28*0.476703641632852</f>
        <v>0</v>
      </c>
      <c r="AP28" s="12">
        <f>G28*(1-0.476703641632852)</f>
        <v>0</v>
      </c>
      <c r="AQ28" s="31" t="s">
        <v>460</v>
      </c>
      <c r="AV28" s="12">
        <f>AW28+AX28</f>
        <v>0</v>
      </c>
      <c r="AW28" s="12">
        <f>F28*AO28</f>
        <v>0</v>
      </c>
      <c r="AX28" s="12">
        <f>F28*AP28</f>
        <v>0</v>
      </c>
      <c r="AY28" s="31" t="s">
        <v>339</v>
      </c>
      <c r="AZ28" s="31" t="s">
        <v>7</v>
      </c>
      <c r="BA28" s="60" t="s">
        <v>372</v>
      </c>
      <c r="BC28" s="12">
        <f>AW28+AX28</f>
        <v>0</v>
      </c>
      <c r="BD28" s="12">
        <f>G28/(100-BE28)*100</f>
        <v>0</v>
      </c>
      <c r="BE28" s="12">
        <v>0</v>
      </c>
      <c r="BF28" s="12">
        <f>28</f>
        <v>28</v>
      </c>
      <c r="BH28" s="12">
        <f>F28*AO28</f>
        <v>0</v>
      </c>
      <c r="BI28" s="12">
        <f>F28*AP28</f>
        <v>0</v>
      </c>
      <c r="BJ28" s="12">
        <f>F28*G28</f>
        <v>0</v>
      </c>
      <c r="BK28" s="12"/>
      <c r="BL28" s="12">
        <v>27</v>
      </c>
      <c r="BW28" s="12">
        <v>21</v>
      </c>
    </row>
    <row r="29" spans="1:47" ht="15" customHeight="1">
      <c r="A29" s="43" t="s">
        <v>344</v>
      </c>
      <c r="B29" s="29" t="s">
        <v>498</v>
      </c>
      <c r="C29" s="171" t="s">
        <v>276</v>
      </c>
      <c r="D29" s="172"/>
      <c r="E29" s="25" t="s">
        <v>436</v>
      </c>
      <c r="F29" s="25" t="s">
        <v>436</v>
      </c>
      <c r="G29" s="25" t="s">
        <v>436</v>
      </c>
      <c r="H29" s="85">
        <f>SUM(H30:H30)</f>
        <v>0</v>
      </c>
      <c r="I29" s="85">
        <f>SUM(I30:I30)</f>
        <v>0</v>
      </c>
      <c r="J29" s="85">
        <f>SUM(J30:J30)</f>
        <v>0</v>
      </c>
      <c r="K29" s="54" t="s">
        <v>344</v>
      </c>
      <c r="AI29" s="60" t="s">
        <v>344</v>
      </c>
      <c r="AS29" s="91">
        <f>SUM(AJ30:AJ30)</f>
        <v>0</v>
      </c>
      <c r="AT29" s="91">
        <f>SUM(AK30:AK30)</f>
        <v>0</v>
      </c>
      <c r="AU29" s="91">
        <f>SUM(AL30:AL30)</f>
        <v>0</v>
      </c>
    </row>
    <row r="30" spans="1:75" ht="13.5" customHeight="1">
      <c r="A30" s="95" t="s">
        <v>403</v>
      </c>
      <c r="B30" s="79" t="s">
        <v>92</v>
      </c>
      <c r="C30" s="175" t="s">
        <v>149</v>
      </c>
      <c r="D30" s="176"/>
      <c r="E30" s="79" t="s">
        <v>454</v>
      </c>
      <c r="F30" s="82">
        <v>636.12</v>
      </c>
      <c r="G30" s="104">
        <v>0</v>
      </c>
      <c r="H30" s="82">
        <f>F30*AO30</f>
        <v>0</v>
      </c>
      <c r="I30" s="82">
        <f>F30*AP30</f>
        <v>0</v>
      </c>
      <c r="J30" s="82">
        <f>F30*G30</f>
        <v>0</v>
      </c>
      <c r="K30" s="5" t="s">
        <v>230</v>
      </c>
      <c r="Z30" s="12">
        <f>IF(AQ30="5",BJ30,0)</f>
        <v>0</v>
      </c>
      <c r="AB30" s="12">
        <f>IF(AQ30="1",BH30,0)</f>
        <v>0</v>
      </c>
      <c r="AC30" s="12">
        <f>IF(AQ30="1",BI30,0)</f>
        <v>0</v>
      </c>
      <c r="AD30" s="12">
        <f>IF(AQ30="7",BH30,0)</f>
        <v>0</v>
      </c>
      <c r="AE30" s="12">
        <f>IF(AQ30="7",BI30,0)</f>
        <v>0</v>
      </c>
      <c r="AF30" s="12">
        <f>IF(AQ30="2",BH30,0)</f>
        <v>0</v>
      </c>
      <c r="AG30" s="12">
        <f>IF(AQ30="2",BI30,0)</f>
        <v>0</v>
      </c>
      <c r="AH30" s="12">
        <f>IF(AQ30="0",BJ30,0)</f>
        <v>0</v>
      </c>
      <c r="AI30" s="60" t="s">
        <v>344</v>
      </c>
      <c r="AJ30" s="12">
        <f>IF(AN30=0,J30,0)</f>
        <v>0</v>
      </c>
      <c r="AK30" s="12">
        <f>IF(AN30=15,J30,0)</f>
        <v>0</v>
      </c>
      <c r="AL30" s="12">
        <f>IF(AN30=21,J30,0)</f>
        <v>0</v>
      </c>
      <c r="AN30" s="12">
        <v>21</v>
      </c>
      <c r="AO30" s="12">
        <f>G30*0.0319767558763799</f>
        <v>0</v>
      </c>
      <c r="AP30" s="12">
        <f>G30*(1-0.0319767558763799)</f>
        <v>0</v>
      </c>
      <c r="AQ30" s="31" t="s">
        <v>460</v>
      </c>
      <c r="AV30" s="12">
        <f>AW30+AX30</f>
        <v>0</v>
      </c>
      <c r="AW30" s="12">
        <f>F30*AO30</f>
        <v>0</v>
      </c>
      <c r="AX30" s="12">
        <f>F30*AP30</f>
        <v>0</v>
      </c>
      <c r="AY30" s="31" t="s">
        <v>234</v>
      </c>
      <c r="AZ30" s="31" t="s">
        <v>7</v>
      </c>
      <c r="BA30" s="60" t="s">
        <v>372</v>
      </c>
      <c r="BC30" s="12">
        <f>AW30+AX30</f>
        <v>0</v>
      </c>
      <c r="BD30" s="12">
        <f>G30/(100-BE30)*100</f>
        <v>0</v>
      </c>
      <c r="BE30" s="12">
        <v>0</v>
      </c>
      <c r="BF30" s="12">
        <f>30</f>
        <v>30</v>
      </c>
      <c r="BH30" s="12">
        <f>F30*AO30</f>
        <v>0</v>
      </c>
      <c r="BI30" s="12">
        <f>F30*AP30</f>
        <v>0</v>
      </c>
      <c r="BJ30" s="12">
        <f>F30*G30</f>
        <v>0</v>
      </c>
      <c r="BK30" s="12"/>
      <c r="BL30" s="12">
        <v>28</v>
      </c>
      <c r="BW30" s="12">
        <v>21</v>
      </c>
    </row>
    <row r="31" spans="1:47" ht="15" customHeight="1">
      <c r="A31" s="43" t="s">
        <v>344</v>
      </c>
      <c r="B31" s="29" t="s">
        <v>296</v>
      </c>
      <c r="C31" s="171" t="s">
        <v>448</v>
      </c>
      <c r="D31" s="172"/>
      <c r="E31" s="25" t="s">
        <v>436</v>
      </c>
      <c r="F31" s="25" t="s">
        <v>436</v>
      </c>
      <c r="G31" s="25" t="s">
        <v>436</v>
      </c>
      <c r="H31" s="85">
        <f>SUM(H32:H32)</f>
        <v>0</v>
      </c>
      <c r="I31" s="85">
        <f>SUM(I32:I32)</f>
        <v>0</v>
      </c>
      <c r="J31" s="85">
        <f>SUM(J32:J32)</f>
        <v>0</v>
      </c>
      <c r="K31" s="54" t="s">
        <v>344</v>
      </c>
      <c r="AI31" s="60" t="s">
        <v>344</v>
      </c>
      <c r="AS31" s="91">
        <f>SUM(AJ32:AJ32)</f>
        <v>0</v>
      </c>
      <c r="AT31" s="91">
        <f>SUM(AK32:AK32)</f>
        <v>0</v>
      </c>
      <c r="AU31" s="91">
        <f>SUM(AL32:AL32)</f>
        <v>0</v>
      </c>
    </row>
    <row r="32" spans="1:75" ht="13.5" customHeight="1">
      <c r="A32" s="95" t="s">
        <v>359</v>
      </c>
      <c r="B32" s="79" t="s">
        <v>272</v>
      </c>
      <c r="C32" s="175" t="s">
        <v>413</v>
      </c>
      <c r="D32" s="176"/>
      <c r="E32" s="79" t="s">
        <v>177</v>
      </c>
      <c r="F32" s="82">
        <v>41</v>
      </c>
      <c r="G32" s="104">
        <v>0</v>
      </c>
      <c r="H32" s="82">
        <f>F32*AO32</f>
        <v>0</v>
      </c>
      <c r="I32" s="82">
        <f>F32*AP32</f>
        <v>0</v>
      </c>
      <c r="J32" s="82">
        <f>F32*G32</f>
        <v>0</v>
      </c>
      <c r="K32" s="5" t="s">
        <v>230</v>
      </c>
      <c r="Z32" s="12">
        <f>IF(AQ32="5",BJ32,0)</f>
        <v>0</v>
      </c>
      <c r="AB32" s="12">
        <f>IF(AQ32="1",BH32,0)</f>
        <v>0</v>
      </c>
      <c r="AC32" s="12">
        <f>IF(AQ32="1",BI32,0)</f>
        <v>0</v>
      </c>
      <c r="AD32" s="12">
        <f>IF(AQ32="7",BH32,0)</f>
        <v>0</v>
      </c>
      <c r="AE32" s="12">
        <f>IF(AQ32="7",BI32,0)</f>
        <v>0</v>
      </c>
      <c r="AF32" s="12">
        <f>IF(AQ32="2",BH32,0)</f>
        <v>0</v>
      </c>
      <c r="AG32" s="12">
        <f>IF(AQ32="2",BI32,0)</f>
        <v>0</v>
      </c>
      <c r="AH32" s="12">
        <f>IF(AQ32="0",BJ32,0)</f>
        <v>0</v>
      </c>
      <c r="AI32" s="60" t="s">
        <v>344</v>
      </c>
      <c r="AJ32" s="12">
        <f>IF(AN32=0,J32,0)</f>
        <v>0</v>
      </c>
      <c r="AK32" s="12">
        <f>IF(AN32=15,J32,0)</f>
        <v>0</v>
      </c>
      <c r="AL32" s="12">
        <f>IF(AN32=21,J32,0)</f>
        <v>0</v>
      </c>
      <c r="AN32" s="12">
        <v>21</v>
      </c>
      <c r="AO32" s="12">
        <f>G32*0</f>
        <v>0</v>
      </c>
      <c r="AP32" s="12">
        <f>G32*(1-0)</f>
        <v>0</v>
      </c>
      <c r="AQ32" s="31" t="s">
        <v>460</v>
      </c>
      <c r="AV32" s="12">
        <f>AW32+AX32</f>
        <v>0</v>
      </c>
      <c r="AW32" s="12">
        <f>F32*AO32</f>
        <v>0</v>
      </c>
      <c r="AX32" s="12">
        <f>F32*AP32</f>
        <v>0</v>
      </c>
      <c r="AY32" s="31" t="s">
        <v>353</v>
      </c>
      <c r="AZ32" s="31" t="s">
        <v>222</v>
      </c>
      <c r="BA32" s="60" t="s">
        <v>372</v>
      </c>
      <c r="BC32" s="12">
        <f>AW32+AX32</f>
        <v>0</v>
      </c>
      <c r="BD32" s="12">
        <f>G32/(100-BE32)*100</f>
        <v>0</v>
      </c>
      <c r="BE32" s="12">
        <v>0</v>
      </c>
      <c r="BF32" s="12">
        <f>32</f>
        <v>32</v>
      </c>
      <c r="BH32" s="12">
        <f>F32*AO32</f>
        <v>0</v>
      </c>
      <c r="BI32" s="12">
        <f>F32*AP32</f>
        <v>0</v>
      </c>
      <c r="BJ32" s="12">
        <f>F32*G32</f>
        <v>0</v>
      </c>
      <c r="BK32" s="12"/>
      <c r="BL32" s="12">
        <v>31</v>
      </c>
      <c r="BW32" s="12">
        <v>21</v>
      </c>
    </row>
    <row r="33" spans="1:47" ht="15" customHeight="1">
      <c r="A33" s="39" t="s">
        <v>344</v>
      </c>
      <c r="B33" s="68" t="s">
        <v>106</v>
      </c>
      <c r="C33" s="177" t="s">
        <v>270</v>
      </c>
      <c r="D33" s="178"/>
      <c r="E33" s="42" t="s">
        <v>436</v>
      </c>
      <c r="F33" s="42" t="s">
        <v>436</v>
      </c>
      <c r="G33" s="42" t="s">
        <v>436</v>
      </c>
      <c r="H33" s="67">
        <f>SUM(H34:H34)</f>
        <v>0</v>
      </c>
      <c r="I33" s="67">
        <f>SUM(I34:I34)</f>
        <v>0</v>
      </c>
      <c r="J33" s="67">
        <f>SUM(J34:J34)</f>
        <v>0</v>
      </c>
      <c r="K33" s="59" t="s">
        <v>344</v>
      </c>
      <c r="AI33" s="60" t="s">
        <v>344</v>
      </c>
      <c r="AS33" s="91">
        <f>SUM(AJ34:AJ34)</f>
        <v>0</v>
      </c>
      <c r="AT33" s="91">
        <f>SUM(AK34:AK34)</f>
        <v>0</v>
      </c>
      <c r="AU33" s="91">
        <f>SUM(AL34:AL34)</f>
        <v>0</v>
      </c>
    </row>
    <row r="34" spans="1:75" ht="13.5" customHeight="1">
      <c r="A34" s="28" t="s">
        <v>143</v>
      </c>
      <c r="B34" s="81" t="s">
        <v>400</v>
      </c>
      <c r="C34" s="175" t="s">
        <v>397</v>
      </c>
      <c r="D34" s="176"/>
      <c r="E34" s="81" t="s">
        <v>122</v>
      </c>
      <c r="F34" s="11">
        <v>41</v>
      </c>
      <c r="G34" s="104">
        <v>0</v>
      </c>
      <c r="H34" s="11">
        <f>F34*AO34</f>
        <v>0</v>
      </c>
      <c r="I34" s="11">
        <f>F34*AP34</f>
        <v>0</v>
      </c>
      <c r="J34" s="11">
        <f>F34*G34</f>
        <v>0</v>
      </c>
      <c r="K34" s="70" t="s">
        <v>230</v>
      </c>
      <c r="Z34" s="12">
        <f>IF(AQ34="5",BJ34,0)</f>
        <v>0</v>
      </c>
      <c r="AB34" s="12">
        <f>IF(AQ34="1",BH34,0)</f>
        <v>0</v>
      </c>
      <c r="AC34" s="12">
        <f>IF(AQ34="1",BI34,0)</f>
        <v>0</v>
      </c>
      <c r="AD34" s="12">
        <f>IF(AQ34="7",BH34,0)</f>
        <v>0</v>
      </c>
      <c r="AE34" s="12">
        <f>IF(AQ34="7",BI34,0)</f>
        <v>0</v>
      </c>
      <c r="AF34" s="12">
        <f>IF(AQ34="2",BH34,0)</f>
        <v>0</v>
      </c>
      <c r="AG34" s="12">
        <f>IF(AQ34="2",BI34,0)</f>
        <v>0</v>
      </c>
      <c r="AH34" s="12">
        <f>IF(AQ34="0",BJ34,0)</f>
        <v>0</v>
      </c>
      <c r="AI34" s="60" t="s">
        <v>344</v>
      </c>
      <c r="AJ34" s="12">
        <f>IF(AN34=0,J34,0)</f>
        <v>0</v>
      </c>
      <c r="AK34" s="12">
        <f>IF(AN34=15,J34,0)</f>
        <v>0</v>
      </c>
      <c r="AL34" s="12">
        <f>IF(AN34=21,J34,0)</f>
        <v>0</v>
      </c>
      <c r="AN34" s="12">
        <v>21</v>
      </c>
      <c r="AO34" s="12">
        <f>G34*0.00494339622641509</f>
        <v>0</v>
      </c>
      <c r="AP34" s="12">
        <f>G34*(1-0.00494339622641509)</f>
        <v>0</v>
      </c>
      <c r="AQ34" s="31" t="s">
        <v>460</v>
      </c>
      <c r="AV34" s="12">
        <f>AW34+AX34</f>
        <v>0</v>
      </c>
      <c r="AW34" s="12">
        <f>F34*AO34</f>
        <v>0</v>
      </c>
      <c r="AX34" s="12">
        <f>F34*AP34</f>
        <v>0</v>
      </c>
      <c r="AY34" s="31" t="s">
        <v>501</v>
      </c>
      <c r="AZ34" s="31" t="s">
        <v>222</v>
      </c>
      <c r="BA34" s="60" t="s">
        <v>372</v>
      </c>
      <c r="BB34" s="71">
        <v>100096</v>
      </c>
      <c r="BC34" s="12">
        <f>AW34+AX34</f>
        <v>0</v>
      </c>
      <c r="BD34" s="12">
        <f>G34/(100-BE34)*100</f>
        <v>0</v>
      </c>
      <c r="BE34" s="12">
        <v>0</v>
      </c>
      <c r="BF34" s="12">
        <f>34</f>
        <v>34</v>
      </c>
      <c r="BH34" s="12">
        <f>F34*AO34</f>
        <v>0</v>
      </c>
      <c r="BI34" s="12">
        <f>F34*AP34</f>
        <v>0</v>
      </c>
      <c r="BJ34" s="12">
        <f>F34*G34</f>
        <v>0</v>
      </c>
      <c r="BK34" s="12"/>
      <c r="BL34" s="12">
        <v>33</v>
      </c>
      <c r="BW34" s="12">
        <v>21</v>
      </c>
    </row>
    <row r="35" spans="1:47" ht="15" customHeight="1">
      <c r="A35" s="43" t="s">
        <v>344</v>
      </c>
      <c r="B35" s="29" t="s">
        <v>310</v>
      </c>
      <c r="C35" s="171" t="s">
        <v>330</v>
      </c>
      <c r="D35" s="172"/>
      <c r="E35" s="25" t="s">
        <v>436</v>
      </c>
      <c r="F35" s="25" t="s">
        <v>436</v>
      </c>
      <c r="G35" s="25" t="s">
        <v>436</v>
      </c>
      <c r="H35" s="85">
        <f>SUM(H36:H38)</f>
        <v>0</v>
      </c>
      <c r="I35" s="85">
        <f>SUM(I36:I38)</f>
        <v>0</v>
      </c>
      <c r="J35" s="85">
        <f>SUM(J36:J38)</f>
        <v>0</v>
      </c>
      <c r="K35" s="54" t="s">
        <v>344</v>
      </c>
      <c r="AI35" s="60" t="s">
        <v>344</v>
      </c>
      <c r="AS35" s="91">
        <f>SUM(AJ36:AJ38)</f>
        <v>0</v>
      </c>
      <c r="AT35" s="91">
        <f>SUM(AK36:AK38)</f>
        <v>0</v>
      </c>
      <c r="AU35" s="91">
        <f>SUM(AL36:AL38)</f>
        <v>0</v>
      </c>
    </row>
    <row r="36" spans="1:75" ht="13.5" customHeight="1">
      <c r="A36" s="95" t="s">
        <v>294</v>
      </c>
      <c r="B36" s="79" t="s">
        <v>379</v>
      </c>
      <c r="C36" s="175" t="s">
        <v>250</v>
      </c>
      <c r="D36" s="176"/>
      <c r="E36" s="79" t="s">
        <v>454</v>
      </c>
      <c r="F36" s="82">
        <v>636.12</v>
      </c>
      <c r="G36" s="104">
        <v>0</v>
      </c>
      <c r="H36" s="82">
        <f>F36*AO36</f>
        <v>0</v>
      </c>
      <c r="I36" s="82">
        <f>F36*AP36</f>
        <v>0</v>
      </c>
      <c r="J36" s="82">
        <f>F36*G36</f>
        <v>0</v>
      </c>
      <c r="K36" s="5" t="s">
        <v>230</v>
      </c>
      <c r="Z36" s="12">
        <f>IF(AQ36="5",BJ36,0)</f>
        <v>0</v>
      </c>
      <c r="AB36" s="12">
        <f>IF(AQ36="1",BH36,0)</f>
        <v>0</v>
      </c>
      <c r="AC36" s="12">
        <f>IF(AQ36="1",BI36,0)</f>
        <v>0</v>
      </c>
      <c r="AD36" s="12">
        <f>IF(AQ36="7",BH36,0)</f>
        <v>0</v>
      </c>
      <c r="AE36" s="12">
        <f>IF(AQ36="7",BI36,0)</f>
        <v>0</v>
      </c>
      <c r="AF36" s="12">
        <f>IF(AQ36="2",BH36,0)</f>
        <v>0</v>
      </c>
      <c r="AG36" s="12">
        <f>IF(AQ36="2",BI36,0)</f>
        <v>0</v>
      </c>
      <c r="AH36" s="12">
        <f>IF(AQ36="0",BJ36,0)</f>
        <v>0</v>
      </c>
      <c r="AI36" s="60" t="s">
        <v>344</v>
      </c>
      <c r="AJ36" s="12">
        <f>IF(AN36=0,J36,0)</f>
        <v>0</v>
      </c>
      <c r="AK36" s="12">
        <f>IF(AN36=15,J36,0)</f>
        <v>0</v>
      </c>
      <c r="AL36" s="12">
        <f>IF(AN36=21,J36,0)</f>
        <v>0</v>
      </c>
      <c r="AN36" s="12">
        <v>21</v>
      </c>
      <c r="AO36" s="12">
        <f>G36*0.856016952932474</f>
        <v>0</v>
      </c>
      <c r="AP36" s="12">
        <f>G36*(1-0.856016952932474)</f>
        <v>0</v>
      </c>
      <c r="AQ36" s="31" t="s">
        <v>460</v>
      </c>
      <c r="AV36" s="12">
        <f>AW36+AX36</f>
        <v>0</v>
      </c>
      <c r="AW36" s="12">
        <f>F36*AO36</f>
        <v>0</v>
      </c>
      <c r="AX36" s="12">
        <f>F36*AP36</f>
        <v>0</v>
      </c>
      <c r="AY36" s="31" t="s">
        <v>483</v>
      </c>
      <c r="AZ36" s="31" t="s">
        <v>226</v>
      </c>
      <c r="BA36" s="60" t="s">
        <v>372</v>
      </c>
      <c r="BC36" s="12">
        <f>AW36+AX36</f>
        <v>0</v>
      </c>
      <c r="BD36" s="12">
        <f>G36/(100-BE36)*100</f>
        <v>0</v>
      </c>
      <c r="BE36" s="12">
        <v>0</v>
      </c>
      <c r="BF36" s="12">
        <f>36</f>
        <v>36</v>
      </c>
      <c r="BH36" s="12">
        <f>F36*AO36</f>
        <v>0</v>
      </c>
      <c r="BI36" s="12">
        <f>F36*AP36</f>
        <v>0</v>
      </c>
      <c r="BJ36" s="12">
        <f>F36*G36</f>
        <v>0</v>
      </c>
      <c r="BK36" s="12"/>
      <c r="BL36" s="12">
        <v>56</v>
      </c>
      <c r="BW36" s="12">
        <v>21</v>
      </c>
    </row>
    <row r="37" spans="1:75" ht="13.5" customHeight="1">
      <c r="A37" s="28" t="s">
        <v>206</v>
      </c>
      <c r="B37" s="81" t="s">
        <v>428</v>
      </c>
      <c r="C37" s="175" t="s">
        <v>44</v>
      </c>
      <c r="D37" s="176"/>
      <c r="E37" s="81" t="s">
        <v>454</v>
      </c>
      <c r="F37" s="11">
        <v>636.12</v>
      </c>
      <c r="G37" s="104">
        <v>0</v>
      </c>
      <c r="H37" s="11">
        <f>F37*AO37</f>
        <v>0</v>
      </c>
      <c r="I37" s="11">
        <f>F37*AP37</f>
        <v>0</v>
      </c>
      <c r="J37" s="11">
        <f>F37*G37</f>
        <v>0</v>
      </c>
      <c r="K37" s="70" t="s">
        <v>230</v>
      </c>
      <c r="Z37" s="12">
        <f>IF(AQ37="5",BJ37,0)</f>
        <v>0</v>
      </c>
      <c r="AB37" s="12">
        <f>IF(AQ37="1",BH37,0)</f>
        <v>0</v>
      </c>
      <c r="AC37" s="12">
        <f>IF(AQ37="1",BI37,0)</f>
        <v>0</v>
      </c>
      <c r="AD37" s="12">
        <f>IF(AQ37="7",BH37,0)</f>
        <v>0</v>
      </c>
      <c r="AE37" s="12">
        <f>IF(AQ37="7",BI37,0)</f>
        <v>0</v>
      </c>
      <c r="AF37" s="12">
        <f>IF(AQ37="2",BH37,0)</f>
        <v>0</v>
      </c>
      <c r="AG37" s="12">
        <f>IF(AQ37="2",BI37,0)</f>
        <v>0</v>
      </c>
      <c r="AH37" s="12">
        <f>IF(AQ37="0",BJ37,0)</f>
        <v>0</v>
      </c>
      <c r="AI37" s="60" t="s">
        <v>344</v>
      </c>
      <c r="AJ37" s="12">
        <f>IF(AN37=0,J37,0)</f>
        <v>0</v>
      </c>
      <c r="AK37" s="12">
        <f>IF(AN37=15,J37,0)</f>
        <v>0</v>
      </c>
      <c r="AL37" s="12">
        <f>IF(AN37=21,J37,0)</f>
        <v>0</v>
      </c>
      <c r="AN37" s="12">
        <v>21</v>
      </c>
      <c r="AO37" s="12">
        <f>G37*0.788215767634855</f>
        <v>0</v>
      </c>
      <c r="AP37" s="12">
        <f>G37*(1-0.788215767634855)</f>
        <v>0</v>
      </c>
      <c r="AQ37" s="31" t="s">
        <v>460</v>
      </c>
      <c r="AV37" s="12">
        <f>AW37+AX37</f>
        <v>0</v>
      </c>
      <c r="AW37" s="12">
        <f>F37*AO37</f>
        <v>0</v>
      </c>
      <c r="AX37" s="12">
        <f>F37*AP37</f>
        <v>0</v>
      </c>
      <c r="AY37" s="31" t="s">
        <v>483</v>
      </c>
      <c r="AZ37" s="31" t="s">
        <v>226</v>
      </c>
      <c r="BA37" s="60" t="s">
        <v>372</v>
      </c>
      <c r="BC37" s="12">
        <f>AW37+AX37</f>
        <v>0</v>
      </c>
      <c r="BD37" s="12">
        <f>G37/(100-BE37)*100</f>
        <v>0</v>
      </c>
      <c r="BE37" s="12">
        <v>0</v>
      </c>
      <c r="BF37" s="12">
        <f>37</f>
        <v>37</v>
      </c>
      <c r="BH37" s="12">
        <f>F37*AO37</f>
        <v>0</v>
      </c>
      <c r="BI37" s="12">
        <f>F37*AP37</f>
        <v>0</v>
      </c>
      <c r="BJ37" s="12">
        <f>F37*G37</f>
        <v>0</v>
      </c>
      <c r="BK37" s="12"/>
      <c r="BL37" s="12">
        <v>56</v>
      </c>
      <c r="BW37" s="12">
        <v>21</v>
      </c>
    </row>
    <row r="38" spans="1:75" ht="13.5" customHeight="1">
      <c r="A38" s="28" t="s">
        <v>43</v>
      </c>
      <c r="B38" s="81" t="s">
        <v>130</v>
      </c>
      <c r="C38" s="175" t="s">
        <v>132</v>
      </c>
      <c r="D38" s="176"/>
      <c r="E38" s="81" t="s">
        <v>454</v>
      </c>
      <c r="F38" s="11">
        <v>636.12</v>
      </c>
      <c r="G38" s="104">
        <v>0</v>
      </c>
      <c r="H38" s="11">
        <f>F38*AO38</f>
        <v>0</v>
      </c>
      <c r="I38" s="11">
        <f>F38*AP38</f>
        <v>0</v>
      </c>
      <c r="J38" s="11">
        <f>F38*G38</f>
        <v>0</v>
      </c>
      <c r="K38" s="70" t="s">
        <v>230</v>
      </c>
      <c r="Z38" s="12">
        <f>IF(AQ38="5",BJ38,0)</f>
        <v>0</v>
      </c>
      <c r="AB38" s="12">
        <f>IF(AQ38="1",BH38,0)</f>
        <v>0</v>
      </c>
      <c r="AC38" s="12">
        <f>IF(AQ38="1",BI38,0)</f>
        <v>0</v>
      </c>
      <c r="AD38" s="12">
        <f>IF(AQ38="7",BH38,0)</f>
        <v>0</v>
      </c>
      <c r="AE38" s="12">
        <f>IF(AQ38="7",BI38,0)</f>
        <v>0</v>
      </c>
      <c r="AF38" s="12">
        <f>IF(AQ38="2",BH38,0)</f>
        <v>0</v>
      </c>
      <c r="AG38" s="12">
        <f>IF(AQ38="2",BI38,0)</f>
        <v>0</v>
      </c>
      <c r="AH38" s="12">
        <f>IF(AQ38="0",BJ38,0)</f>
        <v>0</v>
      </c>
      <c r="AI38" s="60" t="s">
        <v>344</v>
      </c>
      <c r="AJ38" s="12">
        <f>IF(AN38=0,J38,0)</f>
        <v>0</v>
      </c>
      <c r="AK38" s="12">
        <f>IF(AN38=15,J38,0)</f>
        <v>0</v>
      </c>
      <c r="AL38" s="12">
        <f>IF(AN38=21,J38,0)</f>
        <v>0</v>
      </c>
      <c r="AN38" s="12">
        <v>21</v>
      </c>
      <c r="AO38" s="12">
        <f>G38*0.585956733262851</f>
        <v>0</v>
      </c>
      <c r="AP38" s="12">
        <f>G38*(1-0.585956733262851)</f>
        <v>0</v>
      </c>
      <c r="AQ38" s="31" t="s">
        <v>460</v>
      </c>
      <c r="AV38" s="12">
        <f>AW38+AX38</f>
        <v>0</v>
      </c>
      <c r="AW38" s="12">
        <f>F38*AO38</f>
        <v>0</v>
      </c>
      <c r="AX38" s="12">
        <f>F38*AP38</f>
        <v>0</v>
      </c>
      <c r="AY38" s="31" t="s">
        <v>483</v>
      </c>
      <c r="AZ38" s="31" t="s">
        <v>226</v>
      </c>
      <c r="BA38" s="60" t="s">
        <v>372</v>
      </c>
      <c r="BC38" s="12">
        <f>AW38+AX38</f>
        <v>0</v>
      </c>
      <c r="BD38" s="12">
        <f>G38/(100-BE38)*100</f>
        <v>0</v>
      </c>
      <c r="BE38" s="12">
        <v>0</v>
      </c>
      <c r="BF38" s="12">
        <f>38</f>
        <v>38</v>
      </c>
      <c r="BH38" s="12">
        <f>F38*AO38</f>
        <v>0</v>
      </c>
      <c r="BI38" s="12">
        <f>F38*AP38</f>
        <v>0</v>
      </c>
      <c r="BJ38" s="12">
        <f>F38*G38</f>
        <v>0</v>
      </c>
      <c r="BK38" s="12"/>
      <c r="BL38" s="12">
        <v>56</v>
      </c>
      <c r="BW38" s="12">
        <v>21</v>
      </c>
    </row>
    <row r="39" spans="1:47" ht="15" customHeight="1">
      <c r="A39" s="39" t="s">
        <v>344</v>
      </c>
      <c r="B39" s="68" t="s">
        <v>305</v>
      </c>
      <c r="C39" s="177" t="s">
        <v>486</v>
      </c>
      <c r="D39" s="178"/>
      <c r="E39" s="42" t="s">
        <v>436</v>
      </c>
      <c r="F39" s="42" t="s">
        <v>436</v>
      </c>
      <c r="G39" s="42" t="s">
        <v>436</v>
      </c>
      <c r="H39" s="67">
        <f>SUM(H40:H40)</f>
        <v>0</v>
      </c>
      <c r="I39" s="67">
        <f>SUM(I40:I40)</f>
        <v>0</v>
      </c>
      <c r="J39" s="67">
        <f>SUM(J40:J40)</f>
        <v>0</v>
      </c>
      <c r="K39" s="59" t="s">
        <v>344</v>
      </c>
      <c r="AI39" s="60" t="s">
        <v>344</v>
      </c>
      <c r="AS39" s="91">
        <f>SUM(AJ40:AJ40)</f>
        <v>0</v>
      </c>
      <c r="AT39" s="91">
        <f>SUM(AK40:AK40)</f>
        <v>0</v>
      </c>
      <c r="AU39" s="91">
        <f>SUM(AL40:AL40)</f>
        <v>0</v>
      </c>
    </row>
    <row r="40" spans="1:75" ht="13.5" customHeight="1">
      <c r="A40" s="28" t="s">
        <v>346</v>
      </c>
      <c r="B40" s="81" t="s">
        <v>466</v>
      </c>
      <c r="C40" s="175" t="s">
        <v>309</v>
      </c>
      <c r="D40" s="176"/>
      <c r="E40" s="81" t="s">
        <v>398</v>
      </c>
      <c r="F40" s="11">
        <v>416</v>
      </c>
      <c r="G40" s="104">
        <v>0</v>
      </c>
      <c r="H40" s="11">
        <f>F40*AO40</f>
        <v>0</v>
      </c>
      <c r="I40" s="11">
        <f>F40*AP40</f>
        <v>0</v>
      </c>
      <c r="J40" s="11">
        <f>F40*G40</f>
        <v>0</v>
      </c>
      <c r="K40" s="70" t="s">
        <v>230</v>
      </c>
      <c r="Z40" s="12">
        <f>IF(AQ40="5",BJ40,0)</f>
        <v>0</v>
      </c>
      <c r="AB40" s="12">
        <f>IF(AQ40="1",BH40,0)</f>
        <v>0</v>
      </c>
      <c r="AC40" s="12">
        <f>IF(AQ40="1",BI40,0)</f>
        <v>0</v>
      </c>
      <c r="AD40" s="12">
        <f>IF(AQ40="7",BH40,0)</f>
        <v>0</v>
      </c>
      <c r="AE40" s="12">
        <f>IF(AQ40="7",BI40,0)</f>
        <v>0</v>
      </c>
      <c r="AF40" s="12">
        <f>IF(AQ40="2",BH40,0)</f>
        <v>0</v>
      </c>
      <c r="AG40" s="12">
        <f>IF(AQ40="2",BI40,0)</f>
        <v>0</v>
      </c>
      <c r="AH40" s="12">
        <f>IF(AQ40="0",BJ40,0)</f>
        <v>0</v>
      </c>
      <c r="AI40" s="60" t="s">
        <v>344</v>
      </c>
      <c r="AJ40" s="12">
        <f>IF(AN40=0,J40,0)</f>
        <v>0</v>
      </c>
      <c r="AK40" s="12">
        <f>IF(AN40=15,J40,0)</f>
        <v>0</v>
      </c>
      <c r="AL40" s="12">
        <f>IF(AN40=21,J40,0)</f>
        <v>0</v>
      </c>
      <c r="AN40" s="12">
        <v>21</v>
      </c>
      <c r="AO40" s="12">
        <f>G40*0.0741634389485047</f>
        <v>0</v>
      </c>
      <c r="AP40" s="12">
        <f>G40*(1-0.0741634389485047)</f>
        <v>0</v>
      </c>
      <c r="AQ40" s="31" t="s">
        <v>463</v>
      </c>
      <c r="AV40" s="12">
        <f>AW40+AX40</f>
        <v>0</v>
      </c>
      <c r="AW40" s="12">
        <f>F40*AO40</f>
        <v>0</v>
      </c>
      <c r="AX40" s="12">
        <f>F40*AP40</f>
        <v>0</v>
      </c>
      <c r="AY40" s="31" t="s">
        <v>308</v>
      </c>
      <c r="AZ40" s="31" t="s">
        <v>393</v>
      </c>
      <c r="BA40" s="60" t="s">
        <v>372</v>
      </c>
      <c r="BB40" s="71">
        <v>100099</v>
      </c>
      <c r="BC40" s="12">
        <f>AW40+AX40</f>
        <v>0</v>
      </c>
      <c r="BD40" s="12">
        <f>G40/(100-BE40)*100</f>
        <v>0</v>
      </c>
      <c r="BE40" s="12">
        <v>0</v>
      </c>
      <c r="BF40" s="12">
        <f>40</f>
        <v>40</v>
      </c>
      <c r="BH40" s="12">
        <f>F40*AO40</f>
        <v>0</v>
      </c>
      <c r="BI40" s="12">
        <f>F40*AP40</f>
        <v>0</v>
      </c>
      <c r="BJ40" s="12">
        <f>F40*G40</f>
        <v>0</v>
      </c>
      <c r="BK40" s="12"/>
      <c r="BL40" s="12">
        <v>762</v>
      </c>
      <c r="BW40" s="12">
        <v>21</v>
      </c>
    </row>
    <row r="41" spans="1:47" ht="15" customHeight="1">
      <c r="A41" s="39" t="s">
        <v>344</v>
      </c>
      <c r="B41" s="68" t="s">
        <v>232</v>
      </c>
      <c r="C41" s="177" t="s">
        <v>152</v>
      </c>
      <c r="D41" s="178"/>
      <c r="E41" s="42" t="s">
        <v>436</v>
      </c>
      <c r="F41" s="42" t="s">
        <v>436</v>
      </c>
      <c r="G41" s="42" t="s">
        <v>436</v>
      </c>
      <c r="H41" s="67">
        <f>SUM(H42:H46)</f>
        <v>0</v>
      </c>
      <c r="I41" s="67">
        <f>SUM(I42:I46)</f>
        <v>0</v>
      </c>
      <c r="J41" s="67">
        <f>SUM(J42:J46)</f>
        <v>0</v>
      </c>
      <c r="K41" s="59" t="s">
        <v>344</v>
      </c>
      <c r="AI41" s="60" t="s">
        <v>344</v>
      </c>
      <c r="AS41" s="91">
        <f>SUM(AJ42:AJ46)</f>
        <v>0</v>
      </c>
      <c r="AT41" s="91">
        <f>SUM(AK42:AK46)</f>
        <v>0</v>
      </c>
      <c r="AU41" s="91">
        <f>SUM(AL42:AL46)</f>
        <v>0</v>
      </c>
    </row>
    <row r="42" spans="1:75" ht="13.5" customHeight="1">
      <c r="A42" s="28" t="s">
        <v>387</v>
      </c>
      <c r="B42" s="81" t="s">
        <v>506</v>
      </c>
      <c r="C42" s="175" t="s">
        <v>74</v>
      </c>
      <c r="D42" s="176"/>
      <c r="E42" s="81" t="s">
        <v>347</v>
      </c>
      <c r="F42" s="11">
        <v>11</v>
      </c>
      <c r="G42" s="104">
        <v>0</v>
      </c>
      <c r="H42" s="11">
        <f>F42*AO42</f>
        <v>0</v>
      </c>
      <c r="I42" s="11">
        <f>F42*AP42</f>
        <v>0</v>
      </c>
      <c r="J42" s="11">
        <f>F42*G42</f>
        <v>0</v>
      </c>
      <c r="K42" s="70" t="s">
        <v>198</v>
      </c>
      <c r="Z42" s="12">
        <f>IF(AQ42="5",BJ42,0)</f>
        <v>0</v>
      </c>
      <c r="AB42" s="12">
        <f>IF(AQ42="1",BH42,0)</f>
        <v>0</v>
      </c>
      <c r="AC42" s="12">
        <f>IF(AQ42="1",BI42,0)</f>
        <v>0</v>
      </c>
      <c r="AD42" s="12">
        <f>IF(AQ42="7",BH42,0)</f>
        <v>0</v>
      </c>
      <c r="AE42" s="12">
        <f>IF(AQ42="7",BI42,0)</f>
        <v>0</v>
      </c>
      <c r="AF42" s="12">
        <f>IF(AQ42="2",BH42,0)</f>
        <v>0</v>
      </c>
      <c r="AG42" s="12">
        <f>IF(AQ42="2",BI42,0)</f>
        <v>0</v>
      </c>
      <c r="AH42" s="12">
        <f>IF(AQ42="0",BJ42,0)</f>
        <v>0</v>
      </c>
      <c r="AI42" s="60" t="s">
        <v>344</v>
      </c>
      <c r="AJ42" s="12">
        <f>IF(AN42=0,J42,0)</f>
        <v>0</v>
      </c>
      <c r="AK42" s="12">
        <f>IF(AN42=15,J42,0)</f>
        <v>0</v>
      </c>
      <c r="AL42" s="12">
        <f>IF(AN42=21,J42,0)</f>
        <v>0</v>
      </c>
      <c r="AN42" s="12">
        <v>21</v>
      </c>
      <c r="AO42" s="12">
        <f>G42*0.37</f>
        <v>0</v>
      </c>
      <c r="AP42" s="12">
        <f>G42*(1-0.37)</f>
        <v>0</v>
      </c>
      <c r="AQ42" s="31" t="s">
        <v>463</v>
      </c>
      <c r="AV42" s="12">
        <f>AW42+AX42</f>
        <v>0</v>
      </c>
      <c r="AW42" s="12">
        <f>F42*AO42</f>
        <v>0</v>
      </c>
      <c r="AX42" s="12">
        <f>F42*AP42</f>
        <v>0</v>
      </c>
      <c r="AY42" s="31" t="s">
        <v>140</v>
      </c>
      <c r="AZ42" s="31" t="s">
        <v>393</v>
      </c>
      <c r="BA42" s="60" t="s">
        <v>372</v>
      </c>
      <c r="BB42" s="71">
        <v>100086</v>
      </c>
      <c r="BC42" s="12">
        <f>AW42+AX42</f>
        <v>0</v>
      </c>
      <c r="BD42" s="12">
        <f>G42/(100-BE42)*100</f>
        <v>0</v>
      </c>
      <c r="BE42" s="12">
        <v>0</v>
      </c>
      <c r="BF42" s="12">
        <f>42</f>
        <v>42</v>
      </c>
      <c r="BH42" s="12">
        <f>F42*AO42</f>
        <v>0</v>
      </c>
      <c r="BI42" s="12">
        <f>F42*AP42</f>
        <v>0</v>
      </c>
      <c r="BJ42" s="12">
        <f>F42*G42</f>
        <v>0</v>
      </c>
      <c r="BK42" s="12"/>
      <c r="BL42" s="12">
        <v>767</v>
      </c>
      <c r="BW42" s="12">
        <v>21</v>
      </c>
    </row>
    <row r="43" spans="1:75" ht="13.5" customHeight="1">
      <c r="A43" s="28" t="s">
        <v>312</v>
      </c>
      <c r="B43" s="81" t="s">
        <v>218</v>
      </c>
      <c r="C43" s="175" t="s">
        <v>317</v>
      </c>
      <c r="D43" s="176"/>
      <c r="E43" s="81" t="s">
        <v>441</v>
      </c>
      <c r="F43" s="11">
        <v>1492</v>
      </c>
      <c r="G43" s="104">
        <v>0</v>
      </c>
      <c r="H43" s="11">
        <f>F43*AO43</f>
        <v>0</v>
      </c>
      <c r="I43" s="11">
        <f>F43*AP43</f>
        <v>0</v>
      </c>
      <c r="J43" s="11">
        <f>F43*G43</f>
        <v>0</v>
      </c>
      <c r="K43" s="70" t="s">
        <v>230</v>
      </c>
      <c r="Z43" s="12">
        <f>IF(AQ43="5",BJ43,0)</f>
        <v>0</v>
      </c>
      <c r="AB43" s="12">
        <f>IF(AQ43="1",BH43,0)</f>
        <v>0</v>
      </c>
      <c r="AC43" s="12">
        <f>IF(AQ43="1",BI43,0)</f>
        <v>0</v>
      </c>
      <c r="AD43" s="12">
        <f>IF(AQ43="7",BH43,0)</f>
        <v>0</v>
      </c>
      <c r="AE43" s="12">
        <f>IF(AQ43="7",BI43,0)</f>
        <v>0</v>
      </c>
      <c r="AF43" s="12">
        <f>IF(AQ43="2",BH43,0)</f>
        <v>0</v>
      </c>
      <c r="AG43" s="12">
        <f>IF(AQ43="2",BI43,0)</f>
        <v>0</v>
      </c>
      <c r="AH43" s="12">
        <f>IF(AQ43="0",BJ43,0)</f>
        <v>0</v>
      </c>
      <c r="AI43" s="60" t="s">
        <v>344</v>
      </c>
      <c r="AJ43" s="12">
        <f>IF(AN43=0,J43,0)</f>
        <v>0</v>
      </c>
      <c r="AK43" s="12">
        <f>IF(AN43=15,J43,0)</f>
        <v>0</v>
      </c>
      <c r="AL43" s="12">
        <f>IF(AN43=21,J43,0)</f>
        <v>0</v>
      </c>
      <c r="AN43" s="12">
        <v>21</v>
      </c>
      <c r="AO43" s="12">
        <f>G43*0.295626822157434</f>
        <v>0</v>
      </c>
      <c r="AP43" s="12">
        <f>G43*(1-0.295626822157434)</f>
        <v>0</v>
      </c>
      <c r="AQ43" s="31" t="s">
        <v>463</v>
      </c>
      <c r="AV43" s="12">
        <f>AW43+AX43</f>
        <v>0</v>
      </c>
      <c r="AW43" s="12">
        <f>F43*AO43</f>
        <v>0</v>
      </c>
      <c r="AX43" s="12">
        <f>F43*AP43</f>
        <v>0</v>
      </c>
      <c r="AY43" s="31" t="s">
        <v>140</v>
      </c>
      <c r="AZ43" s="31" t="s">
        <v>393</v>
      </c>
      <c r="BA43" s="60" t="s">
        <v>372</v>
      </c>
      <c r="BB43" s="71">
        <v>100086</v>
      </c>
      <c r="BC43" s="12">
        <f>AW43+AX43</f>
        <v>0</v>
      </c>
      <c r="BD43" s="12">
        <f>G43/(100-BE43)*100</f>
        <v>0</v>
      </c>
      <c r="BE43" s="12">
        <v>0</v>
      </c>
      <c r="BF43" s="12">
        <f>43</f>
        <v>43</v>
      </c>
      <c r="BH43" s="12">
        <f>F43*AO43</f>
        <v>0</v>
      </c>
      <c r="BI43" s="12">
        <f>F43*AP43</f>
        <v>0</v>
      </c>
      <c r="BJ43" s="12">
        <f>F43*G43</f>
        <v>0</v>
      </c>
      <c r="BK43" s="12"/>
      <c r="BL43" s="12">
        <v>767</v>
      </c>
      <c r="BW43" s="12">
        <v>21</v>
      </c>
    </row>
    <row r="44" spans="1:75" ht="13.5" customHeight="1">
      <c r="A44" s="28" t="s">
        <v>21</v>
      </c>
      <c r="B44" s="81" t="s">
        <v>280</v>
      </c>
      <c r="C44" s="175" t="s">
        <v>241</v>
      </c>
      <c r="D44" s="176"/>
      <c r="E44" s="81" t="s">
        <v>122</v>
      </c>
      <c r="F44" s="11">
        <v>3</v>
      </c>
      <c r="G44" s="104">
        <v>0</v>
      </c>
      <c r="H44" s="11">
        <f>F44*AO44</f>
        <v>0</v>
      </c>
      <c r="I44" s="11">
        <f>F44*AP44</f>
        <v>0</v>
      </c>
      <c r="J44" s="11">
        <f>F44*G44</f>
        <v>0</v>
      </c>
      <c r="K44" s="70" t="s">
        <v>230</v>
      </c>
      <c r="Z44" s="12">
        <f>IF(AQ44="5",BJ44,0)</f>
        <v>0</v>
      </c>
      <c r="AB44" s="12">
        <f>IF(AQ44="1",BH44,0)</f>
        <v>0</v>
      </c>
      <c r="AC44" s="12">
        <f>IF(AQ44="1",BI44,0)</f>
        <v>0</v>
      </c>
      <c r="AD44" s="12">
        <f>IF(AQ44="7",BH44,0)</f>
        <v>0</v>
      </c>
      <c r="AE44" s="12">
        <f>IF(AQ44="7",BI44,0)</f>
        <v>0</v>
      </c>
      <c r="AF44" s="12">
        <f>IF(AQ44="2",BH44,0)</f>
        <v>0</v>
      </c>
      <c r="AG44" s="12">
        <f>IF(AQ44="2",BI44,0)</f>
        <v>0</v>
      </c>
      <c r="AH44" s="12">
        <f>IF(AQ44="0",BJ44,0)</f>
        <v>0</v>
      </c>
      <c r="AI44" s="60" t="s">
        <v>344</v>
      </c>
      <c r="AJ44" s="12">
        <f>IF(AN44=0,J44,0)</f>
        <v>0</v>
      </c>
      <c r="AK44" s="12">
        <f>IF(AN44=15,J44,0)</f>
        <v>0</v>
      </c>
      <c r="AL44" s="12">
        <f>IF(AN44=21,J44,0)</f>
        <v>0</v>
      </c>
      <c r="AN44" s="12">
        <v>21</v>
      </c>
      <c r="AO44" s="12">
        <f>G44*0</f>
        <v>0</v>
      </c>
      <c r="AP44" s="12">
        <f>G44*(1-0)</f>
        <v>0</v>
      </c>
      <c r="AQ44" s="31" t="s">
        <v>463</v>
      </c>
      <c r="AV44" s="12">
        <f>AW44+AX44</f>
        <v>0</v>
      </c>
      <c r="AW44" s="12">
        <f>F44*AO44</f>
        <v>0</v>
      </c>
      <c r="AX44" s="12">
        <f>F44*AP44</f>
        <v>0</v>
      </c>
      <c r="AY44" s="31" t="s">
        <v>140</v>
      </c>
      <c r="AZ44" s="31" t="s">
        <v>393</v>
      </c>
      <c r="BA44" s="60" t="s">
        <v>372</v>
      </c>
      <c r="BC44" s="12">
        <f>AW44+AX44</f>
        <v>0</v>
      </c>
      <c r="BD44" s="12">
        <f>G44/(100-BE44)*100</f>
        <v>0</v>
      </c>
      <c r="BE44" s="12">
        <v>0</v>
      </c>
      <c r="BF44" s="12">
        <f>44</f>
        <v>44</v>
      </c>
      <c r="BH44" s="12">
        <f>F44*AO44</f>
        <v>0</v>
      </c>
      <c r="BI44" s="12">
        <f>F44*AP44</f>
        <v>0</v>
      </c>
      <c r="BJ44" s="12">
        <f>F44*G44</f>
        <v>0</v>
      </c>
      <c r="BK44" s="12"/>
      <c r="BL44" s="12">
        <v>767</v>
      </c>
      <c r="BW44" s="12">
        <v>21</v>
      </c>
    </row>
    <row r="45" spans="1:75" ht="13.5" customHeight="1">
      <c r="A45" s="28" t="s">
        <v>352</v>
      </c>
      <c r="B45" s="81" t="s">
        <v>248</v>
      </c>
      <c r="C45" s="175" t="s">
        <v>366</v>
      </c>
      <c r="D45" s="176"/>
      <c r="E45" s="81" t="s">
        <v>398</v>
      </c>
      <c r="F45" s="11">
        <v>64</v>
      </c>
      <c r="G45" s="104">
        <v>0</v>
      </c>
      <c r="H45" s="11">
        <f>F45*AO45</f>
        <v>0</v>
      </c>
      <c r="I45" s="11">
        <f>F45*AP45</f>
        <v>0</v>
      </c>
      <c r="J45" s="11">
        <f>F45*G45</f>
        <v>0</v>
      </c>
      <c r="K45" s="70" t="s">
        <v>230</v>
      </c>
      <c r="Z45" s="12">
        <f>IF(AQ45="5",BJ45,0)</f>
        <v>0</v>
      </c>
      <c r="AB45" s="12">
        <f>IF(AQ45="1",BH45,0)</f>
        <v>0</v>
      </c>
      <c r="AC45" s="12">
        <f>IF(AQ45="1",BI45,0)</f>
        <v>0</v>
      </c>
      <c r="AD45" s="12">
        <f>IF(AQ45="7",BH45,0)</f>
        <v>0</v>
      </c>
      <c r="AE45" s="12">
        <f>IF(AQ45="7",BI45,0)</f>
        <v>0</v>
      </c>
      <c r="AF45" s="12">
        <f>IF(AQ45="2",BH45,0)</f>
        <v>0</v>
      </c>
      <c r="AG45" s="12">
        <f>IF(AQ45="2",BI45,0)</f>
        <v>0</v>
      </c>
      <c r="AH45" s="12">
        <f>IF(AQ45="0",BJ45,0)</f>
        <v>0</v>
      </c>
      <c r="AI45" s="60" t="s">
        <v>344</v>
      </c>
      <c r="AJ45" s="12">
        <f>IF(AN45=0,J45,0)</f>
        <v>0</v>
      </c>
      <c r="AK45" s="12">
        <f>IF(AN45=15,J45,0)</f>
        <v>0</v>
      </c>
      <c r="AL45" s="12">
        <f>IF(AN45=21,J45,0)</f>
        <v>0</v>
      </c>
      <c r="AN45" s="12">
        <v>21</v>
      </c>
      <c r="AO45" s="12">
        <f>G45*0</f>
        <v>0</v>
      </c>
      <c r="AP45" s="12">
        <f>G45*(1-0)</f>
        <v>0</v>
      </c>
      <c r="AQ45" s="31" t="s">
        <v>463</v>
      </c>
      <c r="AV45" s="12">
        <f>AW45+AX45</f>
        <v>0</v>
      </c>
      <c r="AW45" s="12">
        <f>F45*AO45</f>
        <v>0</v>
      </c>
      <c r="AX45" s="12">
        <f>F45*AP45</f>
        <v>0</v>
      </c>
      <c r="AY45" s="31" t="s">
        <v>140</v>
      </c>
      <c r="AZ45" s="31" t="s">
        <v>393</v>
      </c>
      <c r="BA45" s="60" t="s">
        <v>372</v>
      </c>
      <c r="BC45" s="12">
        <f>AW45+AX45</f>
        <v>0</v>
      </c>
      <c r="BD45" s="12">
        <f>G45/(100-BE45)*100</f>
        <v>0</v>
      </c>
      <c r="BE45" s="12">
        <v>0</v>
      </c>
      <c r="BF45" s="12">
        <f>45</f>
        <v>45</v>
      </c>
      <c r="BH45" s="12">
        <f>F45*AO45</f>
        <v>0</v>
      </c>
      <c r="BI45" s="12">
        <f>F45*AP45</f>
        <v>0</v>
      </c>
      <c r="BJ45" s="12">
        <f>F45*G45</f>
        <v>0</v>
      </c>
      <c r="BK45" s="12"/>
      <c r="BL45" s="12">
        <v>767</v>
      </c>
      <c r="BW45" s="12">
        <v>21</v>
      </c>
    </row>
    <row r="46" spans="1:75" ht="13.5" customHeight="1">
      <c r="A46" s="28" t="s">
        <v>445</v>
      </c>
      <c r="B46" s="81" t="s">
        <v>227</v>
      </c>
      <c r="C46" s="175" t="s">
        <v>504</v>
      </c>
      <c r="D46" s="176"/>
      <c r="E46" s="81" t="s">
        <v>441</v>
      </c>
      <c r="F46" s="11">
        <v>525</v>
      </c>
      <c r="G46" s="104">
        <v>0</v>
      </c>
      <c r="H46" s="11">
        <f>F46*AO46</f>
        <v>0</v>
      </c>
      <c r="I46" s="11">
        <f>F46*AP46</f>
        <v>0</v>
      </c>
      <c r="J46" s="11">
        <f>F46*G46</f>
        <v>0</v>
      </c>
      <c r="K46" s="70" t="s">
        <v>230</v>
      </c>
      <c r="Z46" s="12">
        <f>IF(AQ46="5",BJ46,0)</f>
        <v>0</v>
      </c>
      <c r="AB46" s="12">
        <f>IF(AQ46="1",BH46,0)</f>
        <v>0</v>
      </c>
      <c r="AC46" s="12">
        <f>IF(AQ46="1",BI46,0)</f>
        <v>0</v>
      </c>
      <c r="AD46" s="12">
        <f>IF(AQ46="7",BH46,0)</f>
        <v>0</v>
      </c>
      <c r="AE46" s="12">
        <f>IF(AQ46="7",BI46,0)</f>
        <v>0</v>
      </c>
      <c r="AF46" s="12">
        <f>IF(AQ46="2",BH46,0)</f>
        <v>0</v>
      </c>
      <c r="AG46" s="12">
        <f>IF(AQ46="2",BI46,0)</f>
        <v>0</v>
      </c>
      <c r="AH46" s="12">
        <f>IF(AQ46="0",BJ46,0)</f>
        <v>0</v>
      </c>
      <c r="AI46" s="60" t="s">
        <v>344</v>
      </c>
      <c r="AJ46" s="12">
        <f>IF(AN46=0,J46,0)</f>
        <v>0</v>
      </c>
      <c r="AK46" s="12">
        <f>IF(AN46=15,J46,0)</f>
        <v>0</v>
      </c>
      <c r="AL46" s="12">
        <f>IF(AN46=21,J46,0)</f>
        <v>0</v>
      </c>
      <c r="AN46" s="12">
        <v>21</v>
      </c>
      <c r="AO46" s="12">
        <f>G46*0.284180790960452</f>
        <v>0</v>
      </c>
      <c r="AP46" s="12">
        <f>G46*(1-0.284180790960452)</f>
        <v>0</v>
      </c>
      <c r="AQ46" s="31" t="s">
        <v>463</v>
      </c>
      <c r="AV46" s="12">
        <f>AW46+AX46</f>
        <v>0</v>
      </c>
      <c r="AW46" s="12">
        <f>F46*AO46</f>
        <v>0</v>
      </c>
      <c r="AX46" s="12">
        <f>F46*AP46</f>
        <v>0</v>
      </c>
      <c r="AY46" s="31" t="s">
        <v>140</v>
      </c>
      <c r="AZ46" s="31" t="s">
        <v>393</v>
      </c>
      <c r="BA46" s="60" t="s">
        <v>372</v>
      </c>
      <c r="BC46" s="12">
        <f>AW46+AX46</f>
        <v>0</v>
      </c>
      <c r="BD46" s="12">
        <f>G46/(100-BE46)*100</f>
        <v>0</v>
      </c>
      <c r="BE46" s="12">
        <v>0</v>
      </c>
      <c r="BF46" s="12">
        <f>46</f>
        <v>46</v>
      </c>
      <c r="BH46" s="12">
        <f>F46*AO46</f>
        <v>0</v>
      </c>
      <c r="BI46" s="12">
        <f>F46*AP46</f>
        <v>0</v>
      </c>
      <c r="BJ46" s="12">
        <f>F46*G46</f>
        <v>0</v>
      </c>
      <c r="BK46" s="12"/>
      <c r="BL46" s="12">
        <v>767</v>
      </c>
      <c r="BW46" s="12">
        <v>21</v>
      </c>
    </row>
    <row r="47" spans="1:47" ht="15" customHeight="1">
      <c r="A47" s="39" t="s">
        <v>344</v>
      </c>
      <c r="B47" s="68" t="s">
        <v>285</v>
      </c>
      <c r="C47" s="177" t="s">
        <v>386</v>
      </c>
      <c r="D47" s="178"/>
      <c r="E47" s="42" t="s">
        <v>436</v>
      </c>
      <c r="F47" s="42" t="s">
        <v>436</v>
      </c>
      <c r="G47" s="42" t="s">
        <v>436</v>
      </c>
      <c r="H47" s="67">
        <f>SUM(H48:H49)</f>
        <v>0</v>
      </c>
      <c r="I47" s="67">
        <f>SUM(I48:I49)</f>
        <v>0</v>
      </c>
      <c r="J47" s="67">
        <f>SUM(J48:J49)</f>
        <v>0</v>
      </c>
      <c r="K47" s="59" t="s">
        <v>344</v>
      </c>
      <c r="AI47" s="60" t="s">
        <v>344</v>
      </c>
      <c r="AS47" s="91">
        <f>SUM(AJ48:AJ49)</f>
        <v>0</v>
      </c>
      <c r="AT47" s="91">
        <f>SUM(AK48:AK49)</f>
        <v>0</v>
      </c>
      <c r="AU47" s="91">
        <f>SUM(AL48:AL49)</f>
        <v>0</v>
      </c>
    </row>
    <row r="48" spans="1:75" ht="13.5" customHeight="1">
      <c r="A48" s="28" t="s">
        <v>229</v>
      </c>
      <c r="B48" s="81" t="s">
        <v>438</v>
      </c>
      <c r="C48" s="175" t="s">
        <v>79</v>
      </c>
      <c r="D48" s="176"/>
      <c r="E48" s="81" t="s">
        <v>441</v>
      </c>
      <c r="F48" s="11">
        <v>1492.44</v>
      </c>
      <c r="G48" s="104">
        <v>0</v>
      </c>
      <c r="H48" s="11">
        <f>F48*AO48</f>
        <v>0</v>
      </c>
      <c r="I48" s="11">
        <f>F48*AP48</f>
        <v>0</v>
      </c>
      <c r="J48" s="11">
        <f>F48*G48</f>
        <v>0</v>
      </c>
      <c r="K48" s="70" t="s">
        <v>337</v>
      </c>
      <c r="Z48" s="12">
        <f>IF(AQ48="5",BJ48,0)</f>
        <v>0</v>
      </c>
      <c r="AB48" s="12">
        <f>IF(AQ48="1",BH48,0)</f>
        <v>0</v>
      </c>
      <c r="AC48" s="12">
        <f>IF(AQ48="1",BI48,0)</f>
        <v>0</v>
      </c>
      <c r="AD48" s="12">
        <f>IF(AQ48="7",BH48,0)</f>
        <v>0</v>
      </c>
      <c r="AE48" s="12">
        <f>IF(AQ48="7",BI48,0)</f>
        <v>0</v>
      </c>
      <c r="AF48" s="12">
        <f>IF(AQ48="2",BH48,0)</f>
        <v>0</v>
      </c>
      <c r="AG48" s="12">
        <f>IF(AQ48="2",BI48,0)</f>
        <v>0</v>
      </c>
      <c r="AH48" s="12">
        <f>IF(AQ48="0",BJ48,0)</f>
        <v>0</v>
      </c>
      <c r="AI48" s="60" t="s">
        <v>344</v>
      </c>
      <c r="AJ48" s="12">
        <f>IF(AN48=0,J48,0)</f>
        <v>0</v>
      </c>
      <c r="AK48" s="12">
        <f>IF(AN48=15,J48,0)</f>
        <v>0</v>
      </c>
      <c r="AL48" s="12">
        <f>IF(AN48=21,J48,0)</f>
        <v>0</v>
      </c>
      <c r="AN48" s="12">
        <v>21</v>
      </c>
      <c r="AO48" s="12">
        <f>G48*0</f>
        <v>0</v>
      </c>
      <c r="AP48" s="12">
        <f>G48*(1-0)</f>
        <v>0</v>
      </c>
      <c r="AQ48" s="31" t="s">
        <v>463</v>
      </c>
      <c r="AV48" s="12">
        <f>AW48+AX48</f>
        <v>0</v>
      </c>
      <c r="AW48" s="12">
        <f>F48*AO48</f>
        <v>0</v>
      </c>
      <c r="AX48" s="12">
        <f>F48*AP48</f>
        <v>0</v>
      </c>
      <c r="AY48" s="31" t="s">
        <v>118</v>
      </c>
      <c r="AZ48" s="31" t="s">
        <v>117</v>
      </c>
      <c r="BA48" s="60" t="s">
        <v>372</v>
      </c>
      <c r="BB48" s="71">
        <v>100093</v>
      </c>
      <c r="BC48" s="12">
        <f>AW48+AX48</f>
        <v>0</v>
      </c>
      <c r="BD48" s="12">
        <f>G48/(100-BE48)*100</f>
        <v>0</v>
      </c>
      <c r="BE48" s="12">
        <v>0</v>
      </c>
      <c r="BF48" s="12">
        <f>48</f>
        <v>48</v>
      </c>
      <c r="BH48" s="12">
        <f>F48*AO48</f>
        <v>0</v>
      </c>
      <c r="BI48" s="12">
        <f>F48*AP48</f>
        <v>0</v>
      </c>
      <c r="BJ48" s="12">
        <f>F48*G48</f>
        <v>0</v>
      </c>
      <c r="BK48" s="12"/>
      <c r="BL48" s="12">
        <v>783</v>
      </c>
      <c r="BW48" s="12">
        <v>21</v>
      </c>
    </row>
    <row r="49" spans="1:75" ht="13.5" customHeight="1">
      <c r="A49" s="28" t="s">
        <v>46</v>
      </c>
      <c r="B49" s="81" t="s">
        <v>510</v>
      </c>
      <c r="C49" s="175" t="s">
        <v>228</v>
      </c>
      <c r="D49" s="176"/>
      <c r="E49" s="81" t="s">
        <v>454</v>
      </c>
      <c r="F49" s="11">
        <v>204</v>
      </c>
      <c r="G49" s="104">
        <v>0</v>
      </c>
      <c r="H49" s="11">
        <f>F49*AO49</f>
        <v>0</v>
      </c>
      <c r="I49" s="11">
        <f>F49*AP49</f>
        <v>0</v>
      </c>
      <c r="J49" s="11">
        <f>F49*G49</f>
        <v>0</v>
      </c>
      <c r="K49" s="70" t="s">
        <v>230</v>
      </c>
      <c r="Z49" s="12">
        <f>IF(AQ49="5",BJ49,0)</f>
        <v>0</v>
      </c>
      <c r="AB49" s="12">
        <f>IF(AQ49="1",BH49,0)</f>
        <v>0</v>
      </c>
      <c r="AC49" s="12">
        <f>IF(AQ49="1",BI49,0)</f>
        <v>0</v>
      </c>
      <c r="AD49" s="12">
        <f>IF(AQ49="7",BH49,0)</f>
        <v>0</v>
      </c>
      <c r="AE49" s="12">
        <f>IF(AQ49="7",BI49,0)</f>
        <v>0</v>
      </c>
      <c r="AF49" s="12">
        <f>IF(AQ49="2",BH49,0)</f>
        <v>0</v>
      </c>
      <c r="AG49" s="12">
        <f>IF(AQ49="2",BI49,0)</f>
        <v>0</v>
      </c>
      <c r="AH49" s="12">
        <f>IF(AQ49="0",BJ49,0)</f>
        <v>0</v>
      </c>
      <c r="AI49" s="60" t="s">
        <v>344</v>
      </c>
      <c r="AJ49" s="12">
        <f>IF(AN49=0,J49,0)</f>
        <v>0</v>
      </c>
      <c r="AK49" s="12">
        <f>IF(AN49=15,J49,0)</f>
        <v>0</v>
      </c>
      <c r="AL49" s="12">
        <f>IF(AN49=21,J49,0)</f>
        <v>0</v>
      </c>
      <c r="AN49" s="12">
        <v>21</v>
      </c>
      <c r="AO49" s="12">
        <f>G49*0.189656058814457</f>
        <v>0</v>
      </c>
      <c r="AP49" s="12">
        <f>G49*(1-0.189656058814457)</f>
        <v>0</v>
      </c>
      <c r="AQ49" s="31" t="s">
        <v>463</v>
      </c>
      <c r="AV49" s="12">
        <f>AW49+AX49</f>
        <v>0</v>
      </c>
      <c r="AW49" s="12">
        <f>F49*AO49</f>
        <v>0</v>
      </c>
      <c r="AX49" s="12">
        <f>F49*AP49</f>
        <v>0</v>
      </c>
      <c r="AY49" s="31" t="s">
        <v>118</v>
      </c>
      <c r="AZ49" s="31" t="s">
        <v>117</v>
      </c>
      <c r="BA49" s="60" t="s">
        <v>372</v>
      </c>
      <c r="BC49" s="12">
        <f>AW49+AX49</f>
        <v>0</v>
      </c>
      <c r="BD49" s="12">
        <f>G49/(100-BE49)*100</f>
        <v>0</v>
      </c>
      <c r="BE49" s="12">
        <v>0</v>
      </c>
      <c r="BF49" s="12">
        <f>49</f>
        <v>49</v>
      </c>
      <c r="BH49" s="12">
        <f>F49*AO49</f>
        <v>0</v>
      </c>
      <c r="BI49" s="12">
        <f>F49*AP49</f>
        <v>0</v>
      </c>
      <c r="BJ49" s="12">
        <f>F49*G49</f>
        <v>0</v>
      </c>
      <c r="BK49" s="12"/>
      <c r="BL49" s="12">
        <v>783</v>
      </c>
      <c r="BW49" s="12">
        <v>21</v>
      </c>
    </row>
    <row r="50" spans="1:47" ht="15" customHeight="1">
      <c r="A50" s="39" t="s">
        <v>344</v>
      </c>
      <c r="B50" s="68" t="s">
        <v>381</v>
      </c>
      <c r="C50" s="177" t="s">
        <v>327</v>
      </c>
      <c r="D50" s="178"/>
      <c r="E50" s="42" t="s">
        <v>436</v>
      </c>
      <c r="F50" s="42" t="s">
        <v>436</v>
      </c>
      <c r="G50" s="42" t="s">
        <v>436</v>
      </c>
      <c r="H50" s="67">
        <f>SUM(H51:H54)</f>
        <v>0</v>
      </c>
      <c r="I50" s="67">
        <f>SUM(I51:I54)</f>
        <v>0</v>
      </c>
      <c r="J50" s="67">
        <f>SUM(J51:J54)</f>
        <v>0</v>
      </c>
      <c r="K50" s="59" t="s">
        <v>344</v>
      </c>
      <c r="AI50" s="60" t="s">
        <v>344</v>
      </c>
      <c r="AS50" s="91">
        <f>SUM(AJ51:AJ54)</f>
        <v>0</v>
      </c>
      <c r="AT50" s="91">
        <f>SUM(AK51:AK54)</f>
        <v>0</v>
      </c>
      <c r="AU50" s="91">
        <f>SUM(AL51:AL54)</f>
        <v>0</v>
      </c>
    </row>
    <row r="51" spans="1:75" ht="13.5" customHeight="1">
      <c r="A51" s="28" t="s">
        <v>121</v>
      </c>
      <c r="B51" s="81" t="s">
        <v>380</v>
      </c>
      <c r="C51" s="175" t="s">
        <v>299</v>
      </c>
      <c r="D51" s="176"/>
      <c r="E51" s="81" t="s">
        <v>454</v>
      </c>
      <c r="F51" s="11">
        <v>670.6</v>
      </c>
      <c r="G51" s="104">
        <v>0</v>
      </c>
      <c r="H51" s="11">
        <f>F51*AO51</f>
        <v>0</v>
      </c>
      <c r="I51" s="11">
        <f>F51*AP51</f>
        <v>0</v>
      </c>
      <c r="J51" s="11">
        <f>F51*G51</f>
        <v>0</v>
      </c>
      <c r="K51" s="70" t="s">
        <v>230</v>
      </c>
      <c r="Z51" s="12">
        <f>IF(AQ51="5",BJ51,0)</f>
        <v>0</v>
      </c>
      <c r="AB51" s="12">
        <f>IF(AQ51="1",BH51,0)</f>
        <v>0</v>
      </c>
      <c r="AC51" s="12">
        <f>IF(AQ51="1",BI51,0)</f>
        <v>0</v>
      </c>
      <c r="AD51" s="12">
        <f>IF(AQ51="7",BH51,0)</f>
        <v>0</v>
      </c>
      <c r="AE51" s="12">
        <f>IF(AQ51="7",BI51,0)</f>
        <v>0</v>
      </c>
      <c r="AF51" s="12">
        <f>IF(AQ51="2",BH51,0)</f>
        <v>0</v>
      </c>
      <c r="AG51" s="12">
        <f>IF(AQ51="2",BI51,0)</f>
        <v>0</v>
      </c>
      <c r="AH51" s="12">
        <f>IF(AQ51="0",BJ51,0)</f>
        <v>0</v>
      </c>
      <c r="AI51" s="60" t="s">
        <v>344</v>
      </c>
      <c r="AJ51" s="12">
        <f>IF(AN51=0,J51,0)</f>
        <v>0</v>
      </c>
      <c r="AK51" s="12">
        <f>IF(AN51=15,J51,0)</f>
        <v>0</v>
      </c>
      <c r="AL51" s="12">
        <f>IF(AN51=21,J51,0)</f>
        <v>0</v>
      </c>
      <c r="AN51" s="12">
        <v>21</v>
      </c>
      <c r="AO51" s="12">
        <f>G51*0.153090909090909</f>
        <v>0</v>
      </c>
      <c r="AP51" s="12">
        <f>G51*(1-0.153090909090909)</f>
        <v>0</v>
      </c>
      <c r="AQ51" s="31" t="s">
        <v>463</v>
      </c>
      <c r="AV51" s="12">
        <f>AW51+AX51</f>
        <v>0</v>
      </c>
      <c r="AW51" s="12">
        <f>F51*AO51</f>
        <v>0</v>
      </c>
      <c r="AX51" s="12">
        <f>F51*AP51</f>
        <v>0</v>
      </c>
      <c r="AY51" s="31" t="s">
        <v>93</v>
      </c>
      <c r="AZ51" s="31" t="s">
        <v>298</v>
      </c>
      <c r="BA51" s="60" t="s">
        <v>372</v>
      </c>
      <c r="BB51" s="71">
        <v>100069</v>
      </c>
      <c r="BC51" s="12">
        <f>AW51+AX51</f>
        <v>0</v>
      </c>
      <c r="BD51" s="12">
        <f>G51/(100-BE51)*100</f>
        <v>0</v>
      </c>
      <c r="BE51" s="12">
        <v>0</v>
      </c>
      <c r="BF51" s="12">
        <f>51</f>
        <v>51</v>
      </c>
      <c r="BH51" s="12">
        <f>F51*AO51</f>
        <v>0</v>
      </c>
      <c r="BI51" s="12">
        <f>F51*AP51</f>
        <v>0</v>
      </c>
      <c r="BJ51" s="12">
        <f>F51*G51</f>
        <v>0</v>
      </c>
      <c r="BK51" s="12"/>
      <c r="BL51" s="12">
        <v>776</v>
      </c>
      <c r="BW51" s="12">
        <v>21</v>
      </c>
    </row>
    <row r="52" spans="1:75" ht="13.5" customHeight="1">
      <c r="A52" s="28" t="s">
        <v>61</v>
      </c>
      <c r="B52" s="81" t="s">
        <v>375</v>
      </c>
      <c r="C52" s="175" t="s">
        <v>265</v>
      </c>
      <c r="D52" s="176"/>
      <c r="E52" s="81" t="s">
        <v>103</v>
      </c>
      <c r="F52" s="11">
        <v>329.94</v>
      </c>
      <c r="G52" s="104">
        <v>0</v>
      </c>
      <c r="H52" s="11">
        <f>F52*AO52</f>
        <v>0</v>
      </c>
      <c r="I52" s="11">
        <f>F52*AP52</f>
        <v>0</v>
      </c>
      <c r="J52" s="11">
        <f>F52*G52</f>
        <v>0</v>
      </c>
      <c r="K52" s="70" t="s">
        <v>230</v>
      </c>
      <c r="Z52" s="12">
        <f>IF(AQ52="5",BJ52,0)</f>
        <v>0</v>
      </c>
      <c r="AB52" s="12">
        <f>IF(AQ52="1",BH52,0)</f>
        <v>0</v>
      </c>
      <c r="AC52" s="12">
        <f>IF(AQ52="1",BI52,0)</f>
        <v>0</v>
      </c>
      <c r="AD52" s="12">
        <f>IF(AQ52="7",BH52,0)</f>
        <v>0</v>
      </c>
      <c r="AE52" s="12">
        <f>IF(AQ52="7",BI52,0)</f>
        <v>0</v>
      </c>
      <c r="AF52" s="12">
        <f>IF(AQ52="2",BH52,0)</f>
        <v>0</v>
      </c>
      <c r="AG52" s="12">
        <f>IF(AQ52="2",BI52,0)</f>
        <v>0</v>
      </c>
      <c r="AH52" s="12">
        <f>IF(AQ52="0",BJ52,0)</f>
        <v>0</v>
      </c>
      <c r="AI52" s="60" t="s">
        <v>344</v>
      </c>
      <c r="AJ52" s="12">
        <f>IF(AN52=0,J52,0)</f>
        <v>0</v>
      </c>
      <c r="AK52" s="12">
        <f>IF(AN52=15,J52,0)</f>
        <v>0</v>
      </c>
      <c r="AL52" s="12">
        <f>IF(AN52=21,J52,0)</f>
        <v>0</v>
      </c>
      <c r="AN52" s="12">
        <v>21</v>
      </c>
      <c r="AO52" s="12">
        <f>G52*0.13816</f>
        <v>0</v>
      </c>
      <c r="AP52" s="12">
        <f>G52*(1-0.13816)</f>
        <v>0</v>
      </c>
      <c r="AQ52" s="31" t="s">
        <v>463</v>
      </c>
      <c r="AV52" s="12">
        <f>AW52+AX52</f>
        <v>0</v>
      </c>
      <c r="AW52" s="12">
        <f>F52*AO52</f>
        <v>0</v>
      </c>
      <c r="AX52" s="12">
        <f>F52*AP52</f>
        <v>0</v>
      </c>
      <c r="AY52" s="31" t="s">
        <v>93</v>
      </c>
      <c r="AZ52" s="31" t="s">
        <v>298</v>
      </c>
      <c r="BA52" s="60" t="s">
        <v>372</v>
      </c>
      <c r="BB52" s="71">
        <v>100069</v>
      </c>
      <c r="BC52" s="12">
        <f>AW52+AX52</f>
        <v>0</v>
      </c>
      <c r="BD52" s="12">
        <f>G52/(100-BE52)*100</f>
        <v>0</v>
      </c>
      <c r="BE52" s="12">
        <v>0</v>
      </c>
      <c r="BF52" s="12">
        <f>52</f>
        <v>52</v>
      </c>
      <c r="BH52" s="12">
        <f>F52*AO52</f>
        <v>0</v>
      </c>
      <c r="BI52" s="12">
        <f>F52*AP52</f>
        <v>0</v>
      </c>
      <c r="BJ52" s="12">
        <f>F52*G52</f>
        <v>0</v>
      </c>
      <c r="BK52" s="12"/>
      <c r="BL52" s="12">
        <v>776</v>
      </c>
      <c r="BW52" s="12">
        <v>21</v>
      </c>
    </row>
    <row r="53" spans="1:75" ht="27" customHeight="1">
      <c r="A53" s="28" t="s">
        <v>452</v>
      </c>
      <c r="B53" s="81" t="s">
        <v>205</v>
      </c>
      <c r="C53" s="175" t="s">
        <v>261</v>
      </c>
      <c r="D53" s="176"/>
      <c r="E53" s="81" t="s">
        <v>103</v>
      </c>
      <c r="F53" s="11">
        <v>521.31</v>
      </c>
      <c r="G53" s="104">
        <v>0</v>
      </c>
      <c r="H53" s="11">
        <f>F53*AO53</f>
        <v>0</v>
      </c>
      <c r="I53" s="11">
        <f>F53*AP53</f>
        <v>0</v>
      </c>
      <c r="J53" s="11">
        <f>F53*G53</f>
        <v>0</v>
      </c>
      <c r="K53" s="70" t="s">
        <v>198</v>
      </c>
      <c r="Z53" s="12">
        <f>IF(AQ53="5",BJ53,0)</f>
        <v>0</v>
      </c>
      <c r="AB53" s="12">
        <f>IF(AQ53="1",BH53,0)</f>
        <v>0</v>
      </c>
      <c r="AC53" s="12">
        <f>IF(AQ53="1",BI53,0)</f>
        <v>0</v>
      </c>
      <c r="AD53" s="12">
        <f>IF(AQ53="7",BH53,0)</f>
        <v>0</v>
      </c>
      <c r="AE53" s="12">
        <f>IF(AQ53="7",BI53,0)</f>
        <v>0</v>
      </c>
      <c r="AF53" s="12">
        <f>IF(AQ53="2",BH53,0)</f>
        <v>0</v>
      </c>
      <c r="AG53" s="12">
        <f>IF(AQ53="2",BI53,0)</f>
        <v>0</v>
      </c>
      <c r="AH53" s="12">
        <f>IF(AQ53="0",BJ53,0)</f>
        <v>0</v>
      </c>
      <c r="AI53" s="60" t="s">
        <v>344</v>
      </c>
      <c r="AJ53" s="12">
        <f>IF(AN53=0,J53,0)</f>
        <v>0</v>
      </c>
      <c r="AK53" s="12">
        <f>IF(AN53=15,J53,0)</f>
        <v>0</v>
      </c>
      <c r="AL53" s="12">
        <f>IF(AN53=21,J53,0)</f>
        <v>0</v>
      </c>
      <c r="AN53" s="12">
        <v>21</v>
      </c>
      <c r="AO53" s="12">
        <f>G53*0.420704225352113</f>
        <v>0</v>
      </c>
      <c r="AP53" s="12">
        <f>G53*(1-0.420704225352113)</f>
        <v>0</v>
      </c>
      <c r="AQ53" s="31" t="s">
        <v>463</v>
      </c>
      <c r="AV53" s="12">
        <f>AW53+AX53</f>
        <v>0</v>
      </c>
      <c r="AW53" s="12">
        <f>F53*AO53</f>
        <v>0</v>
      </c>
      <c r="AX53" s="12">
        <f>F53*AP53</f>
        <v>0</v>
      </c>
      <c r="AY53" s="31" t="s">
        <v>93</v>
      </c>
      <c r="AZ53" s="31" t="s">
        <v>298</v>
      </c>
      <c r="BA53" s="60" t="s">
        <v>372</v>
      </c>
      <c r="BB53" s="71">
        <v>100069</v>
      </c>
      <c r="BC53" s="12">
        <f>AW53+AX53</f>
        <v>0</v>
      </c>
      <c r="BD53" s="12">
        <f>G53/(100-BE53)*100</f>
        <v>0</v>
      </c>
      <c r="BE53" s="12">
        <v>0</v>
      </c>
      <c r="BF53" s="12">
        <f>53</f>
        <v>53</v>
      </c>
      <c r="BH53" s="12">
        <f>F53*AO53</f>
        <v>0</v>
      </c>
      <c r="BI53" s="12">
        <f>F53*AP53</f>
        <v>0</v>
      </c>
      <c r="BJ53" s="12">
        <f>F53*G53</f>
        <v>0</v>
      </c>
      <c r="BK53" s="12"/>
      <c r="BL53" s="12">
        <v>776</v>
      </c>
      <c r="BW53" s="12">
        <v>21</v>
      </c>
    </row>
    <row r="54" spans="1:75" ht="13.5" customHeight="1">
      <c r="A54" s="28" t="s">
        <v>498</v>
      </c>
      <c r="B54" s="81" t="s">
        <v>332</v>
      </c>
      <c r="C54" s="175" t="s">
        <v>470</v>
      </c>
      <c r="D54" s="176"/>
      <c r="E54" s="81" t="s">
        <v>454</v>
      </c>
      <c r="F54" s="11">
        <v>611.5249</v>
      </c>
      <c r="G54" s="104">
        <v>0</v>
      </c>
      <c r="H54" s="11">
        <f>F54*AO54</f>
        <v>0</v>
      </c>
      <c r="I54" s="11">
        <f>F54*AP54</f>
        <v>0</v>
      </c>
      <c r="J54" s="11">
        <f>F54*G54</f>
        <v>0</v>
      </c>
      <c r="K54" s="70" t="s">
        <v>163</v>
      </c>
      <c r="Z54" s="12">
        <f>IF(AQ54="5",BJ54,0)</f>
        <v>0</v>
      </c>
      <c r="AB54" s="12">
        <f>IF(AQ54="1",BH54,0)</f>
        <v>0</v>
      </c>
      <c r="AC54" s="12">
        <f>IF(AQ54="1",BI54,0)</f>
        <v>0</v>
      </c>
      <c r="AD54" s="12">
        <f>IF(AQ54="7",BH54,0)</f>
        <v>0</v>
      </c>
      <c r="AE54" s="12">
        <f>IF(AQ54="7",BI54,0)</f>
        <v>0</v>
      </c>
      <c r="AF54" s="12">
        <f>IF(AQ54="2",BH54,0)</f>
        <v>0</v>
      </c>
      <c r="AG54" s="12">
        <f>IF(AQ54="2",BI54,0)</f>
        <v>0</v>
      </c>
      <c r="AH54" s="12">
        <f>IF(AQ54="0",BJ54,0)</f>
        <v>0</v>
      </c>
      <c r="AI54" s="60" t="s">
        <v>344</v>
      </c>
      <c r="AJ54" s="12">
        <f>IF(AN54=0,J54,0)</f>
        <v>0</v>
      </c>
      <c r="AK54" s="12">
        <f>IF(AN54=15,J54,0)</f>
        <v>0</v>
      </c>
      <c r="AL54" s="12">
        <f>IF(AN54=21,J54,0)</f>
        <v>0</v>
      </c>
      <c r="AN54" s="12">
        <v>21</v>
      </c>
      <c r="AO54" s="12">
        <f>G54*0.151866658388636</f>
        <v>0</v>
      </c>
      <c r="AP54" s="12">
        <f>G54*(1-0.151866658388636)</f>
        <v>0</v>
      </c>
      <c r="AQ54" s="31" t="s">
        <v>463</v>
      </c>
      <c r="AV54" s="12">
        <f>AW54+AX54</f>
        <v>0</v>
      </c>
      <c r="AW54" s="12">
        <f>F54*AO54</f>
        <v>0</v>
      </c>
      <c r="AX54" s="12">
        <f>F54*AP54</f>
        <v>0</v>
      </c>
      <c r="AY54" s="31" t="s">
        <v>93</v>
      </c>
      <c r="AZ54" s="31" t="s">
        <v>298</v>
      </c>
      <c r="BA54" s="60" t="s">
        <v>372</v>
      </c>
      <c r="BB54" s="71">
        <v>100069</v>
      </c>
      <c r="BC54" s="12">
        <f>AW54+AX54</f>
        <v>0</v>
      </c>
      <c r="BD54" s="12">
        <f>G54/(100-BE54)*100</f>
        <v>0</v>
      </c>
      <c r="BE54" s="12">
        <v>0</v>
      </c>
      <c r="BF54" s="12">
        <f>54</f>
        <v>54</v>
      </c>
      <c r="BH54" s="12">
        <f>F54*AO54</f>
        <v>0</v>
      </c>
      <c r="BI54" s="12">
        <f>F54*AP54</f>
        <v>0</v>
      </c>
      <c r="BJ54" s="12">
        <f>F54*G54</f>
        <v>0</v>
      </c>
      <c r="BK54" s="12"/>
      <c r="BL54" s="12">
        <v>776</v>
      </c>
      <c r="BW54" s="12">
        <v>21</v>
      </c>
    </row>
    <row r="55" spans="1:47" ht="15" customHeight="1">
      <c r="A55" s="39" t="s">
        <v>344</v>
      </c>
      <c r="B55" s="68" t="s">
        <v>54</v>
      </c>
      <c r="C55" s="177" t="s">
        <v>349</v>
      </c>
      <c r="D55" s="178"/>
      <c r="E55" s="42" t="s">
        <v>436</v>
      </c>
      <c r="F55" s="42" t="s">
        <v>436</v>
      </c>
      <c r="G55" s="42" t="s">
        <v>436</v>
      </c>
      <c r="H55" s="67">
        <f>SUM(H56:H56)</f>
        <v>0</v>
      </c>
      <c r="I55" s="67">
        <f>SUM(I56:I56)</f>
        <v>0</v>
      </c>
      <c r="J55" s="67">
        <f>SUM(J56:J56)</f>
        <v>0</v>
      </c>
      <c r="K55" s="59" t="s">
        <v>344</v>
      </c>
      <c r="AI55" s="60" t="s">
        <v>344</v>
      </c>
      <c r="AS55" s="91">
        <f>SUM(AJ56:AJ56)</f>
        <v>0</v>
      </c>
      <c r="AT55" s="91">
        <f>SUM(AK56:AK56)</f>
        <v>0</v>
      </c>
      <c r="AU55" s="91">
        <f>SUM(AL56:AL56)</f>
        <v>0</v>
      </c>
    </row>
    <row r="56" spans="1:75" ht="27" customHeight="1">
      <c r="A56" s="28" t="s">
        <v>31</v>
      </c>
      <c r="B56" s="81" t="s">
        <v>185</v>
      </c>
      <c r="C56" s="175" t="s">
        <v>116</v>
      </c>
      <c r="D56" s="176"/>
      <c r="E56" s="81" t="s">
        <v>454</v>
      </c>
      <c r="F56" s="11">
        <v>322.834</v>
      </c>
      <c r="G56" s="104">
        <v>0</v>
      </c>
      <c r="H56" s="11">
        <f>F56*AO56</f>
        <v>0</v>
      </c>
      <c r="I56" s="11">
        <f>F56*AP56</f>
        <v>0</v>
      </c>
      <c r="J56" s="11">
        <f>F56*G56</f>
        <v>0</v>
      </c>
      <c r="K56" s="70" t="s">
        <v>230</v>
      </c>
      <c r="Z56" s="12">
        <f>IF(AQ56="5",BJ56,0)</f>
        <v>0</v>
      </c>
      <c r="AB56" s="12">
        <f>IF(AQ56="1",BH56,0)</f>
        <v>0</v>
      </c>
      <c r="AC56" s="12">
        <f>IF(AQ56="1",BI56,0)</f>
        <v>0</v>
      </c>
      <c r="AD56" s="12">
        <f>IF(AQ56="7",BH56,0)</f>
        <v>0</v>
      </c>
      <c r="AE56" s="12">
        <f>IF(AQ56="7",BI56,0)</f>
        <v>0</v>
      </c>
      <c r="AF56" s="12">
        <f>IF(AQ56="2",BH56,0)</f>
        <v>0</v>
      </c>
      <c r="AG56" s="12">
        <f>IF(AQ56="2",BI56,0)</f>
        <v>0</v>
      </c>
      <c r="AH56" s="12">
        <f>IF(AQ56="0",BJ56,0)</f>
        <v>0</v>
      </c>
      <c r="AI56" s="60" t="s">
        <v>344</v>
      </c>
      <c r="AJ56" s="12">
        <f>IF(AN56=0,J56,0)</f>
        <v>0</v>
      </c>
      <c r="AK56" s="12">
        <f>IF(AN56=15,J56,0)</f>
        <v>0</v>
      </c>
      <c r="AL56" s="12">
        <f>IF(AN56=21,J56,0)</f>
        <v>0</v>
      </c>
      <c r="AN56" s="12">
        <v>21</v>
      </c>
      <c r="AO56" s="12">
        <f>G56*0</f>
        <v>0</v>
      </c>
      <c r="AP56" s="12">
        <f>G56*(1-0)</f>
        <v>0</v>
      </c>
      <c r="AQ56" s="31" t="s">
        <v>460</v>
      </c>
      <c r="AV56" s="12">
        <f>AW56+AX56</f>
        <v>0</v>
      </c>
      <c r="AW56" s="12">
        <f>F56*AO56</f>
        <v>0</v>
      </c>
      <c r="AX56" s="12">
        <f>F56*AP56</f>
        <v>0</v>
      </c>
      <c r="AY56" s="31" t="s">
        <v>505</v>
      </c>
      <c r="AZ56" s="31" t="s">
        <v>5</v>
      </c>
      <c r="BA56" s="60" t="s">
        <v>372</v>
      </c>
      <c r="BB56" s="71">
        <v>100101</v>
      </c>
      <c r="BC56" s="12">
        <f>AW56+AX56</f>
        <v>0</v>
      </c>
      <c r="BD56" s="12">
        <f>G56/(100-BE56)*100</f>
        <v>0</v>
      </c>
      <c r="BE56" s="12">
        <v>0</v>
      </c>
      <c r="BF56" s="12">
        <f>56</f>
        <v>56</v>
      </c>
      <c r="BH56" s="12">
        <f>F56*AO56</f>
        <v>0</v>
      </c>
      <c r="BI56" s="12">
        <f>F56*AP56</f>
        <v>0</v>
      </c>
      <c r="BJ56" s="12">
        <f>F56*G56</f>
        <v>0</v>
      </c>
      <c r="BK56" s="12"/>
      <c r="BL56" s="12">
        <v>94</v>
      </c>
      <c r="BW56" s="12">
        <v>21</v>
      </c>
    </row>
    <row r="57" spans="1:47" ht="15" customHeight="1">
      <c r="A57" s="66" t="s">
        <v>344</v>
      </c>
      <c r="B57" s="63" t="s">
        <v>186</v>
      </c>
      <c r="C57" s="171" t="s">
        <v>264</v>
      </c>
      <c r="D57" s="172"/>
      <c r="E57" s="38" t="s">
        <v>436</v>
      </c>
      <c r="F57" s="38" t="s">
        <v>436</v>
      </c>
      <c r="G57" s="38" t="s">
        <v>436</v>
      </c>
      <c r="H57" s="62">
        <f>SUM(H58:H59)</f>
        <v>0</v>
      </c>
      <c r="I57" s="62">
        <f>SUM(I58:I59)</f>
        <v>0</v>
      </c>
      <c r="J57" s="62">
        <f>SUM(J58:J59)</f>
        <v>0</v>
      </c>
      <c r="K57" s="56" t="s">
        <v>344</v>
      </c>
      <c r="AI57" s="60" t="s">
        <v>344</v>
      </c>
      <c r="AS57" s="91">
        <f>SUM(AJ58:AJ59)</f>
        <v>0</v>
      </c>
      <c r="AT57" s="91">
        <f>SUM(AK58:AK59)</f>
        <v>0</v>
      </c>
      <c r="AU57" s="91">
        <f>SUM(AL58:AL59)</f>
        <v>0</v>
      </c>
    </row>
    <row r="58" spans="1:75" ht="13.5" customHeight="1">
      <c r="A58" s="65" t="s">
        <v>319</v>
      </c>
      <c r="B58" s="19" t="s">
        <v>311</v>
      </c>
      <c r="C58" s="111" t="s">
        <v>433</v>
      </c>
      <c r="D58" s="112"/>
      <c r="E58" s="19" t="s">
        <v>238</v>
      </c>
      <c r="F58" s="12">
        <v>479.61172</v>
      </c>
      <c r="G58" s="104">
        <v>0</v>
      </c>
      <c r="H58" s="12">
        <f>F58*AO58</f>
        <v>0</v>
      </c>
      <c r="I58" s="12">
        <f>F58*AP58</f>
        <v>0</v>
      </c>
      <c r="J58" s="12">
        <f>F58*G58</f>
        <v>0</v>
      </c>
      <c r="K58" s="14" t="s">
        <v>230</v>
      </c>
      <c r="Z58" s="12">
        <f>IF(AQ58="5",BJ58,0)</f>
        <v>0</v>
      </c>
      <c r="AB58" s="12">
        <f>IF(AQ58="1",BH58,0)</f>
        <v>0</v>
      </c>
      <c r="AC58" s="12">
        <f>IF(AQ58="1",BI58,0)</f>
        <v>0</v>
      </c>
      <c r="AD58" s="12">
        <f>IF(AQ58="7",BH58,0)</f>
        <v>0</v>
      </c>
      <c r="AE58" s="12">
        <f>IF(AQ58="7",BI58,0)</f>
        <v>0</v>
      </c>
      <c r="AF58" s="12">
        <f>IF(AQ58="2",BH58,0)</f>
        <v>0</v>
      </c>
      <c r="AG58" s="12">
        <f>IF(AQ58="2",BI58,0)</f>
        <v>0</v>
      </c>
      <c r="AH58" s="12">
        <f>IF(AQ58="0",BJ58,0)</f>
        <v>0</v>
      </c>
      <c r="AI58" s="60" t="s">
        <v>344</v>
      </c>
      <c r="AJ58" s="12">
        <f>IF(AN58=0,J58,0)</f>
        <v>0</v>
      </c>
      <c r="AK58" s="12">
        <f>IF(AN58=15,J58,0)</f>
        <v>0</v>
      </c>
      <c r="AL58" s="12">
        <f>IF(AN58=21,J58,0)</f>
        <v>0</v>
      </c>
      <c r="AN58" s="12">
        <v>21</v>
      </c>
      <c r="AO58" s="12">
        <f>G58*0</f>
        <v>0</v>
      </c>
      <c r="AP58" s="12">
        <f>G58*(1-0)</f>
        <v>0</v>
      </c>
      <c r="AQ58" s="31" t="s">
        <v>269</v>
      </c>
      <c r="AV58" s="12">
        <f>AW58+AX58</f>
        <v>0</v>
      </c>
      <c r="AW58" s="12">
        <f>F58*AO58</f>
        <v>0</v>
      </c>
      <c r="AX58" s="12">
        <f>F58*AP58</f>
        <v>0</v>
      </c>
      <c r="AY58" s="31" t="s">
        <v>166</v>
      </c>
      <c r="AZ58" s="31" t="s">
        <v>5</v>
      </c>
      <c r="BA58" s="60" t="s">
        <v>372</v>
      </c>
      <c r="BC58" s="12">
        <f>AW58+AX58</f>
        <v>0</v>
      </c>
      <c r="BD58" s="12">
        <f>G58/(100-BE58)*100</f>
        <v>0</v>
      </c>
      <c r="BE58" s="12">
        <v>0</v>
      </c>
      <c r="BF58" s="12">
        <f>58</f>
        <v>58</v>
      </c>
      <c r="BH58" s="12">
        <f>F58*AO58</f>
        <v>0</v>
      </c>
      <c r="BI58" s="12">
        <f>F58*AP58</f>
        <v>0</v>
      </c>
      <c r="BJ58" s="12">
        <f>F58*G58</f>
        <v>0</v>
      </c>
      <c r="BK58" s="12"/>
      <c r="BL58" s="12"/>
      <c r="BW58" s="12">
        <v>21</v>
      </c>
    </row>
    <row r="59" spans="1:75" ht="13.5" customHeight="1">
      <c r="A59" s="65" t="s">
        <v>296</v>
      </c>
      <c r="B59" s="19" t="s">
        <v>476</v>
      </c>
      <c r="C59" s="111" t="s">
        <v>284</v>
      </c>
      <c r="D59" s="112"/>
      <c r="E59" s="19" t="s">
        <v>238</v>
      </c>
      <c r="F59" s="12">
        <v>4316.50548</v>
      </c>
      <c r="G59" s="104">
        <v>0</v>
      </c>
      <c r="H59" s="12">
        <f>F59*AO59</f>
        <v>0</v>
      </c>
      <c r="I59" s="12">
        <f>F59*AP59</f>
        <v>0</v>
      </c>
      <c r="J59" s="12">
        <f>F59*G59</f>
        <v>0</v>
      </c>
      <c r="K59" s="14" t="s">
        <v>230</v>
      </c>
      <c r="Z59" s="12">
        <f>IF(AQ59="5",BJ59,0)</f>
        <v>0</v>
      </c>
      <c r="AB59" s="12">
        <f>IF(AQ59="1",BH59,0)</f>
        <v>0</v>
      </c>
      <c r="AC59" s="12">
        <f>IF(AQ59="1",BI59,0)</f>
        <v>0</v>
      </c>
      <c r="AD59" s="12">
        <f>IF(AQ59="7",BH59,0)</f>
        <v>0</v>
      </c>
      <c r="AE59" s="12">
        <f>IF(AQ59="7",BI59,0)</f>
        <v>0</v>
      </c>
      <c r="AF59" s="12">
        <f>IF(AQ59="2",BH59,0)</f>
        <v>0</v>
      </c>
      <c r="AG59" s="12">
        <f>IF(AQ59="2",BI59,0)</f>
        <v>0</v>
      </c>
      <c r="AH59" s="12">
        <f>IF(AQ59="0",BJ59,0)</f>
        <v>0</v>
      </c>
      <c r="AI59" s="60" t="s">
        <v>344</v>
      </c>
      <c r="AJ59" s="12">
        <f>IF(AN59=0,J59,0)</f>
        <v>0</v>
      </c>
      <c r="AK59" s="12">
        <f>IF(AN59=15,J59,0)</f>
        <v>0</v>
      </c>
      <c r="AL59" s="12">
        <f>IF(AN59=21,J59,0)</f>
        <v>0</v>
      </c>
      <c r="AN59" s="12">
        <v>21</v>
      </c>
      <c r="AO59" s="12">
        <f>G59*0</f>
        <v>0</v>
      </c>
      <c r="AP59" s="12">
        <f>G59*(1-0)</f>
        <v>0</v>
      </c>
      <c r="AQ59" s="31" t="s">
        <v>269</v>
      </c>
      <c r="AV59" s="12">
        <f>AW59+AX59</f>
        <v>0</v>
      </c>
      <c r="AW59" s="12">
        <f>F59*AO59</f>
        <v>0</v>
      </c>
      <c r="AX59" s="12">
        <f>F59*AP59</f>
        <v>0</v>
      </c>
      <c r="AY59" s="31" t="s">
        <v>166</v>
      </c>
      <c r="AZ59" s="31" t="s">
        <v>5</v>
      </c>
      <c r="BA59" s="60" t="s">
        <v>372</v>
      </c>
      <c r="BC59" s="12">
        <f>AW59+AX59</f>
        <v>0</v>
      </c>
      <c r="BD59" s="12">
        <f>G59/(100-BE59)*100</f>
        <v>0</v>
      </c>
      <c r="BE59" s="12">
        <v>0</v>
      </c>
      <c r="BF59" s="12">
        <f>59</f>
        <v>59</v>
      </c>
      <c r="BH59" s="12">
        <f>F59*AO59</f>
        <v>0</v>
      </c>
      <c r="BI59" s="12">
        <f>F59*AP59</f>
        <v>0</v>
      </c>
      <c r="BJ59" s="12">
        <f>F59*G59</f>
        <v>0</v>
      </c>
      <c r="BK59" s="12"/>
      <c r="BL59" s="12"/>
      <c r="BW59" s="12">
        <v>21</v>
      </c>
    </row>
    <row r="60" spans="1:47" ht="15" customHeight="1">
      <c r="A60" s="94" t="s">
        <v>344</v>
      </c>
      <c r="B60" s="52" t="s">
        <v>488</v>
      </c>
      <c r="C60" s="177" t="s">
        <v>176</v>
      </c>
      <c r="D60" s="178"/>
      <c r="E60" s="99" t="s">
        <v>436</v>
      </c>
      <c r="F60" s="99" t="s">
        <v>436</v>
      </c>
      <c r="G60" s="99" t="s">
        <v>436</v>
      </c>
      <c r="H60" s="36">
        <f>SUM(H61:H62)</f>
        <v>0</v>
      </c>
      <c r="I60" s="36">
        <f>SUM(I61:I62)</f>
        <v>0</v>
      </c>
      <c r="J60" s="36">
        <f>SUM(J61:J62)</f>
        <v>0</v>
      </c>
      <c r="K60" s="41" t="s">
        <v>344</v>
      </c>
      <c r="AI60" s="60" t="s">
        <v>344</v>
      </c>
      <c r="AS60" s="91">
        <f>SUM(AJ61:AJ62)</f>
        <v>0</v>
      </c>
      <c r="AT60" s="91">
        <f>SUM(AK61:AK62)</f>
        <v>0</v>
      </c>
      <c r="AU60" s="91">
        <f>SUM(AL61:AL62)</f>
        <v>0</v>
      </c>
    </row>
    <row r="61" spans="1:75" ht="13.5" customHeight="1">
      <c r="A61" s="28" t="s">
        <v>405</v>
      </c>
      <c r="B61" s="81" t="s">
        <v>408</v>
      </c>
      <c r="C61" s="175" t="s">
        <v>247</v>
      </c>
      <c r="D61" s="176"/>
      <c r="E61" s="81" t="s">
        <v>238</v>
      </c>
      <c r="F61" s="11">
        <v>13.73087</v>
      </c>
      <c r="G61" s="104">
        <v>0</v>
      </c>
      <c r="H61" s="11">
        <f>F61*AO61</f>
        <v>0</v>
      </c>
      <c r="I61" s="11">
        <f>F61*AP61</f>
        <v>0</v>
      </c>
      <c r="J61" s="11">
        <f>F61*G61</f>
        <v>0</v>
      </c>
      <c r="K61" s="70" t="s">
        <v>230</v>
      </c>
      <c r="Z61" s="12">
        <f>IF(AQ61="5",BJ61,0)</f>
        <v>0</v>
      </c>
      <c r="AB61" s="12">
        <f>IF(AQ61="1",BH61,0)</f>
        <v>0</v>
      </c>
      <c r="AC61" s="12">
        <f>IF(AQ61="1",BI61,0)</f>
        <v>0</v>
      </c>
      <c r="AD61" s="12">
        <f>IF(AQ61="7",BH61,0)</f>
        <v>0</v>
      </c>
      <c r="AE61" s="12">
        <f>IF(AQ61="7",BI61,0)</f>
        <v>0</v>
      </c>
      <c r="AF61" s="12">
        <f>IF(AQ61="2",BH61,0)</f>
        <v>0</v>
      </c>
      <c r="AG61" s="12">
        <f>IF(AQ61="2",BI61,0)</f>
        <v>0</v>
      </c>
      <c r="AH61" s="12">
        <f>IF(AQ61="0",BJ61,0)</f>
        <v>0</v>
      </c>
      <c r="AI61" s="60" t="s">
        <v>344</v>
      </c>
      <c r="AJ61" s="12">
        <f>IF(AN61=0,J61,0)</f>
        <v>0</v>
      </c>
      <c r="AK61" s="12">
        <f>IF(AN61=15,J61,0)</f>
        <v>0</v>
      </c>
      <c r="AL61" s="12">
        <f>IF(AN61=21,J61,0)</f>
        <v>0</v>
      </c>
      <c r="AN61" s="12">
        <v>21</v>
      </c>
      <c r="AO61" s="12">
        <f>G61*0</f>
        <v>0</v>
      </c>
      <c r="AP61" s="12">
        <f>G61*(1-0)</f>
        <v>0</v>
      </c>
      <c r="AQ61" s="31" t="s">
        <v>269</v>
      </c>
      <c r="AV61" s="12">
        <f>AW61+AX61</f>
        <v>0</v>
      </c>
      <c r="AW61" s="12">
        <f>F61*AO61</f>
        <v>0</v>
      </c>
      <c r="AX61" s="12">
        <f>F61*AP61</f>
        <v>0</v>
      </c>
      <c r="AY61" s="31" t="s">
        <v>263</v>
      </c>
      <c r="AZ61" s="31" t="s">
        <v>5</v>
      </c>
      <c r="BA61" s="60" t="s">
        <v>372</v>
      </c>
      <c r="BB61" s="71">
        <v>100068</v>
      </c>
      <c r="BC61" s="12">
        <f>AW61+AX61</f>
        <v>0</v>
      </c>
      <c r="BD61" s="12">
        <f>G61/(100-BE61)*100</f>
        <v>0</v>
      </c>
      <c r="BE61" s="12">
        <v>0</v>
      </c>
      <c r="BF61" s="12">
        <f>61</f>
        <v>61</v>
      </c>
      <c r="BH61" s="12">
        <f>F61*AO61</f>
        <v>0</v>
      </c>
      <c r="BI61" s="12">
        <f>F61*AP61</f>
        <v>0</v>
      </c>
      <c r="BJ61" s="12">
        <f>F61*G61</f>
        <v>0</v>
      </c>
      <c r="BK61" s="12"/>
      <c r="BL61" s="12"/>
      <c r="BW61" s="12">
        <v>21</v>
      </c>
    </row>
    <row r="62" spans="1:75" ht="13.5" customHeight="1">
      <c r="A62" s="28" t="s">
        <v>106</v>
      </c>
      <c r="B62" s="81" t="s">
        <v>195</v>
      </c>
      <c r="C62" s="175" t="s">
        <v>9</v>
      </c>
      <c r="D62" s="176"/>
      <c r="E62" s="81" t="s">
        <v>238</v>
      </c>
      <c r="F62" s="11">
        <v>672.81263</v>
      </c>
      <c r="G62" s="104">
        <v>0</v>
      </c>
      <c r="H62" s="11">
        <f>F62*AO62</f>
        <v>0</v>
      </c>
      <c r="I62" s="11">
        <f>F62*AP62</f>
        <v>0</v>
      </c>
      <c r="J62" s="11">
        <f>F62*G62</f>
        <v>0</v>
      </c>
      <c r="K62" s="70" t="s">
        <v>230</v>
      </c>
      <c r="Z62" s="12">
        <f>IF(AQ62="5",BJ62,0)</f>
        <v>0</v>
      </c>
      <c r="AB62" s="12">
        <f>IF(AQ62="1",BH62,0)</f>
        <v>0</v>
      </c>
      <c r="AC62" s="12">
        <f>IF(AQ62="1",BI62,0)</f>
        <v>0</v>
      </c>
      <c r="AD62" s="12">
        <f>IF(AQ62="7",BH62,0)</f>
        <v>0</v>
      </c>
      <c r="AE62" s="12">
        <f>IF(AQ62="7",BI62,0)</f>
        <v>0</v>
      </c>
      <c r="AF62" s="12">
        <f>IF(AQ62="2",BH62,0)</f>
        <v>0</v>
      </c>
      <c r="AG62" s="12">
        <f>IF(AQ62="2",BI62,0)</f>
        <v>0</v>
      </c>
      <c r="AH62" s="12">
        <f>IF(AQ62="0",BJ62,0)</f>
        <v>0</v>
      </c>
      <c r="AI62" s="60" t="s">
        <v>344</v>
      </c>
      <c r="AJ62" s="12">
        <f>IF(AN62=0,J62,0)</f>
        <v>0</v>
      </c>
      <c r="AK62" s="12">
        <f>IF(AN62=15,J62,0)</f>
        <v>0</v>
      </c>
      <c r="AL62" s="12">
        <f>IF(AN62=21,J62,0)</f>
        <v>0</v>
      </c>
      <c r="AN62" s="12">
        <v>21</v>
      </c>
      <c r="AO62" s="12">
        <f>G62*0</f>
        <v>0</v>
      </c>
      <c r="AP62" s="12">
        <f>G62*(1-0)</f>
        <v>0</v>
      </c>
      <c r="AQ62" s="31" t="s">
        <v>269</v>
      </c>
      <c r="AV62" s="12">
        <f>AW62+AX62</f>
        <v>0</v>
      </c>
      <c r="AW62" s="12">
        <f>F62*AO62</f>
        <v>0</v>
      </c>
      <c r="AX62" s="12">
        <f>F62*AP62</f>
        <v>0</v>
      </c>
      <c r="AY62" s="31" t="s">
        <v>263</v>
      </c>
      <c r="AZ62" s="31" t="s">
        <v>5</v>
      </c>
      <c r="BA62" s="60" t="s">
        <v>372</v>
      </c>
      <c r="BB62" s="71">
        <v>100068</v>
      </c>
      <c r="BC62" s="12">
        <f>AW62+AX62</f>
        <v>0</v>
      </c>
      <c r="BD62" s="12">
        <f>G62/(100-BE62)*100</f>
        <v>0</v>
      </c>
      <c r="BE62" s="12">
        <v>0</v>
      </c>
      <c r="BF62" s="12">
        <f>62</f>
        <v>62</v>
      </c>
      <c r="BH62" s="12">
        <f>F62*AO62</f>
        <v>0</v>
      </c>
      <c r="BI62" s="12">
        <f>F62*AP62</f>
        <v>0</v>
      </c>
      <c r="BJ62" s="12">
        <f>F62*G62</f>
        <v>0</v>
      </c>
      <c r="BK62" s="12"/>
      <c r="BL62" s="12"/>
      <c r="BW62" s="12">
        <v>21</v>
      </c>
    </row>
    <row r="63" spans="1:47" ht="15" customHeight="1">
      <c r="A63" s="39" t="s">
        <v>344</v>
      </c>
      <c r="B63" s="68" t="s">
        <v>518</v>
      </c>
      <c r="C63" s="177" t="s">
        <v>29</v>
      </c>
      <c r="D63" s="178"/>
      <c r="E63" s="42" t="s">
        <v>436</v>
      </c>
      <c r="F63" s="42" t="s">
        <v>436</v>
      </c>
      <c r="G63" s="42" t="s">
        <v>436</v>
      </c>
      <c r="H63" s="67">
        <f>SUM(H64:H91)</f>
        <v>0</v>
      </c>
      <c r="I63" s="67">
        <f>SUM(I64:I91)</f>
        <v>0</v>
      </c>
      <c r="J63" s="67">
        <f>SUM(J64:J91)</f>
        <v>0</v>
      </c>
      <c r="K63" s="59" t="s">
        <v>344</v>
      </c>
      <c r="AI63" s="60" t="s">
        <v>344</v>
      </c>
      <c r="AS63" s="91">
        <f>SUM(AJ64:AJ91)</f>
        <v>0</v>
      </c>
      <c r="AT63" s="91">
        <f>SUM(AK64:AK91)</f>
        <v>0</v>
      </c>
      <c r="AU63" s="91">
        <f>SUM(AL64:AL91)</f>
        <v>0</v>
      </c>
    </row>
    <row r="64" spans="1:75" ht="13.5" customHeight="1">
      <c r="A64" s="28" t="s">
        <v>511</v>
      </c>
      <c r="B64" s="81" t="s">
        <v>253</v>
      </c>
      <c r="C64" s="175" t="s">
        <v>158</v>
      </c>
      <c r="D64" s="176"/>
      <c r="E64" s="81" t="s">
        <v>454</v>
      </c>
      <c r="F64" s="11">
        <v>670.6</v>
      </c>
      <c r="G64" s="104">
        <v>0</v>
      </c>
      <c r="H64" s="11">
        <f aca="true" t="shared" si="0" ref="H64:H91">F64*AO64</f>
        <v>0</v>
      </c>
      <c r="I64" s="11">
        <f aca="true" t="shared" si="1" ref="I64:I91">F64*AP64</f>
        <v>0</v>
      </c>
      <c r="J64" s="11">
        <f aca="true" t="shared" si="2" ref="J64:J91">F64*G64</f>
        <v>0</v>
      </c>
      <c r="K64" s="70" t="s">
        <v>230</v>
      </c>
      <c r="Z64" s="12">
        <f aca="true" t="shared" si="3" ref="Z64:Z91">IF(AQ64="5",BJ64,0)</f>
        <v>0</v>
      </c>
      <c r="AB64" s="12">
        <f aca="true" t="shared" si="4" ref="AB64:AB91">IF(AQ64="1",BH64,0)</f>
        <v>0</v>
      </c>
      <c r="AC64" s="12">
        <f aca="true" t="shared" si="5" ref="AC64:AC91">IF(AQ64="1",BI64,0)</f>
        <v>0</v>
      </c>
      <c r="AD64" s="12">
        <f aca="true" t="shared" si="6" ref="AD64:AD91">IF(AQ64="7",BH64,0)</f>
        <v>0</v>
      </c>
      <c r="AE64" s="12">
        <f aca="true" t="shared" si="7" ref="AE64:AE91">IF(AQ64="7",BI64,0)</f>
        <v>0</v>
      </c>
      <c r="AF64" s="12">
        <f aca="true" t="shared" si="8" ref="AF64:AF91">IF(AQ64="2",BH64,0)</f>
        <v>0</v>
      </c>
      <c r="AG64" s="12">
        <f aca="true" t="shared" si="9" ref="AG64:AG91">IF(AQ64="2",BI64,0)</f>
        <v>0</v>
      </c>
      <c r="AH64" s="12">
        <f aca="true" t="shared" si="10" ref="AH64:AH91">IF(AQ64="0",BJ64,0)</f>
        <v>0</v>
      </c>
      <c r="AI64" s="60" t="s">
        <v>344</v>
      </c>
      <c r="AJ64" s="12">
        <f aca="true" t="shared" si="11" ref="AJ64:AJ91">IF(AN64=0,J64,0)</f>
        <v>0</v>
      </c>
      <c r="AK64" s="12">
        <f aca="true" t="shared" si="12" ref="AK64:AK91">IF(AN64=15,J64,0)</f>
        <v>0</v>
      </c>
      <c r="AL64" s="12">
        <f aca="true" t="shared" si="13" ref="AL64:AL91">IF(AN64=21,J64,0)</f>
        <v>0</v>
      </c>
      <c r="AN64" s="12">
        <v>21</v>
      </c>
      <c r="AO64" s="12">
        <f aca="true" t="shared" si="14" ref="AO64:AO91">G64*1</f>
        <v>0</v>
      </c>
      <c r="AP64" s="12">
        <f aca="true" t="shared" si="15" ref="AP64:AP91">G64*(1-1)</f>
        <v>0</v>
      </c>
      <c r="AQ64" s="31" t="s">
        <v>460</v>
      </c>
      <c r="AV64" s="12">
        <f aca="true" t="shared" si="16" ref="AV64:AV91">AW64+AX64</f>
        <v>0</v>
      </c>
      <c r="AW64" s="12">
        <f aca="true" t="shared" si="17" ref="AW64:AW91">F64*AO64</f>
        <v>0</v>
      </c>
      <c r="AX64" s="12">
        <f aca="true" t="shared" si="18" ref="AX64:AX91">F64*AP64</f>
        <v>0</v>
      </c>
      <c r="AY64" s="31" t="s">
        <v>362</v>
      </c>
      <c r="AZ64" s="31" t="s">
        <v>5</v>
      </c>
      <c r="BA64" s="60" t="s">
        <v>372</v>
      </c>
      <c r="BC64" s="12">
        <f aca="true" t="shared" si="19" ref="BC64:BC91">AW64+AX64</f>
        <v>0</v>
      </c>
      <c r="BD64" s="12">
        <f aca="true" t="shared" si="20" ref="BD64:BD91">G64/(100-BE64)*100</f>
        <v>0</v>
      </c>
      <c r="BE64" s="12">
        <v>0</v>
      </c>
      <c r="BF64" s="12">
        <f>64</f>
        <v>64</v>
      </c>
      <c r="BH64" s="12">
        <f aca="true" t="shared" si="21" ref="BH64:BH91">F64*AO64</f>
        <v>0</v>
      </c>
      <c r="BI64" s="12">
        <f aca="true" t="shared" si="22" ref="BI64:BI91">F64*AP64</f>
        <v>0</v>
      </c>
      <c r="BJ64" s="12">
        <f aca="true" t="shared" si="23" ref="BJ64:BJ91">F64*G64</f>
        <v>0</v>
      </c>
      <c r="BK64" s="12"/>
      <c r="BL64" s="12"/>
      <c r="BW64" s="12">
        <v>21</v>
      </c>
    </row>
    <row r="65" spans="1:75" ht="13.5" customHeight="1">
      <c r="A65" s="28" t="s">
        <v>425</v>
      </c>
      <c r="B65" s="81" t="s">
        <v>73</v>
      </c>
      <c r="C65" s="175" t="s">
        <v>374</v>
      </c>
      <c r="D65" s="176"/>
      <c r="E65" s="81" t="s">
        <v>103</v>
      </c>
      <c r="F65" s="11">
        <v>360</v>
      </c>
      <c r="G65" s="104">
        <v>0</v>
      </c>
      <c r="H65" s="11">
        <f t="shared" si="0"/>
        <v>0</v>
      </c>
      <c r="I65" s="11">
        <f t="shared" si="1"/>
        <v>0</v>
      </c>
      <c r="J65" s="11">
        <f t="shared" si="2"/>
        <v>0</v>
      </c>
      <c r="K65" s="70" t="s">
        <v>198</v>
      </c>
      <c r="Z65" s="12">
        <f t="shared" si="3"/>
        <v>0</v>
      </c>
      <c r="AB65" s="12">
        <f t="shared" si="4"/>
        <v>0</v>
      </c>
      <c r="AC65" s="12">
        <f t="shared" si="5"/>
        <v>0</v>
      </c>
      <c r="AD65" s="12">
        <f t="shared" si="6"/>
        <v>0</v>
      </c>
      <c r="AE65" s="12">
        <f t="shared" si="7"/>
        <v>0</v>
      </c>
      <c r="AF65" s="12">
        <f t="shared" si="8"/>
        <v>0</v>
      </c>
      <c r="AG65" s="12">
        <f t="shared" si="9"/>
        <v>0</v>
      </c>
      <c r="AH65" s="12">
        <f t="shared" si="10"/>
        <v>0</v>
      </c>
      <c r="AI65" s="60" t="s">
        <v>344</v>
      </c>
      <c r="AJ65" s="12">
        <f t="shared" si="11"/>
        <v>0</v>
      </c>
      <c r="AK65" s="12">
        <f t="shared" si="12"/>
        <v>0</v>
      </c>
      <c r="AL65" s="12">
        <f t="shared" si="13"/>
        <v>0</v>
      </c>
      <c r="AN65" s="12">
        <v>21</v>
      </c>
      <c r="AO65" s="12">
        <f t="shared" si="14"/>
        <v>0</v>
      </c>
      <c r="AP65" s="12">
        <f t="shared" si="15"/>
        <v>0</v>
      </c>
      <c r="AQ65" s="31" t="s">
        <v>460</v>
      </c>
      <c r="AV65" s="12">
        <f t="shared" si="16"/>
        <v>0</v>
      </c>
      <c r="AW65" s="12">
        <f t="shared" si="17"/>
        <v>0</v>
      </c>
      <c r="AX65" s="12">
        <f t="shared" si="18"/>
        <v>0</v>
      </c>
      <c r="AY65" s="31" t="s">
        <v>362</v>
      </c>
      <c r="AZ65" s="31" t="s">
        <v>5</v>
      </c>
      <c r="BA65" s="60" t="s">
        <v>372</v>
      </c>
      <c r="BC65" s="12">
        <f t="shared" si="19"/>
        <v>0</v>
      </c>
      <c r="BD65" s="12">
        <f t="shared" si="20"/>
        <v>0</v>
      </c>
      <c r="BE65" s="12">
        <v>0</v>
      </c>
      <c r="BF65" s="12">
        <f>65</f>
        <v>65</v>
      </c>
      <c r="BH65" s="12">
        <f t="shared" si="21"/>
        <v>0</v>
      </c>
      <c r="BI65" s="12">
        <f t="shared" si="22"/>
        <v>0</v>
      </c>
      <c r="BJ65" s="12">
        <f t="shared" si="23"/>
        <v>0</v>
      </c>
      <c r="BK65" s="12"/>
      <c r="BL65" s="12"/>
      <c r="BW65" s="12">
        <v>21</v>
      </c>
    </row>
    <row r="66" spans="1:75" ht="13.5" customHeight="1">
      <c r="A66" s="28" t="s">
        <v>292</v>
      </c>
      <c r="B66" s="81" t="s">
        <v>99</v>
      </c>
      <c r="C66" s="175" t="s">
        <v>148</v>
      </c>
      <c r="D66" s="176"/>
      <c r="E66" s="81" t="s">
        <v>103</v>
      </c>
      <c r="F66" s="11">
        <v>530</v>
      </c>
      <c r="G66" s="104">
        <v>0</v>
      </c>
      <c r="H66" s="11">
        <f t="shared" si="0"/>
        <v>0</v>
      </c>
      <c r="I66" s="11">
        <f t="shared" si="1"/>
        <v>0</v>
      </c>
      <c r="J66" s="11">
        <f t="shared" si="2"/>
        <v>0</v>
      </c>
      <c r="K66" s="70" t="s">
        <v>230</v>
      </c>
      <c r="Z66" s="12">
        <f t="shared" si="3"/>
        <v>0</v>
      </c>
      <c r="AB66" s="12">
        <f t="shared" si="4"/>
        <v>0</v>
      </c>
      <c r="AC66" s="12">
        <f t="shared" si="5"/>
        <v>0</v>
      </c>
      <c r="AD66" s="12">
        <f t="shared" si="6"/>
        <v>0</v>
      </c>
      <c r="AE66" s="12">
        <f t="shared" si="7"/>
        <v>0</v>
      </c>
      <c r="AF66" s="12">
        <f t="shared" si="8"/>
        <v>0</v>
      </c>
      <c r="AG66" s="12">
        <f t="shared" si="9"/>
        <v>0</v>
      </c>
      <c r="AH66" s="12">
        <f t="shared" si="10"/>
        <v>0</v>
      </c>
      <c r="AI66" s="60" t="s">
        <v>344</v>
      </c>
      <c r="AJ66" s="12">
        <f t="shared" si="11"/>
        <v>0</v>
      </c>
      <c r="AK66" s="12">
        <f t="shared" si="12"/>
        <v>0</v>
      </c>
      <c r="AL66" s="12">
        <f t="shared" si="13"/>
        <v>0</v>
      </c>
      <c r="AN66" s="12">
        <v>21</v>
      </c>
      <c r="AO66" s="12">
        <f t="shared" si="14"/>
        <v>0</v>
      </c>
      <c r="AP66" s="12">
        <f t="shared" si="15"/>
        <v>0</v>
      </c>
      <c r="AQ66" s="31" t="s">
        <v>460</v>
      </c>
      <c r="AV66" s="12">
        <f t="shared" si="16"/>
        <v>0</v>
      </c>
      <c r="AW66" s="12">
        <f t="shared" si="17"/>
        <v>0</v>
      </c>
      <c r="AX66" s="12">
        <f t="shared" si="18"/>
        <v>0</v>
      </c>
      <c r="AY66" s="31" t="s">
        <v>362</v>
      </c>
      <c r="AZ66" s="31" t="s">
        <v>5</v>
      </c>
      <c r="BA66" s="60" t="s">
        <v>372</v>
      </c>
      <c r="BC66" s="12">
        <f t="shared" si="19"/>
        <v>0</v>
      </c>
      <c r="BD66" s="12">
        <f t="shared" si="20"/>
        <v>0</v>
      </c>
      <c r="BE66" s="12">
        <v>0</v>
      </c>
      <c r="BF66" s="12">
        <f>66</f>
        <v>66</v>
      </c>
      <c r="BH66" s="12">
        <f t="shared" si="21"/>
        <v>0</v>
      </c>
      <c r="BI66" s="12">
        <f t="shared" si="22"/>
        <v>0</v>
      </c>
      <c r="BJ66" s="12">
        <f t="shared" si="23"/>
        <v>0</v>
      </c>
      <c r="BK66" s="12"/>
      <c r="BL66" s="12"/>
      <c r="BW66" s="12">
        <v>21</v>
      </c>
    </row>
    <row r="67" spans="1:75" ht="13.5" customHeight="1">
      <c r="A67" s="28" t="s">
        <v>453</v>
      </c>
      <c r="B67" s="81" t="s">
        <v>464</v>
      </c>
      <c r="C67" s="175" t="s">
        <v>192</v>
      </c>
      <c r="D67" s="176"/>
      <c r="E67" s="81" t="s">
        <v>103</v>
      </c>
      <c r="F67" s="11">
        <v>530</v>
      </c>
      <c r="G67" s="104">
        <v>0</v>
      </c>
      <c r="H67" s="11">
        <f t="shared" si="0"/>
        <v>0</v>
      </c>
      <c r="I67" s="11">
        <f t="shared" si="1"/>
        <v>0</v>
      </c>
      <c r="J67" s="11">
        <f t="shared" si="2"/>
        <v>0</v>
      </c>
      <c r="K67" s="70" t="s">
        <v>230</v>
      </c>
      <c r="Z67" s="12">
        <f t="shared" si="3"/>
        <v>0</v>
      </c>
      <c r="AB67" s="12">
        <f t="shared" si="4"/>
        <v>0</v>
      </c>
      <c r="AC67" s="12">
        <f t="shared" si="5"/>
        <v>0</v>
      </c>
      <c r="AD67" s="12">
        <f t="shared" si="6"/>
        <v>0</v>
      </c>
      <c r="AE67" s="12">
        <f t="shared" si="7"/>
        <v>0</v>
      </c>
      <c r="AF67" s="12">
        <f t="shared" si="8"/>
        <v>0</v>
      </c>
      <c r="AG67" s="12">
        <f t="shared" si="9"/>
        <v>0</v>
      </c>
      <c r="AH67" s="12">
        <f t="shared" si="10"/>
        <v>0</v>
      </c>
      <c r="AI67" s="60" t="s">
        <v>344</v>
      </c>
      <c r="AJ67" s="12">
        <f t="shared" si="11"/>
        <v>0</v>
      </c>
      <c r="AK67" s="12">
        <f t="shared" si="12"/>
        <v>0</v>
      </c>
      <c r="AL67" s="12">
        <f t="shared" si="13"/>
        <v>0</v>
      </c>
      <c r="AN67" s="12">
        <v>21</v>
      </c>
      <c r="AO67" s="12">
        <f t="shared" si="14"/>
        <v>0</v>
      </c>
      <c r="AP67" s="12">
        <f t="shared" si="15"/>
        <v>0</v>
      </c>
      <c r="AQ67" s="31" t="s">
        <v>460</v>
      </c>
      <c r="AV67" s="12">
        <f t="shared" si="16"/>
        <v>0</v>
      </c>
      <c r="AW67" s="12">
        <f t="shared" si="17"/>
        <v>0</v>
      </c>
      <c r="AX67" s="12">
        <f t="shared" si="18"/>
        <v>0</v>
      </c>
      <c r="AY67" s="31" t="s">
        <v>362</v>
      </c>
      <c r="AZ67" s="31" t="s">
        <v>5</v>
      </c>
      <c r="BA67" s="60" t="s">
        <v>372</v>
      </c>
      <c r="BC67" s="12">
        <f t="shared" si="19"/>
        <v>0</v>
      </c>
      <c r="BD67" s="12">
        <f t="shared" si="20"/>
        <v>0</v>
      </c>
      <c r="BE67" s="12">
        <v>0</v>
      </c>
      <c r="BF67" s="12">
        <f>67</f>
        <v>67</v>
      </c>
      <c r="BH67" s="12">
        <f t="shared" si="21"/>
        <v>0</v>
      </c>
      <c r="BI67" s="12">
        <f t="shared" si="22"/>
        <v>0</v>
      </c>
      <c r="BJ67" s="12">
        <f t="shared" si="23"/>
        <v>0</v>
      </c>
      <c r="BK67" s="12"/>
      <c r="BL67" s="12"/>
      <c r="BW67" s="12">
        <v>21</v>
      </c>
    </row>
    <row r="68" spans="1:75" ht="27" customHeight="1">
      <c r="A68" s="28" t="s">
        <v>301</v>
      </c>
      <c r="B68" s="81" t="s">
        <v>278</v>
      </c>
      <c r="C68" s="175" t="s">
        <v>204</v>
      </c>
      <c r="D68" s="176"/>
      <c r="E68" s="81" t="s">
        <v>52</v>
      </c>
      <c r="F68" s="11">
        <v>7.44729</v>
      </c>
      <c r="G68" s="104">
        <v>0</v>
      </c>
      <c r="H68" s="11">
        <f t="shared" si="0"/>
        <v>0</v>
      </c>
      <c r="I68" s="11">
        <f t="shared" si="1"/>
        <v>0</v>
      </c>
      <c r="J68" s="11">
        <f t="shared" si="2"/>
        <v>0</v>
      </c>
      <c r="K68" s="70" t="s">
        <v>230</v>
      </c>
      <c r="Z68" s="12">
        <f t="shared" si="3"/>
        <v>0</v>
      </c>
      <c r="AB68" s="12">
        <f t="shared" si="4"/>
        <v>0</v>
      </c>
      <c r="AC68" s="12">
        <f t="shared" si="5"/>
        <v>0</v>
      </c>
      <c r="AD68" s="12">
        <f t="shared" si="6"/>
        <v>0</v>
      </c>
      <c r="AE68" s="12">
        <f t="shared" si="7"/>
        <v>0</v>
      </c>
      <c r="AF68" s="12">
        <f t="shared" si="8"/>
        <v>0</v>
      </c>
      <c r="AG68" s="12">
        <f t="shared" si="9"/>
        <v>0</v>
      </c>
      <c r="AH68" s="12">
        <f t="shared" si="10"/>
        <v>0</v>
      </c>
      <c r="AI68" s="60" t="s">
        <v>344</v>
      </c>
      <c r="AJ68" s="12">
        <f t="shared" si="11"/>
        <v>0</v>
      </c>
      <c r="AK68" s="12">
        <f t="shared" si="12"/>
        <v>0</v>
      </c>
      <c r="AL68" s="12">
        <f t="shared" si="13"/>
        <v>0</v>
      </c>
      <c r="AN68" s="12">
        <v>21</v>
      </c>
      <c r="AO68" s="12">
        <f t="shared" si="14"/>
        <v>0</v>
      </c>
      <c r="AP68" s="12">
        <f t="shared" si="15"/>
        <v>0</v>
      </c>
      <c r="AQ68" s="31" t="s">
        <v>460</v>
      </c>
      <c r="AV68" s="12">
        <f t="shared" si="16"/>
        <v>0</v>
      </c>
      <c r="AW68" s="12">
        <f t="shared" si="17"/>
        <v>0</v>
      </c>
      <c r="AX68" s="12">
        <f t="shared" si="18"/>
        <v>0</v>
      </c>
      <c r="AY68" s="31" t="s">
        <v>362</v>
      </c>
      <c r="AZ68" s="31" t="s">
        <v>5</v>
      </c>
      <c r="BA68" s="60" t="s">
        <v>372</v>
      </c>
      <c r="BC68" s="12">
        <f t="shared" si="19"/>
        <v>0</v>
      </c>
      <c r="BD68" s="12">
        <f t="shared" si="20"/>
        <v>0</v>
      </c>
      <c r="BE68" s="12">
        <v>0</v>
      </c>
      <c r="BF68" s="12">
        <f>68</f>
        <v>68</v>
      </c>
      <c r="BH68" s="12">
        <f t="shared" si="21"/>
        <v>0</v>
      </c>
      <c r="BI68" s="12">
        <f t="shared" si="22"/>
        <v>0</v>
      </c>
      <c r="BJ68" s="12">
        <f t="shared" si="23"/>
        <v>0</v>
      </c>
      <c r="BK68" s="12"/>
      <c r="BL68" s="12"/>
      <c r="BW68" s="12">
        <v>21</v>
      </c>
    </row>
    <row r="69" spans="1:75" ht="13.5" customHeight="1">
      <c r="A69" s="28" t="s">
        <v>318</v>
      </c>
      <c r="B69" s="81" t="s">
        <v>517</v>
      </c>
      <c r="C69" s="175" t="s">
        <v>371</v>
      </c>
      <c r="D69" s="176"/>
      <c r="E69" s="81" t="s">
        <v>238</v>
      </c>
      <c r="F69" s="11">
        <v>6</v>
      </c>
      <c r="G69" s="104">
        <v>0</v>
      </c>
      <c r="H69" s="11">
        <f t="shared" si="0"/>
        <v>0</v>
      </c>
      <c r="I69" s="11">
        <f t="shared" si="1"/>
        <v>0</v>
      </c>
      <c r="J69" s="11">
        <f t="shared" si="2"/>
        <v>0</v>
      </c>
      <c r="K69" s="70" t="s">
        <v>230</v>
      </c>
      <c r="Z69" s="12">
        <f t="shared" si="3"/>
        <v>0</v>
      </c>
      <c r="AB69" s="12">
        <f t="shared" si="4"/>
        <v>0</v>
      </c>
      <c r="AC69" s="12">
        <f t="shared" si="5"/>
        <v>0</v>
      </c>
      <c r="AD69" s="12">
        <f t="shared" si="6"/>
        <v>0</v>
      </c>
      <c r="AE69" s="12">
        <f t="shared" si="7"/>
        <v>0</v>
      </c>
      <c r="AF69" s="12">
        <f t="shared" si="8"/>
        <v>0</v>
      </c>
      <c r="AG69" s="12">
        <f t="shared" si="9"/>
        <v>0</v>
      </c>
      <c r="AH69" s="12">
        <f t="shared" si="10"/>
        <v>0</v>
      </c>
      <c r="AI69" s="60" t="s">
        <v>344</v>
      </c>
      <c r="AJ69" s="12">
        <f t="shared" si="11"/>
        <v>0</v>
      </c>
      <c r="AK69" s="12">
        <f t="shared" si="12"/>
        <v>0</v>
      </c>
      <c r="AL69" s="12">
        <f t="shared" si="13"/>
        <v>0</v>
      </c>
      <c r="AN69" s="12">
        <v>21</v>
      </c>
      <c r="AO69" s="12">
        <f t="shared" si="14"/>
        <v>0</v>
      </c>
      <c r="AP69" s="12">
        <f t="shared" si="15"/>
        <v>0</v>
      </c>
      <c r="AQ69" s="31" t="s">
        <v>460</v>
      </c>
      <c r="AV69" s="12">
        <f t="shared" si="16"/>
        <v>0</v>
      </c>
      <c r="AW69" s="12">
        <f t="shared" si="17"/>
        <v>0</v>
      </c>
      <c r="AX69" s="12">
        <f t="shared" si="18"/>
        <v>0</v>
      </c>
      <c r="AY69" s="31" t="s">
        <v>362</v>
      </c>
      <c r="AZ69" s="31" t="s">
        <v>5</v>
      </c>
      <c r="BA69" s="60" t="s">
        <v>372</v>
      </c>
      <c r="BC69" s="12">
        <f t="shared" si="19"/>
        <v>0</v>
      </c>
      <c r="BD69" s="12">
        <f t="shared" si="20"/>
        <v>0</v>
      </c>
      <c r="BE69" s="12">
        <v>0</v>
      </c>
      <c r="BF69" s="12">
        <f>69</f>
        <v>69</v>
      </c>
      <c r="BH69" s="12">
        <f t="shared" si="21"/>
        <v>0</v>
      </c>
      <c r="BI69" s="12">
        <f t="shared" si="22"/>
        <v>0</v>
      </c>
      <c r="BJ69" s="12">
        <f t="shared" si="23"/>
        <v>0</v>
      </c>
      <c r="BK69" s="12"/>
      <c r="BL69" s="12"/>
      <c r="BW69" s="12">
        <v>21</v>
      </c>
    </row>
    <row r="70" spans="1:75" ht="13.5" customHeight="1">
      <c r="A70" s="28" t="s">
        <v>183</v>
      </c>
      <c r="B70" s="81" t="s">
        <v>1</v>
      </c>
      <c r="C70" s="175" t="s">
        <v>78</v>
      </c>
      <c r="D70" s="176"/>
      <c r="E70" s="81" t="s">
        <v>238</v>
      </c>
      <c r="F70" s="11">
        <v>1</v>
      </c>
      <c r="G70" s="104">
        <v>0</v>
      </c>
      <c r="H70" s="11">
        <f t="shared" si="0"/>
        <v>0</v>
      </c>
      <c r="I70" s="11">
        <f t="shared" si="1"/>
        <v>0</v>
      </c>
      <c r="J70" s="11">
        <f t="shared" si="2"/>
        <v>0</v>
      </c>
      <c r="K70" s="70" t="s">
        <v>230</v>
      </c>
      <c r="Z70" s="12">
        <f t="shared" si="3"/>
        <v>0</v>
      </c>
      <c r="AB70" s="12">
        <f t="shared" si="4"/>
        <v>0</v>
      </c>
      <c r="AC70" s="12">
        <f t="shared" si="5"/>
        <v>0</v>
      </c>
      <c r="AD70" s="12">
        <f t="shared" si="6"/>
        <v>0</v>
      </c>
      <c r="AE70" s="12">
        <f t="shared" si="7"/>
        <v>0</v>
      </c>
      <c r="AF70" s="12">
        <f t="shared" si="8"/>
        <v>0</v>
      </c>
      <c r="AG70" s="12">
        <f t="shared" si="9"/>
        <v>0</v>
      </c>
      <c r="AH70" s="12">
        <f t="shared" si="10"/>
        <v>0</v>
      </c>
      <c r="AI70" s="60" t="s">
        <v>344</v>
      </c>
      <c r="AJ70" s="12">
        <f t="shared" si="11"/>
        <v>0</v>
      </c>
      <c r="AK70" s="12">
        <f t="shared" si="12"/>
        <v>0</v>
      </c>
      <c r="AL70" s="12">
        <f t="shared" si="13"/>
        <v>0</v>
      </c>
      <c r="AN70" s="12">
        <v>21</v>
      </c>
      <c r="AO70" s="12">
        <f t="shared" si="14"/>
        <v>0</v>
      </c>
      <c r="AP70" s="12">
        <f t="shared" si="15"/>
        <v>0</v>
      </c>
      <c r="AQ70" s="31" t="s">
        <v>460</v>
      </c>
      <c r="AV70" s="12">
        <f t="shared" si="16"/>
        <v>0</v>
      </c>
      <c r="AW70" s="12">
        <f t="shared" si="17"/>
        <v>0</v>
      </c>
      <c r="AX70" s="12">
        <f t="shared" si="18"/>
        <v>0</v>
      </c>
      <c r="AY70" s="31" t="s">
        <v>362</v>
      </c>
      <c r="AZ70" s="31" t="s">
        <v>5</v>
      </c>
      <c r="BA70" s="60" t="s">
        <v>372</v>
      </c>
      <c r="BC70" s="12">
        <f t="shared" si="19"/>
        <v>0</v>
      </c>
      <c r="BD70" s="12">
        <f t="shared" si="20"/>
        <v>0</v>
      </c>
      <c r="BE70" s="12">
        <v>0</v>
      </c>
      <c r="BF70" s="12">
        <f>70</f>
        <v>70</v>
      </c>
      <c r="BH70" s="12">
        <f t="shared" si="21"/>
        <v>0</v>
      </c>
      <c r="BI70" s="12">
        <f t="shared" si="22"/>
        <v>0</v>
      </c>
      <c r="BJ70" s="12">
        <f t="shared" si="23"/>
        <v>0</v>
      </c>
      <c r="BK70" s="12"/>
      <c r="BL70" s="12"/>
      <c r="BW70" s="12">
        <v>21</v>
      </c>
    </row>
    <row r="71" spans="1:75" ht="13.5" customHeight="1">
      <c r="A71" s="28" t="s">
        <v>455</v>
      </c>
      <c r="B71" s="81" t="s">
        <v>144</v>
      </c>
      <c r="C71" s="175" t="s">
        <v>190</v>
      </c>
      <c r="D71" s="176"/>
      <c r="E71" s="81" t="s">
        <v>12</v>
      </c>
      <c r="F71" s="11">
        <v>1</v>
      </c>
      <c r="G71" s="104">
        <v>0</v>
      </c>
      <c r="H71" s="11">
        <f t="shared" si="0"/>
        <v>0</v>
      </c>
      <c r="I71" s="11">
        <f t="shared" si="1"/>
        <v>0</v>
      </c>
      <c r="J71" s="11">
        <f t="shared" si="2"/>
        <v>0</v>
      </c>
      <c r="K71" s="70" t="s">
        <v>230</v>
      </c>
      <c r="Z71" s="12">
        <f t="shared" si="3"/>
        <v>0</v>
      </c>
      <c r="AB71" s="12">
        <f t="shared" si="4"/>
        <v>0</v>
      </c>
      <c r="AC71" s="12">
        <f t="shared" si="5"/>
        <v>0</v>
      </c>
      <c r="AD71" s="12">
        <f t="shared" si="6"/>
        <v>0</v>
      </c>
      <c r="AE71" s="12">
        <f t="shared" si="7"/>
        <v>0</v>
      </c>
      <c r="AF71" s="12">
        <f t="shared" si="8"/>
        <v>0</v>
      </c>
      <c r="AG71" s="12">
        <f t="shared" si="9"/>
        <v>0</v>
      </c>
      <c r="AH71" s="12">
        <f t="shared" si="10"/>
        <v>0</v>
      </c>
      <c r="AI71" s="60" t="s">
        <v>344</v>
      </c>
      <c r="AJ71" s="12">
        <f t="shared" si="11"/>
        <v>0</v>
      </c>
      <c r="AK71" s="12">
        <f t="shared" si="12"/>
        <v>0</v>
      </c>
      <c r="AL71" s="12">
        <f t="shared" si="13"/>
        <v>0</v>
      </c>
      <c r="AN71" s="12">
        <v>21</v>
      </c>
      <c r="AO71" s="12">
        <f t="shared" si="14"/>
        <v>0</v>
      </c>
      <c r="AP71" s="12">
        <f t="shared" si="15"/>
        <v>0</v>
      </c>
      <c r="AQ71" s="31" t="s">
        <v>460</v>
      </c>
      <c r="AV71" s="12">
        <f t="shared" si="16"/>
        <v>0</v>
      </c>
      <c r="AW71" s="12">
        <f t="shared" si="17"/>
        <v>0</v>
      </c>
      <c r="AX71" s="12">
        <f t="shared" si="18"/>
        <v>0</v>
      </c>
      <c r="AY71" s="31" t="s">
        <v>362</v>
      </c>
      <c r="AZ71" s="31" t="s">
        <v>5</v>
      </c>
      <c r="BA71" s="60" t="s">
        <v>372</v>
      </c>
      <c r="BC71" s="12">
        <f t="shared" si="19"/>
        <v>0</v>
      </c>
      <c r="BD71" s="12">
        <f t="shared" si="20"/>
        <v>0</v>
      </c>
      <c r="BE71" s="12">
        <v>0</v>
      </c>
      <c r="BF71" s="12">
        <f>71</f>
        <v>71</v>
      </c>
      <c r="BH71" s="12">
        <f t="shared" si="21"/>
        <v>0</v>
      </c>
      <c r="BI71" s="12">
        <f t="shared" si="22"/>
        <v>0</v>
      </c>
      <c r="BJ71" s="12">
        <f t="shared" si="23"/>
        <v>0</v>
      </c>
      <c r="BK71" s="12"/>
      <c r="BL71" s="12"/>
      <c r="BW71" s="12">
        <v>21</v>
      </c>
    </row>
    <row r="72" spans="1:75" ht="13.5" customHeight="1">
      <c r="A72" s="28" t="s">
        <v>85</v>
      </c>
      <c r="B72" s="81" t="s">
        <v>297</v>
      </c>
      <c r="C72" s="175" t="s">
        <v>367</v>
      </c>
      <c r="D72" s="176"/>
      <c r="E72" s="81" t="s">
        <v>347</v>
      </c>
      <c r="F72" s="11">
        <v>2</v>
      </c>
      <c r="G72" s="104">
        <v>0</v>
      </c>
      <c r="H72" s="11">
        <f t="shared" si="0"/>
        <v>0</v>
      </c>
      <c r="I72" s="11">
        <f t="shared" si="1"/>
        <v>0</v>
      </c>
      <c r="J72" s="11">
        <f t="shared" si="2"/>
        <v>0</v>
      </c>
      <c r="K72" s="70" t="s">
        <v>230</v>
      </c>
      <c r="Z72" s="12">
        <f t="shared" si="3"/>
        <v>0</v>
      </c>
      <c r="AB72" s="12">
        <f t="shared" si="4"/>
        <v>0</v>
      </c>
      <c r="AC72" s="12">
        <f t="shared" si="5"/>
        <v>0</v>
      </c>
      <c r="AD72" s="12">
        <f t="shared" si="6"/>
        <v>0</v>
      </c>
      <c r="AE72" s="12">
        <f t="shared" si="7"/>
        <v>0</v>
      </c>
      <c r="AF72" s="12">
        <f t="shared" si="8"/>
        <v>0</v>
      </c>
      <c r="AG72" s="12">
        <f t="shared" si="9"/>
        <v>0</v>
      </c>
      <c r="AH72" s="12">
        <f t="shared" si="10"/>
        <v>0</v>
      </c>
      <c r="AI72" s="60" t="s">
        <v>344</v>
      </c>
      <c r="AJ72" s="12">
        <f t="shared" si="11"/>
        <v>0</v>
      </c>
      <c r="AK72" s="12">
        <f t="shared" si="12"/>
        <v>0</v>
      </c>
      <c r="AL72" s="12">
        <f t="shared" si="13"/>
        <v>0</v>
      </c>
      <c r="AN72" s="12">
        <v>21</v>
      </c>
      <c r="AO72" s="12">
        <f t="shared" si="14"/>
        <v>0</v>
      </c>
      <c r="AP72" s="12">
        <f t="shared" si="15"/>
        <v>0</v>
      </c>
      <c r="AQ72" s="31" t="s">
        <v>460</v>
      </c>
      <c r="AV72" s="12">
        <f t="shared" si="16"/>
        <v>0</v>
      </c>
      <c r="AW72" s="12">
        <f t="shared" si="17"/>
        <v>0</v>
      </c>
      <c r="AX72" s="12">
        <f t="shared" si="18"/>
        <v>0</v>
      </c>
      <c r="AY72" s="31" t="s">
        <v>362</v>
      </c>
      <c r="AZ72" s="31" t="s">
        <v>5</v>
      </c>
      <c r="BA72" s="60" t="s">
        <v>372</v>
      </c>
      <c r="BC72" s="12">
        <f t="shared" si="19"/>
        <v>0</v>
      </c>
      <c r="BD72" s="12">
        <f t="shared" si="20"/>
        <v>0</v>
      </c>
      <c r="BE72" s="12">
        <v>0</v>
      </c>
      <c r="BF72" s="12">
        <f>72</f>
        <v>72</v>
      </c>
      <c r="BH72" s="12">
        <f t="shared" si="21"/>
        <v>0</v>
      </c>
      <c r="BI72" s="12">
        <f t="shared" si="22"/>
        <v>0</v>
      </c>
      <c r="BJ72" s="12">
        <f t="shared" si="23"/>
        <v>0</v>
      </c>
      <c r="BK72" s="12"/>
      <c r="BL72" s="12"/>
      <c r="BW72" s="12">
        <v>21</v>
      </c>
    </row>
    <row r="73" spans="1:75" ht="13.5" customHeight="1">
      <c r="A73" s="28" t="s">
        <v>168</v>
      </c>
      <c r="B73" s="81" t="s">
        <v>101</v>
      </c>
      <c r="C73" s="175" t="s">
        <v>16</v>
      </c>
      <c r="D73" s="176"/>
      <c r="E73" s="81" t="s">
        <v>454</v>
      </c>
      <c r="F73" s="11">
        <v>327.3877</v>
      </c>
      <c r="G73" s="104">
        <v>0</v>
      </c>
      <c r="H73" s="11">
        <f t="shared" si="0"/>
        <v>0</v>
      </c>
      <c r="I73" s="11">
        <f t="shared" si="1"/>
        <v>0</v>
      </c>
      <c r="J73" s="11">
        <f t="shared" si="2"/>
        <v>0</v>
      </c>
      <c r="K73" s="70" t="s">
        <v>286</v>
      </c>
      <c r="Z73" s="12">
        <f t="shared" si="3"/>
        <v>0</v>
      </c>
      <c r="AB73" s="12">
        <f t="shared" si="4"/>
        <v>0</v>
      </c>
      <c r="AC73" s="12">
        <f t="shared" si="5"/>
        <v>0</v>
      </c>
      <c r="AD73" s="12">
        <f t="shared" si="6"/>
        <v>0</v>
      </c>
      <c r="AE73" s="12">
        <f t="shared" si="7"/>
        <v>0</v>
      </c>
      <c r="AF73" s="12">
        <f t="shared" si="8"/>
        <v>0</v>
      </c>
      <c r="AG73" s="12">
        <f t="shared" si="9"/>
        <v>0</v>
      </c>
      <c r="AH73" s="12">
        <f t="shared" si="10"/>
        <v>0</v>
      </c>
      <c r="AI73" s="60" t="s">
        <v>344</v>
      </c>
      <c r="AJ73" s="12">
        <f t="shared" si="11"/>
        <v>0</v>
      </c>
      <c r="AK73" s="12">
        <f t="shared" si="12"/>
        <v>0</v>
      </c>
      <c r="AL73" s="12">
        <f t="shared" si="13"/>
        <v>0</v>
      </c>
      <c r="AN73" s="12">
        <v>21</v>
      </c>
      <c r="AO73" s="12">
        <f t="shared" si="14"/>
        <v>0</v>
      </c>
      <c r="AP73" s="12">
        <f t="shared" si="15"/>
        <v>0</v>
      </c>
      <c r="AQ73" s="31" t="s">
        <v>460</v>
      </c>
      <c r="AV73" s="12">
        <f t="shared" si="16"/>
        <v>0</v>
      </c>
      <c r="AW73" s="12">
        <f t="shared" si="17"/>
        <v>0</v>
      </c>
      <c r="AX73" s="12">
        <f t="shared" si="18"/>
        <v>0</v>
      </c>
      <c r="AY73" s="31" t="s">
        <v>362</v>
      </c>
      <c r="AZ73" s="31" t="s">
        <v>5</v>
      </c>
      <c r="BA73" s="60" t="s">
        <v>372</v>
      </c>
      <c r="BC73" s="12">
        <f t="shared" si="19"/>
        <v>0</v>
      </c>
      <c r="BD73" s="12">
        <f t="shared" si="20"/>
        <v>0</v>
      </c>
      <c r="BE73" s="12">
        <v>0</v>
      </c>
      <c r="BF73" s="12">
        <f>73</f>
        <v>73</v>
      </c>
      <c r="BH73" s="12">
        <f t="shared" si="21"/>
        <v>0</v>
      </c>
      <c r="BI73" s="12">
        <f t="shared" si="22"/>
        <v>0</v>
      </c>
      <c r="BJ73" s="12">
        <f t="shared" si="23"/>
        <v>0</v>
      </c>
      <c r="BK73" s="12"/>
      <c r="BL73" s="12"/>
      <c r="BW73" s="12">
        <v>21</v>
      </c>
    </row>
    <row r="74" spans="1:75" ht="13.5" customHeight="1">
      <c r="A74" s="28" t="s">
        <v>225</v>
      </c>
      <c r="B74" s="81" t="s">
        <v>237</v>
      </c>
      <c r="C74" s="175" t="s">
        <v>188</v>
      </c>
      <c r="D74" s="176"/>
      <c r="E74" s="81" t="s">
        <v>347</v>
      </c>
      <c r="F74" s="11">
        <v>2</v>
      </c>
      <c r="G74" s="104">
        <v>0</v>
      </c>
      <c r="H74" s="11">
        <f t="shared" si="0"/>
        <v>0</v>
      </c>
      <c r="I74" s="11">
        <f t="shared" si="1"/>
        <v>0</v>
      </c>
      <c r="J74" s="11">
        <f t="shared" si="2"/>
        <v>0</v>
      </c>
      <c r="K74" s="70" t="s">
        <v>230</v>
      </c>
      <c r="Z74" s="12">
        <f t="shared" si="3"/>
        <v>0</v>
      </c>
      <c r="AB74" s="12">
        <f t="shared" si="4"/>
        <v>0</v>
      </c>
      <c r="AC74" s="12">
        <f t="shared" si="5"/>
        <v>0</v>
      </c>
      <c r="AD74" s="12">
        <f t="shared" si="6"/>
        <v>0</v>
      </c>
      <c r="AE74" s="12">
        <f t="shared" si="7"/>
        <v>0</v>
      </c>
      <c r="AF74" s="12">
        <f t="shared" si="8"/>
        <v>0</v>
      </c>
      <c r="AG74" s="12">
        <f t="shared" si="9"/>
        <v>0</v>
      </c>
      <c r="AH74" s="12">
        <f t="shared" si="10"/>
        <v>0</v>
      </c>
      <c r="AI74" s="60" t="s">
        <v>344</v>
      </c>
      <c r="AJ74" s="12">
        <f t="shared" si="11"/>
        <v>0</v>
      </c>
      <c r="AK74" s="12">
        <f t="shared" si="12"/>
        <v>0</v>
      </c>
      <c r="AL74" s="12">
        <f t="shared" si="13"/>
        <v>0</v>
      </c>
      <c r="AN74" s="12">
        <v>21</v>
      </c>
      <c r="AO74" s="12">
        <f t="shared" si="14"/>
        <v>0</v>
      </c>
      <c r="AP74" s="12">
        <f t="shared" si="15"/>
        <v>0</v>
      </c>
      <c r="AQ74" s="31" t="s">
        <v>460</v>
      </c>
      <c r="AV74" s="12">
        <f t="shared" si="16"/>
        <v>0</v>
      </c>
      <c r="AW74" s="12">
        <f t="shared" si="17"/>
        <v>0</v>
      </c>
      <c r="AX74" s="12">
        <f t="shared" si="18"/>
        <v>0</v>
      </c>
      <c r="AY74" s="31" t="s">
        <v>362</v>
      </c>
      <c r="AZ74" s="31" t="s">
        <v>5</v>
      </c>
      <c r="BA74" s="60" t="s">
        <v>372</v>
      </c>
      <c r="BC74" s="12">
        <f t="shared" si="19"/>
        <v>0</v>
      </c>
      <c r="BD74" s="12">
        <f t="shared" si="20"/>
        <v>0</v>
      </c>
      <c r="BE74" s="12">
        <v>0</v>
      </c>
      <c r="BF74" s="12">
        <f>74</f>
        <v>74</v>
      </c>
      <c r="BH74" s="12">
        <f t="shared" si="21"/>
        <v>0</v>
      </c>
      <c r="BI74" s="12">
        <f t="shared" si="22"/>
        <v>0</v>
      </c>
      <c r="BJ74" s="12">
        <f t="shared" si="23"/>
        <v>0</v>
      </c>
      <c r="BK74" s="12"/>
      <c r="BL74" s="12"/>
      <c r="BW74" s="12">
        <v>21</v>
      </c>
    </row>
    <row r="75" spans="1:75" ht="13.5" customHeight="1">
      <c r="A75" s="28" t="s">
        <v>182</v>
      </c>
      <c r="B75" s="81" t="s">
        <v>60</v>
      </c>
      <c r="C75" s="175" t="s">
        <v>224</v>
      </c>
      <c r="D75" s="176"/>
      <c r="E75" s="81" t="s">
        <v>122</v>
      </c>
      <c r="F75" s="11">
        <v>15</v>
      </c>
      <c r="G75" s="104">
        <v>0</v>
      </c>
      <c r="H75" s="11">
        <f t="shared" si="0"/>
        <v>0</v>
      </c>
      <c r="I75" s="11">
        <f t="shared" si="1"/>
        <v>0</v>
      </c>
      <c r="J75" s="11">
        <f t="shared" si="2"/>
        <v>0</v>
      </c>
      <c r="K75" s="70" t="s">
        <v>230</v>
      </c>
      <c r="Z75" s="12">
        <f t="shared" si="3"/>
        <v>0</v>
      </c>
      <c r="AB75" s="12">
        <f t="shared" si="4"/>
        <v>0</v>
      </c>
      <c r="AC75" s="12">
        <f t="shared" si="5"/>
        <v>0</v>
      </c>
      <c r="AD75" s="12">
        <f t="shared" si="6"/>
        <v>0</v>
      </c>
      <c r="AE75" s="12">
        <f t="shared" si="7"/>
        <v>0</v>
      </c>
      <c r="AF75" s="12">
        <f t="shared" si="8"/>
        <v>0</v>
      </c>
      <c r="AG75" s="12">
        <f t="shared" si="9"/>
        <v>0</v>
      </c>
      <c r="AH75" s="12">
        <f t="shared" si="10"/>
        <v>0</v>
      </c>
      <c r="AI75" s="60" t="s">
        <v>344</v>
      </c>
      <c r="AJ75" s="12">
        <f t="shared" si="11"/>
        <v>0</v>
      </c>
      <c r="AK75" s="12">
        <f t="shared" si="12"/>
        <v>0</v>
      </c>
      <c r="AL75" s="12">
        <f t="shared" si="13"/>
        <v>0</v>
      </c>
      <c r="AN75" s="12">
        <v>21</v>
      </c>
      <c r="AO75" s="12">
        <f t="shared" si="14"/>
        <v>0</v>
      </c>
      <c r="AP75" s="12">
        <f t="shared" si="15"/>
        <v>0</v>
      </c>
      <c r="AQ75" s="31" t="s">
        <v>460</v>
      </c>
      <c r="AV75" s="12">
        <f t="shared" si="16"/>
        <v>0</v>
      </c>
      <c r="AW75" s="12">
        <f t="shared" si="17"/>
        <v>0</v>
      </c>
      <c r="AX75" s="12">
        <f t="shared" si="18"/>
        <v>0</v>
      </c>
      <c r="AY75" s="31" t="s">
        <v>362</v>
      </c>
      <c r="AZ75" s="31" t="s">
        <v>5</v>
      </c>
      <c r="BA75" s="60" t="s">
        <v>372</v>
      </c>
      <c r="BC75" s="12">
        <f t="shared" si="19"/>
        <v>0</v>
      </c>
      <c r="BD75" s="12">
        <f t="shared" si="20"/>
        <v>0</v>
      </c>
      <c r="BE75" s="12">
        <v>0</v>
      </c>
      <c r="BF75" s="12">
        <f>75</f>
        <v>75</v>
      </c>
      <c r="BH75" s="12">
        <f t="shared" si="21"/>
        <v>0</v>
      </c>
      <c r="BI75" s="12">
        <f t="shared" si="22"/>
        <v>0</v>
      </c>
      <c r="BJ75" s="12">
        <f t="shared" si="23"/>
        <v>0</v>
      </c>
      <c r="BK75" s="12"/>
      <c r="BL75" s="12"/>
      <c r="BW75" s="12">
        <v>21</v>
      </c>
    </row>
    <row r="76" spans="1:75" ht="13.5" customHeight="1">
      <c r="A76" s="28" t="s">
        <v>389</v>
      </c>
      <c r="B76" s="81" t="s">
        <v>71</v>
      </c>
      <c r="C76" s="175" t="s">
        <v>356</v>
      </c>
      <c r="D76" s="176"/>
      <c r="E76" s="81" t="s">
        <v>398</v>
      </c>
      <c r="F76" s="11">
        <v>250</v>
      </c>
      <c r="G76" s="104">
        <v>0</v>
      </c>
      <c r="H76" s="11">
        <f t="shared" si="0"/>
        <v>0</v>
      </c>
      <c r="I76" s="11">
        <f t="shared" si="1"/>
        <v>0</v>
      </c>
      <c r="J76" s="11">
        <f t="shared" si="2"/>
        <v>0</v>
      </c>
      <c r="K76" s="70" t="s">
        <v>230</v>
      </c>
      <c r="Z76" s="12">
        <f t="shared" si="3"/>
        <v>0</v>
      </c>
      <c r="AB76" s="12">
        <f t="shared" si="4"/>
        <v>0</v>
      </c>
      <c r="AC76" s="12">
        <f t="shared" si="5"/>
        <v>0</v>
      </c>
      <c r="AD76" s="12">
        <f t="shared" si="6"/>
        <v>0</v>
      </c>
      <c r="AE76" s="12">
        <f t="shared" si="7"/>
        <v>0</v>
      </c>
      <c r="AF76" s="12">
        <f t="shared" si="8"/>
        <v>0</v>
      </c>
      <c r="AG76" s="12">
        <f t="shared" si="9"/>
        <v>0</v>
      </c>
      <c r="AH76" s="12">
        <f t="shared" si="10"/>
        <v>0</v>
      </c>
      <c r="AI76" s="60" t="s">
        <v>344</v>
      </c>
      <c r="AJ76" s="12">
        <f t="shared" si="11"/>
        <v>0</v>
      </c>
      <c r="AK76" s="12">
        <f t="shared" si="12"/>
        <v>0</v>
      </c>
      <c r="AL76" s="12">
        <f t="shared" si="13"/>
        <v>0</v>
      </c>
      <c r="AN76" s="12">
        <v>21</v>
      </c>
      <c r="AO76" s="12">
        <f t="shared" si="14"/>
        <v>0</v>
      </c>
      <c r="AP76" s="12">
        <f t="shared" si="15"/>
        <v>0</v>
      </c>
      <c r="AQ76" s="31" t="s">
        <v>460</v>
      </c>
      <c r="AV76" s="12">
        <f t="shared" si="16"/>
        <v>0</v>
      </c>
      <c r="AW76" s="12">
        <f t="shared" si="17"/>
        <v>0</v>
      </c>
      <c r="AX76" s="12">
        <f t="shared" si="18"/>
        <v>0</v>
      </c>
      <c r="AY76" s="31" t="s">
        <v>362</v>
      </c>
      <c r="AZ76" s="31" t="s">
        <v>5</v>
      </c>
      <c r="BA76" s="60" t="s">
        <v>372</v>
      </c>
      <c r="BC76" s="12">
        <f t="shared" si="19"/>
        <v>0</v>
      </c>
      <c r="BD76" s="12">
        <f t="shared" si="20"/>
        <v>0</v>
      </c>
      <c r="BE76" s="12">
        <v>0</v>
      </c>
      <c r="BF76" s="12">
        <f>76</f>
        <v>76</v>
      </c>
      <c r="BH76" s="12">
        <f t="shared" si="21"/>
        <v>0</v>
      </c>
      <c r="BI76" s="12">
        <f t="shared" si="22"/>
        <v>0</v>
      </c>
      <c r="BJ76" s="12">
        <f t="shared" si="23"/>
        <v>0</v>
      </c>
      <c r="BK76" s="12"/>
      <c r="BL76" s="12"/>
      <c r="BW76" s="12">
        <v>21</v>
      </c>
    </row>
    <row r="77" spans="1:75" ht="13.5" customHeight="1">
      <c r="A77" s="28" t="s">
        <v>474</v>
      </c>
      <c r="B77" s="81" t="s">
        <v>401</v>
      </c>
      <c r="C77" s="175" t="s">
        <v>184</v>
      </c>
      <c r="D77" s="176"/>
      <c r="E77" s="81" t="s">
        <v>347</v>
      </c>
      <c r="F77" s="11">
        <v>650</v>
      </c>
      <c r="G77" s="104">
        <v>0</v>
      </c>
      <c r="H77" s="11">
        <f t="shared" si="0"/>
        <v>0</v>
      </c>
      <c r="I77" s="11">
        <f t="shared" si="1"/>
        <v>0</v>
      </c>
      <c r="J77" s="11">
        <f t="shared" si="2"/>
        <v>0</v>
      </c>
      <c r="K77" s="70" t="s">
        <v>230</v>
      </c>
      <c r="Z77" s="12">
        <f t="shared" si="3"/>
        <v>0</v>
      </c>
      <c r="AB77" s="12">
        <f t="shared" si="4"/>
        <v>0</v>
      </c>
      <c r="AC77" s="12">
        <f t="shared" si="5"/>
        <v>0</v>
      </c>
      <c r="AD77" s="12">
        <f t="shared" si="6"/>
        <v>0</v>
      </c>
      <c r="AE77" s="12">
        <f t="shared" si="7"/>
        <v>0</v>
      </c>
      <c r="AF77" s="12">
        <f t="shared" si="8"/>
        <v>0</v>
      </c>
      <c r="AG77" s="12">
        <f t="shared" si="9"/>
        <v>0</v>
      </c>
      <c r="AH77" s="12">
        <f t="shared" si="10"/>
        <v>0</v>
      </c>
      <c r="AI77" s="60" t="s">
        <v>344</v>
      </c>
      <c r="AJ77" s="12">
        <f t="shared" si="11"/>
        <v>0</v>
      </c>
      <c r="AK77" s="12">
        <f t="shared" si="12"/>
        <v>0</v>
      </c>
      <c r="AL77" s="12">
        <f t="shared" si="13"/>
        <v>0</v>
      </c>
      <c r="AN77" s="12">
        <v>21</v>
      </c>
      <c r="AO77" s="12">
        <f t="shared" si="14"/>
        <v>0</v>
      </c>
      <c r="AP77" s="12">
        <f t="shared" si="15"/>
        <v>0</v>
      </c>
      <c r="AQ77" s="31" t="s">
        <v>460</v>
      </c>
      <c r="AV77" s="12">
        <f t="shared" si="16"/>
        <v>0</v>
      </c>
      <c r="AW77" s="12">
        <f t="shared" si="17"/>
        <v>0</v>
      </c>
      <c r="AX77" s="12">
        <f t="shared" si="18"/>
        <v>0</v>
      </c>
      <c r="AY77" s="31" t="s">
        <v>362</v>
      </c>
      <c r="AZ77" s="31" t="s">
        <v>5</v>
      </c>
      <c r="BA77" s="60" t="s">
        <v>372</v>
      </c>
      <c r="BC77" s="12">
        <f t="shared" si="19"/>
        <v>0</v>
      </c>
      <c r="BD77" s="12">
        <f t="shared" si="20"/>
        <v>0</v>
      </c>
      <c r="BE77" s="12">
        <v>0</v>
      </c>
      <c r="BF77" s="12">
        <f>77</f>
        <v>77</v>
      </c>
      <c r="BH77" s="12">
        <f t="shared" si="21"/>
        <v>0</v>
      </c>
      <c r="BI77" s="12">
        <f t="shared" si="22"/>
        <v>0</v>
      </c>
      <c r="BJ77" s="12">
        <f t="shared" si="23"/>
        <v>0</v>
      </c>
      <c r="BK77" s="12"/>
      <c r="BL77" s="12"/>
      <c r="BW77" s="12">
        <v>21</v>
      </c>
    </row>
    <row r="78" spans="1:75" ht="13.5" customHeight="1">
      <c r="A78" s="28" t="s">
        <v>30</v>
      </c>
      <c r="B78" s="81" t="s">
        <v>217</v>
      </c>
      <c r="C78" s="175" t="s">
        <v>324</v>
      </c>
      <c r="D78" s="176"/>
      <c r="E78" s="81" t="s">
        <v>398</v>
      </c>
      <c r="F78" s="11">
        <v>200</v>
      </c>
      <c r="G78" s="104">
        <v>0</v>
      </c>
      <c r="H78" s="11">
        <f t="shared" si="0"/>
        <v>0</v>
      </c>
      <c r="I78" s="11">
        <f t="shared" si="1"/>
        <v>0</v>
      </c>
      <c r="J78" s="11">
        <f t="shared" si="2"/>
        <v>0</v>
      </c>
      <c r="K78" s="70" t="s">
        <v>230</v>
      </c>
      <c r="Z78" s="12">
        <f t="shared" si="3"/>
        <v>0</v>
      </c>
      <c r="AB78" s="12">
        <f t="shared" si="4"/>
        <v>0</v>
      </c>
      <c r="AC78" s="12">
        <f t="shared" si="5"/>
        <v>0</v>
      </c>
      <c r="AD78" s="12">
        <f t="shared" si="6"/>
        <v>0</v>
      </c>
      <c r="AE78" s="12">
        <f t="shared" si="7"/>
        <v>0</v>
      </c>
      <c r="AF78" s="12">
        <f t="shared" si="8"/>
        <v>0</v>
      </c>
      <c r="AG78" s="12">
        <f t="shared" si="9"/>
        <v>0</v>
      </c>
      <c r="AH78" s="12">
        <f t="shared" si="10"/>
        <v>0</v>
      </c>
      <c r="AI78" s="60" t="s">
        <v>344</v>
      </c>
      <c r="AJ78" s="12">
        <f t="shared" si="11"/>
        <v>0</v>
      </c>
      <c r="AK78" s="12">
        <f t="shared" si="12"/>
        <v>0</v>
      </c>
      <c r="AL78" s="12">
        <f t="shared" si="13"/>
        <v>0</v>
      </c>
      <c r="AN78" s="12">
        <v>21</v>
      </c>
      <c r="AO78" s="12">
        <f t="shared" si="14"/>
        <v>0</v>
      </c>
      <c r="AP78" s="12">
        <f t="shared" si="15"/>
        <v>0</v>
      </c>
      <c r="AQ78" s="31" t="s">
        <v>460</v>
      </c>
      <c r="AV78" s="12">
        <f t="shared" si="16"/>
        <v>0</v>
      </c>
      <c r="AW78" s="12">
        <f t="shared" si="17"/>
        <v>0</v>
      </c>
      <c r="AX78" s="12">
        <f t="shared" si="18"/>
        <v>0</v>
      </c>
      <c r="AY78" s="31" t="s">
        <v>362</v>
      </c>
      <c r="AZ78" s="31" t="s">
        <v>5</v>
      </c>
      <c r="BA78" s="60" t="s">
        <v>372</v>
      </c>
      <c r="BC78" s="12">
        <f t="shared" si="19"/>
        <v>0</v>
      </c>
      <c r="BD78" s="12">
        <f t="shared" si="20"/>
        <v>0</v>
      </c>
      <c r="BE78" s="12">
        <v>0</v>
      </c>
      <c r="BF78" s="12">
        <f>78</f>
        <v>78</v>
      </c>
      <c r="BH78" s="12">
        <f t="shared" si="21"/>
        <v>0</v>
      </c>
      <c r="BI78" s="12">
        <f t="shared" si="22"/>
        <v>0</v>
      </c>
      <c r="BJ78" s="12">
        <f t="shared" si="23"/>
        <v>0</v>
      </c>
      <c r="BK78" s="12"/>
      <c r="BL78" s="12"/>
      <c r="BW78" s="12">
        <v>21</v>
      </c>
    </row>
    <row r="79" spans="1:75" ht="13.5" customHeight="1">
      <c r="A79" s="28" t="s">
        <v>376</v>
      </c>
      <c r="B79" s="81" t="s">
        <v>81</v>
      </c>
      <c r="C79" s="175" t="s">
        <v>72</v>
      </c>
      <c r="D79" s="176"/>
      <c r="E79" s="81" t="s">
        <v>238</v>
      </c>
      <c r="F79" s="11">
        <v>1.3104</v>
      </c>
      <c r="G79" s="104">
        <v>0</v>
      </c>
      <c r="H79" s="11">
        <f t="shared" si="0"/>
        <v>0</v>
      </c>
      <c r="I79" s="11">
        <f t="shared" si="1"/>
        <v>0</v>
      </c>
      <c r="J79" s="11">
        <f t="shared" si="2"/>
        <v>0</v>
      </c>
      <c r="K79" s="70" t="s">
        <v>230</v>
      </c>
      <c r="Z79" s="12">
        <f t="shared" si="3"/>
        <v>0</v>
      </c>
      <c r="AB79" s="12">
        <f t="shared" si="4"/>
        <v>0</v>
      </c>
      <c r="AC79" s="12">
        <f t="shared" si="5"/>
        <v>0</v>
      </c>
      <c r="AD79" s="12">
        <f t="shared" si="6"/>
        <v>0</v>
      </c>
      <c r="AE79" s="12">
        <f t="shared" si="7"/>
        <v>0</v>
      </c>
      <c r="AF79" s="12">
        <f t="shared" si="8"/>
        <v>0</v>
      </c>
      <c r="AG79" s="12">
        <f t="shared" si="9"/>
        <v>0</v>
      </c>
      <c r="AH79" s="12">
        <f t="shared" si="10"/>
        <v>0</v>
      </c>
      <c r="AI79" s="60" t="s">
        <v>344</v>
      </c>
      <c r="AJ79" s="12">
        <f t="shared" si="11"/>
        <v>0</v>
      </c>
      <c r="AK79" s="12">
        <f t="shared" si="12"/>
        <v>0</v>
      </c>
      <c r="AL79" s="12">
        <f t="shared" si="13"/>
        <v>0</v>
      </c>
      <c r="AN79" s="12">
        <v>21</v>
      </c>
      <c r="AO79" s="12">
        <f t="shared" si="14"/>
        <v>0</v>
      </c>
      <c r="AP79" s="12">
        <f t="shared" si="15"/>
        <v>0</v>
      </c>
      <c r="AQ79" s="31" t="s">
        <v>460</v>
      </c>
      <c r="AV79" s="12">
        <f t="shared" si="16"/>
        <v>0</v>
      </c>
      <c r="AW79" s="12">
        <f t="shared" si="17"/>
        <v>0</v>
      </c>
      <c r="AX79" s="12">
        <f t="shared" si="18"/>
        <v>0</v>
      </c>
      <c r="AY79" s="31" t="s">
        <v>362</v>
      </c>
      <c r="AZ79" s="31" t="s">
        <v>5</v>
      </c>
      <c r="BA79" s="60" t="s">
        <v>372</v>
      </c>
      <c r="BC79" s="12">
        <f t="shared" si="19"/>
        <v>0</v>
      </c>
      <c r="BD79" s="12">
        <f t="shared" si="20"/>
        <v>0</v>
      </c>
      <c r="BE79" s="12">
        <v>0</v>
      </c>
      <c r="BF79" s="12">
        <f>79</f>
        <v>79</v>
      </c>
      <c r="BH79" s="12">
        <f t="shared" si="21"/>
        <v>0</v>
      </c>
      <c r="BI79" s="12">
        <f t="shared" si="22"/>
        <v>0</v>
      </c>
      <c r="BJ79" s="12">
        <f t="shared" si="23"/>
        <v>0</v>
      </c>
      <c r="BK79" s="12"/>
      <c r="BL79" s="12"/>
      <c r="BW79" s="12">
        <v>21</v>
      </c>
    </row>
    <row r="80" spans="1:75" ht="13.5" customHeight="1">
      <c r="A80" s="28" t="s">
        <v>395</v>
      </c>
      <c r="B80" s="81" t="s">
        <v>213</v>
      </c>
      <c r="C80" s="175" t="s">
        <v>515</v>
      </c>
      <c r="D80" s="176"/>
      <c r="E80" s="81" t="s">
        <v>122</v>
      </c>
      <c r="F80" s="11">
        <v>40</v>
      </c>
      <c r="G80" s="104">
        <v>0</v>
      </c>
      <c r="H80" s="11">
        <f t="shared" si="0"/>
        <v>0</v>
      </c>
      <c r="I80" s="11">
        <f t="shared" si="1"/>
        <v>0</v>
      </c>
      <c r="J80" s="11">
        <f t="shared" si="2"/>
        <v>0</v>
      </c>
      <c r="K80" s="70" t="s">
        <v>230</v>
      </c>
      <c r="Z80" s="12">
        <f t="shared" si="3"/>
        <v>0</v>
      </c>
      <c r="AB80" s="12">
        <f t="shared" si="4"/>
        <v>0</v>
      </c>
      <c r="AC80" s="12">
        <f t="shared" si="5"/>
        <v>0</v>
      </c>
      <c r="AD80" s="12">
        <f t="shared" si="6"/>
        <v>0</v>
      </c>
      <c r="AE80" s="12">
        <f t="shared" si="7"/>
        <v>0</v>
      </c>
      <c r="AF80" s="12">
        <f t="shared" si="8"/>
        <v>0</v>
      </c>
      <c r="AG80" s="12">
        <f t="shared" si="9"/>
        <v>0</v>
      </c>
      <c r="AH80" s="12">
        <f t="shared" si="10"/>
        <v>0</v>
      </c>
      <c r="AI80" s="60" t="s">
        <v>344</v>
      </c>
      <c r="AJ80" s="12">
        <f t="shared" si="11"/>
        <v>0</v>
      </c>
      <c r="AK80" s="12">
        <f t="shared" si="12"/>
        <v>0</v>
      </c>
      <c r="AL80" s="12">
        <f t="shared" si="13"/>
        <v>0</v>
      </c>
      <c r="AN80" s="12">
        <v>21</v>
      </c>
      <c r="AO80" s="12">
        <f t="shared" si="14"/>
        <v>0</v>
      </c>
      <c r="AP80" s="12">
        <f t="shared" si="15"/>
        <v>0</v>
      </c>
      <c r="AQ80" s="31" t="s">
        <v>460</v>
      </c>
      <c r="AV80" s="12">
        <f t="shared" si="16"/>
        <v>0</v>
      </c>
      <c r="AW80" s="12">
        <f t="shared" si="17"/>
        <v>0</v>
      </c>
      <c r="AX80" s="12">
        <f t="shared" si="18"/>
        <v>0</v>
      </c>
      <c r="AY80" s="31" t="s">
        <v>362</v>
      </c>
      <c r="AZ80" s="31" t="s">
        <v>5</v>
      </c>
      <c r="BA80" s="60" t="s">
        <v>372</v>
      </c>
      <c r="BC80" s="12">
        <f t="shared" si="19"/>
        <v>0</v>
      </c>
      <c r="BD80" s="12">
        <f t="shared" si="20"/>
        <v>0</v>
      </c>
      <c r="BE80" s="12">
        <v>0</v>
      </c>
      <c r="BF80" s="12">
        <f>80</f>
        <v>80</v>
      </c>
      <c r="BH80" s="12">
        <f t="shared" si="21"/>
        <v>0</v>
      </c>
      <c r="BI80" s="12">
        <f t="shared" si="22"/>
        <v>0</v>
      </c>
      <c r="BJ80" s="12">
        <f t="shared" si="23"/>
        <v>0</v>
      </c>
      <c r="BK80" s="12"/>
      <c r="BL80" s="12"/>
      <c r="BW80" s="12">
        <v>21</v>
      </c>
    </row>
    <row r="81" spans="1:75" ht="13.5" customHeight="1">
      <c r="A81" s="28" t="s">
        <v>216</v>
      </c>
      <c r="B81" s="81" t="s">
        <v>513</v>
      </c>
      <c r="C81" s="175" t="s">
        <v>462</v>
      </c>
      <c r="D81" s="176"/>
      <c r="E81" s="81" t="s">
        <v>238</v>
      </c>
      <c r="F81" s="11">
        <v>0.14042</v>
      </c>
      <c r="G81" s="104">
        <v>0</v>
      </c>
      <c r="H81" s="11">
        <f t="shared" si="0"/>
        <v>0</v>
      </c>
      <c r="I81" s="11">
        <f t="shared" si="1"/>
        <v>0</v>
      </c>
      <c r="J81" s="11">
        <f t="shared" si="2"/>
        <v>0</v>
      </c>
      <c r="K81" s="70" t="s">
        <v>230</v>
      </c>
      <c r="Z81" s="12">
        <f t="shared" si="3"/>
        <v>0</v>
      </c>
      <c r="AB81" s="12">
        <f t="shared" si="4"/>
        <v>0</v>
      </c>
      <c r="AC81" s="12">
        <f t="shared" si="5"/>
        <v>0</v>
      </c>
      <c r="AD81" s="12">
        <f t="shared" si="6"/>
        <v>0</v>
      </c>
      <c r="AE81" s="12">
        <f t="shared" si="7"/>
        <v>0</v>
      </c>
      <c r="AF81" s="12">
        <f t="shared" si="8"/>
        <v>0</v>
      </c>
      <c r="AG81" s="12">
        <f t="shared" si="9"/>
        <v>0</v>
      </c>
      <c r="AH81" s="12">
        <f t="shared" si="10"/>
        <v>0</v>
      </c>
      <c r="AI81" s="60" t="s">
        <v>344</v>
      </c>
      <c r="AJ81" s="12">
        <f t="shared" si="11"/>
        <v>0</v>
      </c>
      <c r="AK81" s="12">
        <f t="shared" si="12"/>
        <v>0</v>
      </c>
      <c r="AL81" s="12">
        <f t="shared" si="13"/>
        <v>0</v>
      </c>
      <c r="AN81" s="12">
        <v>21</v>
      </c>
      <c r="AO81" s="12">
        <f t="shared" si="14"/>
        <v>0</v>
      </c>
      <c r="AP81" s="12">
        <f t="shared" si="15"/>
        <v>0</v>
      </c>
      <c r="AQ81" s="31" t="s">
        <v>460</v>
      </c>
      <c r="AV81" s="12">
        <f t="shared" si="16"/>
        <v>0</v>
      </c>
      <c r="AW81" s="12">
        <f t="shared" si="17"/>
        <v>0</v>
      </c>
      <c r="AX81" s="12">
        <f t="shared" si="18"/>
        <v>0</v>
      </c>
      <c r="AY81" s="31" t="s">
        <v>362</v>
      </c>
      <c r="AZ81" s="31" t="s">
        <v>5</v>
      </c>
      <c r="BA81" s="60" t="s">
        <v>372</v>
      </c>
      <c r="BC81" s="12">
        <f t="shared" si="19"/>
        <v>0</v>
      </c>
      <c r="BD81" s="12">
        <f t="shared" si="20"/>
        <v>0</v>
      </c>
      <c r="BE81" s="12">
        <v>0</v>
      </c>
      <c r="BF81" s="12">
        <f>81</f>
        <v>81</v>
      </c>
      <c r="BH81" s="12">
        <f t="shared" si="21"/>
        <v>0</v>
      </c>
      <c r="BI81" s="12">
        <f t="shared" si="22"/>
        <v>0</v>
      </c>
      <c r="BJ81" s="12">
        <f t="shared" si="23"/>
        <v>0</v>
      </c>
      <c r="BK81" s="12"/>
      <c r="BL81" s="12"/>
      <c r="BW81" s="12">
        <v>21</v>
      </c>
    </row>
    <row r="82" spans="1:75" ht="13.5" customHeight="1">
      <c r="A82" s="28" t="s">
        <v>215</v>
      </c>
      <c r="B82" s="81" t="s">
        <v>254</v>
      </c>
      <c r="C82" s="175" t="s">
        <v>156</v>
      </c>
      <c r="D82" s="176"/>
      <c r="E82" s="81" t="s">
        <v>238</v>
      </c>
      <c r="F82" s="11">
        <v>0.00421</v>
      </c>
      <c r="G82" s="104">
        <v>0</v>
      </c>
      <c r="H82" s="11">
        <f t="shared" si="0"/>
        <v>0</v>
      </c>
      <c r="I82" s="11">
        <f t="shared" si="1"/>
        <v>0</v>
      </c>
      <c r="J82" s="11">
        <f t="shared" si="2"/>
        <v>0</v>
      </c>
      <c r="K82" s="70" t="s">
        <v>230</v>
      </c>
      <c r="Z82" s="12">
        <f t="shared" si="3"/>
        <v>0</v>
      </c>
      <c r="AB82" s="12">
        <f t="shared" si="4"/>
        <v>0</v>
      </c>
      <c r="AC82" s="12">
        <f t="shared" si="5"/>
        <v>0</v>
      </c>
      <c r="AD82" s="12">
        <f t="shared" si="6"/>
        <v>0</v>
      </c>
      <c r="AE82" s="12">
        <f t="shared" si="7"/>
        <v>0</v>
      </c>
      <c r="AF82" s="12">
        <f t="shared" si="8"/>
        <v>0</v>
      </c>
      <c r="AG82" s="12">
        <f t="shared" si="9"/>
        <v>0</v>
      </c>
      <c r="AH82" s="12">
        <f t="shared" si="10"/>
        <v>0</v>
      </c>
      <c r="AI82" s="60" t="s">
        <v>344</v>
      </c>
      <c r="AJ82" s="12">
        <f t="shared" si="11"/>
        <v>0</v>
      </c>
      <c r="AK82" s="12">
        <f t="shared" si="12"/>
        <v>0</v>
      </c>
      <c r="AL82" s="12">
        <f t="shared" si="13"/>
        <v>0</v>
      </c>
      <c r="AN82" s="12">
        <v>21</v>
      </c>
      <c r="AO82" s="12">
        <f t="shared" si="14"/>
        <v>0</v>
      </c>
      <c r="AP82" s="12">
        <f t="shared" si="15"/>
        <v>0</v>
      </c>
      <c r="AQ82" s="31" t="s">
        <v>460</v>
      </c>
      <c r="AV82" s="12">
        <f t="shared" si="16"/>
        <v>0</v>
      </c>
      <c r="AW82" s="12">
        <f t="shared" si="17"/>
        <v>0</v>
      </c>
      <c r="AX82" s="12">
        <f t="shared" si="18"/>
        <v>0</v>
      </c>
      <c r="AY82" s="31" t="s">
        <v>362</v>
      </c>
      <c r="AZ82" s="31" t="s">
        <v>5</v>
      </c>
      <c r="BA82" s="60" t="s">
        <v>372</v>
      </c>
      <c r="BC82" s="12">
        <f t="shared" si="19"/>
        <v>0</v>
      </c>
      <c r="BD82" s="12">
        <f t="shared" si="20"/>
        <v>0</v>
      </c>
      <c r="BE82" s="12">
        <v>0</v>
      </c>
      <c r="BF82" s="12">
        <f>82</f>
        <v>82</v>
      </c>
      <c r="BH82" s="12">
        <f t="shared" si="21"/>
        <v>0</v>
      </c>
      <c r="BI82" s="12">
        <f t="shared" si="22"/>
        <v>0</v>
      </c>
      <c r="BJ82" s="12">
        <f t="shared" si="23"/>
        <v>0</v>
      </c>
      <c r="BK82" s="12"/>
      <c r="BL82" s="12"/>
      <c r="BW82" s="12">
        <v>21</v>
      </c>
    </row>
    <row r="83" spans="1:75" ht="27" customHeight="1">
      <c r="A83" s="28" t="s">
        <v>240</v>
      </c>
      <c r="B83" s="81" t="s">
        <v>207</v>
      </c>
      <c r="C83" s="175" t="s">
        <v>62</v>
      </c>
      <c r="D83" s="176"/>
      <c r="E83" s="81" t="s">
        <v>450</v>
      </c>
      <c r="F83" s="11">
        <v>3.264</v>
      </c>
      <c r="G83" s="104">
        <v>0</v>
      </c>
      <c r="H83" s="11">
        <f t="shared" si="0"/>
        <v>0</v>
      </c>
      <c r="I83" s="11">
        <f t="shared" si="1"/>
        <v>0</v>
      </c>
      <c r="J83" s="11">
        <f t="shared" si="2"/>
        <v>0</v>
      </c>
      <c r="K83" s="70" t="s">
        <v>230</v>
      </c>
      <c r="Z83" s="12">
        <f t="shared" si="3"/>
        <v>0</v>
      </c>
      <c r="AB83" s="12">
        <f t="shared" si="4"/>
        <v>0</v>
      </c>
      <c r="AC83" s="12">
        <f t="shared" si="5"/>
        <v>0</v>
      </c>
      <c r="AD83" s="12">
        <f t="shared" si="6"/>
        <v>0</v>
      </c>
      <c r="AE83" s="12">
        <f t="shared" si="7"/>
        <v>0</v>
      </c>
      <c r="AF83" s="12">
        <f t="shared" si="8"/>
        <v>0</v>
      </c>
      <c r="AG83" s="12">
        <f t="shared" si="9"/>
        <v>0</v>
      </c>
      <c r="AH83" s="12">
        <f t="shared" si="10"/>
        <v>0</v>
      </c>
      <c r="AI83" s="60" t="s">
        <v>344</v>
      </c>
      <c r="AJ83" s="12">
        <f t="shared" si="11"/>
        <v>0</v>
      </c>
      <c r="AK83" s="12">
        <f t="shared" si="12"/>
        <v>0</v>
      </c>
      <c r="AL83" s="12">
        <f t="shared" si="13"/>
        <v>0</v>
      </c>
      <c r="AN83" s="12">
        <v>21</v>
      </c>
      <c r="AO83" s="12">
        <f t="shared" si="14"/>
        <v>0</v>
      </c>
      <c r="AP83" s="12">
        <f t="shared" si="15"/>
        <v>0</v>
      </c>
      <c r="AQ83" s="31" t="s">
        <v>460</v>
      </c>
      <c r="AV83" s="12">
        <f t="shared" si="16"/>
        <v>0</v>
      </c>
      <c r="AW83" s="12">
        <f t="shared" si="17"/>
        <v>0</v>
      </c>
      <c r="AX83" s="12">
        <f t="shared" si="18"/>
        <v>0</v>
      </c>
      <c r="AY83" s="31" t="s">
        <v>362</v>
      </c>
      <c r="AZ83" s="31" t="s">
        <v>5</v>
      </c>
      <c r="BA83" s="60" t="s">
        <v>372</v>
      </c>
      <c r="BC83" s="12">
        <f t="shared" si="19"/>
        <v>0</v>
      </c>
      <c r="BD83" s="12">
        <f t="shared" si="20"/>
        <v>0</v>
      </c>
      <c r="BE83" s="12">
        <v>0</v>
      </c>
      <c r="BF83" s="12">
        <f>83</f>
        <v>83</v>
      </c>
      <c r="BH83" s="12">
        <f t="shared" si="21"/>
        <v>0</v>
      </c>
      <c r="BI83" s="12">
        <f t="shared" si="22"/>
        <v>0</v>
      </c>
      <c r="BJ83" s="12">
        <f t="shared" si="23"/>
        <v>0</v>
      </c>
      <c r="BK83" s="12"/>
      <c r="BL83" s="12"/>
      <c r="BW83" s="12">
        <v>21</v>
      </c>
    </row>
    <row r="84" spans="1:75" ht="13.5" customHeight="1">
      <c r="A84" s="28" t="s">
        <v>435</v>
      </c>
      <c r="B84" s="81" t="s">
        <v>80</v>
      </c>
      <c r="C84" s="175" t="s">
        <v>48</v>
      </c>
      <c r="D84" s="176"/>
      <c r="E84" s="81" t="s">
        <v>235</v>
      </c>
      <c r="F84" s="11">
        <v>0.8</v>
      </c>
      <c r="G84" s="104">
        <v>0</v>
      </c>
      <c r="H84" s="11">
        <f t="shared" si="0"/>
        <v>0</v>
      </c>
      <c r="I84" s="11">
        <f t="shared" si="1"/>
        <v>0</v>
      </c>
      <c r="J84" s="11">
        <f t="shared" si="2"/>
        <v>0</v>
      </c>
      <c r="K84" s="70" t="s">
        <v>230</v>
      </c>
      <c r="Z84" s="12">
        <f t="shared" si="3"/>
        <v>0</v>
      </c>
      <c r="AB84" s="12">
        <f t="shared" si="4"/>
        <v>0</v>
      </c>
      <c r="AC84" s="12">
        <f t="shared" si="5"/>
        <v>0</v>
      </c>
      <c r="AD84" s="12">
        <f t="shared" si="6"/>
        <v>0</v>
      </c>
      <c r="AE84" s="12">
        <f t="shared" si="7"/>
        <v>0</v>
      </c>
      <c r="AF84" s="12">
        <f t="shared" si="8"/>
        <v>0</v>
      </c>
      <c r="AG84" s="12">
        <f t="shared" si="9"/>
        <v>0</v>
      </c>
      <c r="AH84" s="12">
        <f t="shared" si="10"/>
        <v>0</v>
      </c>
      <c r="AI84" s="60" t="s">
        <v>344</v>
      </c>
      <c r="AJ84" s="12">
        <f t="shared" si="11"/>
        <v>0</v>
      </c>
      <c r="AK84" s="12">
        <f t="shared" si="12"/>
        <v>0</v>
      </c>
      <c r="AL84" s="12">
        <f t="shared" si="13"/>
        <v>0</v>
      </c>
      <c r="AN84" s="12">
        <v>21</v>
      </c>
      <c r="AO84" s="12">
        <f t="shared" si="14"/>
        <v>0</v>
      </c>
      <c r="AP84" s="12">
        <f t="shared" si="15"/>
        <v>0</v>
      </c>
      <c r="AQ84" s="31" t="s">
        <v>460</v>
      </c>
      <c r="AV84" s="12">
        <f t="shared" si="16"/>
        <v>0</v>
      </c>
      <c r="AW84" s="12">
        <f t="shared" si="17"/>
        <v>0</v>
      </c>
      <c r="AX84" s="12">
        <f t="shared" si="18"/>
        <v>0</v>
      </c>
      <c r="AY84" s="31" t="s">
        <v>362</v>
      </c>
      <c r="AZ84" s="31" t="s">
        <v>5</v>
      </c>
      <c r="BA84" s="60" t="s">
        <v>372</v>
      </c>
      <c r="BC84" s="12">
        <f t="shared" si="19"/>
        <v>0</v>
      </c>
      <c r="BD84" s="12">
        <f t="shared" si="20"/>
        <v>0</v>
      </c>
      <c r="BE84" s="12">
        <v>0</v>
      </c>
      <c r="BF84" s="12">
        <f>84</f>
        <v>84</v>
      </c>
      <c r="BH84" s="12">
        <f t="shared" si="21"/>
        <v>0</v>
      </c>
      <c r="BI84" s="12">
        <f t="shared" si="22"/>
        <v>0</v>
      </c>
      <c r="BJ84" s="12">
        <f t="shared" si="23"/>
        <v>0</v>
      </c>
      <c r="BK84" s="12"/>
      <c r="BL84" s="12"/>
      <c r="BW84" s="12">
        <v>21</v>
      </c>
    </row>
    <row r="85" spans="1:75" ht="13.5" customHeight="1">
      <c r="A85" s="28" t="s">
        <v>326</v>
      </c>
      <c r="B85" s="81" t="s">
        <v>142</v>
      </c>
      <c r="C85" s="175" t="s">
        <v>355</v>
      </c>
      <c r="D85" s="176"/>
      <c r="E85" s="81" t="s">
        <v>390</v>
      </c>
      <c r="F85" s="11">
        <v>200</v>
      </c>
      <c r="G85" s="104">
        <v>0</v>
      </c>
      <c r="H85" s="11">
        <f t="shared" si="0"/>
        <v>0</v>
      </c>
      <c r="I85" s="11">
        <f t="shared" si="1"/>
        <v>0</v>
      </c>
      <c r="J85" s="11">
        <f t="shared" si="2"/>
        <v>0</v>
      </c>
      <c r="K85" s="70" t="s">
        <v>230</v>
      </c>
      <c r="Z85" s="12">
        <f t="shared" si="3"/>
        <v>0</v>
      </c>
      <c r="AB85" s="12">
        <f t="shared" si="4"/>
        <v>0</v>
      </c>
      <c r="AC85" s="12">
        <f t="shared" si="5"/>
        <v>0</v>
      </c>
      <c r="AD85" s="12">
        <f t="shared" si="6"/>
        <v>0</v>
      </c>
      <c r="AE85" s="12">
        <f t="shared" si="7"/>
        <v>0</v>
      </c>
      <c r="AF85" s="12">
        <f t="shared" si="8"/>
        <v>0</v>
      </c>
      <c r="AG85" s="12">
        <f t="shared" si="9"/>
        <v>0</v>
      </c>
      <c r="AH85" s="12">
        <f t="shared" si="10"/>
        <v>0</v>
      </c>
      <c r="AI85" s="60" t="s">
        <v>344</v>
      </c>
      <c r="AJ85" s="12">
        <f t="shared" si="11"/>
        <v>0</v>
      </c>
      <c r="AK85" s="12">
        <f t="shared" si="12"/>
        <v>0</v>
      </c>
      <c r="AL85" s="12">
        <f t="shared" si="13"/>
        <v>0</v>
      </c>
      <c r="AN85" s="12">
        <v>21</v>
      </c>
      <c r="AO85" s="12">
        <f t="shared" si="14"/>
        <v>0</v>
      </c>
      <c r="AP85" s="12">
        <f t="shared" si="15"/>
        <v>0</v>
      </c>
      <c r="AQ85" s="31" t="s">
        <v>460</v>
      </c>
      <c r="AV85" s="12">
        <f t="shared" si="16"/>
        <v>0</v>
      </c>
      <c r="AW85" s="12">
        <f t="shared" si="17"/>
        <v>0</v>
      </c>
      <c r="AX85" s="12">
        <f t="shared" si="18"/>
        <v>0</v>
      </c>
      <c r="AY85" s="31" t="s">
        <v>362</v>
      </c>
      <c r="AZ85" s="31" t="s">
        <v>5</v>
      </c>
      <c r="BA85" s="60" t="s">
        <v>372</v>
      </c>
      <c r="BC85" s="12">
        <f t="shared" si="19"/>
        <v>0</v>
      </c>
      <c r="BD85" s="12">
        <f t="shared" si="20"/>
        <v>0</v>
      </c>
      <c r="BE85" s="12">
        <v>0</v>
      </c>
      <c r="BF85" s="12">
        <f>85</f>
        <v>85</v>
      </c>
      <c r="BH85" s="12">
        <f t="shared" si="21"/>
        <v>0</v>
      </c>
      <c r="BI85" s="12">
        <f t="shared" si="22"/>
        <v>0</v>
      </c>
      <c r="BJ85" s="12">
        <f t="shared" si="23"/>
        <v>0</v>
      </c>
      <c r="BK85" s="12"/>
      <c r="BL85" s="12"/>
      <c r="BW85" s="12">
        <v>21</v>
      </c>
    </row>
    <row r="86" spans="1:75" ht="13.5" customHeight="1">
      <c r="A86" s="28" t="s">
        <v>310</v>
      </c>
      <c r="B86" s="81" t="s">
        <v>161</v>
      </c>
      <c r="C86" s="175" t="s">
        <v>25</v>
      </c>
      <c r="D86" s="176"/>
      <c r="E86" s="81" t="s">
        <v>122</v>
      </c>
      <c r="F86" s="11">
        <v>1</v>
      </c>
      <c r="G86" s="104">
        <v>0</v>
      </c>
      <c r="H86" s="11">
        <f t="shared" si="0"/>
        <v>0</v>
      </c>
      <c r="I86" s="11">
        <f t="shared" si="1"/>
        <v>0</v>
      </c>
      <c r="J86" s="11">
        <f t="shared" si="2"/>
        <v>0</v>
      </c>
      <c r="K86" s="70" t="s">
        <v>230</v>
      </c>
      <c r="Z86" s="12">
        <f t="shared" si="3"/>
        <v>0</v>
      </c>
      <c r="AB86" s="12">
        <f t="shared" si="4"/>
        <v>0</v>
      </c>
      <c r="AC86" s="12">
        <f t="shared" si="5"/>
        <v>0</v>
      </c>
      <c r="AD86" s="12">
        <f t="shared" si="6"/>
        <v>0</v>
      </c>
      <c r="AE86" s="12">
        <f t="shared" si="7"/>
        <v>0</v>
      </c>
      <c r="AF86" s="12">
        <f t="shared" si="8"/>
        <v>0</v>
      </c>
      <c r="AG86" s="12">
        <f t="shared" si="9"/>
        <v>0</v>
      </c>
      <c r="AH86" s="12">
        <f t="shared" si="10"/>
        <v>0</v>
      </c>
      <c r="AI86" s="60" t="s">
        <v>344</v>
      </c>
      <c r="AJ86" s="12">
        <f t="shared" si="11"/>
        <v>0</v>
      </c>
      <c r="AK86" s="12">
        <f t="shared" si="12"/>
        <v>0</v>
      </c>
      <c r="AL86" s="12">
        <f t="shared" si="13"/>
        <v>0</v>
      </c>
      <c r="AN86" s="12">
        <v>21</v>
      </c>
      <c r="AO86" s="12">
        <f t="shared" si="14"/>
        <v>0</v>
      </c>
      <c r="AP86" s="12">
        <f t="shared" si="15"/>
        <v>0</v>
      </c>
      <c r="AQ86" s="31" t="s">
        <v>460</v>
      </c>
      <c r="AV86" s="12">
        <f t="shared" si="16"/>
        <v>0</v>
      </c>
      <c r="AW86" s="12">
        <f t="shared" si="17"/>
        <v>0</v>
      </c>
      <c r="AX86" s="12">
        <f t="shared" si="18"/>
        <v>0</v>
      </c>
      <c r="AY86" s="31" t="s">
        <v>362</v>
      </c>
      <c r="AZ86" s="31" t="s">
        <v>5</v>
      </c>
      <c r="BA86" s="60" t="s">
        <v>372</v>
      </c>
      <c r="BC86" s="12">
        <f t="shared" si="19"/>
        <v>0</v>
      </c>
      <c r="BD86" s="12">
        <f t="shared" si="20"/>
        <v>0</v>
      </c>
      <c r="BE86" s="12">
        <v>0</v>
      </c>
      <c r="BF86" s="12">
        <f>86</f>
        <v>86</v>
      </c>
      <c r="BH86" s="12">
        <f t="shared" si="21"/>
        <v>0</v>
      </c>
      <c r="BI86" s="12">
        <f t="shared" si="22"/>
        <v>0</v>
      </c>
      <c r="BJ86" s="12">
        <f t="shared" si="23"/>
        <v>0</v>
      </c>
      <c r="BK86" s="12"/>
      <c r="BL86" s="12"/>
      <c r="BW86" s="12">
        <v>21</v>
      </c>
    </row>
    <row r="87" spans="1:75" ht="27" customHeight="1">
      <c r="A87" s="28" t="s">
        <v>443</v>
      </c>
      <c r="B87" s="81" t="s">
        <v>20</v>
      </c>
      <c r="C87" s="175" t="s">
        <v>291</v>
      </c>
      <c r="D87" s="176"/>
      <c r="E87" s="81" t="s">
        <v>122</v>
      </c>
      <c r="F87" s="11">
        <v>1</v>
      </c>
      <c r="G87" s="104">
        <v>0</v>
      </c>
      <c r="H87" s="11">
        <f t="shared" si="0"/>
        <v>0</v>
      </c>
      <c r="I87" s="11">
        <f t="shared" si="1"/>
        <v>0</v>
      </c>
      <c r="J87" s="11">
        <f t="shared" si="2"/>
        <v>0</v>
      </c>
      <c r="K87" s="70" t="s">
        <v>230</v>
      </c>
      <c r="Z87" s="12">
        <f t="shared" si="3"/>
        <v>0</v>
      </c>
      <c r="AB87" s="12">
        <f t="shared" si="4"/>
        <v>0</v>
      </c>
      <c r="AC87" s="12">
        <f t="shared" si="5"/>
        <v>0</v>
      </c>
      <c r="AD87" s="12">
        <f t="shared" si="6"/>
        <v>0</v>
      </c>
      <c r="AE87" s="12">
        <f t="shared" si="7"/>
        <v>0</v>
      </c>
      <c r="AF87" s="12">
        <f t="shared" si="8"/>
        <v>0</v>
      </c>
      <c r="AG87" s="12">
        <f t="shared" si="9"/>
        <v>0</v>
      </c>
      <c r="AH87" s="12">
        <f t="shared" si="10"/>
        <v>0</v>
      </c>
      <c r="AI87" s="60" t="s">
        <v>344</v>
      </c>
      <c r="AJ87" s="12">
        <f t="shared" si="11"/>
        <v>0</v>
      </c>
      <c r="AK87" s="12">
        <f t="shared" si="12"/>
        <v>0</v>
      </c>
      <c r="AL87" s="12">
        <f t="shared" si="13"/>
        <v>0</v>
      </c>
      <c r="AN87" s="12">
        <v>21</v>
      </c>
      <c r="AO87" s="12">
        <f t="shared" si="14"/>
        <v>0</v>
      </c>
      <c r="AP87" s="12">
        <f t="shared" si="15"/>
        <v>0</v>
      </c>
      <c r="AQ87" s="31" t="s">
        <v>460</v>
      </c>
      <c r="AV87" s="12">
        <f t="shared" si="16"/>
        <v>0</v>
      </c>
      <c r="AW87" s="12">
        <f t="shared" si="17"/>
        <v>0</v>
      </c>
      <c r="AX87" s="12">
        <f t="shared" si="18"/>
        <v>0</v>
      </c>
      <c r="AY87" s="31" t="s">
        <v>362</v>
      </c>
      <c r="AZ87" s="31" t="s">
        <v>5</v>
      </c>
      <c r="BA87" s="60" t="s">
        <v>372</v>
      </c>
      <c r="BC87" s="12">
        <f t="shared" si="19"/>
        <v>0</v>
      </c>
      <c r="BD87" s="12">
        <f t="shared" si="20"/>
        <v>0</v>
      </c>
      <c r="BE87" s="12">
        <v>0</v>
      </c>
      <c r="BF87" s="12">
        <f>87</f>
        <v>87</v>
      </c>
      <c r="BH87" s="12">
        <f t="shared" si="21"/>
        <v>0</v>
      </c>
      <c r="BI87" s="12">
        <f t="shared" si="22"/>
        <v>0</v>
      </c>
      <c r="BJ87" s="12">
        <f t="shared" si="23"/>
        <v>0</v>
      </c>
      <c r="BK87" s="12"/>
      <c r="BL87" s="12"/>
      <c r="BW87" s="12">
        <v>21</v>
      </c>
    </row>
    <row r="88" spans="1:75" ht="13.5" customHeight="1">
      <c r="A88" s="28" t="s">
        <v>290</v>
      </c>
      <c r="B88" s="81" t="s">
        <v>187</v>
      </c>
      <c r="C88" s="175" t="s">
        <v>137</v>
      </c>
      <c r="D88" s="176"/>
      <c r="E88" s="81" t="s">
        <v>454</v>
      </c>
      <c r="F88" s="11">
        <v>800</v>
      </c>
      <c r="G88" s="104">
        <v>0</v>
      </c>
      <c r="H88" s="11">
        <f t="shared" si="0"/>
        <v>0</v>
      </c>
      <c r="I88" s="11">
        <f t="shared" si="1"/>
        <v>0</v>
      </c>
      <c r="J88" s="11">
        <f t="shared" si="2"/>
        <v>0</v>
      </c>
      <c r="K88" s="70" t="s">
        <v>230</v>
      </c>
      <c r="Z88" s="12">
        <f t="shared" si="3"/>
        <v>0</v>
      </c>
      <c r="AB88" s="12">
        <f t="shared" si="4"/>
        <v>0</v>
      </c>
      <c r="AC88" s="12">
        <f t="shared" si="5"/>
        <v>0</v>
      </c>
      <c r="AD88" s="12">
        <f t="shared" si="6"/>
        <v>0</v>
      </c>
      <c r="AE88" s="12">
        <f t="shared" si="7"/>
        <v>0</v>
      </c>
      <c r="AF88" s="12">
        <f t="shared" si="8"/>
        <v>0</v>
      </c>
      <c r="AG88" s="12">
        <f t="shared" si="9"/>
        <v>0</v>
      </c>
      <c r="AH88" s="12">
        <f t="shared" si="10"/>
        <v>0</v>
      </c>
      <c r="AI88" s="60" t="s">
        <v>344</v>
      </c>
      <c r="AJ88" s="12">
        <f t="shared" si="11"/>
        <v>0</v>
      </c>
      <c r="AK88" s="12">
        <f t="shared" si="12"/>
        <v>0</v>
      </c>
      <c r="AL88" s="12">
        <f t="shared" si="13"/>
        <v>0</v>
      </c>
      <c r="AN88" s="12">
        <v>21</v>
      </c>
      <c r="AO88" s="12">
        <f t="shared" si="14"/>
        <v>0</v>
      </c>
      <c r="AP88" s="12">
        <f t="shared" si="15"/>
        <v>0</v>
      </c>
      <c r="AQ88" s="31" t="s">
        <v>460</v>
      </c>
      <c r="AV88" s="12">
        <f t="shared" si="16"/>
        <v>0</v>
      </c>
      <c r="AW88" s="12">
        <f t="shared" si="17"/>
        <v>0</v>
      </c>
      <c r="AX88" s="12">
        <f t="shared" si="18"/>
        <v>0</v>
      </c>
      <c r="AY88" s="31" t="s">
        <v>362</v>
      </c>
      <c r="AZ88" s="31" t="s">
        <v>5</v>
      </c>
      <c r="BA88" s="60" t="s">
        <v>372</v>
      </c>
      <c r="BC88" s="12">
        <f t="shared" si="19"/>
        <v>0</v>
      </c>
      <c r="BD88" s="12">
        <f t="shared" si="20"/>
        <v>0</v>
      </c>
      <c r="BE88" s="12">
        <v>0</v>
      </c>
      <c r="BF88" s="12">
        <f>88</f>
        <v>88</v>
      </c>
      <c r="BH88" s="12">
        <f t="shared" si="21"/>
        <v>0</v>
      </c>
      <c r="BI88" s="12">
        <f t="shared" si="22"/>
        <v>0</v>
      </c>
      <c r="BJ88" s="12">
        <f t="shared" si="23"/>
        <v>0</v>
      </c>
      <c r="BK88" s="12"/>
      <c r="BL88" s="12"/>
      <c r="BW88" s="12">
        <v>21</v>
      </c>
    </row>
    <row r="89" spans="1:75" ht="13.5" customHeight="1">
      <c r="A89" s="28" t="s">
        <v>233</v>
      </c>
      <c r="B89" s="81" t="s">
        <v>69</v>
      </c>
      <c r="C89" s="175" t="s">
        <v>91</v>
      </c>
      <c r="D89" s="176"/>
      <c r="E89" s="81" t="s">
        <v>122</v>
      </c>
      <c r="F89" s="11">
        <v>9</v>
      </c>
      <c r="G89" s="104">
        <v>0</v>
      </c>
      <c r="H89" s="11">
        <f t="shared" si="0"/>
        <v>0</v>
      </c>
      <c r="I89" s="11">
        <f t="shared" si="1"/>
        <v>0</v>
      </c>
      <c r="J89" s="11">
        <f t="shared" si="2"/>
        <v>0</v>
      </c>
      <c r="K89" s="70" t="s">
        <v>230</v>
      </c>
      <c r="Z89" s="12">
        <f t="shared" si="3"/>
        <v>0</v>
      </c>
      <c r="AB89" s="12">
        <f t="shared" si="4"/>
        <v>0</v>
      </c>
      <c r="AC89" s="12">
        <f t="shared" si="5"/>
        <v>0</v>
      </c>
      <c r="AD89" s="12">
        <f t="shared" si="6"/>
        <v>0</v>
      </c>
      <c r="AE89" s="12">
        <f t="shared" si="7"/>
        <v>0</v>
      </c>
      <c r="AF89" s="12">
        <f t="shared" si="8"/>
        <v>0</v>
      </c>
      <c r="AG89" s="12">
        <f t="shared" si="9"/>
        <v>0</v>
      </c>
      <c r="AH89" s="12">
        <f t="shared" si="10"/>
        <v>0</v>
      </c>
      <c r="AI89" s="60" t="s">
        <v>344</v>
      </c>
      <c r="AJ89" s="12">
        <f t="shared" si="11"/>
        <v>0</v>
      </c>
      <c r="AK89" s="12">
        <f t="shared" si="12"/>
        <v>0</v>
      </c>
      <c r="AL89" s="12">
        <f t="shared" si="13"/>
        <v>0</v>
      </c>
      <c r="AN89" s="12">
        <v>21</v>
      </c>
      <c r="AO89" s="12">
        <f t="shared" si="14"/>
        <v>0</v>
      </c>
      <c r="AP89" s="12">
        <f t="shared" si="15"/>
        <v>0</v>
      </c>
      <c r="AQ89" s="31" t="s">
        <v>460</v>
      </c>
      <c r="AV89" s="12">
        <f t="shared" si="16"/>
        <v>0</v>
      </c>
      <c r="AW89" s="12">
        <f t="shared" si="17"/>
        <v>0</v>
      </c>
      <c r="AX89" s="12">
        <f t="shared" si="18"/>
        <v>0</v>
      </c>
      <c r="AY89" s="31" t="s">
        <v>362</v>
      </c>
      <c r="AZ89" s="31" t="s">
        <v>5</v>
      </c>
      <c r="BA89" s="60" t="s">
        <v>372</v>
      </c>
      <c r="BC89" s="12">
        <f t="shared" si="19"/>
        <v>0</v>
      </c>
      <c r="BD89" s="12">
        <f t="shared" si="20"/>
        <v>0</v>
      </c>
      <c r="BE89" s="12">
        <v>0</v>
      </c>
      <c r="BF89" s="12">
        <f>89</f>
        <v>89</v>
      </c>
      <c r="BH89" s="12">
        <f t="shared" si="21"/>
        <v>0</v>
      </c>
      <c r="BI89" s="12">
        <f t="shared" si="22"/>
        <v>0</v>
      </c>
      <c r="BJ89" s="12">
        <f t="shared" si="23"/>
        <v>0</v>
      </c>
      <c r="BK89" s="12"/>
      <c r="BL89" s="12"/>
      <c r="BW89" s="12">
        <v>21</v>
      </c>
    </row>
    <row r="90" spans="1:75" ht="13.5" customHeight="1">
      <c r="A90" s="28" t="s">
        <v>55</v>
      </c>
      <c r="B90" s="81" t="s">
        <v>39</v>
      </c>
      <c r="C90" s="175" t="s">
        <v>499</v>
      </c>
      <c r="D90" s="176"/>
      <c r="E90" s="81" t="s">
        <v>122</v>
      </c>
      <c r="F90" s="11">
        <v>43</v>
      </c>
      <c r="G90" s="104">
        <v>0</v>
      </c>
      <c r="H90" s="11">
        <f t="shared" si="0"/>
        <v>0</v>
      </c>
      <c r="I90" s="11">
        <f t="shared" si="1"/>
        <v>0</v>
      </c>
      <c r="J90" s="11">
        <f t="shared" si="2"/>
        <v>0</v>
      </c>
      <c r="K90" s="70" t="s">
        <v>230</v>
      </c>
      <c r="Z90" s="12">
        <f t="shared" si="3"/>
        <v>0</v>
      </c>
      <c r="AB90" s="12">
        <f t="shared" si="4"/>
        <v>0</v>
      </c>
      <c r="AC90" s="12">
        <f t="shared" si="5"/>
        <v>0</v>
      </c>
      <c r="AD90" s="12">
        <f t="shared" si="6"/>
        <v>0</v>
      </c>
      <c r="AE90" s="12">
        <f t="shared" si="7"/>
        <v>0</v>
      </c>
      <c r="AF90" s="12">
        <f t="shared" si="8"/>
        <v>0</v>
      </c>
      <c r="AG90" s="12">
        <f t="shared" si="9"/>
        <v>0</v>
      </c>
      <c r="AH90" s="12">
        <f t="shared" si="10"/>
        <v>0</v>
      </c>
      <c r="AI90" s="60" t="s">
        <v>344</v>
      </c>
      <c r="AJ90" s="12">
        <f t="shared" si="11"/>
        <v>0</v>
      </c>
      <c r="AK90" s="12">
        <f t="shared" si="12"/>
        <v>0</v>
      </c>
      <c r="AL90" s="12">
        <f t="shared" si="13"/>
        <v>0</v>
      </c>
      <c r="AN90" s="12">
        <v>21</v>
      </c>
      <c r="AO90" s="12">
        <f t="shared" si="14"/>
        <v>0</v>
      </c>
      <c r="AP90" s="12">
        <f t="shared" si="15"/>
        <v>0</v>
      </c>
      <c r="AQ90" s="31" t="s">
        <v>460</v>
      </c>
      <c r="AV90" s="12">
        <f t="shared" si="16"/>
        <v>0</v>
      </c>
      <c r="AW90" s="12">
        <f t="shared" si="17"/>
        <v>0</v>
      </c>
      <c r="AX90" s="12">
        <f t="shared" si="18"/>
        <v>0</v>
      </c>
      <c r="AY90" s="31" t="s">
        <v>362</v>
      </c>
      <c r="AZ90" s="31" t="s">
        <v>5</v>
      </c>
      <c r="BA90" s="60" t="s">
        <v>372</v>
      </c>
      <c r="BC90" s="12">
        <f t="shared" si="19"/>
        <v>0</v>
      </c>
      <c r="BD90" s="12">
        <f t="shared" si="20"/>
        <v>0</v>
      </c>
      <c r="BE90" s="12">
        <v>0</v>
      </c>
      <c r="BF90" s="12">
        <f>90</f>
        <v>90</v>
      </c>
      <c r="BH90" s="12">
        <f t="shared" si="21"/>
        <v>0</v>
      </c>
      <c r="BI90" s="12">
        <f t="shared" si="22"/>
        <v>0</v>
      </c>
      <c r="BJ90" s="12">
        <f t="shared" si="23"/>
        <v>0</v>
      </c>
      <c r="BK90" s="12"/>
      <c r="BL90" s="12"/>
      <c r="BW90" s="12">
        <v>21</v>
      </c>
    </row>
    <row r="91" spans="1:75" ht="13.5" customHeight="1">
      <c r="A91" s="28" t="s">
        <v>357</v>
      </c>
      <c r="B91" s="81" t="s">
        <v>394</v>
      </c>
      <c r="C91" s="175" t="s">
        <v>236</v>
      </c>
      <c r="D91" s="176"/>
      <c r="E91" s="81" t="s">
        <v>122</v>
      </c>
      <c r="F91" s="11">
        <v>82</v>
      </c>
      <c r="G91" s="104">
        <v>0</v>
      </c>
      <c r="H91" s="11">
        <f t="shared" si="0"/>
        <v>0</v>
      </c>
      <c r="I91" s="11">
        <f t="shared" si="1"/>
        <v>0</v>
      </c>
      <c r="J91" s="11">
        <f t="shared" si="2"/>
        <v>0</v>
      </c>
      <c r="K91" s="70" t="s">
        <v>230</v>
      </c>
      <c r="Z91" s="12">
        <f t="shared" si="3"/>
        <v>0</v>
      </c>
      <c r="AB91" s="12">
        <f t="shared" si="4"/>
        <v>0</v>
      </c>
      <c r="AC91" s="12">
        <f t="shared" si="5"/>
        <v>0</v>
      </c>
      <c r="AD91" s="12">
        <f t="shared" si="6"/>
        <v>0</v>
      </c>
      <c r="AE91" s="12">
        <f t="shared" si="7"/>
        <v>0</v>
      </c>
      <c r="AF91" s="12">
        <f t="shared" si="8"/>
        <v>0</v>
      </c>
      <c r="AG91" s="12">
        <f t="shared" si="9"/>
        <v>0</v>
      </c>
      <c r="AH91" s="12">
        <f t="shared" si="10"/>
        <v>0</v>
      </c>
      <c r="AI91" s="60" t="s">
        <v>344</v>
      </c>
      <c r="AJ91" s="12">
        <f t="shared" si="11"/>
        <v>0</v>
      </c>
      <c r="AK91" s="12">
        <f t="shared" si="12"/>
        <v>0</v>
      </c>
      <c r="AL91" s="12">
        <f t="shared" si="13"/>
        <v>0</v>
      </c>
      <c r="AN91" s="12">
        <v>21</v>
      </c>
      <c r="AO91" s="12">
        <f t="shared" si="14"/>
        <v>0</v>
      </c>
      <c r="AP91" s="12">
        <f t="shared" si="15"/>
        <v>0</v>
      </c>
      <c r="AQ91" s="31" t="s">
        <v>460</v>
      </c>
      <c r="AV91" s="12">
        <f t="shared" si="16"/>
        <v>0</v>
      </c>
      <c r="AW91" s="12">
        <f t="shared" si="17"/>
        <v>0</v>
      </c>
      <c r="AX91" s="12">
        <f t="shared" si="18"/>
        <v>0</v>
      </c>
      <c r="AY91" s="31" t="s">
        <v>362</v>
      </c>
      <c r="AZ91" s="31" t="s">
        <v>5</v>
      </c>
      <c r="BA91" s="60" t="s">
        <v>372</v>
      </c>
      <c r="BC91" s="12">
        <f t="shared" si="19"/>
        <v>0</v>
      </c>
      <c r="BD91" s="12">
        <f t="shared" si="20"/>
        <v>0</v>
      </c>
      <c r="BE91" s="12">
        <v>0</v>
      </c>
      <c r="BF91" s="12">
        <f>91</f>
        <v>91</v>
      </c>
      <c r="BH91" s="12">
        <f t="shared" si="21"/>
        <v>0</v>
      </c>
      <c r="BI91" s="12">
        <f t="shared" si="22"/>
        <v>0</v>
      </c>
      <c r="BJ91" s="12">
        <f t="shared" si="23"/>
        <v>0</v>
      </c>
      <c r="BK91" s="12"/>
      <c r="BL91" s="12"/>
      <c r="BW91" s="12">
        <v>21</v>
      </c>
    </row>
    <row r="92" spans="1:35" ht="15" customHeight="1">
      <c r="A92" s="66" t="s">
        <v>344</v>
      </c>
      <c r="B92" s="63" t="s">
        <v>344</v>
      </c>
      <c r="C92" s="171" t="s">
        <v>295</v>
      </c>
      <c r="D92" s="172"/>
      <c r="E92" s="38" t="s">
        <v>436</v>
      </c>
      <c r="F92" s="38" t="s">
        <v>436</v>
      </c>
      <c r="G92" s="38" t="s">
        <v>436</v>
      </c>
      <c r="H92" s="62">
        <f>H93+H95</f>
        <v>0</v>
      </c>
      <c r="I92" s="62">
        <f>I93+I95</f>
        <v>0</v>
      </c>
      <c r="J92" s="62">
        <f>J93+J95</f>
        <v>0</v>
      </c>
      <c r="K92" s="56" t="s">
        <v>344</v>
      </c>
      <c r="AI92" s="60" t="s">
        <v>344</v>
      </c>
    </row>
    <row r="93" spans="1:47" ht="15" customHeight="1">
      <c r="A93" s="15" t="s">
        <v>344</v>
      </c>
      <c r="B93" s="46" t="s">
        <v>361</v>
      </c>
      <c r="C93" s="171" t="s">
        <v>244</v>
      </c>
      <c r="D93" s="172"/>
      <c r="E93" s="51" t="s">
        <v>436</v>
      </c>
      <c r="F93" s="51" t="s">
        <v>436</v>
      </c>
      <c r="G93" s="51" t="s">
        <v>436</v>
      </c>
      <c r="H93" s="91">
        <f>SUM(H94:H94)</f>
        <v>0</v>
      </c>
      <c r="I93" s="91">
        <f>SUM(I94:I94)</f>
        <v>0</v>
      </c>
      <c r="J93" s="91">
        <f>SUM(J94:J94)</f>
        <v>0</v>
      </c>
      <c r="K93" s="100" t="s">
        <v>344</v>
      </c>
      <c r="AI93" s="60" t="s">
        <v>344</v>
      </c>
      <c r="AS93" s="91">
        <f>SUM(AJ94:AJ94)</f>
        <v>0</v>
      </c>
      <c r="AT93" s="91">
        <f>SUM(AK94:AK94)</f>
        <v>0</v>
      </c>
      <c r="AU93" s="91">
        <f>SUM(AL94:AL94)</f>
        <v>0</v>
      </c>
    </row>
    <row r="94" spans="1:75" ht="13.5" customHeight="1">
      <c r="A94" s="65" t="s">
        <v>512</v>
      </c>
      <c r="B94" s="19" t="s">
        <v>245</v>
      </c>
      <c r="C94" s="111" t="s">
        <v>335</v>
      </c>
      <c r="D94" s="112"/>
      <c r="E94" s="19" t="s">
        <v>333</v>
      </c>
      <c r="F94" s="12">
        <v>1</v>
      </c>
      <c r="G94" s="104">
        <v>0</v>
      </c>
      <c r="H94" s="12">
        <f>F94*AO94</f>
        <v>0</v>
      </c>
      <c r="I94" s="12">
        <f>F94*AP94</f>
        <v>0</v>
      </c>
      <c r="J94" s="12">
        <f>F94*G94</f>
        <v>0</v>
      </c>
      <c r="K94" s="14" t="s">
        <v>344</v>
      </c>
      <c r="Z94" s="12">
        <f>IF(AQ94="5",BJ94,0)</f>
        <v>0</v>
      </c>
      <c r="AB94" s="12">
        <f>IF(AQ94="1",BH94,0)</f>
        <v>0</v>
      </c>
      <c r="AC94" s="12">
        <f>IF(AQ94="1",BI94,0)</f>
        <v>0</v>
      </c>
      <c r="AD94" s="12">
        <f>IF(AQ94="7",BH94,0)</f>
        <v>0</v>
      </c>
      <c r="AE94" s="12">
        <f>IF(AQ94="7",BI94,0)</f>
        <v>0</v>
      </c>
      <c r="AF94" s="12">
        <f>IF(AQ94="2",BH94,0)</f>
        <v>0</v>
      </c>
      <c r="AG94" s="12">
        <f>IF(AQ94="2",BI94,0)</f>
        <v>0</v>
      </c>
      <c r="AH94" s="12">
        <f>IF(AQ94="0",BJ94,0)</f>
        <v>0</v>
      </c>
      <c r="AI94" s="60" t="s">
        <v>344</v>
      </c>
      <c r="AJ94" s="12">
        <f>IF(AN94=0,J94,0)</f>
        <v>0</v>
      </c>
      <c r="AK94" s="12">
        <f>IF(AN94=15,J94,0)</f>
        <v>0</v>
      </c>
      <c r="AL94" s="12">
        <f>IF(AN94=21,J94,0)</f>
        <v>0</v>
      </c>
      <c r="AN94" s="12">
        <v>21</v>
      </c>
      <c r="AO94" s="12">
        <f>G94*0</f>
        <v>0</v>
      </c>
      <c r="AP94" s="12">
        <f>G94*(1-0)</f>
        <v>0</v>
      </c>
      <c r="AQ94" s="31" t="s">
        <v>242</v>
      </c>
      <c r="AV94" s="12">
        <f>AW94+AX94</f>
        <v>0</v>
      </c>
      <c r="AW94" s="12">
        <f>F94*AO94</f>
        <v>0</v>
      </c>
      <c r="AX94" s="12">
        <f>F94*AP94</f>
        <v>0</v>
      </c>
      <c r="AY94" s="31" t="s">
        <v>249</v>
      </c>
      <c r="AZ94" s="31" t="s">
        <v>423</v>
      </c>
      <c r="BA94" s="60" t="s">
        <v>372</v>
      </c>
      <c r="BC94" s="12">
        <f>AW94+AX94</f>
        <v>0</v>
      </c>
      <c r="BD94" s="12">
        <f>G94/(100-BE94)*100</f>
        <v>0</v>
      </c>
      <c r="BE94" s="12">
        <v>0</v>
      </c>
      <c r="BF94" s="12">
        <f>94</f>
        <v>94</v>
      </c>
      <c r="BH94" s="12">
        <f>F94*AO94</f>
        <v>0</v>
      </c>
      <c r="BI94" s="12">
        <f>F94*AP94</f>
        <v>0</v>
      </c>
      <c r="BJ94" s="12">
        <f>F94*G94</f>
        <v>0</v>
      </c>
      <c r="BK94" s="12"/>
      <c r="BL94" s="12"/>
      <c r="BM94" s="12">
        <f>F94*G94</f>
        <v>0</v>
      </c>
      <c r="BW94" s="12">
        <v>21</v>
      </c>
    </row>
    <row r="95" spans="1:47" ht="15" customHeight="1">
      <c r="A95" s="90" t="s">
        <v>344</v>
      </c>
      <c r="B95" s="84" t="s">
        <v>22</v>
      </c>
      <c r="C95" s="171" t="s">
        <v>49</v>
      </c>
      <c r="D95" s="172"/>
      <c r="E95" s="58" t="s">
        <v>436</v>
      </c>
      <c r="F95" s="58" t="s">
        <v>436</v>
      </c>
      <c r="G95" s="58" t="s">
        <v>436</v>
      </c>
      <c r="H95" s="78">
        <f>SUM(H96:H96)</f>
        <v>0</v>
      </c>
      <c r="I95" s="78">
        <f>SUM(I96:I96)</f>
        <v>0</v>
      </c>
      <c r="J95" s="78">
        <f>SUM(J96:J96)</f>
        <v>0</v>
      </c>
      <c r="K95" s="26" t="s">
        <v>344</v>
      </c>
      <c r="AI95" s="60" t="s">
        <v>344</v>
      </c>
      <c r="AS95" s="91">
        <f>SUM(AJ96:AJ96)</f>
        <v>0</v>
      </c>
      <c r="AT95" s="91">
        <f>SUM(AK96:AK96)</f>
        <v>0</v>
      </c>
      <c r="AU95" s="91">
        <f>SUM(AL96:AL96)</f>
        <v>0</v>
      </c>
    </row>
    <row r="96" spans="1:75" ht="13.5" customHeight="1">
      <c r="A96" s="4" t="s">
        <v>113</v>
      </c>
      <c r="B96" s="6" t="s">
        <v>328</v>
      </c>
      <c r="C96" s="173" t="s">
        <v>49</v>
      </c>
      <c r="D96" s="174"/>
      <c r="E96" s="6" t="s">
        <v>333</v>
      </c>
      <c r="F96" s="93">
        <v>1</v>
      </c>
      <c r="G96" s="103">
        <v>0</v>
      </c>
      <c r="H96" s="93">
        <f>F96*AO96</f>
        <v>0</v>
      </c>
      <c r="I96" s="93">
        <f>F96*AP96</f>
        <v>0</v>
      </c>
      <c r="J96" s="93">
        <f>F96*G96</f>
        <v>0</v>
      </c>
      <c r="K96" s="74" t="s">
        <v>230</v>
      </c>
      <c r="Z96" s="12">
        <f>IF(AQ96="5",BJ96,0)</f>
        <v>0</v>
      </c>
      <c r="AB96" s="12">
        <f>IF(AQ96="1",BH96,0)</f>
        <v>0</v>
      </c>
      <c r="AC96" s="12">
        <f>IF(AQ96="1",BI96,0)</f>
        <v>0</v>
      </c>
      <c r="AD96" s="12">
        <f>IF(AQ96="7",BH96,0)</f>
        <v>0</v>
      </c>
      <c r="AE96" s="12">
        <f>IF(AQ96="7",BI96,0)</f>
        <v>0</v>
      </c>
      <c r="AF96" s="12">
        <f>IF(AQ96="2",BH96,0)</f>
        <v>0</v>
      </c>
      <c r="AG96" s="12">
        <f>IF(AQ96="2",BI96,0)</f>
        <v>0</v>
      </c>
      <c r="AH96" s="12">
        <f>IF(AQ96="0",BJ96,0)</f>
        <v>0</v>
      </c>
      <c r="AI96" s="60" t="s">
        <v>344</v>
      </c>
      <c r="AJ96" s="12">
        <f>IF(AN96=0,J96,0)</f>
        <v>0</v>
      </c>
      <c r="AK96" s="12">
        <f>IF(AN96=15,J96,0)</f>
        <v>0</v>
      </c>
      <c r="AL96" s="12">
        <f>IF(AN96=21,J96,0)</f>
        <v>0</v>
      </c>
      <c r="AN96" s="12">
        <v>21</v>
      </c>
      <c r="AO96" s="12">
        <f>G96*0</f>
        <v>0</v>
      </c>
      <c r="AP96" s="12">
        <f>G96*(1-0)</f>
        <v>0</v>
      </c>
      <c r="AQ96" s="31" t="s">
        <v>242</v>
      </c>
      <c r="AV96" s="12">
        <f>AW96+AX96</f>
        <v>0</v>
      </c>
      <c r="AW96" s="12">
        <f>F96*AO96</f>
        <v>0</v>
      </c>
      <c r="AX96" s="12">
        <f>F96*AP96</f>
        <v>0</v>
      </c>
      <c r="AY96" s="31" t="s">
        <v>115</v>
      </c>
      <c r="AZ96" s="31" t="s">
        <v>423</v>
      </c>
      <c r="BA96" s="60" t="s">
        <v>372</v>
      </c>
      <c r="BC96" s="12">
        <f>AW96+AX96</f>
        <v>0</v>
      </c>
      <c r="BD96" s="12">
        <f>G96/(100-BE96)*100</f>
        <v>0</v>
      </c>
      <c r="BE96" s="12">
        <v>0</v>
      </c>
      <c r="BF96" s="12">
        <f>96</f>
        <v>96</v>
      </c>
      <c r="BH96" s="12">
        <f>F96*AO96</f>
        <v>0</v>
      </c>
      <c r="BI96" s="12">
        <f>F96*AP96</f>
        <v>0</v>
      </c>
      <c r="BJ96" s="12">
        <f>F96*G96</f>
        <v>0</v>
      </c>
      <c r="BK96" s="12"/>
      <c r="BL96" s="12"/>
      <c r="BO96" s="12">
        <f>F96*G96</f>
        <v>0</v>
      </c>
      <c r="BW96" s="12">
        <v>21</v>
      </c>
    </row>
    <row r="97" spans="8:10" ht="15" customHeight="1">
      <c r="H97" s="151" t="s">
        <v>383</v>
      </c>
      <c r="I97" s="151"/>
      <c r="J97" s="83">
        <f>J13+J16+J19+J22+J25+J27+J29+J31+J33+J35+J39+J41+J47+J50+J55+J57+J60+J63+J93+J95</f>
        <v>0</v>
      </c>
    </row>
    <row r="98" spans="1:6" ht="15" customHeight="1">
      <c r="A98" s="35" t="s">
        <v>36</v>
      </c>
      <c r="C98" s="102" t="s">
        <v>519</v>
      </c>
      <c r="D98" s="102"/>
      <c r="E98" s="102"/>
      <c r="F98" s="102"/>
    </row>
    <row r="99" spans="1:11" ht="108" customHeight="1">
      <c r="A99" s="111" t="s">
        <v>351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</sheetData>
  <sheetProtection/>
  <mergeCells count="115">
    <mergeCell ref="A1:K1"/>
    <mergeCell ref="A2:B3"/>
    <mergeCell ref="A4:B5"/>
    <mergeCell ref="A6:B7"/>
    <mergeCell ref="A8:B9"/>
    <mergeCell ref="E2:F3"/>
    <mergeCell ref="E4:F5"/>
    <mergeCell ref="E6:F7"/>
    <mergeCell ref="E8:F9"/>
    <mergeCell ref="H2:H3"/>
    <mergeCell ref="C4:D5"/>
    <mergeCell ref="C6:D7"/>
    <mergeCell ref="C8:D9"/>
    <mergeCell ref="G2:G3"/>
    <mergeCell ref="G4:G5"/>
    <mergeCell ref="G6:G7"/>
    <mergeCell ref="G8:G9"/>
    <mergeCell ref="I2:K3"/>
    <mergeCell ref="I4:K5"/>
    <mergeCell ref="I6:K7"/>
    <mergeCell ref="I8:K9"/>
    <mergeCell ref="C10:D10"/>
    <mergeCell ref="H4:H5"/>
    <mergeCell ref="H6:H7"/>
    <mergeCell ref="H8:H9"/>
    <mergeCell ref="C2:D3"/>
    <mergeCell ref="C11:D11"/>
    <mergeCell ref="H10:J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93:D93"/>
    <mergeCell ref="C82:D82"/>
    <mergeCell ref="C83:D83"/>
    <mergeCell ref="C84:D84"/>
    <mergeCell ref="C85:D85"/>
    <mergeCell ref="C86:D86"/>
    <mergeCell ref="C87:D87"/>
    <mergeCell ref="C94:D94"/>
    <mergeCell ref="C95:D95"/>
    <mergeCell ref="C96:D96"/>
    <mergeCell ref="H97:I97"/>
    <mergeCell ref="A99:K99"/>
    <mergeCell ref="C88:D88"/>
    <mergeCell ref="C89:D89"/>
    <mergeCell ref="C90:D90"/>
    <mergeCell ref="C91:D91"/>
    <mergeCell ref="C92:D92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28"/>
  <sheetViews>
    <sheetView showOutlineSymbols="0" zoomScale="85" zoomScaleNormal="85" zoomScalePageLayoutView="0" workbookViewId="0" topLeftCell="A1">
      <selection activeCell="E52" sqref="E52:F52"/>
    </sheetView>
  </sheetViews>
  <sheetFormatPr defaultColWidth="14.16015625" defaultRowHeight="15" customHeight="1"/>
  <cols>
    <col min="1" max="2" width="10.66015625" style="0" customWidth="1"/>
    <col min="3" max="3" width="16.66015625" style="0" customWidth="1"/>
    <col min="4" max="4" width="50" style="0" customWidth="1"/>
    <col min="5" max="5" width="97.83203125" style="0" customWidth="1"/>
    <col min="6" max="6" width="28.16015625" style="0" customWidth="1"/>
    <col min="7" max="7" width="18.33203125" style="0" customWidth="1"/>
    <col min="8" max="8" width="23.33203125" style="0" customWidth="1"/>
  </cols>
  <sheetData>
    <row r="1" spans="1:8" ht="23.25">
      <c r="A1" s="153" t="s">
        <v>459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54" t="s">
        <v>27</v>
      </c>
      <c r="B2" s="147"/>
      <c r="C2" s="149" t="str">
        <f>'Stavební rozpočet'!C2</f>
        <v>Rekonstrukce sportovního hřiště Rtyně v Podkrkonoší</v>
      </c>
      <c r="D2" s="150"/>
      <c r="E2" s="146" t="s">
        <v>407</v>
      </c>
      <c r="F2" s="146" t="str">
        <f>'Stavební rozpočet'!I2</f>
        <v>Město Rtyně v Podkrkonoší</v>
      </c>
      <c r="G2" s="147"/>
      <c r="H2" s="139"/>
    </row>
    <row r="3" spans="1:8" ht="15" customHeight="1">
      <c r="A3" s="155"/>
      <c r="B3" s="112"/>
      <c r="C3" s="151"/>
      <c r="D3" s="151"/>
      <c r="E3" s="112"/>
      <c r="F3" s="112"/>
      <c r="G3" s="112"/>
      <c r="H3" s="140"/>
    </row>
    <row r="4" spans="1:8" ht="15" customHeight="1">
      <c r="A4" s="156" t="s">
        <v>273</v>
      </c>
      <c r="B4" s="112"/>
      <c r="C4" s="111" t="str">
        <f>'Stavební rozpočet'!C4</f>
        <v>sportovní stavby</v>
      </c>
      <c r="D4" s="112"/>
      <c r="E4" s="111" t="s">
        <v>342</v>
      </c>
      <c r="F4" s="111" t="str">
        <f>'Stavební rozpočet'!I4</f>
        <v>Ing. arch. Vratislav Ansorge</v>
      </c>
      <c r="G4" s="112"/>
      <c r="H4" s="140"/>
    </row>
    <row r="5" spans="1:8" ht="15" customHeight="1">
      <c r="A5" s="155"/>
      <c r="B5" s="112"/>
      <c r="C5" s="112"/>
      <c r="D5" s="112"/>
      <c r="E5" s="112"/>
      <c r="F5" s="112"/>
      <c r="G5" s="112"/>
      <c r="H5" s="140"/>
    </row>
    <row r="6" spans="1:8" ht="15" customHeight="1">
      <c r="A6" s="156" t="s">
        <v>37</v>
      </c>
      <c r="B6" s="112"/>
      <c r="C6" s="111" t="str">
        <f>'Stavební rozpočet'!C6</f>
        <v>Sportovní areál u restaurace u Vlčků</v>
      </c>
      <c r="D6" s="112"/>
      <c r="E6" s="111" t="s">
        <v>420</v>
      </c>
      <c r="F6" s="111" t="str">
        <f>'Stavební rozpočet'!I6</f>
        <v> </v>
      </c>
      <c r="G6" s="112"/>
      <c r="H6" s="140"/>
    </row>
    <row r="7" spans="1:8" ht="15" customHeight="1">
      <c r="A7" s="155"/>
      <c r="B7" s="112"/>
      <c r="C7" s="112"/>
      <c r="D7" s="112"/>
      <c r="E7" s="112"/>
      <c r="F7" s="112"/>
      <c r="G7" s="112"/>
      <c r="H7" s="140"/>
    </row>
    <row r="8" spans="1:8" ht="15" customHeight="1">
      <c r="A8" s="156" t="s">
        <v>329</v>
      </c>
      <c r="B8" s="112"/>
      <c r="C8" s="111">
        <f>'Stavební rozpočet'!I8</f>
        <v>0</v>
      </c>
      <c r="D8" s="112"/>
      <c r="E8" s="111" t="s">
        <v>281</v>
      </c>
      <c r="F8" s="111" t="str">
        <f>'Stavební rozpočet'!G8</f>
        <v> </v>
      </c>
      <c r="G8" s="112"/>
      <c r="H8" s="140"/>
    </row>
    <row r="9" spans="1:8" ht="15" customHeight="1">
      <c r="A9" s="155"/>
      <c r="B9" s="112"/>
      <c r="C9" s="112"/>
      <c r="D9" s="112"/>
      <c r="E9" s="112"/>
      <c r="F9" s="112"/>
      <c r="G9" s="112"/>
      <c r="H9" s="140"/>
    </row>
    <row r="10" spans="1:8" ht="15" customHeight="1">
      <c r="A10" s="9" t="s">
        <v>33</v>
      </c>
      <c r="B10" s="73" t="s">
        <v>363</v>
      </c>
      <c r="C10" s="73" t="s">
        <v>167</v>
      </c>
      <c r="D10" s="159" t="s">
        <v>497</v>
      </c>
      <c r="E10" s="190"/>
      <c r="F10" s="73" t="s">
        <v>178</v>
      </c>
      <c r="G10" s="40" t="s">
        <v>300</v>
      </c>
      <c r="H10" s="76" t="s">
        <v>415</v>
      </c>
    </row>
    <row r="11" spans="1:8" ht="15" customHeight="1">
      <c r="A11" s="65" t="s">
        <v>460</v>
      </c>
      <c r="B11" s="19" t="s">
        <v>344</v>
      </c>
      <c r="C11" s="19" t="s">
        <v>424</v>
      </c>
      <c r="D11" s="112" t="s">
        <v>223</v>
      </c>
      <c r="E11" s="112"/>
      <c r="F11" s="19" t="s">
        <v>454</v>
      </c>
      <c r="G11" s="12">
        <v>23.000000000000004</v>
      </c>
      <c r="H11" s="3">
        <v>0</v>
      </c>
    </row>
    <row r="12" spans="1:8" ht="15" customHeight="1">
      <c r="A12" s="49"/>
      <c r="D12" s="72" t="s">
        <v>502</v>
      </c>
      <c r="E12" s="188" t="s">
        <v>325</v>
      </c>
      <c r="F12" s="188"/>
      <c r="G12" s="16">
        <v>23.000000000000004</v>
      </c>
      <c r="H12" s="57"/>
    </row>
    <row r="13" spans="1:8" ht="15" customHeight="1">
      <c r="A13" s="65" t="s">
        <v>340</v>
      </c>
      <c r="B13" s="19" t="s">
        <v>344</v>
      </c>
      <c r="C13" s="19" t="s">
        <v>481</v>
      </c>
      <c r="D13" s="112" t="s">
        <v>151</v>
      </c>
      <c r="E13" s="112"/>
      <c r="F13" s="19" t="s">
        <v>398</v>
      </c>
      <c r="G13" s="12">
        <v>92.00000000000001</v>
      </c>
      <c r="H13" s="3">
        <v>0</v>
      </c>
    </row>
    <row r="14" spans="1:8" ht="15" customHeight="1">
      <c r="A14" s="49"/>
      <c r="D14" s="72" t="s">
        <v>368</v>
      </c>
      <c r="E14" s="188" t="s">
        <v>344</v>
      </c>
      <c r="F14" s="188"/>
      <c r="G14" s="16">
        <v>92.00000000000001</v>
      </c>
      <c r="H14" s="57"/>
    </row>
    <row r="15" spans="1:8" ht="15" customHeight="1">
      <c r="A15" s="65" t="s">
        <v>417</v>
      </c>
      <c r="B15" s="19" t="s">
        <v>344</v>
      </c>
      <c r="C15" s="19" t="s">
        <v>369</v>
      </c>
      <c r="D15" s="112" t="s">
        <v>360</v>
      </c>
      <c r="E15" s="112"/>
      <c r="F15" s="19" t="s">
        <v>450</v>
      </c>
      <c r="G15" s="12">
        <v>146.804</v>
      </c>
      <c r="H15" s="3">
        <v>0</v>
      </c>
    </row>
    <row r="16" spans="1:8" ht="15" customHeight="1">
      <c r="A16" s="49"/>
      <c r="D16" s="72" t="s">
        <v>179</v>
      </c>
      <c r="E16" s="188" t="s">
        <v>494</v>
      </c>
      <c r="F16" s="188"/>
      <c r="G16" s="16">
        <v>190.836</v>
      </c>
      <c r="H16" s="57"/>
    </row>
    <row r="17" spans="1:8" ht="15" customHeight="1">
      <c r="A17" s="65" t="s">
        <v>344</v>
      </c>
      <c r="B17" s="19" t="s">
        <v>344</v>
      </c>
      <c r="C17" s="19" t="s">
        <v>344</v>
      </c>
      <c r="D17" s="72" t="s">
        <v>489</v>
      </c>
      <c r="E17" s="188" t="s">
        <v>472</v>
      </c>
      <c r="F17" s="188"/>
      <c r="G17" s="16">
        <v>-48.00000000000001</v>
      </c>
      <c r="H17" s="14" t="s">
        <v>344</v>
      </c>
    </row>
    <row r="18" spans="1:8" ht="15" customHeight="1">
      <c r="A18" s="65" t="s">
        <v>344</v>
      </c>
      <c r="B18" s="19" t="s">
        <v>344</v>
      </c>
      <c r="C18" s="19" t="s">
        <v>344</v>
      </c>
      <c r="D18" s="72" t="s">
        <v>409</v>
      </c>
      <c r="E18" s="188" t="s">
        <v>439</v>
      </c>
      <c r="F18" s="188"/>
      <c r="G18" s="16">
        <v>0.14400000000000002</v>
      </c>
      <c r="H18" s="14" t="s">
        <v>344</v>
      </c>
    </row>
    <row r="19" spans="1:8" ht="15" customHeight="1">
      <c r="A19" s="65" t="s">
        <v>344</v>
      </c>
      <c r="B19" s="19" t="s">
        <v>344</v>
      </c>
      <c r="C19" s="19" t="s">
        <v>344</v>
      </c>
      <c r="D19" s="72" t="s">
        <v>127</v>
      </c>
      <c r="E19" s="188" t="s">
        <v>110</v>
      </c>
      <c r="F19" s="188"/>
      <c r="G19" s="16">
        <v>0.12000000000000001</v>
      </c>
      <c r="H19" s="14" t="s">
        <v>344</v>
      </c>
    </row>
    <row r="20" spans="1:8" ht="15" customHeight="1">
      <c r="A20" s="65" t="s">
        <v>344</v>
      </c>
      <c r="B20" s="19" t="s">
        <v>344</v>
      </c>
      <c r="C20" s="19" t="s">
        <v>344</v>
      </c>
      <c r="D20" s="72" t="s">
        <v>138</v>
      </c>
      <c r="E20" s="188" t="s">
        <v>108</v>
      </c>
      <c r="F20" s="188"/>
      <c r="G20" s="16">
        <v>0.096</v>
      </c>
      <c r="H20" s="14" t="s">
        <v>344</v>
      </c>
    </row>
    <row r="21" spans="1:8" ht="15" customHeight="1">
      <c r="A21" s="65" t="s">
        <v>344</v>
      </c>
      <c r="B21" s="19" t="s">
        <v>344</v>
      </c>
      <c r="C21" s="19" t="s">
        <v>344</v>
      </c>
      <c r="D21" s="72" t="s">
        <v>131</v>
      </c>
      <c r="E21" s="188" t="s">
        <v>119</v>
      </c>
      <c r="F21" s="188"/>
      <c r="G21" s="16">
        <v>3.608</v>
      </c>
      <c r="H21" s="14" t="s">
        <v>344</v>
      </c>
    </row>
    <row r="22" spans="1:8" ht="15" customHeight="1">
      <c r="A22" s="65" t="s">
        <v>53</v>
      </c>
      <c r="B22" s="19" t="s">
        <v>344</v>
      </c>
      <c r="C22" s="19" t="s">
        <v>114</v>
      </c>
      <c r="D22" s="112" t="s">
        <v>277</v>
      </c>
      <c r="E22" s="112"/>
      <c r="F22" s="19" t="s">
        <v>450</v>
      </c>
      <c r="G22" s="12">
        <v>130.90400000000002</v>
      </c>
      <c r="H22" s="3">
        <v>0</v>
      </c>
    </row>
    <row r="23" spans="1:8" ht="15" customHeight="1">
      <c r="A23" s="49"/>
      <c r="D23" s="72" t="s">
        <v>221</v>
      </c>
      <c r="E23" s="188" t="s">
        <v>410</v>
      </c>
      <c r="F23" s="188"/>
      <c r="G23" s="16">
        <v>146.804</v>
      </c>
      <c r="H23" s="57"/>
    </row>
    <row r="24" spans="1:8" ht="15" customHeight="1">
      <c r="A24" s="65" t="s">
        <v>344</v>
      </c>
      <c r="B24" s="19" t="s">
        <v>344</v>
      </c>
      <c r="C24" s="19" t="s">
        <v>344</v>
      </c>
      <c r="D24" s="72" t="s">
        <v>170</v>
      </c>
      <c r="E24" s="188" t="s">
        <v>306</v>
      </c>
      <c r="F24" s="188"/>
      <c r="G24" s="16">
        <v>-15.900000000000002</v>
      </c>
      <c r="H24" s="14" t="s">
        <v>344</v>
      </c>
    </row>
    <row r="25" spans="1:8" ht="15" customHeight="1">
      <c r="A25" s="65" t="s">
        <v>269</v>
      </c>
      <c r="B25" s="19" t="s">
        <v>344</v>
      </c>
      <c r="C25" s="19" t="s">
        <v>406</v>
      </c>
      <c r="D25" s="112" t="s">
        <v>282</v>
      </c>
      <c r="E25" s="112"/>
      <c r="F25" s="19" t="s">
        <v>450</v>
      </c>
      <c r="G25" s="12">
        <v>130.90400000000002</v>
      </c>
      <c r="H25" s="3">
        <v>0</v>
      </c>
    </row>
    <row r="26" spans="1:8" ht="15" customHeight="1">
      <c r="A26" s="49"/>
      <c r="D26" s="72" t="s">
        <v>221</v>
      </c>
      <c r="E26" s="188" t="s">
        <v>410</v>
      </c>
      <c r="F26" s="188"/>
      <c r="G26" s="16">
        <v>146.804</v>
      </c>
      <c r="H26" s="57"/>
    </row>
    <row r="27" spans="1:8" ht="15" customHeight="1">
      <c r="A27" s="65" t="s">
        <v>344</v>
      </c>
      <c r="B27" s="19" t="s">
        <v>344</v>
      </c>
      <c r="C27" s="19" t="s">
        <v>344</v>
      </c>
      <c r="D27" s="72" t="s">
        <v>170</v>
      </c>
      <c r="E27" s="188" t="s">
        <v>306</v>
      </c>
      <c r="F27" s="188"/>
      <c r="G27" s="16">
        <v>-15.900000000000002</v>
      </c>
      <c r="H27" s="14" t="s">
        <v>344</v>
      </c>
    </row>
    <row r="28" spans="1:8" ht="15" customHeight="1">
      <c r="A28" s="65" t="s">
        <v>75</v>
      </c>
      <c r="B28" s="19" t="s">
        <v>344</v>
      </c>
      <c r="C28" s="19" t="s">
        <v>155</v>
      </c>
      <c r="D28" s="112" t="s">
        <v>203</v>
      </c>
      <c r="E28" s="112"/>
      <c r="F28" s="19" t="s">
        <v>450</v>
      </c>
      <c r="G28" s="12">
        <v>130.90400000000002</v>
      </c>
      <c r="H28" s="3">
        <v>0</v>
      </c>
    </row>
    <row r="29" spans="1:8" ht="15" customHeight="1">
      <c r="A29" s="49"/>
      <c r="D29" s="72" t="s">
        <v>221</v>
      </c>
      <c r="E29" s="188" t="s">
        <v>410</v>
      </c>
      <c r="F29" s="188"/>
      <c r="G29" s="16">
        <v>146.804</v>
      </c>
      <c r="H29" s="57"/>
    </row>
    <row r="30" spans="1:8" ht="15" customHeight="1">
      <c r="A30" s="65" t="s">
        <v>344</v>
      </c>
      <c r="B30" s="19" t="s">
        <v>344</v>
      </c>
      <c r="C30" s="19" t="s">
        <v>344</v>
      </c>
      <c r="D30" s="72" t="s">
        <v>170</v>
      </c>
      <c r="E30" s="188" t="s">
        <v>306</v>
      </c>
      <c r="F30" s="188"/>
      <c r="G30" s="16">
        <v>-15.900000000000002</v>
      </c>
      <c r="H30" s="14" t="s">
        <v>344</v>
      </c>
    </row>
    <row r="31" spans="1:8" ht="15" customHeight="1">
      <c r="A31" s="65" t="s">
        <v>463</v>
      </c>
      <c r="B31" s="19" t="s">
        <v>344</v>
      </c>
      <c r="C31" s="19" t="s">
        <v>392</v>
      </c>
      <c r="D31" s="112" t="s">
        <v>500</v>
      </c>
      <c r="E31" s="112"/>
      <c r="F31" s="19" t="s">
        <v>454</v>
      </c>
      <c r="G31" s="12">
        <v>53.00000000000001</v>
      </c>
      <c r="H31" s="3">
        <v>0</v>
      </c>
    </row>
    <row r="32" spans="1:8" ht="15" customHeight="1">
      <c r="A32" s="49"/>
      <c r="D32" s="72" t="s">
        <v>197</v>
      </c>
      <c r="E32" s="188" t="s">
        <v>306</v>
      </c>
      <c r="F32" s="188"/>
      <c r="G32" s="16">
        <v>53.00000000000001</v>
      </c>
      <c r="H32" s="57"/>
    </row>
    <row r="33" spans="1:8" ht="15" customHeight="1">
      <c r="A33" s="65" t="s">
        <v>382</v>
      </c>
      <c r="B33" s="19" t="s">
        <v>344</v>
      </c>
      <c r="C33" s="19" t="s">
        <v>338</v>
      </c>
      <c r="D33" s="112" t="s">
        <v>485</v>
      </c>
      <c r="E33" s="112"/>
      <c r="F33" s="19" t="s">
        <v>454</v>
      </c>
      <c r="G33" s="12">
        <v>53.00000000000001</v>
      </c>
      <c r="H33" s="3">
        <v>0</v>
      </c>
    </row>
    <row r="34" spans="1:8" ht="15" customHeight="1">
      <c r="A34" s="49"/>
      <c r="D34" s="72" t="s">
        <v>197</v>
      </c>
      <c r="E34" s="188" t="s">
        <v>17</v>
      </c>
      <c r="F34" s="188"/>
      <c r="G34" s="16">
        <v>53.00000000000001</v>
      </c>
      <c r="H34" s="57"/>
    </row>
    <row r="35" spans="1:8" ht="15" customHeight="1">
      <c r="A35" s="65" t="s">
        <v>199</v>
      </c>
      <c r="B35" s="19" t="s">
        <v>344</v>
      </c>
      <c r="C35" s="19" t="s">
        <v>288</v>
      </c>
      <c r="D35" s="112" t="s">
        <v>411</v>
      </c>
      <c r="E35" s="112"/>
      <c r="F35" s="19" t="s">
        <v>454</v>
      </c>
      <c r="G35" s="12">
        <v>3075.8</v>
      </c>
      <c r="H35" s="3">
        <v>0</v>
      </c>
    </row>
    <row r="36" spans="1:8" ht="15" customHeight="1">
      <c r="A36" s="49"/>
      <c r="D36" s="72" t="s">
        <v>267</v>
      </c>
      <c r="E36" s="188" t="s">
        <v>494</v>
      </c>
      <c r="F36" s="188"/>
      <c r="G36" s="16">
        <v>3075.8</v>
      </c>
      <c r="H36" s="57"/>
    </row>
    <row r="37" spans="1:8" ht="15" customHeight="1">
      <c r="A37" s="65" t="s">
        <v>289</v>
      </c>
      <c r="B37" s="19" t="s">
        <v>344</v>
      </c>
      <c r="C37" s="19" t="s">
        <v>41</v>
      </c>
      <c r="D37" s="112" t="s">
        <v>348</v>
      </c>
      <c r="E37" s="112"/>
      <c r="F37" s="19" t="s">
        <v>450</v>
      </c>
      <c r="G37" s="12">
        <v>5.840000000000001</v>
      </c>
      <c r="H37" s="3">
        <v>0</v>
      </c>
    </row>
    <row r="38" spans="1:8" ht="15" customHeight="1">
      <c r="A38" s="49"/>
      <c r="D38" s="72" t="s">
        <v>14</v>
      </c>
      <c r="E38" s="188" t="s">
        <v>119</v>
      </c>
      <c r="F38" s="188"/>
      <c r="G38" s="16">
        <v>4.5920000000000005</v>
      </c>
      <c r="H38" s="57"/>
    </row>
    <row r="39" spans="1:8" ht="15" customHeight="1">
      <c r="A39" s="65" t="s">
        <v>344</v>
      </c>
      <c r="B39" s="19" t="s">
        <v>344</v>
      </c>
      <c r="C39" s="19" t="s">
        <v>344</v>
      </c>
      <c r="D39" s="72" t="s">
        <v>13</v>
      </c>
      <c r="E39" s="188" t="s">
        <v>439</v>
      </c>
      <c r="F39" s="188"/>
      <c r="G39" s="16">
        <v>0.5760000000000001</v>
      </c>
      <c r="H39" s="14" t="s">
        <v>344</v>
      </c>
    </row>
    <row r="40" spans="1:8" ht="15" customHeight="1">
      <c r="A40" s="65" t="s">
        <v>344</v>
      </c>
      <c r="B40" s="19" t="s">
        <v>344</v>
      </c>
      <c r="C40" s="19" t="s">
        <v>344</v>
      </c>
      <c r="D40" s="72" t="s">
        <v>257</v>
      </c>
      <c r="E40" s="188" t="s">
        <v>110</v>
      </c>
      <c r="F40" s="188"/>
      <c r="G40" s="16">
        <v>0.48000000000000004</v>
      </c>
      <c r="H40" s="14" t="s">
        <v>344</v>
      </c>
    </row>
    <row r="41" spans="1:8" ht="15" customHeight="1">
      <c r="A41" s="65" t="s">
        <v>344</v>
      </c>
      <c r="B41" s="19" t="s">
        <v>344</v>
      </c>
      <c r="C41" s="19" t="s">
        <v>344</v>
      </c>
      <c r="D41" s="72" t="s">
        <v>473</v>
      </c>
      <c r="E41" s="188" t="s">
        <v>108</v>
      </c>
      <c r="F41" s="188"/>
      <c r="G41" s="16">
        <v>0.192</v>
      </c>
      <c r="H41" s="14" t="s">
        <v>344</v>
      </c>
    </row>
    <row r="42" spans="1:8" ht="15" customHeight="1">
      <c r="A42" s="65" t="s">
        <v>403</v>
      </c>
      <c r="B42" s="19" t="s">
        <v>344</v>
      </c>
      <c r="C42" s="19" t="s">
        <v>92</v>
      </c>
      <c r="D42" s="112" t="s">
        <v>149</v>
      </c>
      <c r="E42" s="112"/>
      <c r="F42" s="19" t="s">
        <v>454</v>
      </c>
      <c r="G42" s="12">
        <v>636.12</v>
      </c>
      <c r="H42" s="3">
        <v>0</v>
      </c>
    </row>
    <row r="43" spans="1:8" ht="15" customHeight="1">
      <c r="A43" s="49"/>
      <c r="D43" s="72" t="s">
        <v>129</v>
      </c>
      <c r="E43" s="188" t="s">
        <v>507</v>
      </c>
      <c r="F43" s="188"/>
      <c r="G43" s="16">
        <v>636.12</v>
      </c>
      <c r="H43" s="57"/>
    </row>
    <row r="44" spans="1:8" ht="15" customHeight="1">
      <c r="A44" s="65" t="s">
        <v>359</v>
      </c>
      <c r="B44" s="19" t="s">
        <v>344</v>
      </c>
      <c r="C44" s="19" t="s">
        <v>272</v>
      </c>
      <c r="D44" s="112" t="s">
        <v>413</v>
      </c>
      <c r="E44" s="112"/>
      <c r="F44" s="19" t="s">
        <v>177</v>
      </c>
      <c r="G44" s="12">
        <v>41</v>
      </c>
      <c r="H44" s="3">
        <v>0</v>
      </c>
    </row>
    <row r="45" spans="1:8" ht="15" customHeight="1">
      <c r="A45" s="49"/>
      <c r="D45" s="72" t="s">
        <v>294</v>
      </c>
      <c r="E45" s="188" t="s">
        <v>480</v>
      </c>
      <c r="F45" s="188"/>
      <c r="G45" s="16">
        <v>14.000000000000002</v>
      </c>
      <c r="H45" s="57"/>
    </row>
    <row r="46" spans="1:8" ht="15" customHeight="1">
      <c r="A46" s="65" t="s">
        <v>344</v>
      </c>
      <c r="B46" s="19" t="s">
        <v>344</v>
      </c>
      <c r="C46" s="19" t="s">
        <v>344</v>
      </c>
      <c r="D46" s="72" t="s">
        <v>463</v>
      </c>
      <c r="E46" s="188" t="s">
        <v>145</v>
      </c>
      <c r="F46" s="188"/>
      <c r="G46" s="16">
        <v>7.000000000000001</v>
      </c>
      <c r="H46" s="14" t="s">
        <v>344</v>
      </c>
    </row>
    <row r="47" spans="1:8" ht="15" customHeight="1">
      <c r="A47" s="65" t="s">
        <v>344</v>
      </c>
      <c r="B47" s="19" t="s">
        <v>344</v>
      </c>
      <c r="C47" s="19" t="s">
        <v>344</v>
      </c>
      <c r="D47" s="72" t="s">
        <v>143</v>
      </c>
      <c r="E47" s="188" t="s">
        <v>123</v>
      </c>
      <c r="F47" s="188"/>
      <c r="G47" s="16">
        <v>13.000000000000002</v>
      </c>
      <c r="H47" s="14" t="s">
        <v>344</v>
      </c>
    </row>
    <row r="48" spans="1:8" ht="15" customHeight="1">
      <c r="A48" s="65" t="s">
        <v>344</v>
      </c>
      <c r="B48" s="19" t="s">
        <v>344</v>
      </c>
      <c r="C48" s="19" t="s">
        <v>344</v>
      </c>
      <c r="D48" s="72" t="s">
        <v>463</v>
      </c>
      <c r="E48" s="188" t="s">
        <v>145</v>
      </c>
      <c r="F48" s="188"/>
      <c r="G48" s="16">
        <v>7.000000000000001</v>
      </c>
      <c r="H48" s="14" t="s">
        <v>344</v>
      </c>
    </row>
    <row r="49" spans="1:8" ht="15" customHeight="1">
      <c r="A49" s="65" t="s">
        <v>143</v>
      </c>
      <c r="B49" s="19" t="s">
        <v>344</v>
      </c>
      <c r="C49" s="19" t="s">
        <v>400</v>
      </c>
      <c r="D49" s="112" t="s">
        <v>397</v>
      </c>
      <c r="E49" s="112"/>
      <c r="F49" s="19" t="s">
        <v>122</v>
      </c>
      <c r="G49" s="12">
        <v>41</v>
      </c>
      <c r="H49" s="3">
        <v>0</v>
      </c>
    </row>
    <row r="50" spans="1:8" ht="15" customHeight="1">
      <c r="A50" s="49"/>
      <c r="D50" s="72" t="s">
        <v>455</v>
      </c>
      <c r="E50" s="188" t="s">
        <v>171</v>
      </c>
      <c r="F50" s="188"/>
      <c r="G50" s="16">
        <v>41</v>
      </c>
      <c r="H50" s="57"/>
    </row>
    <row r="51" spans="1:8" ht="15" customHeight="1">
      <c r="A51" s="65" t="s">
        <v>294</v>
      </c>
      <c r="B51" s="19" t="s">
        <v>344</v>
      </c>
      <c r="C51" s="19" t="s">
        <v>379</v>
      </c>
      <c r="D51" s="112" t="s">
        <v>250</v>
      </c>
      <c r="E51" s="112"/>
      <c r="F51" s="19" t="s">
        <v>454</v>
      </c>
      <c r="G51" s="12">
        <v>636.12</v>
      </c>
      <c r="H51" s="3">
        <v>0</v>
      </c>
    </row>
    <row r="52" spans="1:8" ht="15" customHeight="1">
      <c r="A52" s="49"/>
      <c r="D52" s="72" t="s">
        <v>129</v>
      </c>
      <c r="E52" s="188" t="s">
        <v>507</v>
      </c>
      <c r="F52" s="188"/>
      <c r="G52" s="16">
        <v>636.12</v>
      </c>
      <c r="H52" s="57"/>
    </row>
    <row r="53" spans="1:8" ht="15" customHeight="1">
      <c r="A53" s="65" t="s">
        <v>206</v>
      </c>
      <c r="B53" s="19" t="s">
        <v>344</v>
      </c>
      <c r="C53" s="19" t="s">
        <v>428</v>
      </c>
      <c r="D53" s="112" t="s">
        <v>44</v>
      </c>
      <c r="E53" s="112"/>
      <c r="F53" s="19" t="s">
        <v>454</v>
      </c>
      <c r="G53" s="12">
        <v>636.12</v>
      </c>
      <c r="H53" s="3">
        <v>0</v>
      </c>
    </row>
    <row r="54" spans="1:8" ht="15" customHeight="1">
      <c r="A54" s="49"/>
      <c r="D54" s="72" t="s">
        <v>129</v>
      </c>
      <c r="E54" s="188" t="s">
        <v>507</v>
      </c>
      <c r="F54" s="188"/>
      <c r="G54" s="16">
        <v>636.12</v>
      </c>
      <c r="H54" s="57"/>
    </row>
    <row r="55" spans="1:8" ht="15" customHeight="1">
      <c r="A55" s="65" t="s">
        <v>43</v>
      </c>
      <c r="B55" s="19" t="s">
        <v>344</v>
      </c>
      <c r="C55" s="19" t="s">
        <v>130</v>
      </c>
      <c r="D55" s="112" t="s">
        <v>132</v>
      </c>
      <c r="E55" s="112"/>
      <c r="F55" s="19" t="s">
        <v>454</v>
      </c>
      <c r="G55" s="12">
        <v>636.12</v>
      </c>
      <c r="H55" s="3">
        <v>0</v>
      </c>
    </row>
    <row r="56" spans="1:8" ht="15" customHeight="1">
      <c r="A56" s="49"/>
      <c r="D56" s="72" t="s">
        <v>129</v>
      </c>
      <c r="E56" s="188" t="s">
        <v>507</v>
      </c>
      <c r="F56" s="188"/>
      <c r="G56" s="16">
        <v>636.12</v>
      </c>
      <c r="H56" s="57"/>
    </row>
    <row r="57" spans="1:8" ht="15" customHeight="1">
      <c r="A57" s="65" t="s">
        <v>346</v>
      </c>
      <c r="B57" s="19" t="s">
        <v>344</v>
      </c>
      <c r="C57" s="19" t="s">
        <v>466</v>
      </c>
      <c r="D57" s="112" t="s">
        <v>309</v>
      </c>
      <c r="E57" s="112"/>
      <c r="F57" s="19" t="s">
        <v>398</v>
      </c>
      <c r="G57" s="12">
        <v>416.00000000000006</v>
      </c>
      <c r="H57" s="3">
        <v>0</v>
      </c>
    </row>
    <row r="58" spans="1:8" ht="15" customHeight="1">
      <c r="A58" s="49"/>
      <c r="D58" s="72" t="s">
        <v>181</v>
      </c>
      <c r="E58" s="188" t="s">
        <v>480</v>
      </c>
      <c r="F58" s="188"/>
      <c r="G58" s="16">
        <v>135.20000000000002</v>
      </c>
      <c r="H58" s="57"/>
    </row>
    <row r="59" spans="1:8" ht="15" customHeight="1">
      <c r="A59" s="65" t="s">
        <v>344</v>
      </c>
      <c r="B59" s="19" t="s">
        <v>344</v>
      </c>
      <c r="C59" s="19" t="s">
        <v>344</v>
      </c>
      <c r="D59" s="72" t="s">
        <v>147</v>
      </c>
      <c r="E59" s="188" t="s">
        <v>145</v>
      </c>
      <c r="F59" s="188"/>
      <c r="G59" s="16">
        <v>72.80000000000001</v>
      </c>
      <c r="H59" s="14" t="s">
        <v>344</v>
      </c>
    </row>
    <row r="60" spans="1:8" ht="15" customHeight="1">
      <c r="A60" s="65" t="s">
        <v>344</v>
      </c>
      <c r="B60" s="19" t="s">
        <v>344</v>
      </c>
      <c r="C60" s="19" t="s">
        <v>344</v>
      </c>
      <c r="D60" s="72" t="s">
        <v>181</v>
      </c>
      <c r="E60" s="188" t="s">
        <v>123</v>
      </c>
      <c r="F60" s="188"/>
      <c r="G60" s="16">
        <v>135.20000000000002</v>
      </c>
      <c r="H60" s="14" t="s">
        <v>344</v>
      </c>
    </row>
    <row r="61" spans="1:8" ht="15" customHeight="1">
      <c r="A61" s="65" t="s">
        <v>344</v>
      </c>
      <c r="B61" s="19" t="s">
        <v>344</v>
      </c>
      <c r="C61" s="19" t="s">
        <v>344</v>
      </c>
      <c r="D61" s="72" t="s">
        <v>147</v>
      </c>
      <c r="E61" s="188" t="s">
        <v>145</v>
      </c>
      <c r="F61" s="188"/>
      <c r="G61" s="16">
        <v>72.80000000000001</v>
      </c>
      <c r="H61" s="14" t="s">
        <v>344</v>
      </c>
    </row>
    <row r="62" spans="1:8" ht="15" customHeight="1">
      <c r="A62" s="65" t="s">
        <v>387</v>
      </c>
      <c r="B62" s="19" t="s">
        <v>344</v>
      </c>
      <c r="C62" s="19" t="s">
        <v>506</v>
      </c>
      <c r="D62" s="112" t="s">
        <v>74</v>
      </c>
      <c r="E62" s="112"/>
      <c r="F62" s="19" t="s">
        <v>347</v>
      </c>
      <c r="G62" s="12">
        <v>11.000000000000002</v>
      </c>
      <c r="H62" s="3">
        <v>0</v>
      </c>
    </row>
    <row r="63" spans="1:8" ht="15" customHeight="1">
      <c r="A63" s="49"/>
      <c r="D63" s="72" t="s">
        <v>340</v>
      </c>
      <c r="E63" s="188" t="s">
        <v>172</v>
      </c>
      <c r="F63" s="188"/>
      <c r="G63" s="16">
        <v>2</v>
      </c>
      <c r="H63" s="57"/>
    </row>
    <row r="64" spans="1:8" ht="15" customHeight="1">
      <c r="A64" s="65" t="s">
        <v>344</v>
      </c>
      <c r="B64" s="19" t="s">
        <v>344</v>
      </c>
      <c r="C64" s="19" t="s">
        <v>344</v>
      </c>
      <c r="D64" s="72" t="s">
        <v>460</v>
      </c>
      <c r="E64" s="188" t="s">
        <v>493</v>
      </c>
      <c r="F64" s="188"/>
      <c r="G64" s="16">
        <v>1</v>
      </c>
      <c r="H64" s="14" t="s">
        <v>344</v>
      </c>
    </row>
    <row r="65" spans="1:8" ht="15" customHeight="1">
      <c r="A65" s="65" t="s">
        <v>344</v>
      </c>
      <c r="B65" s="19" t="s">
        <v>344</v>
      </c>
      <c r="C65" s="19" t="s">
        <v>344</v>
      </c>
      <c r="D65" s="72" t="s">
        <v>53</v>
      </c>
      <c r="E65" s="188" t="s">
        <v>125</v>
      </c>
      <c r="F65" s="188"/>
      <c r="G65" s="16">
        <v>4</v>
      </c>
      <c r="H65" s="14" t="s">
        <v>344</v>
      </c>
    </row>
    <row r="66" spans="1:8" ht="15" customHeight="1">
      <c r="A66" s="65" t="s">
        <v>344</v>
      </c>
      <c r="B66" s="19" t="s">
        <v>344</v>
      </c>
      <c r="C66" s="19" t="s">
        <v>344</v>
      </c>
      <c r="D66" s="72" t="s">
        <v>53</v>
      </c>
      <c r="E66" s="188" t="s">
        <v>84</v>
      </c>
      <c r="F66" s="188"/>
      <c r="G66" s="16">
        <v>4</v>
      </c>
      <c r="H66" s="14" t="s">
        <v>344</v>
      </c>
    </row>
    <row r="67" spans="1:8" ht="15" customHeight="1">
      <c r="A67" s="65" t="s">
        <v>312</v>
      </c>
      <c r="B67" s="19" t="s">
        <v>344</v>
      </c>
      <c r="C67" s="19" t="s">
        <v>218</v>
      </c>
      <c r="D67" s="112" t="s">
        <v>317</v>
      </c>
      <c r="E67" s="112"/>
      <c r="F67" s="19" t="s">
        <v>441</v>
      </c>
      <c r="G67" s="12">
        <v>1492.0000000000002</v>
      </c>
      <c r="H67" s="3">
        <v>0</v>
      </c>
    </row>
    <row r="68" spans="1:8" ht="15" customHeight="1">
      <c r="A68" s="49"/>
      <c r="D68" s="72" t="s">
        <v>28</v>
      </c>
      <c r="E68" s="188" t="s">
        <v>63</v>
      </c>
      <c r="F68" s="188"/>
      <c r="G68" s="16">
        <v>1310</v>
      </c>
      <c r="H68" s="57"/>
    </row>
    <row r="69" spans="1:8" ht="15" customHeight="1">
      <c r="A69" s="65" t="s">
        <v>344</v>
      </c>
      <c r="B69" s="19" t="s">
        <v>344</v>
      </c>
      <c r="C69" s="19" t="s">
        <v>344</v>
      </c>
      <c r="D69" s="72" t="s">
        <v>157</v>
      </c>
      <c r="E69" s="188" t="s">
        <v>77</v>
      </c>
      <c r="F69" s="188"/>
      <c r="G69" s="16">
        <v>140</v>
      </c>
      <c r="H69" s="14" t="s">
        <v>344</v>
      </c>
    </row>
    <row r="70" spans="1:8" ht="15" customHeight="1">
      <c r="A70" s="65" t="s">
        <v>344</v>
      </c>
      <c r="B70" s="19" t="s">
        <v>344</v>
      </c>
      <c r="C70" s="19" t="s">
        <v>344</v>
      </c>
      <c r="D70" s="72" t="s">
        <v>85</v>
      </c>
      <c r="E70" s="188" t="s">
        <v>18</v>
      </c>
      <c r="F70" s="188"/>
      <c r="G70" s="16">
        <v>42</v>
      </c>
      <c r="H70" s="14" t="s">
        <v>344</v>
      </c>
    </row>
    <row r="71" spans="1:8" ht="15" customHeight="1">
      <c r="A71" s="65" t="s">
        <v>21</v>
      </c>
      <c r="B71" s="19" t="s">
        <v>344</v>
      </c>
      <c r="C71" s="19" t="s">
        <v>280</v>
      </c>
      <c r="D71" s="112" t="s">
        <v>241</v>
      </c>
      <c r="E71" s="112"/>
      <c r="F71" s="19" t="s">
        <v>122</v>
      </c>
      <c r="G71" s="12">
        <v>3.0000000000000004</v>
      </c>
      <c r="H71" s="3">
        <v>0</v>
      </c>
    </row>
    <row r="72" spans="1:8" ht="15" customHeight="1">
      <c r="A72" s="49"/>
      <c r="D72" s="72" t="s">
        <v>417</v>
      </c>
      <c r="E72" s="188" t="s">
        <v>412</v>
      </c>
      <c r="F72" s="188"/>
      <c r="G72" s="16">
        <v>3.0000000000000004</v>
      </c>
      <c r="H72" s="57"/>
    </row>
    <row r="73" spans="1:8" ht="15" customHeight="1">
      <c r="A73" s="65" t="s">
        <v>352</v>
      </c>
      <c r="B73" s="19" t="s">
        <v>344</v>
      </c>
      <c r="C73" s="19" t="s">
        <v>248</v>
      </c>
      <c r="D73" s="112" t="s">
        <v>366</v>
      </c>
      <c r="E73" s="112"/>
      <c r="F73" s="19" t="s">
        <v>398</v>
      </c>
      <c r="G73" s="12">
        <v>64</v>
      </c>
      <c r="H73" s="3">
        <v>0</v>
      </c>
    </row>
    <row r="74" spans="1:8" ht="15" customHeight="1">
      <c r="A74" s="49"/>
      <c r="D74" s="72" t="s">
        <v>38</v>
      </c>
      <c r="E74" s="188" t="s">
        <v>449</v>
      </c>
      <c r="F74" s="188"/>
      <c r="G74" s="16">
        <v>64</v>
      </c>
      <c r="H74" s="57"/>
    </row>
    <row r="75" spans="1:8" ht="15" customHeight="1">
      <c r="A75" s="65" t="s">
        <v>445</v>
      </c>
      <c r="B75" s="19" t="s">
        <v>344</v>
      </c>
      <c r="C75" s="19" t="s">
        <v>227</v>
      </c>
      <c r="D75" s="112" t="s">
        <v>504</v>
      </c>
      <c r="E75" s="112"/>
      <c r="F75" s="19" t="s">
        <v>441</v>
      </c>
      <c r="G75" s="12">
        <v>525</v>
      </c>
      <c r="H75" s="3">
        <v>0</v>
      </c>
    </row>
    <row r="76" spans="1:8" ht="15" customHeight="1">
      <c r="A76" s="49"/>
      <c r="D76" s="72" t="s">
        <v>456</v>
      </c>
      <c r="E76" s="188" t="s">
        <v>323</v>
      </c>
      <c r="F76" s="188"/>
      <c r="G76" s="16">
        <v>450.00000000000006</v>
      </c>
      <c r="H76" s="57"/>
    </row>
    <row r="77" spans="1:8" ht="15" customHeight="1">
      <c r="A77" s="65" t="s">
        <v>344</v>
      </c>
      <c r="B77" s="19" t="s">
        <v>344</v>
      </c>
      <c r="C77" s="19" t="s">
        <v>344</v>
      </c>
      <c r="D77" s="72" t="s">
        <v>365</v>
      </c>
      <c r="E77" s="188" t="s">
        <v>105</v>
      </c>
      <c r="F77" s="188"/>
      <c r="G77" s="16">
        <v>75</v>
      </c>
      <c r="H77" s="14" t="s">
        <v>344</v>
      </c>
    </row>
    <row r="78" spans="1:8" ht="15" customHeight="1">
      <c r="A78" s="65" t="s">
        <v>229</v>
      </c>
      <c r="B78" s="19" t="s">
        <v>344</v>
      </c>
      <c r="C78" s="19" t="s">
        <v>438</v>
      </c>
      <c r="D78" s="112" t="s">
        <v>79</v>
      </c>
      <c r="E78" s="112"/>
      <c r="F78" s="19" t="s">
        <v>441</v>
      </c>
      <c r="G78" s="12">
        <v>1492.44</v>
      </c>
      <c r="H78" s="3">
        <v>0</v>
      </c>
    </row>
    <row r="79" spans="1:8" ht="15" customHeight="1">
      <c r="A79" s="49"/>
      <c r="D79" s="72" t="s">
        <v>50</v>
      </c>
      <c r="E79" s="188" t="s">
        <v>370</v>
      </c>
      <c r="F79" s="188"/>
      <c r="G79" s="16">
        <v>1310.4</v>
      </c>
      <c r="H79" s="57"/>
    </row>
    <row r="80" spans="1:8" ht="15" customHeight="1">
      <c r="A80" s="65" t="s">
        <v>344</v>
      </c>
      <c r="B80" s="19" t="s">
        <v>344</v>
      </c>
      <c r="C80" s="19" t="s">
        <v>344</v>
      </c>
      <c r="D80" s="72" t="s">
        <v>509</v>
      </c>
      <c r="E80" s="188" t="s">
        <v>331</v>
      </c>
      <c r="F80" s="188"/>
      <c r="G80" s="16">
        <v>140.04000000000002</v>
      </c>
      <c r="H80" s="14" t="s">
        <v>344</v>
      </c>
    </row>
    <row r="81" spans="1:8" ht="15" customHeight="1">
      <c r="A81" s="65" t="s">
        <v>344</v>
      </c>
      <c r="B81" s="19" t="s">
        <v>344</v>
      </c>
      <c r="C81" s="19" t="s">
        <v>344</v>
      </c>
      <c r="D81" s="72" t="s">
        <v>85</v>
      </c>
      <c r="E81" s="188" t="s">
        <v>164</v>
      </c>
      <c r="F81" s="188"/>
      <c r="G81" s="16">
        <v>42</v>
      </c>
      <c r="H81" s="14" t="s">
        <v>344</v>
      </c>
    </row>
    <row r="82" spans="1:8" ht="15" customHeight="1">
      <c r="A82" s="65" t="s">
        <v>46</v>
      </c>
      <c r="B82" s="19" t="s">
        <v>344</v>
      </c>
      <c r="C82" s="19" t="s">
        <v>510</v>
      </c>
      <c r="D82" s="112" t="s">
        <v>228</v>
      </c>
      <c r="E82" s="112"/>
      <c r="F82" s="19" t="s">
        <v>454</v>
      </c>
      <c r="G82" s="12">
        <v>204.00000000000003</v>
      </c>
      <c r="H82" s="3">
        <v>0</v>
      </c>
    </row>
    <row r="83" spans="1:8" ht="15" customHeight="1">
      <c r="A83" s="49"/>
      <c r="D83" s="72" t="s">
        <v>496</v>
      </c>
      <c r="E83" s="188" t="s">
        <v>480</v>
      </c>
      <c r="F83" s="188"/>
      <c r="G83" s="16">
        <v>62.400000000000006</v>
      </c>
      <c r="H83" s="57"/>
    </row>
    <row r="84" spans="1:8" ht="15" customHeight="1">
      <c r="A84" s="65" t="s">
        <v>344</v>
      </c>
      <c r="B84" s="19" t="s">
        <v>344</v>
      </c>
      <c r="C84" s="19" t="s">
        <v>344</v>
      </c>
      <c r="D84" s="72" t="s">
        <v>334</v>
      </c>
      <c r="E84" s="188" t="s">
        <v>145</v>
      </c>
      <c r="F84" s="188"/>
      <c r="G84" s="16">
        <v>33.6</v>
      </c>
      <c r="H84" s="14" t="s">
        <v>344</v>
      </c>
    </row>
    <row r="85" spans="1:8" ht="15" customHeight="1">
      <c r="A85" s="65" t="s">
        <v>344</v>
      </c>
      <c r="B85" s="19" t="s">
        <v>344</v>
      </c>
      <c r="C85" s="19" t="s">
        <v>344</v>
      </c>
      <c r="D85" s="72" t="s">
        <v>496</v>
      </c>
      <c r="E85" s="188" t="s">
        <v>123</v>
      </c>
      <c r="F85" s="188"/>
      <c r="G85" s="16">
        <v>62.400000000000006</v>
      </c>
      <c r="H85" s="14" t="s">
        <v>344</v>
      </c>
    </row>
    <row r="86" spans="1:8" ht="15" customHeight="1">
      <c r="A86" s="65" t="s">
        <v>344</v>
      </c>
      <c r="B86" s="19" t="s">
        <v>344</v>
      </c>
      <c r="C86" s="19" t="s">
        <v>344</v>
      </c>
      <c r="D86" s="72" t="s">
        <v>334</v>
      </c>
      <c r="E86" s="188" t="s">
        <v>145</v>
      </c>
      <c r="F86" s="188"/>
      <c r="G86" s="16">
        <v>33.6</v>
      </c>
      <c r="H86" s="14" t="s">
        <v>344</v>
      </c>
    </row>
    <row r="87" spans="1:8" ht="15" customHeight="1">
      <c r="A87" s="65" t="s">
        <v>344</v>
      </c>
      <c r="B87" s="19" t="s">
        <v>344</v>
      </c>
      <c r="C87" s="19" t="s">
        <v>344</v>
      </c>
      <c r="D87" s="72" t="s">
        <v>109</v>
      </c>
      <c r="E87" s="188" t="s">
        <v>87</v>
      </c>
      <c r="F87" s="188"/>
      <c r="G87" s="16">
        <v>12.000000000000002</v>
      </c>
      <c r="H87" s="14" t="s">
        <v>344</v>
      </c>
    </row>
    <row r="88" spans="1:8" ht="15" customHeight="1">
      <c r="A88" s="65" t="s">
        <v>121</v>
      </c>
      <c r="B88" s="19" t="s">
        <v>344</v>
      </c>
      <c r="C88" s="19" t="s">
        <v>380</v>
      </c>
      <c r="D88" s="112" t="s">
        <v>299</v>
      </c>
      <c r="E88" s="112"/>
      <c r="F88" s="19" t="s">
        <v>454</v>
      </c>
      <c r="G88" s="12">
        <v>670.6</v>
      </c>
      <c r="H88" s="3">
        <v>0</v>
      </c>
    </row>
    <row r="89" spans="1:8" ht="15" customHeight="1">
      <c r="A89" s="49"/>
      <c r="D89" s="72" t="s">
        <v>200</v>
      </c>
      <c r="E89" s="188" t="s">
        <v>102</v>
      </c>
      <c r="F89" s="188"/>
      <c r="G89" s="16">
        <v>261.8</v>
      </c>
      <c r="H89" s="57"/>
    </row>
    <row r="90" spans="1:8" ht="15" customHeight="1">
      <c r="A90" s="65" t="s">
        <v>344</v>
      </c>
      <c r="B90" s="19" t="s">
        <v>344</v>
      </c>
      <c r="C90" s="19" t="s">
        <v>344</v>
      </c>
      <c r="D90" s="72" t="s">
        <v>350</v>
      </c>
      <c r="E90" s="188" t="s">
        <v>427</v>
      </c>
      <c r="F90" s="188"/>
      <c r="G90" s="16">
        <v>190.4</v>
      </c>
      <c r="H90" s="14" t="s">
        <v>344</v>
      </c>
    </row>
    <row r="91" spans="1:8" ht="15" customHeight="1">
      <c r="A91" s="65" t="s">
        <v>344</v>
      </c>
      <c r="B91" s="19" t="s">
        <v>344</v>
      </c>
      <c r="C91" s="19" t="s">
        <v>344</v>
      </c>
      <c r="D91" s="72" t="s">
        <v>146</v>
      </c>
      <c r="E91" s="188" t="s">
        <v>343</v>
      </c>
      <c r="F91" s="188"/>
      <c r="G91" s="16">
        <v>218.4</v>
      </c>
      <c r="H91" s="14" t="s">
        <v>344</v>
      </c>
    </row>
    <row r="92" spans="1:8" ht="15" customHeight="1">
      <c r="A92" s="65" t="s">
        <v>61</v>
      </c>
      <c r="B92" s="19" t="s">
        <v>344</v>
      </c>
      <c r="C92" s="19" t="s">
        <v>375</v>
      </c>
      <c r="D92" s="112" t="s">
        <v>265</v>
      </c>
      <c r="E92" s="112"/>
      <c r="F92" s="19" t="s">
        <v>103</v>
      </c>
      <c r="G92" s="12">
        <v>329.94000000000005</v>
      </c>
      <c r="H92" s="3">
        <v>0</v>
      </c>
    </row>
    <row r="93" spans="1:8" ht="15" customHeight="1">
      <c r="A93" s="49"/>
      <c r="D93" s="72" t="s">
        <v>35</v>
      </c>
      <c r="E93" s="188" t="s">
        <v>404</v>
      </c>
      <c r="F93" s="188"/>
      <c r="G93" s="16">
        <v>145.82000000000002</v>
      </c>
      <c r="H93" s="57"/>
    </row>
    <row r="94" spans="1:8" ht="15" customHeight="1">
      <c r="A94" s="65" t="s">
        <v>344</v>
      </c>
      <c r="B94" s="19" t="s">
        <v>344</v>
      </c>
      <c r="C94" s="19" t="s">
        <v>344</v>
      </c>
      <c r="D94" s="72" t="s">
        <v>243</v>
      </c>
      <c r="E94" s="188" t="s">
        <v>3</v>
      </c>
      <c r="F94" s="188"/>
      <c r="G94" s="16">
        <v>103.12</v>
      </c>
      <c r="H94" s="14" t="s">
        <v>344</v>
      </c>
    </row>
    <row r="95" spans="1:8" ht="15" customHeight="1">
      <c r="A95" s="65" t="s">
        <v>344</v>
      </c>
      <c r="B95" s="19" t="s">
        <v>344</v>
      </c>
      <c r="C95" s="19" t="s">
        <v>344</v>
      </c>
      <c r="D95" s="72" t="s">
        <v>283</v>
      </c>
      <c r="E95" s="188" t="s">
        <v>461</v>
      </c>
      <c r="F95" s="188"/>
      <c r="G95" s="16">
        <v>81</v>
      </c>
      <c r="H95" s="14" t="s">
        <v>344</v>
      </c>
    </row>
    <row r="96" spans="1:8" ht="15" customHeight="1">
      <c r="A96" s="65" t="s">
        <v>452</v>
      </c>
      <c r="B96" s="19" t="s">
        <v>344</v>
      </c>
      <c r="C96" s="19" t="s">
        <v>205</v>
      </c>
      <c r="D96" s="112" t="s">
        <v>261</v>
      </c>
      <c r="E96" s="112"/>
      <c r="F96" s="19" t="s">
        <v>103</v>
      </c>
      <c r="G96" s="12">
        <v>521.3100000000001</v>
      </c>
      <c r="H96" s="3">
        <v>0</v>
      </c>
    </row>
    <row r="97" spans="1:8" ht="15" customHeight="1">
      <c r="A97" s="49"/>
      <c r="D97" s="72" t="s">
        <v>59</v>
      </c>
      <c r="E97" s="188" t="s">
        <v>11</v>
      </c>
      <c r="F97" s="188"/>
      <c r="G97" s="16">
        <v>329.94000000000005</v>
      </c>
      <c r="H97" s="57"/>
    </row>
    <row r="98" spans="1:8" ht="15" customHeight="1">
      <c r="A98" s="65" t="s">
        <v>344</v>
      </c>
      <c r="B98" s="19" t="s">
        <v>344</v>
      </c>
      <c r="C98" s="19" t="s">
        <v>344</v>
      </c>
      <c r="D98" s="72" t="s">
        <v>0</v>
      </c>
      <c r="E98" s="188" t="s">
        <v>418</v>
      </c>
      <c r="F98" s="188"/>
      <c r="G98" s="16">
        <v>191.37</v>
      </c>
      <c r="H98" s="14" t="s">
        <v>344</v>
      </c>
    </row>
    <row r="99" spans="1:8" ht="15" customHeight="1">
      <c r="A99" s="65" t="s">
        <v>498</v>
      </c>
      <c r="B99" s="19" t="s">
        <v>344</v>
      </c>
      <c r="C99" s="19" t="s">
        <v>332</v>
      </c>
      <c r="D99" s="112" t="s">
        <v>470</v>
      </c>
      <c r="E99" s="112"/>
      <c r="F99" s="19" t="s">
        <v>454</v>
      </c>
      <c r="G99" s="12">
        <v>611.5249</v>
      </c>
      <c r="H99" s="3">
        <v>0</v>
      </c>
    </row>
    <row r="100" spans="1:8" ht="15" customHeight="1">
      <c r="A100" s="49"/>
      <c r="D100" s="72" t="s">
        <v>487</v>
      </c>
      <c r="E100" s="188" t="s">
        <v>494</v>
      </c>
      <c r="F100" s="188"/>
      <c r="G100" s="16">
        <v>611.5249</v>
      </c>
      <c r="H100" s="57"/>
    </row>
    <row r="101" spans="1:8" ht="15" customHeight="1">
      <c r="A101" s="65" t="s">
        <v>31</v>
      </c>
      <c r="B101" s="19" t="s">
        <v>344</v>
      </c>
      <c r="C101" s="19" t="s">
        <v>185</v>
      </c>
      <c r="D101" s="112" t="s">
        <v>116</v>
      </c>
      <c r="E101" s="112"/>
      <c r="F101" s="19" t="s">
        <v>454</v>
      </c>
      <c r="G101" s="12">
        <v>322.834</v>
      </c>
      <c r="H101" s="3">
        <v>0</v>
      </c>
    </row>
    <row r="102" spans="1:8" ht="15" customHeight="1">
      <c r="A102" s="49"/>
      <c r="D102" s="72" t="s">
        <v>307</v>
      </c>
      <c r="E102" s="188" t="s">
        <v>480</v>
      </c>
      <c r="F102" s="188"/>
      <c r="G102" s="16">
        <v>104.78000000000002</v>
      </c>
      <c r="H102" s="57"/>
    </row>
    <row r="103" spans="1:8" ht="15" customHeight="1">
      <c r="A103" s="65" t="s">
        <v>344</v>
      </c>
      <c r="B103" s="19" t="s">
        <v>344</v>
      </c>
      <c r="C103" s="19" t="s">
        <v>344</v>
      </c>
      <c r="D103" s="72" t="s">
        <v>86</v>
      </c>
      <c r="E103" s="188" t="s">
        <v>145</v>
      </c>
      <c r="F103" s="188"/>
      <c r="G103" s="16">
        <v>56.63700000000001</v>
      </c>
      <c r="H103" s="14" t="s">
        <v>344</v>
      </c>
    </row>
    <row r="104" spans="1:8" ht="15" customHeight="1">
      <c r="A104" s="65" t="s">
        <v>344</v>
      </c>
      <c r="B104" s="19" t="s">
        <v>344</v>
      </c>
      <c r="C104" s="19" t="s">
        <v>344</v>
      </c>
      <c r="D104" s="72" t="s">
        <v>307</v>
      </c>
      <c r="E104" s="188" t="s">
        <v>123</v>
      </c>
      <c r="F104" s="188"/>
      <c r="G104" s="16">
        <v>104.78000000000002</v>
      </c>
      <c r="H104" s="14" t="s">
        <v>344</v>
      </c>
    </row>
    <row r="105" spans="1:8" ht="15" customHeight="1">
      <c r="A105" s="65" t="s">
        <v>344</v>
      </c>
      <c r="B105" s="19" t="s">
        <v>344</v>
      </c>
      <c r="C105" s="19" t="s">
        <v>344</v>
      </c>
      <c r="D105" s="72" t="s">
        <v>86</v>
      </c>
      <c r="E105" s="188" t="s">
        <v>145</v>
      </c>
      <c r="F105" s="188"/>
      <c r="G105" s="16">
        <v>56.63700000000001</v>
      </c>
      <c r="H105" s="14" t="s">
        <v>344</v>
      </c>
    </row>
    <row r="106" spans="1:8" ht="15" customHeight="1">
      <c r="A106" s="65" t="s">
        <v>319</v>
      </c>
      <c r="B106" s="19" t="s">
        <v>344</v>
      </c>
      <c r="C106" s="19" t="s">
        <v>311</v>
      </c>
      <c r="D106" s="112" t="s">
        <v>433</v>
      </c>
      <c r="E106" s="112"/>
      <c r="F106" s="19" t="s">
        <v>238</v>
      </c>
      <c r="G106" s="12">
        <v>479.61172000000005</v>
      </c>
      <c r="H106" s="3">
        <v>0</v>
      </c>
    </row>
    <row r="107" spans="1:8" ht="15" customHeight="1">
      <c r="A107" s="65" t="s">
        <v>296</v>
      </c>
      <c r="B107" s="19" t="s">
        <v>344</v>
      </c>
      <c r="C107" s="19" t="s">
        <v>476</v>
      </c>
      <c r="D107" s="112" t="s">
        <v>284</v>
      </c>
      <c r="E107" s="112"/>
      <c r="F107" s="19" t="s">
        <v>238</v>
      </c>
      <c r="G107" s="12">
        <v>4316.505480000001</v>
      </c>
      <c r="H107" s="3">
        <v>0</v>
      </c>
    </row>
    <row r="108" spans="1:8" ht="15" customHeight="1">
      <c r="A108" s="49"/>
      <c r="D108" s="72" t="s">
        <v>491</v>
      </c>
      <c r="E108" s="188" t="s">
        <v>344</v>
      </c>
      <c r="F108" s="188"/>
      <c r="G108" s="16">
        <v>4316.505480000001</v>
      </c>
      <c r="H108" s="57"/>
    </row>
    <row r="109" spans="1:8" ht="15" customHeight="1">
      <c r="A109" s="65" t="s">
        <v>405</v>
      </c>
      <c r="B109" s="19" t="s">
        <v>344</v>
      </c>
      <c r="C109" s="19" t="s">
        <v>408</v>
      </c>
      <c r="D109" s="112" t="s">
        <v>247</v>
      </c>
      <c r="E109" s="112"/>
      <c r="F109" s="19" t="s">
        <v>238</v>
      </c>
      <c r="G109" s="12">
        <v>13.730870000000001</v>
      </c>
      <c r="H109" s="3">
        <v>0</v>
      </c>
    </row>
    <row r="110" spans="1:8" ht="15" customHeight="1">
      <c r="A110" s="65" t="s">
        <v>106</v>
      </c>
      <c r="B110" s="19" t="s">
        <v>344</v>
      </c>
      <c r="C110" s="19" t="s">
        <v>195</v>
      </c>
      <c r="D110" s="112" t="s">
        <v>9</v>
      </c>
      <c r="E110" s="112"/>
      <c r="F110" s="19" t="s">
        <v>238</v>
      </c>
      <c r="G110" s="12">
        <v>672.81263</v>
      </c>
      <c r="H110" s="3">
        <v>0</v>
      </c>
    </row>
    <row r="111" spans="1:8" ht="15" customHeight="1">
      <c r="A111" s="49"/>
      <c r="D111" s="72" t="s">
        <v>293</v>
      </c>
      <c r="E111" s="188" t="s">
        <v>344</v>
      </c>
      <c r="F111" s="188"/>
      <c r="G111" s="16">
        <v>672.81263</v>
      </c>
      <c r="H111" s="57"/>
    </row>
    <row r="112" spans="1:8" ht="15" customHeight="1">
      <c r="A112" s="65" t="s">
        <v>511</v>
      </c>
      <c r="B112" s="19" t="s">
        <v>344</v>
      </c>
      <c r="C112" s="19" t="s">
        <v>253</v>
      </c>
      <c r="D112" s="112" t="s">
        <v>158</v>
      </c>
      <c r="E112" s="112"/>
      <c r="F112" s="19" t="s">
        <v>454</v>
      </c>
      <c r="G112" s="12">
        <v>670.6</v>
      </c>
      <c r="H112" s="3">
        <v>0</v>
      </c>
    </row>
    <row r="113" spans="1:8" ht="15" customHeight="1">
      <c r="A113" s="49"/>
      <c r="D113" s="72" t="s">
        <v>200</v>
      </c>
      <c r="E113" s="188" t="s">
        <v>102</v>
      </c>
      <c r="F113" s="188"/>
      <c r="G113" s="16">
        <v>261.8</v>
      </c>
      <c r="H113" s="57"/>
    </row>
    <row r="114" spans="1:8" ht="15" customHeight="1">
      <c r="A114" s="65" t="s">
        <v>344</v>
      </c>
      <c r="B114" s="19" t="s">
        <v>344</v>
      </c>
      <c r="C114" s="19" t="s">
        <v>344</v>
      </c>
      <c r="D114" s="72" t="s">
        <v>350</v>
      </c>
      <c r="E114" s="188" t="s">
        <v>427</v>
      </c>
      <c r="F114" s="188"/>
      <c r="G114" s="16">
        <v>190.4</v>
      </c>
      <c r="H114" s="14" t="s">
        <v>344</v>
      </c>
    </row>
    <row r="115" spans="1:8" ht="15" customHeight="1">
      <c r="A115" s="65" t="s">
        <v>344</v>
      </c>
      <c r="B115" s="19" t="s">
        <v>344</v>
      </c>
      <c r="C115" s="19" t="s">
        <v>344</v>
      </c>
      <c r="D115" s="72" t="s">
        <v>146</v>
      </c>
      <c r="E115" s="188" t="s">
        <v>343</v>
      </c>
      <c r="F115" s="188"/>
      <c r="G115" s="16">
        <v>218.4</v>
      </c>
      <c r="H115" s="14" t="s">
        <v>344</v>
      </c>
    </row>
    <row r="116" spans="1:8" ht="15" customHeight="1">
      <c r="A116" s="65" t="s">
        <v>425</v>
      </c>
      <c r="B116" s="19" t="s">
        <v>344</v>
      </c>
      <c r="C116" s="19" t="s">
        <v>73</v>
      </c>
      <c r="D116" s="112" t="s">
        <v>374</v>
      </c>
      <c r="E116" s="112"/>
      <c r="F116" s="19" t="s">
        <v>103</v>
      </c>
      <c r="G116" s="12">
        <v>360.00000000000006</v>
      </c>
      <c r="H116" s="3">
        <v>0</v>
      </c>
    </row>
    <row r="117" spans="1:8" ht="15" customHeight="1">
      <c r="A117" s="49"/>
      <c r="D117" s="72" t="s">
        <v>35</v>
      </c>
      <c r="E117" s="188" t="s">
        <v>404</v>
      </c>
      <c r="F117" s="188"/>
      <c r="G117" s="16">
        <v>145.82000000000002</v>
      </c>
      <c r="H117" s="57"/>
    </row>
    <row r="118" spans="1:8" ht="15" customHeight="1">
      <c r="A118" s="65" t="s">
        <v>344</v>
      </c>
      <c r="B118" s="19" t="s">
        <v>344</v>
      </c>
      <c r="C118" s="19" t="s">
        <v>344</v>
      </c>
      <c r="D118" s="72" t="s">
        <v>243</v>
      </c>
      <c r="E118" s="188" t="s">
        <v>3</v>
      </c>
      <c r="F118" s="188"/>
      <c r="G118" s="16">
        <v>103.12</v>
      </c>
      <c r="H118" s="14" t="s">
        <v>344</v>
      </c>
    </row>
    <row r="119" spans="1:8" ht="15" customHeight="1">
      <c r="A119" s="65" t="s">
        <v>344</v>
      </c>
      <c r="B119" s="19" t="s">
        <v>344</v>
      </c>
      <c r="C119" s="19" t="s">
        <v>344</v>
      </c>
      <c r="D119" s="72" t="s">
        <v>219</v>
      </c>
      <c r="E119" s="188" t="s">
        <v>287</v>
      </c>
      <c r="F119" s="188"/>
      <c r="G119" s="16">
        <v>11.06</v>
      </c>
      <c r="H119" s="14" t="s">
        <v>344</v>
      </c>
    </row>
    <row r="120" spans="1:8" ht="15" customHeight="1">
      <c r="A120" s="65" t="s">
        <v>344</v>
      </c>
      <c r="B120" s="19" t="s">
        <v>344</v>
      </c>
      <c r="C120" s="19" t="s">
        <v>344</v>
      </c>
      <c r="D120" s="72" t="s">
        <v>283</v>
      </c>
      <c r="E120" s="188" t="s">
        <v>461</v>
      </c>
      <c r="F120" s="188"/>
      <c r="G120" s="16">
        <v>81</v>
      </c>
      <c r="H120" s="14" t="s">
        <v>344</v>
      </c>
    </row>
    <row r="121" spans="1:8" ht="15" customHeight="1">
      <c r="A121" s="65" t="s">
        <v>344</v>
      </c>
      <c r="B121" s="19" t="s">
        <v>344</v>
      </c>
      <c r="C121" s="19" t="s">
        <v>344</v>
      </c>
      <c r="D121" s="72" t="s">
        <v>312</v>
      </c>
      <c r="E121" s="188" t="s">
        <v>287</v>
      </c>
      <c r="F121" s="188"/>
      <c r="G121" s="16">
        <v>19</v>
      </c>
      <c r="H121" s="14" t="s">
        <v>344</v>
      </c>
    </row>
    <row r="122" spans="1:8" ht="15" customHeight="1">
      <c r="A122" s="65" t="s">
        <v>292</v>
      </c>
      <c r="B122" s="19" t="s">
        <v>344</v>
      </c>
      <c r="C122" s="19" t="s">
        <v>99</v>
      </c>
      <c r="D122" s="112" t="s">
        <v>148</v>
      </c>
      <c r="E122" s="112"/>
      <c r="F122" s="19" t="s">
        <v>103</v>
      </c>
      <c r="G122" s="12">
        <v>530</v>
      </c>
      <c r="H122" s="3">
        <v>0</v>
      </c>
    </row>
    <row r="123" spans="1:8" ht="15" customHeight="1">
      <c r="A123" s="49"/>
      <c r="D123" s="72" t="s">
        <v>59</v>
      </c>
      <c r="E123" s="188" t="s">
        <v>11</v>
      </c>
      <c r="F123" s="188"/>
      <c r="G123" s="16">
        <v>329.94000000000005</v>
      </c>
      <c r="H123" s="57"/>
    </row>
    <row r="124" spans="1:8" ht="15" customHeight="1">
      <c r="A124" s="65" t="s">
        <v>344</v>
      </c>
      <c r="B124" s="19" t="s">
        <v>344</v>
      </c>
      <c r="C124" s="19" t="s">
        <v>344</v>
      </c>
      <c r="D124" s="72" t="s">
        <v>0</v>
      </c>
      <c r="E124" s="188" t="s">
        <v>418</v>
      </c>
      <c r="F124" s="188"/>
      <c r="G124" s="16">
        <v>191.37</v>
      </c>
      <c r="H124" s="14" t="s">
        <v>344</v>
      </c>
    </row>
    <row r="125" spans="1:8" ht="15" customHeight="1">
      <c r="A125" s="65" t="s">
        <v>344</v>
      </c>
      <c r="B125" s="19" t="s">
        <v>344</v>
      </c>
      <c r="C125" s="19" t="s">
        <v>344</v>
      </c>
      <c r="D125" s="72" t="s">
        <v>104</v>
      </c>
      <c r="E125" s="188" t="s">
        <v>40</v>
      </c>
      <c r="F125" s="188"/>
      <c r="G125" s="16">
        <v>8.690000000000001</v>
      </c>
      <c r="H125" s="14" t="s">
        <v>344</v>
      </c>
    </row>
    <row r="126" spans="1:8" ht="15" customHeight="1">
      <c r="A126" s="65" t="s">
        <v>453</v>
      </c>
      <c r="B126" s="19" t="s">
        <v>344</v>
      </c>
      <c r="C126" s="19" t="s">
        <v>464</v>
      </c>
      <c r="D126" s="112" t="s">
        <v>192</v>
      </c>
      <c r="E126" s="112"/>
      <c r="F126" s="19" t="s">
        <v>103</v>
      </c>
      <c r="G126" s="12">
        <v>530</v>
      </c>
      <c r="H126" s="3">
        <v>0</v>
      </c>
    </row>
    <row r="127" spans="1:8" ht="15" customHeight="1">
      <c r="A127" s="49"/>
      <c r="D127" s="72" t="s">
        <v>59</v>
      </c>
      <c r="E127" s="188" t="s">
        <v>11</v>
      </c>
      <c r="F127" s="188"/>
      <c r="G127" s="16">
        <v>329.94000000000005</v>
      </c>
      <c r="H127" s="57"/>
    </row>
    <row r="128" spans="1:8" ht="15" customHeight="1">
      <c r="A128" s="65" t="s">
        <v>344</v>
      </c>
      <c r="B128" s="19" t="s">
        <v>344</v>
      </c>
      <c r="C128" s="19" t="s">
        <v>344</v>
      </c>
      <c r="D128" s="72" t="s">
        <v>0</v>
      </c>
      <c r="E128" s="188" t="s">
        <v>418</v>
      </c>
      <c r="F128" s="188"/>
      <c r="G128" s="16">
        <v>191.37</v>
      </c>
      <c r="H128" s="14" t="s">
        <v>344</v>
      </c>
    </row>
    <row r="129" spans="1:8" ht="15" customHeight="1">
      <c r="A129" s="65" t="s">
        <v>344</v>
      </c>
      <c r="B129" s="19" t="s">
        <v>344</v>
      </c>
      <c r="C129" s="19" t="s">
        <v>344</v>
      </c>
      <c r="D129" s="72" t="s">
        <v>104</v>
      </c>
      <c r="E129" s="188" t="s">
        <v>344</v>
      </c>
      <c r="F129" s="188"/>
      <c r="G129" s="16">
        <v>8.690000000000001</v>
      </c>
      <c r="H129" s="14" t="s">
        <v>344</v>
      </c>
    </row>
    <row r="130" spans="1:8" ht="15" customHeight="1">
      <c r="A130" s="65" t="s">
        <v>301</v>
      </c>
      <c r="B130" s="19" t="s">
        <v>344</v>
      </c>
      <c r="C130" s="19" t="s">
        <v>278</v>
      </c>
      <c r="D130" s="112" t="s">
        <v>204</v>
      </c>
      <c r="E130" s="112"/>
      <c r="F130" s="19" t="s">
        <v>52</v>
      </c>
      <c r="G130" s="12">
        <v>7.447290000000001</v>
      </c>
      <c r="H130" s="3">
        <v>0</v>
      </c>
    </row>
    <row r="131" spans="1:8" ht="15" customHeight="1">
      <c r="A131" s="49"/>
      <c r="D131" s="72" t="s">
        <v>98</v>
      </c>
      <c r="E131" s="188" t="s">
        <v>11</v>
      </c>
      <c r="F131" s="188"/>
      <c r="G131" s="16">
        <v>4.713430000000001</v>
      </c>
      <c r="H131" s="57"/>
    </row>
    <row r="132" spans="1:8" ht="15" customHeight="1">
      <c r="A132" s="65" t="s">
        <v>344</v>
      </c>
      <c r="B132" s="19" t="s">
        <v>344</v>
      </c>
      <c r="C132" s="19" t="s">
        <v>344</v>
      </c>
      <c r="D132" s="72" t="s">
        <v>231</v>
      </c>
      <c r="E132" s="188" t="s">
        <v>418</v>
      </c>
      <c r="F132" s="188"/>
      <c r="G132" s="16">
        <v>2.7338600000000004</v>
      </c>
      <c r="H132" s="14" t="s">
        <v>344</v>
      </c>
    </row>
    <row r="133" spans="1:8" ht="15" customHeight="1">
      <c r="A133" s="65" t="s">
        <v>318</v>
      </c>
      <c r="B133" s="19" t="s">
        <v>344</v>
      </c>
      <c r="C133" s="19" t="s">
        <v>517</v>
      </c>
      <c r="D133" s="112" t="s">
        <v>371</v>
      </c>
      <c r="E133" s="112"/>
      <c r="F133" s="19" t="s">
        <v>238</v>
      </c>
      <c r="G133" s="12">
        <v>6.000000000000001</v>
      </c>
      <c r="H133" s="3">
        <v>0</v>
      </c>
    </row>
    <row r="134" spans="1:8" ht="15" customHeight="1">
      <c r="A134" s="49"/>
      <c r="D134" s="72" t="s">
        <v>75</v>
      </c>
      <c r="E134" s="188" t="s">
        <v>56</v>
      </c>
      <c r="F134" s="188"/>
      <c r="G134" s="16">
        <v>6.000000000000001</v>
      </c>
      <c r="H134" s="57"/>
    </row>
    <row r="135" spans="1:8" ht="15" customHeight="1">
      <c r="A135" s="65" t="s">
        <v>183</v>
      </c>
      <c r="B135" s="19" t="s">
        <v>344</v>
      </c>
      <c r="C135" s="19" t="s">
        <v>1</v>
      </c>
      <c r="D135" s="112" t="s">
        <v>78</v>
      </c>
      <c r="E135" s="112"/>
      <c r="F135" s="19" t="s">
        <v>238</v>
      </c>
      <c r="G135" s="12">
        <v>1</v>
      </c>
      <c r="H135" s="3">
        <v>0</v>
      </c>
    </row>
    <row r="136" spans="1:8" ht="15" customHeight="1">
      <c r="A136" s="49"/>
      <c r="D136" s="72" t="s">
        <v>259</v>
      </c>
      <c r="E136" s="188" t="s">
        <v>345</v>
      </c>
      <c r="F136" s="188"/>
      <c r="G136" s="16">
        <v>0.2</v>
      </c>
      <c r="H136" s="57"/>
    </row>
    <row r="137" spans="1:8" ht="15" customHeight="1">
      <c r="A137" s="65" t="s">
        <v>344</v>
      </c>
      <c r="B137" s="19" t="s">
        <v>344</v>
      </c>
      <c r="C137" s="19" t="s">
        <v>344</v>
      </c>
      <c r="D137" s="72" t="s">
        <v>202</v>
      </c>
      <c r="E137" s="188" t="s">
        <v>482</v>
      </c>
      <c r="F137" s="188"/>
      <c r="G137" s="16">
        <v>0.8</v>
      </c>
      <c r="H137" s="14" t="s">
        <v>344</v>
      </c>
    </row>
    <row r="138" spans="1:8" ht="15" customHeight="1">
      <c r="A138" s="65" t="s">
        <v>455</v>
      </c>
      <c r="B138" s="19" t="s">
        <v>344</v>
      </c>
      <c r="C138" s="19" t="s">
        <v>144</v>
      </c>
      <c r="D138" s="112" t="s">
        <v>190</v>
      </c>
      <c r="E138" s="112"/>
      <c r="F138" s="19" t="s">
        <v>12</v>
      </c>
      <c r="G138" s="12">
        <v>1</v>
      </c>
      <c r="H138" s="3">
        <v>0</v>
      </c>
    </row>
    <row r="139" spans="1:8" ht="15" customHeight="1">
      <c r="A139" s="49"/>
      <c r="D139" s="72" t="s">
        <v>460</v>
      </c>
      <c r="E139" s="188" t="s">
        <v>344</v>
      </c>
      <c r="F139" s="188"/>
      <c r="G139" s="16">
        <v>1</v>
      </c>
      <c r="H139" s="57"/>
    </row>
    <row r="140" spans="1:8" ht="15" customHeight="1">
      <c r="A140" s="65" t="s">
        <v>85</v>
      </c>
      <c r="B140" s="19" t="s">
        <v>344</v>
      </c>
      <c r="C140" s="19" t="s">
        <v>297</v>
      </c>
      <c r="D140" s="112" t="s">
        <v>367</v>
      </c>
      <c r="E140" s="112"/>
      <c r="F140" s="19" t="s">
        <v>347</v>
      </c>
      <c r="G140" s="12">
        <v>2</v>
      </c>
      <c r="H140" s="3">
        <v>0</v>
      </c>
    </row>
    <row r="141" spans="1:8" ht="15" customHeight="1">
      <c r="A141" s="49"/>
      <c r="D141" s="72" t="s">
        <v>340</v>
      </c>
      <c r="E141" s="188" t="s">
        <v>344</v>
      </c>
      <c r="F141" s="188"/>
      <c r="G141" s="16">
        <v>2</v>
      </c>
      <c r="H141" s="57"/>
    </row>
    <row r="142" spans="1:8" ht="15" customHeight="1">
      <c r="A142" s="65" t="s">
        <v>168</v>
      </c>
      <c r="B142" s="19" t="s">
        <v>344</v>
      </c>
      <c r="C142" s="19" t="s">
        <v>101</v>
      </c>
      <c r="D142" s="112" t="s">
        <v>16</v>
      </c>
      <c r="E142" s="112"/>
      <c r="F142" s="19" t="s">
        <v>454</v>
      </c>
      <c r="G142" s="12">
        <v>327.38770000000005</v>
      </c>
      <c r="H142" s="3">
        <v>0</v>
      </c>
    </row>
    <row r="143" spans="1:8" ht="15" customHeight="1">
      <c r="A143" s="49"/>
      <c r="D143" s="72" t="s">
        <v>307</v>
      </c>
      <c r="E143" s="188" t="s">
        <v>480</v>
      </c>
      <c r="F143" s="188"/>
      <c r="G143" s="16">
        <v>104.78000000000002</v>
      </c>
      <c r="H143" s="57"/>
    </row>
    <row r="144" spans="1:8" ht="15" customHeight="1">
      <c r="A144" s="65" t="s">
        <v>344</v>
      </c>
      <c r="B144" s="19" t="s">
        <v>344</v>
      </c>
      <c r="C144" s="19" t="s">
        <v>344</v>
      </c>
      <c r="D144" s="72" t="s">
        <v>86</v>
      </c>
      <c r="E144" s="188" t="s">
        <v>145</v>
      </c>
      <c r="F144" s="188"/>
      <c r="G144" s="16">
        <v>56.63700000000001</v>
      </c>
      <c r="H144" s="14" t="s">
        <v>344</v>
      </c>
    </row>
    <row r="145" spans="1:8" ht="15" customHeight="1">
      <c r="A145" s="65" t="s">
        <v>344</v>
      </c>
      <c r="B145" s="19" t="s">
        <v>344</v>
      </c>
      <c r="C145" s="19" t="s">
        <v>344</v>
      </c>
      <c r="D145" s="72" t="s">
        <v>307</v>
      </c>
      <c r="E145" s="188" t="s">
        <v>123</v>
      </c>
      <c r="F145" s="188"/>
      <c r="G145" s="16">
        <v>104.78000000000002</v>
      </c>
      <c r="H145" s="14" t="s">
        <v>344</v>
      </c>
    </row>
    <row r="146" spans="1:8" ht="15" customHeight="1">
      <c r="A146" s="65" t="s">
        <v>344</v>
      </c>
      <c r="B146" s="19" t="s">
        <v>344</v>
      </c>
      <c r="C146" s="19" t="s">
        <v>344</v>
      </c>
      <c r="D146" s="72" t="s">
        <v>86</v>
      </c>
      <c r="E146" s="188" t="s">
        <v>145</v>
      </c>
      <c r="F146" s="188"/>
      <c r="G146" s="16">
        <v>56.63700000000001</v>
      </c>
      <c r="H146" s="14" t="s">
        <v>344</v>
      </c>
    </row>
    <row r="147" spans="1:8" ht="15" customHeight="1">
      <c r="A147" s="65" t="s">
        <v>344</v>
      </c>
      <c r="B147" s="19" t="s">
        <v>344</v>
      </c>
      <c r="C147" s="19" t="s">
        <v>344</v>
      </c>
      <c r="D147" s="72" t="s">
        <v>173</v>
      </c>
      <c r="E147" s="188" t="s">
        <v>141</v>
      </c>
      <c r="F147" s="188"/>
      <c r="G147" s="16">
        <v>4.5537</v>
      </c>
      <c r="H147" s="14" t="s">
        <v>344</v>
      </c>
    </row>
    <row r="148" spans="1:8" ht="15" customHeight="1">
      <c r="A148" s="65" t="s">
        <v>225</v>
      </c>
      <c r="B148" s="19" t="s">
        <v>344</v>
      </c>
      <c r="C148" s="19" t="s">
        <v>237</v>
      </c>
      <c r="D148" s="112" t="s">
        <v>188</v>
      </c>
      <c r="E148" s="112"/>
      <c r="F148" s="19" t="s">
        <v>347</v>
      </c>
      <c r="G148" s="12">
        <v>2</v>
      </c>
      <c r="H148" s="3">
        <v>0</v>
      </c>
    </row>
    <row r="149" spans="1:8" ht="15" customHeight="1">
      <c r="A149" s="49"/>
      <c r="D149" s="72" t="s">
        <v>340</v>
      </c>
      <c r="E149" s="188" t="s">
        <v>344</v>
      </c>
      <c r="F149" s="188"/>
      <c r="G149" s="16">
        <v>2</v>
      </c>
      <c r="H149" s="57"/>
    </row>
    <row r="150" spans="1:8" ht="15" customHeight="1">
      <c r="A150" s="65" t="s">
        <v>182</v>
      </c>
      <c r="B150" s="19" t="s">
        <v>344</v>
      </c>
      <c r="C150" s="19" t="s">
        <v>60</v>
      </c>
      <c r="D150" s="112" t="s">
        <v>224</v>
      </c>
      <c r="E150" s="112"/>
      <c r="F150" s="19" t="s">
        <v>122</v>
      </c>
      <c r="G150" s="12">
        <v>15.000000000000002</v>
      </c>
      <c r="H150" s="3">
        <v>0</v>
      </c>
    </row>
    <row r="151" spans="1:8" ht="15" customHeight="1">
      <c r="A151" s="49"/>
      <c r="D151" s="72" t="s">
        <v>340</v>
      </c>
      <c r="E151" s="188" t="s">
        <v>480</v>
      </c>
      <c r="F151" s="188"/>
      <c r="G151" s="16">
        <v>2</v>
      </c>
      <c r="H151" s="57"/>
    </row>
    <row r="152" spans="1:8" ht="15" customHeight="1">
      <c r="A152" s="65" t="s">
        <v>344</v>
      </c>
      <c r="B152" s="19" t="s">
        <v>344</v>
      </c>
      <c r="C152" s="19" t="s">
        <v>344</v>
      </c>
      <c r="D152" s="72" t="s">
        <v>417</v>
      </c>
      <c r="E152" s="188" t="s">
        <v>145</v>
      </c>
      <c r="F152" s="188"/>
      <c r="G152" s="16">
        <v>3.0000000000000004</v>
      </c>
      <c r="H152" s="14" t="s">
        <v>344</v>
      </c>
    </row>
    <row r="153" spans="1:8" ht="15" customHeight="1">
      <c r="A153" s="65" t="s">
        <v>344</v>
      </c>
      <c r="B153" s="19" t="s">
        <v>344</v>
      </c>
      <c r="C153" s="19" t="s">
        <v>344</v>
      </c>
      <c r="D153" s="72" t="s">
        <v>340</v>
      </c>
      <c r="E153" s="188" t="s">
        <v>123</v>
      </c>
      <c r="F153" s="188"/>
      <c r="G153" s="16">
        <v>2</v>
      </c>
      <c r="H153" s="14" t="s">
        <v>344</v>
      </c>
    </row>
    <row r="154" spans="1:8" ht="15" customHeight="1">
      <c r="A154" s="65" t="s">
        <v>344</v>
      </c>
      <c r="B154" s="19" t="s">
        <v>344</v>
      </c>
      <c r="C154" s="19" t="s">
        <v>344</v>
      </c>
      <c r="D154" s="72" t="s">
        <v>417</v>
      </c>
      <c r="E154" s="188" t="s">
        <v>145</v>
      </c>
      <c r="F154" s="188"/>
      <c r="G154" s="16">
        <v>3.0000000000000004</v>
      </c>
      <c r="H154" s="14" t="s">
        <v>344</v>
      </c>
    </row>
    <row r="155" spans="1:8" ht="15" customHeight="1">
      <c r="A155" s="65" t="s">
        <v>344</v>
      </c>
      <c r="B155" s="19" t="s">
        <v>344</v>
      </c>
      <c r="C155" s="19" t="s">
        <v>344</v>
      </c>
      <c r="D155" s="72" t="s">
        <v>269</v>
      </c>
      <c r="E155" s="188" t="s">
        <v>251</v>
      </c>
      <c r="F155" s="188"/>
      <c r="G155" s="16">
        <v>5</v>
      </c>
      <c r="H155" s="14" t="s">
        <v>344</v>
      </c>
    </row>
    <row r="156" spans="1:8" ht="15" customHeight="1">
      <c r="A156" s="65" t="s">
        <v>389</v>
      </c>
      <c r="B156" s="19" t="s">
        <v>344</v>
      </c>
      <c r="C156" s="19" t="s">
        <v>71</v>
      </c>
      <c r="D156" s="112" t="s">
        <v>356</v>
      </c>
      <c r="E156" s="112"/>
      <c r="F156" s="19" t="s">
        <v>398</v>
      </c>
      <c r="G156" s="12">
        <v>250.00000000000003</v>
      </c>
      <c r="H156" s="3">
        <v>0</v>
      </c>
    </row>
    <row r="157" spans="1:8" ht="15" customHeight="1">
      <c r="A157" s="49"/>
      <c r="D157" s="72" t="s">
        <v>246</v>
      </c>
      <c r="E157" s="188" t="s">
        <v>480</v>
      </c>
      <c r="F157" s="188"/>
      <c r="G157" s="16">
        <v>67.74000000000001</v>
      </c>
      <c r="H157" s="57"/>
    </row>
    <row r="158" spans="1:8" ht="15" customHeight="1">
      <c r="A158" s="65" t="s">
        <v>344</v>
      </c>
      <c r="B158" s="19" t="s">
        <v>344</v>
      </c>
      <c r="C158" s="19" t="s">
        <v>344</v>
      </c>
      <c r="D158" s="72" t="s">
        <v>214</v>
      </c>
      <c r="E158" s="188" t="s">
        <v>145</v>
      </c>
      <c r="F158" s="188"/>
      <c r="G158" s="16">
        <v>36.540000000000006</v>
      </c>
      <c r="H158" s="14" t="s">
        <v>344</v>
      </c>
    </row>
    <row r="159" spans="1:8" ht="15" customHeight="1">
      <c r="A159" s="65" t="s">
        <v>344</v>
      </c>
      <c r="B159" s="19" t="s">
        <v>344</v>
      </c>
      <c r="C159" s="19" t="s">
        <v>344</v>
      </c>
      <c r="D159" s="72" t="s">
        <v>246</v>
      </c>
      <c r="E159" s="188" t="s">
        <v>123</v>
      </c>
      <c r="F159" s="188"/>
      <c r="G159" s="16">
        <v>67.74000000000001</v>
      </c>
      <c r="H159" s="14" t="s">
        <v>344</v>
      </c>
    </row>
    <row r="160" spans="1:8" ht="15" customHeight="1">
      <c r="A160" s="65" t="s">
        <v>344</v>
      </c>
      <c r="B160" s="19" t="s">
        <v>344</v>
      </c>
      <c r="C160" s="19" t="s">
        <v>344</v>
      </c>
      <c r="D160" s="72" t="s">
        <v>214</v>
      </c>
      <c r="E160" s="188" t="s">
        <v>145</v>
      </c>
      <c r="F160" s="188"/>
      <c r="G160" s="16">
        <v>36.540000000000006</v>
      </c>
      <c r="H160" s="14" t="s">
        <v>344</v>
      </c>
    </row>
    <row r="161" spans="1:8" ht="15" customHeight="1">
      <c r="A161" s="65" t="s">
        <v>344</v>
      </c>
      <c r="B161" s="19" t="s">
        <v>344</v>
      </c>
      <c r="C161" s="19" t="s">
        <v>344</v>
      </c>
      <c r="D161" s="72" t="s">
        <v>96</v>
      </c>
      <c r="E161" s="188" t="s">
        <v>475</v>
      </c>
      <c r="F161" s="188"/>
      <c r="G161" s="16">
        <v>41.440000000000005</v>
      </c>
      <c r="H161" s="14" t="s">
        <v>344</v>
      </c>
    </row>
    <row r="162" spans="1:8" ht="15" customHeight="1">
      <c r="A162" s="65" t="s">
        <v>474</v>
      </c>
      <c r="B162" s="19" t="s">
        <v>344</v>
      </c>
      <c r="C162" s="19" t="s">
        <v>401</v>
      </c>
      <c r="D162" s="112" t="s">
        <v>184</v>
      </c>
      <c r="E162" s="112"/>
      <c r="F162" s="19" t="s">
        <v>347</v>
      </c>
      <c r="G162" s="12">
        <v>650</v>
      </c>
      <c r="H162" s="3">
        <v>0</v>
      </c>
    </row>
    <row r="163" spans="1:8" ht="15" customHeight="1">
      <c r="A163" s="49"/>
      <c r="D163" s="72" t="s">
        <v>477</v>
      </c>
      <c r="E163" s="188" t="s">
        <v>480</v>
      </c>
      <c r="F163" s="188"/>
      <c r="G163" s="16">
        <v>203.22000000000003</v>
      </c>
      <c r="H163" s="57"/>
    </row>
    <row r="164" spans="1:8" ht="15" customHeight="1">
      <c r="A164" s="65" t="s">
        <v>344</v>
      </c>
      <c r="B164" s="19" t="s">
        <v>344</v>
      </c>
      <c r="C164" s="19" t="s">
        <v>344</v>
      </c>
      <c r="D164" s="72" t="s">
        <v>384</v>
      </c>
      <c r="E164" s="188" t="s">
        <v>145</v>
      </c>
      <c r="F164" s="188"/>
      <c r="G164" s="16">
        <v>109.62</v>
      </c>
      <c r="H164" s="14" t="s">
        <v>344</v>
      </c>
    </row>
    <row r="165" spans="1:8" ht="15" customHeight="1">
      <c r="A165" s="65" t="s">
        <v>344</v>
      </c>
      <c r="B165" s="19" t="s">
        <v>344</v>
      </c>
      <c r="C165" s="19" t="s">
        <v>344</v>
      </c>
      <c r="D165" s="72" t="s">
        <v>477</v>
      </c>
      <c r="E165" s="188" t="s">
        <v>123</v>
      </c>
      <c r="F165" s="188"/>
      <c r="G165" s="16">
        <v>203.22000000000003</v>
      </c>
      <c r="H165" s="14" t="s">
        <v>344</v>
      </c>
    </row>
    <row r="166" spans="1:8" ht="15" customHeight="1">
      <c r="A166" s="65" t="s">
        <v>344</v>
      </c>
      <c r="B166" s="19" t="s">
        <v>344</v>
      </c>
      <c r="C166" s="19" t="s">
        <v>344</v>
      </c>
      <c r="D166" s="72" t="s">
        <v>384</v>
      </c>
      <c r="E166" s="188" t="s">
        <v>145</v>
      </c>
      <c r="F166" s="188"/>
      <c r="G166" s="16">
        <v>109.62</v>
      </c>
      <c r="H166" s="14" t="s">
        <v>344</v>
      </c>
    </row>
    <row r="167" spans="1:8" ht="15" customHeight="1">
      <c r="A167" s="65" t="s">
        <v>344</v>
      </c>
      <c r="B167" s="19" t="s">
        <v>344</v>
      </c>
      <c r="C167" s="19" t="s">
        <v>344</v>
      </c>
      <c r="D167" s="72" t="s">
        <v>180</v>
      </c>
      <c r="E167" s="188" t="s">
        <v>87</v>
      </c>
      <c r="F167" s="188"/>
      <c r="G167" s="16">
        <v>24.32</v>
      </c>
      <c r="H167" s="14" t="s">
        <v>344</v>
      </c>
    </row>
    <row r="168" spans="1:8" ht="15" customHeight="1">
      <c r="A168" s="65" t="s">
        <v>30</v>
      </c>
      <c r="B168" s="19" t="s">
        <v>344</v>
      </c>
      <c r="C168" s="19" t="s">
        <v>217</v>
      </c>
      <c r="D168" s="112" t="s">
        <v>324</v>
      </c>
      <c r="E168" s="112"/>
      <c r="F168" s="19" t="s">
        <v>398</v>
      </c>
      <c r="G168" s="12">
        <v>200.00000000000003</v>
      </c>
      <c r="H168" s="3">
        <v>0</v>
      </c>
    </row>
    <row r="169" spans="1:8" ht="15" customHeight="1">
      <c r="A169" s="49"/>
      <c r="D169" s="72" t="s">
        <v>422</v>
      </c>
      <c r="E169" s="188" t="s">
        <v>191</v>
      </c>
      <c r="F169" s="188"/>
      <c r="G169" s="16">
        <v>92.7</v>
      </c>
      <c r="H169" s="57"/>
    </row>
    <row r="170" spans="1:8" ht="15" customHeight="1">
      <c r="A170" s="65" t="s">
        <v>344</v>
      </c>
      <c r="B170" s="19" t="s">
        <v>344</v>
      </c>
      <c r="C170" s="19" t="s">
        <v>344</v>
      </c>
      <c r="D170" s="72" t="s">
        <v>431</v>
      </c>
      <c r="E170" s="188" t="s">
        <v>211</v>
      </c>
      <c r="F170" s="188"/>
      <c r="G170" s="16">
        <v>107.30000000000001</v>
      </c>
      <c r="H170" s="14" t="s">
        <v>344</v>
      </c>
    </row>
    <row r="171" spans="1:8" ht="15" customHeight="1">
      <c r="A171" s="65" t="s">
        <v>376</v>
      </c>
      <c r="B171" s="19" t="s">
        <v>344</v>
      </c>
      <c r="C171" s="19" t="s">
        <v>81</v>
      </c>
      <c r="D171" s="112" t="s">
        <v>72</v>
      </c>
      <c r="E171" s="112"/>
      <c r="F171" s="19" t="s">
        <v>238</v>
      </c>
      <c r="G171" s="12">
        <v>1.3104</v>
      </c>
      <c r="H171" s="3">
        <v>0</v>
      </c>
    </row>
    <row r="172" spans="1:8" ht="15" customHeight="1">
      <c r="A172" s="49"/>
      <c r="D172" s="72" t="s">
        <v>279</v>
      </c>
      <c r="E172" s="188" t="s">
        <v>34</v>
      </c>
      <c r="F172" s="188"/>
      <c r="G172" s="16">
        <v>1.0483200000000001</v>
      </c>
      <c r="H172" s="57"/>
    </row>
    <row r="173" spans="1:8" ht="15" customHeight="1">
      <c r="A173" s="65" t="s">
        <v>344</v>
      </c>
      <c r="B173" s="19" t="s">
        <v>344</v>
      </c>
      <c r="C173" s="19" t="s">
        <v>344</v>
      </c>
      <c r="D173" s="72" t="s">
        <v>89</v>
      </c>
      <c r="E173" s="188" t="s">
        <v>32</v>
      </c>
      <c r="F173" s="188"/>
      <c r="G173" s="16">
        <v>0.14976</v>
      </c>
      <c r="H173" s="14" t="s">
        <v>344</v>
      </c>
    </row>
    <row r="174" spans="1:8" ht="15" customHeight="1">
      <c r="A174" s="65" t="s">
        <v>344</v>
      </c>
      <c r="B174" s="19" t="s">
        <v>344</v>
      </c>
      <c r="C174" s="19" t="s">
        <v>344</v>
      </c>
      <c r="D174" s="72" t="s">
        <v>201</v>
      </c>
      <c r="E174" s="188" t="s">
        <v>255</v>
      </c>
      <c r="F174" s="188"/>
      <c r="G174" s="16">
        <v>0.03744</v>
      </c>
      <c r="H174" s="14" t="s">
        <v>344</v>
      </c>
    </row>
    <row r="175" spans="1:8" ht="15" customHeight="1">
      <c r="A175" s="65" t="s">
        <v>344</v>
      </c>
      <c r="B175" s="19" t="s">
        <v>344</v>
      </c>
      <c r="C175" s="19" t="s">
        <v>344</v>
      </c>
      <c r="D175" s="72" t="s">
        <v>160</v>
      </c>
      <c r="E175" s="188" t="s">
        <v>313</v>
      </c>
      <c r="F175" s="188"/>
      <c r="G175" s="16">
        <v>0.07488</v>
      </c>
      <c r="H175" s="14" t="s">
        <v>344</v>
      </c>
    </row>
    <row r="176" spans="1:8" ht="15" customHeight="1">
      <c r="A176" s="65" t="s">
        <v>395</v>
      </c>
      <c r="B176" s="19" t="s">
        <v>344</v>
      </c>
      <c r="C176" s="19" t="s">
        <v>213</v>
      </c>
      <c r="D176" s="112" t="s">
        <v>515</v>
      </c>
      <c r="E176" s="112"/>
      <c r="F176" s="19" t="s">
        <v>122</v>
      </c>
      <c r="G176" s="12">
        <v>40</v>
      </c>
      <c r="H176" s="3">
        <v>0</v>
      </c>
    </row>
    <row r="177" spans="1:8" ht="15" customHeight="1">
      <c r="A177" s="49"/>
      <c r="D177" s="72" t="s">
        <v>498</v>
      </c>
      <c r="E177" s="188" t="s">
        <v>314</v>
      </c>
      <c r="F177" s="188"/>
      <c r="G177" s="16">
        <v>28.000000000000004</v>
      </c>
      <c r="H177" s="57"/>
    </row>
    <row r="178" spans="1:8" ht="15" customHeight="1">
      <c r="A178" s="65" t="s">
        <v>344</v>
      </c>
      <c r="B178" s="19" t="s">
        <v>344</v>
      </c>
      <c r="C178" s="19" t="s">
        <v>344</v>
      </c>
      <c r="D178" s="72" t="s">
        <v>359</v>
      </c>
      <c r="E178" s="188" t="s">
        <v>136</v>
      </c>
      <c r="F178" s="188"/>
      <c r="G178" s="16">
        <v>12.000000000000002</v>
      </c>
      <c r="H178" s="14" t="s">
        <v>344</v>
      </c>
    </row>
    <row r="179" spans="1:8" ht="15" customHeight="1">
      <c r="A179" s="65" t="s">
        <v>216</v>
      </c>
      <c r="B179" s="19" t="s">
        <v>344</v>
      </c>
      <c r="C179" s="19" t="s">
        <v>513</v>
      </c>
      <c r="D179" s="112" t="s">
        <v>462</v>
      </c>
      <c r="E179" s="112"/>
      <c r="F179" s="19" t="s">
        <v>238</v>
      </c>
      <c r="G179" s="12">
        <v>0.14042000000000002</v>
      </c>
      <c r="H179" s="3">
        <v>0</v>
      </c>
    </row>
    <row r="180" spans="1:8" ht="15" customHeight="1">
      <c r="A180" s="49"/>
      <c r="D180" s="72" t="s">
        <v>64</v>
      </c>
      <c r="E180" s="188" t="s">
        <v>434</v>
      </c>
      <c r="F180" s="188"/>
      <c r="G180" s="16">
        <v>0.13438</v>
      </c>
      <c r="H180" s="57"/>
    </row>
    <row r="181" spans="1:8" ht="15" customHeight="1">
      <c r="A181" s="65" t="s">
        <v>344</v>
      </c>
      <c r="B181" s="19" t="s">
        <v>344</v>
      </c>
      <c r="C181" s="19" t="s">
        <v>344</v>
      </c>
      <c r="D181" s="72" t="s">
        <v>174</v>
      </c>
      <c r="E181" s="188" t="s">
        <v>169</v>
      </c>
      <c r="F181" s="188"/>
      <c r="G181" s="16">
        <v>0.00604</v>
      </c>
      <c r="H181" s="14" t="s">
        <v>344</v>
      </c>
    </row>
    <row r="182" spans="1:8" ht="15" customHeight="1">
      <c r="A182" s="65" t="s">
        <v>215</v>
      </c>
      <c r="B182" s="19" t="s">
        <v>344</v>
      </c>
      <c r="C182" s="19" t="s">
        <v>254</v>
      </c>
      <c r="D182" s="112" t="s">
        <v>156</v>
      </c>
      <c r="E182" s="112"/>
      <c r="F182" s="19" t="s">
        <v>238</v>
      </c>
      <c r="G182" s="12">
        <v>0.00421</v>
      </c>
      <c r="H182" s="3">
        <v>0</v>
      </c>
    </row>
    <row r="183" spans="1:8" ht="15" customHeight="1">
      <c r="A183" s="49"/>
      <c r="D183" s="72" t="s">
        <v>271</v>
      </c>
      <c r="E183" s="188" t="s">
        <v>391</v>
      </c>
      <c r="F183" s="188"/>
      <c r="G183" s="16">
        <v>0.00421</v>
      </c>
      <c r="H183" s="57"/>
    </row>
    <row r="184" spans="1:8" ht="15" customHeight="1">
      <c r="A184" s="65" t="s">
        <v>240</v>
      </c>
      <c r="B184" s="19" t="s">
        <v>344</v>
      </c>
      <c r="C184" s="19" t="s">
        <v>207</v>
      </c>
      <c r="D184" s="112" t="s">
        <v>62</v>
      </c>
      <c r="E184" s="112"/>
      <c r="F184" s="19" t="s">
        <v>450</v>
      </c>
      <c r="G184" s="12">
        <v>3.2640000000000002</v>
      </c>
      <c r="H184" s="3">
        <v>0</v>
      </c>
    </row>
    <row r="185" spans="1:8" ht="15" customHeight="1">
      <c r="A185" s="49"/>
      <c r="D185" s="72" t="s">
        <v>66</v>
      </c>
      <c r="E185" s="188" t="s">
        <v>480</v>
      </c>
      <c r="F185" s="188"/>
      <c r="G185" s="16">
        <v>0.9984000000000001</v>
      </c>
      <c r="H185" s="57"/>
    </row>
    <row r="186" spans="1:8" ht="15" customHeight="1">
      <c r="A186" s="65" t="s">
        <v>344</v>
      </c>
      <c r="B186" s="19" t="s">
        <v>344</v>
      </c>
      <c r="C186" s="19" t="s">
        <v>344</v>
      </c>
      <c r="D186" s="72" t="s">
        <v>258</v>
      </c>
      <c r="E186" s="188" t="s">
        <v>145</v>
      </c>
      <c r="F186" s="188"/>
      <c r="G186" s="16">
        <v>0.5376000000000001</v>
      </c>
      <c r="H186" s="14" t="s">
        <v>344</v>
      </c>
    </row>
    <row r="187" spans="1:8" ht="15" customHeight="1">
      <c r="A187" s="65" t="s">
        <v>344</v>
      </c>
      <c r="B187" s="19" t="s">
        <v>344</v>
      </c>
      <c r="C187" s="19" t="s">
        <v>344</v>
      </c>
      <c r="D187" s="72" t="s">
        <v>66</v>
      </c>
      <c r="E187" s="188" t="s">
        <v>123</v>
      </c>
      <c r="F187" s="188"/>
      <c r="G187" s="16">
        <v>0.9984000000000001</v>
      </c>
      <c r="H187" s="14" t="s">
        <v>344</v>
      </c>
    </row>
    <row r="188" spans="1:8" ht="15" customHeight="1">
      <c r="A188" s="65" t="s">
        <v>344</v>
      </c>
      <c r="B188" s="19" t="s">
        <v>344</v>
      </c>
      <c r="C188" s="19" t="s">
        <v>344</v>
      </c>
      <c r="D188" s="72" t="s">
        <v>258</v>
      </c>
      <c r="E188" s="188" t="s">
        <v>145</v>
      </c>
      <c r="F188" s="188"/>
      <c r="G188" s="16">
        <v>0.5376000000000001</v>
      </c>
      <c r="H188" s="14" t="s">
        <v>344</v>
      </c>
    </row>
    <row r="189" spans="1:8" ht="15" customHeight="1">
      <c r="A189" s="65" t="s">
        <v>344</v>
      </c>
      <c r="B189" s="19" t="s">
        <v>344</v>
      </c>
      <c r="C189" s="19" t="s">
        <v>344</v>
      </c>
      <c r="D189" s="72" t="s">
        <v>341</v>
      </c>
      <c r="E189" s="188" t="s">
        <v>87</v>
      </c>
      <c r="F189" s="188"/>
      <c r="G189" s="16">
        <v>0.192</v>
      </c>
      <c r="H189" s="14" t="s">
        <v>344</v>
      </c>
    </row>
    <row r="190" spans="1:8" ht="15" customHeight="1">
      <c r="A190" s="65" t="s">
        <v>435</v>
      </c>
      <c r="B190" s="19" t="s">
        <v>344</v>
      </c>
      <c r="C190" s="19" t="s">
        <v>80</v>
      </c>
      <c r="D190" s="112" t="s">
        <v>48</v>
      </c>
      <c r="E190" s="112"/>
      <c r="F190" s="19" t="s">
        <v>235</v>
      </c>
      <c r="G190" s="12">
        <v>0.8</v>
      </c>
      <c r="H190" s="3">
        <v>0</v>
      </c>
    </row>
    <row r="191" spans="1:8" ht="15" customHeight="1">
      <c r="A191" s="49"/>
      <c r="D191" s="72" t="s">
        <v>58</v>
      </c>
      <c r="E191" s="188" t="s">
        <v>480</v>
      </c>
      <c r="F191" s="188"/>
      <c r="G191" s="16">
        <v>0.20800000000000002</v>
      </c>
      <c r="H191" s="57"/>
    </row>
    <row r="192" spans="1:8" ht="15" customHeight="1">
      <c r="A192" s="65" t="s">
        <v>344</v>
      </c>
      <c r="B192" s="19" t="s">
        <v>344</v>
      </c>
      <c r="C192" s="19" t="s">
        <v>344</v>
      </c>
      <c r="D192" s="72" t="s">
        <v>42</v>
      </c>
      <c r="E192" s="188" t="s">
        <v>145</v>
      </c>
      <c r="F192" s="188"/>
      <c r="G192" s="16">
        <v>0.112</v>
      </c>
      <c r="H192" s="14" t="s">
        <v>344</v>
      </c>
    </row>
    <row r="193" spans="1:8" ht="15" customHeight="1">
      <c r="A193" s="65" t="s">
        <v>344</v>
      </c>
      <c r="B193" s="19" t="s">
        <v>344</v>
      </c>
      <c r="C193" s="19" t="s">
        <v>344</v>
      </c>
      <c r="D193" s="72" t="s">
        <v>58</v>
      </c>
      <c r="E193" s="188" t="s">
        <v>123</v>
      </c>
      <c r="F193" s="188"/>
      <c r="G193" s="16">
        <v>0.20800000000000002</v>
      </c>
      <c r="H193" s="14" t="s">
        <v>344</v>
      </c>
    </row>
    <row r="194" spans="1:8" ht="15" customHeight="1">
      <c r="A194" s="65" t="s">
        <v>344</v>
      </c>
      <c r="B194" s="19" t="s">
        <v>344</v>
      </c>
      <c r="C194" s="19" t="s">
        <v>344</v>
      </c>
      <c r="D194" s="72" t="s">
        <v>42</v>
      </c>
      <c r="E194" s="188" t="s">
        <v>145</v>
      </c>
      <c r="F194" s="188"/>
      <c r="G194" s="16">
        <v>0.112</v>
      </c>
      <c r="H194" s="14" t="s">
        <v>344</v>
      </c>
    </row>
    <row r="195" spans="1:8" ht="15" customHeight="1">
      <c r="A195" s="65" t="s">
        <v>344</v>
      </c>
      <c r="B195" s="19" t="s">
        <v>344</v>
      </c>
      <c r="C195" s="19" t="s">
        <v>344</v>
      </c>
      <c r="D195" s="72" t="s">
        <v>320</v>
      </c>
      <c r="E195" s="188" t="s">
        <v>87</v>
      </c>
      <c r="F195" s="188"/>
      <c r="G195" s="16">
        <v>0.16</v>
      </c>
      <c r="H195" s="14" t="s">
        <v>344</v>
      </c>
    </row>
    <row r="196" spans="1:8" ht="15" customHeight="1">
      <c r="A196" s="65" t="s">
        <v>326</v>
      </c>
      <c r="B196" s="19" t="s">
        <v>344</v>
      </c>
      <c r="C196" s="19" t="s">
        <v>142</v>
      </c>
      <c r="D196" s="112" t="s">
        <v>355</v>
      </c>
      <c r="E196" s="112"/>
      <c r="F196" s="19" t="s">
        <v>390</v>
      </c>
      <c r="G196" s="12">
        <v>200.00000000000003</v>
      </c>
      <c r="H196" s="3">
        <v>0</v>
      </c>
    </row>
    <row r="197" spans="1:8" ht="15" customHeight="1">
      <c r="A197" s="49"/>
      <c r="D197" s="72" t="s">
        <v>111</v>
      </c>
      <c r="E197" s="188" t="s">
        <v>480</v>
      </c>
      <c r="F197" s="188"/>
      <c r="G197" s="16">
        <v>52.00000000000001</v>
      </c>
      <c r="H197" s="57"/>
    </row>
    <row r="198" spans="1:8" ht="15" customHeight="1">
      <c r="A198" s="65" t="s">
        <v>344</v>
      </c>
      <c r="B198" s="19" t="s">
        <v>344</v>
      </c>
      <c r="C198" s="19" t="s">
        <v>344</v>
      </c>
      <c r="D198" s="72" t="s">
        <v>490</v>
      </c>
      <c r="E198" s="188" t="s">
        <v>145</v>
      </c>
      <c r="F198" s="188"/>
      <c r="G198" s="16">
        <v>28.000000000000004</v>
      </c>
      <c r="H198" s="14" t="s">
        <v>344</v>
      </c>
    </row>
    <row r="199" spans="1:8" ht="15" customHeight="1">
      <c r="A199" s="65" t="s">
        <v>344</v>
      </c>
      <c r="B199" s="19" t="s">
        <v>344</v>
      </c>
      <c r="C199" s="19" t="s">
        <v>344</v>
      </c>
      <c r="D199" s="72" t="s">
        <v>111</v>
      </c>
      <c r="E199" s="188" t="s">
        <v>123</v>
      </c>
      <c r="F199" s="188"/>
      <c r="G199" s="16">
        <v>52.00000000000001</v>
      </c>
      <c r="H199" s="14" t="s">
        <v>344</v>
      </c>
    </row>
    <row r="200" spans="1:8" ht="15" customHeight="1">
      <c r="A200" s="65" t="s">
        <v>344</v>
      </c>
      <c r="B200" s="19" t="s">
        <v>344</v>
      </c>
      <c r="C200" s="19" t="s">
        <v>344</v>
      </c>
      <c r="D200" s="72" t="s">
        <v>490</v>
      </c>
      <c r="E200" s="188" t="s">
        <v>145</v>
      </c>
      <c r="F200" s="188"/>
      <c r="G200" s="16">
        <v>28.000000000000004</v>
      </c>
      <c r="H200" s="14" t="s">
        <v>344</v>
      </c>
    </row>
    <row r="201" spans="1:8" ht="15" customHeight="1">
      <c r="A201" s="65" t="s">
        <v>344</v>
      </c>
      <c r="B201" s="19" t="s">
        <v>344</v>
      </c>
      <c r="C201" s="19" t="s">
        <v>344</v>
      </c>
      <c r="D201" s="72" t="s">
        <v>183</v>
      </c>
      <c r="E201" s="188" t="s">
        <v>23</v>
      </c>
      <c r="F201" s="188"/>
      <c r="G201" s="16">
        <v>40</v>
      </c>
      <c r="H201" s="14" t="s">
        <v>344</v>
      </c>
    </row>
    <row r="202" spans="1:8" ht="15" customHeight="1">
      <c r="A202" s="65" t="s">
        <v>310</v>
      </c>
      <c r="B202" s="19" t="s">
        <v>344</v>
      </c>
      <c r="C202" s="19" t="s">
        <v>161</v>
      </c>
      <c r="D202" s="112" t="s">
        <v>25</v>
      </c>
      <c r="E202" s="112"/>
      <c r="F202" s="19" t="s">
        <v>122</v>
      </c>
      <c r="G202" s="12">
        <v>1</v>
      </c>
      <c r="H202" s="3">
        <v>0</v>
      </c>
    </row>
    <row r="203" spans="1:8" ht="15" customHeight="1">
      <c r="A203" s="49"/>
      <c r="D203" s="72" t="s">
        <v>460</v>
      </c>
      <c r="E203" s="188" t="s">
        <v>344</v>
      </c>
      <c r="F203" s="188"/>
      <c r="G203" s="16">
        <v>1</v>
      </c>
      <c r="H203" s="57"/>
    </row>
    <row r="204" spans="1:8" ht="15" customHeight="1">
      <c r="A204" s="65" t="s">
        <v>443</v>
      </c>
      <c r="B204" s="19" t="s">
        <v>344</v>
      </c>
      <c r="C204" s="19" t="s">
        <v>20</v>
      </c>
      <c r="D204" s="112" t="s">
        <v>291</v>
      </c>
      <c r="E204" s="112"/>
      <c r="F204" s="19" t="s">
        <v>122</v>
      </c>
      <c r="G204" s="12">
        <v>1</v>
      </c>
      <c r="H204" s="3">
        <v>0</v>
      </c>
    </row>
    <row r="205" spans="1:8" ht="15" customHeight="1">
      <c r="A205" s="49"/>
      <c r="D205" s="72" t="s">
        <v>460</v>
      </c>
      <c r="E205" s="188" t="s">
        <v>344</v>
      </c>
      <c r="F205" s="188"/>
      <c r="G205" s="16">
        <v>1</v>
      </c>
      <c r="H205" s="57"/>
    </row>
    <row r="206" spans="1:8" ht="15" customHeight="1">
      <c r="A206" s="65" t="s">
        <v>290</v>
      </c>
      <c r="B206" s="19" t="s">
        <v>344</v>
      </c>
      <c r="C206" s="19" t="s">
        <v>187</v>
      </c>
      <c r="D206" s="112" t="s">
        <v>137</v>
      </c>
      <c r="E206" s="112"/>
      <c r="F206" s="19" t="s">
        <v>454</v>
      </c>
      <c r="G206" s="12">
        <v>800.0000000000001</v>
      </c>
      <c r="H206" s="3">
        <v>0</v>
      </c>
    </row>
    <row r="207" spans="1:8" ht="15" customHeight="1">
      <c r="A207" s="49"/>
      <c r="D207" s="72" t="s">
        <v>129</v>
      </c>
      <c r="E207" s="188" t="s">
        <v>507</v>
      </c>
      <c r="F207" s="188"/>
      <c r="G207" s="16">
        <v>636.12</v>
      </c>
      <c r="H207" s="57"/>
    </row>
    <row r="208" spans="1:8" ht="15" customHeight="1">
      <c r="A208" s="65" t="s">
        <v>344</v>
      </c>
      <c r="B208" s="19" t="s">
        <v>344</v>
      </c>
      <c r="C208" s="19" t="s">
        <v>344</v>
      </c>
      <c r="D208" s="72" t="s">
        <v>492</v>
      </c>
      <c r="E208" s="188" t="s">
        <v>154</v>
      </c>
      <c r="F208" s="188"/>
      <c r="G208" s="16">
        <v>163.88000000000002</v>
      </c>
      <c r="H208" s="14" t="s">
        <v>344</v>
      </c>
    </row>
    <row r="209" spans="1:8" ht="15" customHeight="1">
      <c r="A209" s="65" t="s">
        <v>233</v>
      </c>
      <c r="B209" s="19" t="s">
        <v>344</v>
      </c>
      <c r="C209" s="19" t="s">
        <v>69</v>
      </c>
      <c r="D209" s="112" t="s">
        <v>91</v>
      </c>
      <c r="E209" s="112"/>
      <c r="F209" s="19" t="s">
        <v>122</v>
      </c>
      <c r="G209" s="12">
        <v>9</v>
      </c>
      <c r="H209" s="3">
        <v>0</v>
      </c>
    </row>
    <row r="210" spans="1:8" ht="15" customHeight="1">
      <c r="A210" s="49"/>
      <c r="D210" s="72" t="s">
        <v>65</v>
      </c>
      <c r="E210" s="188" t="s">
        <v>344</v>
      </c>
      <c r="F210" s="188"/>
      <c r="G210" s="16">
        <v>9</v>
      </c>
      <c r="H210" s="57"/>
    </row>
    <row r="211" spans="1:8" ht="15" customHeight="1">
      <c r="A211" s="65" t="s">
        <v>55</v>
      </c>
      <c r="B211" s="19" t="s">
        <v>344</v>
      </c>
      <c r="C211" s="19" t="s">
        <v>39</v>
      </c>
      <c r="D211" s="112" t="s">
        <v>499</v>
      </c>
      <c r="E211" s="112"/>
      <c r="F211" s="19" t="s">
        <v>122</v>
      </c>
      <c r="G211" s="12">
        <v>43</v>
      </c>
      <c r="H211" s="3">
        <v>0</v>
      </c>
    </row>
    <row r="212" spans="1:8" ht="15" customHeight="1">
      <c r="A212" s="49"/>
      <c r="D212" s="72" t="s">
        <v>294</v>
      </c>
      <c r="E212" s="188" t="s">
        <v>480</v>
      </c>
      <c r="F212" s="188"/>
      <c r="G212" s="16">
        <v>14.000000000000002</v>
      </c>
      <c r="H212" s="57"/>
    </row>
    <row r="213" spans="1:8" ht="15" customHeight="1">
      <c r="A213" s="65" t="s">
        <v>344</v>
      </c>
      <c r="B213" s="19" t="s">
        <v>344</v>
      </c>
      <c r="C213" s="19" t="s">
        <v>344</v>
      </c>
      <c r="D213" s="72" t="s">
        <v>463</v>
      </c>
      <c r="E213" s="188" t="s">
        <v>145</v>
      </c>
      <c r="F213" s="188"/>
      <c r="G213" s="16">
        <v>7.000000000000001</v>
      </c>
      <c r="H213" s="14" t="s">
        <v>344</v>
      </c>
    </row>
    <row r="214" spans="1:8" ht="15" customHeight="1">
      <c r="A214" s="65" t="s">
        <v>344</v>
      </c>
      <c r="B214" s="19" t="s">
        <v>344</v>
      </c>
      <c r="C214" s="19" t="s">
        <v>344</v>
      </c>
      <c r="D214" s="72" t="s">
        <v>143</v>
      </c>
      <c r="E214" s="188" t="s">
        <v>123</v>
      </c>
      <c r="F214" s="188"/>
      <c r="G214" s="16">
        <v>13.000000000000002</v>
      </c>
      <c r="H214" s="14" t="s">
        <v>344</v>
      </c>
    </row>
    <row r="215" spans="1:8" ht="15" customHeight="1">
      <c r="A215" s="65" t="s">
        <v>344</v>
      </c>
      <c r="B215" s="19" t="s">
        <v>344</v>
      </c>
      <c r="C215" s="19" t="s">
        <v>344</v>
      </c>
      <c r="D215" s="72" t="s">
        <v>463</v>
      </c>
      <c r="E215" s="188" t="s">
        <v>145</v>
      </c>
      <c r="F215" s="188"/>
      <c r="G215" s="16">
        <v>7.000000000000001</v>
      </c>
      <c r="H215" s="14" t="s">
        <v>344</v>
      </c>
    </row>
    <row r="216" spans="1:8" ht="15" customHeight="1">
      <c r="A216" s="65" t="s">
        <v>344</v>
      </c>
      <c r="B216" s="19" t="s">
        <v>344</v>
      </c>
      <c r="C216" s="19" t="s">
        <v>344</v>
      </c>
      <c r="D216" s="72" t="s">
        <v>340</v>
      </c>
      <c r="E216" s="188" t="s">
        <v>87</v>
      </c>
      <c r="F216" s="188"/>
      <c r="G216" s="16">
        <v>2</v>
      </c>
      <c r="H216" s="14" t="s">
        <v>344</v>
      </c>
    </row>
    <row r="217" spans="1:8" ht="15" customHeight="1">
      <c r="A217" s="65" t="s">
        <v>357</v>
      </c>
      <c r="B217" s="19" t="s">
        <v>344</v>
      </c>
      <c r="C217" s="19" t="s">
        <v>394</v>
      </c>
      <c r="D217" s="112" t="s">
        <v>236</v>
      </c>
      <c r="E217" s="112"/>
      <c r="F217" s="19" t="s">
        <v>122</v>
      </c>
      <c r="G217" s="12">
        <v>82</v>
      </c>
      <c r="H217" s="3">
        <v>0</v>
      </c>
    </row>
    <row r="218" spans="1:8" ht="15" customHeight="1">
      <c r="A218" s="49"/>
      <c r="D218" s="72" t="s">
        <v>498</v>
      </c>
      <c r="E218" s="188" t="s">
        <v>480</v>
      </c>
      <c r="F218" s="188"/>
      <c r="G218" s="16">
        <v>28.000000000000004</v>
      </c>
      <c r="H218" s="57"/>
    </row>
    <row r="219" spans="1:8" ht="15" customHeight="1">
      <c r="A219" s="65" t="s">
        <v>344</v>
      </c>
      <c r="B219" s="19" t="s">
        <v>344</v>
      </c>
      <c r="C219" s="19" t="s">
        <v>344</v>
      </c>
      <c r="D219" s="72" t="s">
        <v>294</v>
      </c>
      <c r="E219" s="188" t="s">
        <v>145</v>
      </c>
      <c r="F219" s="188"/>
      <c r="G219" s="16">
        <v>14.000000000000002</v>
      </c>
      <c r="H219" s="14" t="s">
        <v>344</v>
      </c>
    </row>
    <row r="220" spans="1:8" ht="15" customHeight="1">
      <c r="A220" s="65" t="s">
        <v>344</v>
      </c>
      <c r="B220" s="19" t="s">
        <v>344</v>
      </c>
      <c r="C220" s="19" t="s">
        <v>344</v>
      </c>
      <c r="D220" s="72" t="s">
        <v>61</v>
      </c>
      <c r="E220" s="188" t="s">
        <v>123</v>
      </c>
      <c r="F220" s="188"/>
      <c r="G220" s="16">
        <v>26.000000000000004</v>
      </c>
      <c r="H220" s="14" t="s">
        <v>344</v>
      </c>
    </row>
    <row r="221" spans="1:8" ht="15" customHeight="1">
      <c r="A221" s="65" t="s">
        <v>344</v>
      </c>
      <c r="B221" s="19" t="s">
        <v>344</v>
      </c>
      <c r="C221" s="19" t="s">
        <v>344</v>
      </c>
      <c r="D221" s="72" t="s">
        <v>294</v>
      </c>
      <c r="E221" s="188" t="s">
        <v>145</v>
      </c>
      <c r="F221" s="188"/>
      <c r="G221" s="16">
        <v>14.000000000000002</v>
      </c>
      <c r="H221" s="14" t="s">
        <v>344</v>
      </c>
    </row>
    <row r="222" spans="1:8" ht="15" customHeight="1">
      <c r="A222" s="65" t="s">
        <v>512</v>
      </c>
      <c r="B222" s="19" t="s">
        <v>344</v>
      </c>
      <c r="C222" s="19" t="s">
        <v>245</v>
      </c>
      <c r="D222" s="112" t="s">
        <v>335</v>
      </c>
      <c r="E222" s="112"/>
      <c r="F222" s="19" t="s">
        <v>333</v>
      </c>
      <c r="G222" s="12">
        <v>1</v>
      </c>
      <c r="H222" s="3">
        <v>0</v>
      </c>
    </row>
    <row r="223" spans="1:8" ht="15" customHeight="1">
      <c r="A223" s="49"/>
      <c r="D223" s="72" t="s">
        <v>460</v>
      </c>
      <c r="E223" s="188" t="s">
        <v>344</v>
      </c>
      <c r="F223" s="188"/>
      <c r="G223" s="16">
        <v>1</v>
      </c>
      <c r="H223" s="57"/>
    </row>
    <row r="224" spans="1:8" ht="15" customHeight="1">
      <c r="A224" s="65" t="s">
        <v>113</v>
      </c>
      <c r="B224" s="19" t="s">
        <v>344</v>
      </c>
      <c r="C224" s="19" t="s">
        <v>328</v>
      </c>
      <c r="D224" s="112" t="s">
        <v>49</v>
      </c>
      <c r="E224" s="112"/>
      <c r="F224" s="19" t="s">
        <v>333</v>
      </c>
      <c r="G224" s="12">
        <v>1</v>
      </c>
      <c r="H224" s="3">
        <v>0</v>
      </c>
    </row>
    <row r="225" spans="1:8" ht="15" customHeight="1">
      <c r="A225" s="86"/>
      <c r="B225" s="75"/>
      <c r="C225" s="75"/>
      <c r="D225" s="8" t="s">
        <v>460</v>
      </c>
      <c r="E225" s="189" t="s">
        <v>344</v>
      </c>
      <c r="F225" s="189"/>
      <c r="G225" s="37">
        <v>1</v>
      </c>
      <c r="H225" s="92"/>
    </row>
    <row r="227" ht="15" customHeight="1">
      <c r="A227" s="35" t="s">
        <v>36</v>
      </c>
    </row>
    <row r="228" spans="1:7" ht="108" customHeight="1">
      <c r="A228" s="111" t="s">
        <v>351</v>
      </c>
      <c r="B228" s="112"/>
      <c r="C228" s="112"/>
      <c r="D228" s="112"/>
      <c r="E228" s="112"/>
      <c r="F228" s="112"/>
      <c r="G228" s="112"/>
    </row>
  </sheetData>
  <sheetProtection/>
  <mergeCells count="234">
    <mergeCell ref="A1:H1"/>
    <mergeCell ref="A2:B3"/>
    <mergeCell ref="A4:B5"/>
    <mergeCell ref="A6:B7"/>
    <mergeCell ref="A8:B9"/>
    <mergeCell ref="E2:E3"/>
    <mergeCell ref="E4:E5"/>
    <mergeCell ref="E6:E7"/>
    <mergeCell ref="E8:E9"/>
    <mergeCell ref="C2:D3"/>
    <mergeCell ref="C4:D5"/>
    <mergeCell ref="C6:D7"/>
    <mergeCell ref="C8:D9"/>
    <mergeCell ref="F2:H3"/>
    <mergeCell ref="F4:H5"/>
    <mergeCell ref="F6:H7"/>
    <mergeCell ref="F8:H9"/>
    <mergeCell ref="D10:E10"/>
    <mergeCell ref="D11:E11"/>
    <mergeCell ref="E12:F12"/>
    <mergeCell ref="D13:E13"/>
    <mergeCell ref="E14:F14"/>
    <mergeCell ref="D15:E15"/>
    <mergeCell ref="E16:F16"/>
    <mergeCell ref="E17:F17"/>
    <mergeCell ref="E18:F18"/>
    <mergeCell ref="E19:F19"/>
    <mergeCell ref="E20:F20"/>
    <mergeCell ref="E21:F21"/>
    <mergeCell ref="D22:E22"/>
    <mergeCell ref="E23:F23"/>
    <mergeCell ref="E24:F24"/>
    <mergeCell ref="D25:E25"/>
    <mergeCell ref="E26:F26"/>
    <mergeCell ref="E27:F27"/>
    <mergeCell ref="D28:E28"/>
    <mergeCell ref="E29:F29"/>
    <mergeCell ref="E30:F30"/>
    <mergeCell ref="D31:E31"/>
    <mergeCell ref="E32:F32"/>
    <mergeCell ref="D33:E33"/>
    <mergeCell ref="E34:F34"/>
    <mergeCell ref="D35:E35"/>
    <mergeCell ref="E36:F36"/>
    <mergeCell ref="D37:E37"/>
    <mergeCell ref="E38:F38"/>
    <mergeCell ref="E39:F39"/>
    <mergeCell ref="E40:F40"/>
    <mergeCell ref="E41:F41"/>
    <mergeCell ref="D42:E42"/>
    <mergeCell ref="E43:F43"/>
    <mergeCell ref="D44:E44"/>
    <mergeCell ref="E45:F45"/>
    <mergeCell ref="E46:F46"/>
    <mergeCell ref="E47:F47"/>
    <mergeCell ref="E48:F48"/>
    <mergeCell ref="D49:E49"/>
    <mergeCell ref="E50:F50"/>
    <mergeCell ref="D51:E51"/>
    <mergeCell ref="E52:F52"/>
    <mergeCell ref="D53:E53"/>
    <mergeCell ref="E54:F54"/>
    <mergeCell ref="D55:E55"/>
    <mergeCell ref="E56:F56"/>
    <mergeCell ref="D57:E57"/>
    <mergeCell ref="E58:F58"/>
    <mergeCell ref="E59:F59"/>
    <mergeCell ref="E60:F60"/>
    <mergeCell ref="E61:F61"/>
    <mergeCell ref="D62:E62"/>
    <mergeCell ref="E63:F63"/>
    <mergeCell ref="E64:F64"/>
    <mergeCell ref="E65:F65"/>
    <mergeCell ref="E66:F66"/>
    <mergeCell ref="D67:E67"/>
    <mergeCell ref="E68:F68"/>
    <mergeCell ref="E69:F69"/>
    <mergeCell ref="E70:F70"/>
    <mergeCell ref="D71:E71"/>
    <mergeCell ref="E72:F72"/>
    <mergeCell ref="D73:E73"/>
    <mergeCell ref="E74:F74"/>
    <mergeCell ref="D75:E75"/>
    <mergeCell ref="E76:F76"/>
    <mergeCell ref="E77:F77"/>
    <mergeCell ref="D78:E78"/>
    <mergeCell ref="E79:F79"/>
    <mergeCell ref="E80:F80"/>
    <mergeCell ref="E81:F81"/>
    <mergeCell ref="D82:E82"/>
    <mergeCell ref="E83:F83"/>
    <mergeCell ref="E84:F84"/>
    <mergeCell ref="E85:F85"/>
    <mergeCell ref="E86:F86"/>
    <mergeCell ref="E87:F87"/>
    <mergeCell ref="D88:E88"/>
    <mergeCell ref="E89:F89"/>
    <mergeCell ref="E90:F90"/>
    <mergeCell ref="E91:F91"/>
    <mergeCell ref="D92:E92"/>
    <mergeCell ref="E93:F93"/>
    <mergeCell ref="E94:F94"/>
    <mergeCell ref="E95:F95"/>
    <mergeCell ref="D96:E96"/>
    <mergeCell ref="E97:F97"/>
    <mergeCell ref="E98:F98"/>
    <mergeCell ref="D99:E99"/>
    <mergeCell ref="E100:F100"/>
    <mergeCell ref="D101:E101"/>
    <mergeCell ref="E102:F102"/>
    <mergeCell ref="E103:F103"/>
    <mergeCell ref="E104:F104"/>
    <mergeCell ref="E105:F105"/>
    <mergeCell ref="D106:E106"/>
    <mergeCell ref="D107:E107"/>
    <mergeCell ref="E108:F108"/>
    <mergeCell ref="D109:E109"/>
    <mergeCell ref="D110:E110"/>
    <mergeCell ref="E111:F111"/>
    <mergeCell ref="D112:E112"/>
    <mergeCell ref="E113:F113"/>
    <mergeCell ref="E114:F114"/>
    <mergeCell ref="E115:F115"/>
    <mergeCell ref="D116:E116"/>
    <mergeCell ref="E117:F117"/>
    <mergeCell ref="E118:F118"/>
    <mergeCell ref="E119:F119"/>
    <mergeCell ref="E120:F120"/>
    <mergeCell ref="E121:F121"/>
    <mergeCell ref="D122:E122"/>
    <mergeCell ref="E123:F123"/>
    <mergeCell ref="E124:F124"/>
    <mergeCell ref="E125:F125"/>
    <mergeCell ref="D126:E126"/>
    <mergeCell ref="E127:F127"/>
    <mergeCell ref="E128:F128"/>
    <mergeCell ref="E129:F129"/>
    <mergeCell ref="D130:E130"/>
    <mergeCell ref="E131:F131"/>
    <mergeCell ref="E132:F132"/>
    <mergeCell ref="D133:E133"/>
    <mergeCell ref="E134:F134"/>
    <mergeCell ref="D135:E135"/>
    <mergeCell ref="E136:F136"/>
    <mergeCell ref="E137:F137"/>
    <mergeCell ref="D138:E138"/>
    <mergeCell ref="E139:F139"/>
    <mergeCell ref="D140:E140"/>
    <mergeCell ref="E141:F141"/>
    <mergeCell ref="D142:E142"/>
    <mergeCell ref="E143:F143"/>
    <mergeCell ref="E144:F144"/>
    <mergeCell ref="E145:F145"/>
    <mergeCell ref="E146:F146"/>
    <mergeCell ref="E147:F147"/>
    <mergeCell ref="D148:E148"/>
    <mergeCell ref="E149:F149"/>
    <mergeCell ref="D150:E150"/>
    <mergeCell ref="E151:F151"/>
    <mergeCell ref="E152:F152"/>
    <mergeCell ref="E153:F153"/>
    <mergeCell ref="E154:F154"/>
    <mergeCell ref="E155:F155"/>
    <mergeCell ref="D156:E156"/>
    <mergeCell ref="E157:F157"/>
    <mergeCell ref="E158:F158"/>
    <mergeCell ref="E159:F159"/>
    <mergeCell ref="E160:F160"/>
    <mergeCell ref="E161:F161"/>
    <mergeCell ref="D162:E162"/>
    <mergeCell ref="E163:F163"/>
    <mergeCell ref="E164:F164"/>
    <mergeCell ref="E165:F165"/>
    <mergeCell ref="E166:F166"/>
    <mergeCell ref="E167:F167"/>
    <mergeCell ref="D168:E168"/>
    <mergeCell ref="E169:F169"/>
    <mergeCell ref="E170:F170"/>
    <mergeCell ref="D171:E171"/>
    <mergeCell ref="E172:F172"/>
    <mergeCell ref="E173:F173"/>
    <mergeCell ref="E174:F174"/>
    <mergeCell ref="E175:F175"/>
    <mergeCell ref="D176:E176"/>
    <mergeCell ref="E177:F177"/>
    <mergeCell ref="E178:F178"/>
    <mergeCell ref="D179:E179"/>
    <mergeCell ref="E180:F180"/>
    <mergeCell ref="E181:F181"/>
    <mergeCell ref="D182:E182"/>
    <mergeCell ref="E183:F183"/>
    <mergeCell ref="D184:E184"/>
    <mergeCell ref="E185:F185"/>
    <mergeCell ref="E186:F186"/>
    <mergeCell ref="E187:F187"/>
    <mergeCell ref="E188:F188"/>
    <mergeCell ref="E189:F189"/>
    <mergeCell ref="D190:E190"/>
    <mergeCell ref="E191:F191"/>
    <mergeCell ref="E192:F192"/>
    <mergeCell ref="E193:F193"/>
    <mergeCell ref="E194:F194"/>
    <mergeCell ref="E195:F195"/>
    <mergeCell ref="D196:E196"/>
    <mergeCell ref="E197:F197"/>
    <mergeCell ref="E198:F198"/>
    <mergeCell ref="E199:F199"/>
    <mergeCell ref="E200:F200"/>
    <mergeCell ref="E201:F201"/>
    <mergeCell ref="D202:E202"/>
    <mergeCell ref="E203:F203"/>
    <mergeCell ref="D204:E204"/>
    <mergeCell ref="E205:F205"/>
    <mergeCell ref="D206:E206"/>
    <mergeCell ref="E207:F207"/>
    <mergeCell ref="E208:F208"/>
    <mergeCell ref="D209:E209"/>
    <mergeCell ref="E210:F210"/>
    <mergeCell ref="D211:E211"/>
    <mergeCell ref="E212:F212"/>
    <mergeCell ref="E213:F213"/>
    <mergeCell ref="E214:F214"/>
    <mergeCell ref="E215:F215"/>
    <mergeCell ref="E216:F216"/>
    <mergeCell ref="D217:E217"/>
    <mergeCell ref="E218:F218"/>
    <mergeCell ref="E219:F219"/>
    <mergeCell ref="A228:G228"/>
    <mergeCell ref="E220:F220"/>
    <mergeCell ref="E221:F221"/>
    <mergeCell ref="D222:E222"/>
    <mergeCell ref="E223:F223"/>
    <mergeCell ref="D224:E224"/>
    <mergeCell ref="E225:F225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Robert Pižl</cp:lastModifiedBy>
  <dcterms:created xsi:type="dcterms:W3CDTF">2021-06-10T20:06:38Z</dcterms:created>
  <dcterms:modified xsi:type="dcterms:W3CDTF">2023-12-19T07:15:45Z</dcterms:modified>
  <cp:category/>
  <cp:version/>
  <cp:contentType/>
  <cp:contentStatus/>
</cp:coreProperties>
</file>