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85" windowWidth="28455" windowHeight="13740" activeTab="3"/>
  </bookViews>
  <sheets>
    <sheet name="Rozpočet - rekapitulace" sheetId="1" r:id="rId1"/>
    <sheet name="Krycí list rozpočtu" sheetId="2" r:id="rId2"/>
    <sheet name="VORN" sheetId="3" state="hidden" r:id="rId3"/>
    <sheet name="Stavební rozpočet" sheetId="4" r:id="rId4"/>
  </sheets>
  <definedNames>
    <definedName name="vorn_sum">VORN!$I$45</definedName>
  </definedNames>
  <calcPr calcId="125725"/>
</workbook>
</file>

<file path=xl/calcChain.xml><?xml version="1.0" encoding="utf-8"?>
<calcChain xmlns="http://schemas.openxmlformats.org/spreadsheetml/2006/main">
  <c r="L29" i="1"/>
  <c r="BU191" i="4"/>
  <c r="BJ191"/>
  <c r="BD191"/>
  <c r="AP191"/>
  <c r="BI191" s="1"/>
  <c r="AO191"/>
  <c r="AW191" s="1"/>
  <c r="AK191"/>
  <c r="AT190" s="1"/>
  <c r="AJ191"/>
  <c r="AS190" s="1"/>
  <c r="AH191"/>
  <c r="AG191"/>
  <c r="AF191"/>
  <c r="AE191"/>
  <c r="AD191"/>
  <c r="AC191"/>
  <c r="AB191"/>
  <c r="Z191"/>
  <c r="J191"/>
  <c r="BF191" s="1"/>
  <c r="H191"/>
  <c r="H190" s="1"/>
  <c r="K28" i="1" s="1"/>
  <c r="N28" s="1"/>
  <c r="BO187" i="4"/>
  <c r="BJ187"/>
  <c r="BD187"/>
  <c r="AP187"/>
  <c r="BI187" s="1"/>
  <c r="AO187"/>
  <c r="BH187" s="1"/>
  <c r="AK187"/>
  <c r="AT186" s="1"/>
  <c r="AJ187"/>
  <c r="AS186" s="1"/>
  <c r="AH187"/>
  <c r="AG187"/>
  <c r="AF187"/>
  <c r="AE187"/>
  <c r="AD187"/>
  <c r="AC187"/>
  <c r="AB187"/>
  <c r="Z187"/>
  <c r="J187"/>
  <c r="BF187" s="1"/>
  <c r="H187"/>
  <c r="AL187" s="1"/>
  <c r="AU186" s="1"/>
  <c r="BJ183"/>
  <c r="BI183"/>
  <c r="BD183"/>
  <c r="AP183"/>
  <c r="AX183" s="1"/>
  <c r="AO183"/>
  <c r="AW183" s="1"/>
  <c r="AK183"/>
  <c r="AJ183"/>
  <c r="AH183"/>
  <c r="AG183"/>
  <c r="AF183"/>
  <c r="AE183"/>
  <c r="AD183"/>
  <c r="AC183"/>
  <c r="AB183"/>
  <c r="Z183"/>
  <c r="J183"/>
  <c r="BF183" s="1"/>
  <c r="H183"/>
  <c r="AL183" s="1"/>
  <c r="BJ181"/>
  <c r="BI181"/>
  <c r="BD181"/>
  <c r="AP181"/>
  <c r="AX181" s="1"/>
  <c r="AO181"/>
  <c r="AW181" s="1"/>
  <c r="AK181"/>
  <c r="AJ181"/>
  <c r="AH181"/>
  <c r="AG181"/>
  <c r="AF181"/>
  <c r="AE181"/>
  <c r="AD181"/>
  <c r="AC181"/>
  <c r="AB181"/>
  <c r="Z181"/>
  <c r="J181"/>
  <c r="BF181" s="1"/>
  <c r="H181"/>
  <c r="AL181" s="1"/>
  <c r="BJ178"/>
  <c r="BI178"/>
  <c r="BD178"/>
  <c r="AP178"/>
  <c r="AX178" s="1"/>
  <c r="AO178"/>
  <c r="AW178" s="1"/>
  <c r="AK178"/>
  <c r="AJ178"/>
  <c r="AH178"/>
  <c r="AG178"/>
  <c r="AF178"/>
  <c r="AE178"/>
  <c r="AD178"/>
  <c r="AC178"/>
  <c r="AB178"/>
  <c r="Z178"/>
  <c r="J178"/>
  <c r="BF178" s="1"/>
  <c r="H178"/>
  <c r="AL178" s="1"/>
  <c r="BJ176"/>
  <c r="BI176"/>
  <c r="BD176"/>
  <c r="AP176"/>
  <c r="AX176" s="1"/>
  <c r="AO176"/>
  <c r="AW176" s="1"/>
  <c r="AK176"/>
  <c r="AJ176"/>
  <c r="AH176"/>
  <c r="AG176"/>
  <c r="AF176"/>
  <c r="AE176"/>
  <c r="AD176"/>
  <c r="AC176"/>
  <c r="AB176"/>
  <c r="Z176"/>
  <c r="J176"/>
  <c r="BF176" s="1"/>
  <c r="H176"/>
  <c r="AL176" s="1"/>
  <c r="BJ174"/>
  <c r="BI174"/>
  <c r="BD174"/>
  <c r="AP174"/>
  <c r="AX174" s="1"/>
  <c r="AO174"/>
  <c r="AW174" s="1"/>
  <c r="AK174"/>
  <c r="AJ174"/>
  <c r="AH174"/>
  <c r="AG174"/>
  <c r="AF174"/>
  <c r="AE174"/>
  <c r="AD174"/>
  <c r="AC174"/>
  <c r="AB174"/>
  <c r="Z174"/>
  <c r="J174"/>
  <c r="BF174" s="1"/>
  <c r="H174"/>
  <c r="AL174" s="1"/>
  <c r="BJ171"/>
  <c r="BD171"/>
  <c r="AP171"/>
  <c r="AX171" s="1"/>
  <c r="AO171"/>
  <c r="AW171" s="1"/>
  <c r="AK171"/>
  <c r="AJ171"/>
  <c r="AS170" s="1"/>
  <c r="AH171"/>
  <c r="AG171"/>
  <c r="AF171"/>
  <c r="AE171"/>
  <c r="AD171"/>
  <c r="AC171"/>
  <c r="AB171"/>
  <c r="Z171"/>
  <c r="J171"/>
  <c r="BF171" s="1"/>
  <c r="H171"/>
  <c r="AL171" s="1"/>
  <c r="AT170"/>
  <c r="H170"/>
  <c r="BJ168"/>
  <c r="Z168" s="1"/>
  <c r="BD168"/>
  <c r="AP168"/>
  <c r="BI168" s="1"/>
  <c r="AO168"/>
  <c r="BH168" s="1"/>
  <c r="AK168"/>
  <c r="AT167" s="1"/>
  <c r="AJ168"/>
  <c r="AS167" s="1"/>
  <c r="AH168"/>
  <c r="AG168"/>
  <c r="AF168"/>
  <c r="AE168"/>
  <c r="AD168"/>
  <c r="AC168"/>
  <c r="AB168"/>
  <c r="J168"/>
  <c r="BF168" s="1"/>
  <c r="H168"/>
  <c r="AL168" s="1"/>
  <c r="AU167" s="1"/>
  <c r="H167"/>
  <c r="BJ161"/>
  <c r="BF161"/>
  <c r="BD161"/>
  <c r="AX161"/>
  <c r="AW161"/>
  <c r="AV161" s="1"/>
  <c r="AP161"/>
  <c r="BI161" s="1"/>
  <c r="AC161" s="1"/>
  <c r="AO161"/>
  <c r="BH161" s="1"/>
  <c r="AB161" s="1"/>
  <c r="AK161"/>
  <c r="AJ161"/>
  <c r="AH161"/>
  <c r="AG161"/>
  <c r="AF161"/>
  <c r="AE161"/>
  <c r="AD161"/>
  <c r="Z161"/>
  <c r="J161"/>
  <c r="H161"/>
  <c r="AL161" s="1"/>
  <c r="BJ159"/>
  <c r="BF159"/>
  <c r="BD159"/>
  <c r="AX159"/>
  <c r="AW159"/>
  <c r="AV159" s="1"/>
  <c r="AP159"/>
  <c r="BI159" s="1"/>
  <c r="AC159" s="1"/>
  <c r="AO159"/>
  <c r="BH159" s="1"/>
  <c r="AB159" s="1"/>
  <c r="AK159"/>
  <c r="AJ159"/>
  <c r="AH159"/>
  <c r="AG159"/>
  <c r="AF159"/>
  <c r="AE159"/>
  <c r="AD159"/>
  <c r="Z159"/>
  <c r="J159"/>
  <c r="H159"/>
  <c r="AL159" s="1"/>
  <c r="BJ157"/>
  <c r="BF157"/>
  <c r="BD157"/>
  <c r="AW157"/>
  <c r="AV157" s="1"/>
  <c r="AP157"/>
  <c r="AX157" s="1"/>
  <c r="AO157"/>
  <c r="BH157" s="1"/>
  <c r="AB157" s="1"/>
  <c r="AK157"/>
  <c r="AT156" s="1"/>
  <c r="AJ157"/>
  <c r="AS156" s="1"/>
  <c r="AH157"/>
  <c r="AG157"/>
  <c r="AF157"/>
  <c r="AE157"/>
  <c r="AD157"/>
  <c r="Z157"/>
  <c r="J157"/>
  <c r="H157"/>
  <c r="H156" s="1"/>
  <c r="K24" i="1" s="1"/>
  <c r="N24" s="1"/>
  <c r="J156" i="4"/>
  <c r="BJ154"/>
  <c r="BI154"/>
  <c r="BD154"/>
  <c r="AX154"/>
  <c r="AP154"/>
  <c r="AO154"/>
  <c r="BH154" s="1"/>
  <c r="AB154" s="1"/>
  <c r="AK154"/>
  <c r="AT153" s="1"/>
  <c r="AJ154"/>
  <c r="AH154"/>
  <c r="AG154"/>
  <c r="AF154"/>
  <c r="AE154"/>
  <c r="AD154"/>
  <c r="AC154"/>
  <c r="Z154"/>
  <c r="J154"/>
  <c r="BF154" s="1"/>
  <c r="H154"/>
  <c r="H153" s="1"/>
  <c r="K23" i="1" s="1"/>
  <c r="N23" s="1"/>
  <c r="AS153" i="4"/>
  <c r="BJ150"/>
  <c r="BI150"/>
  <c r="AC150" s="1"/>
  <c r="BH150"/>
  <c r="AB150" s="1"/>
  <c r="BD150"/>
  <c r="AW150"/>
  <c r="AV150" s="1"/>
  <c r="AP150"/>
  <c r="AX150" s="1"/>
  <c r="BC150" s="1"/>
  <c r="AO150"/>
  <c r="AK150"/>
  <c r="AJ150"/>
  <c r="AS149" s="1"/>
  <c r="AH150"/>
  <c r="AG150"/>
  <c r="AF150"/>
  <c r="AE150"/>
  <c r="AD150"/>
  <c r="Z150"/>
  <c r="J150"/>
  <c r="BF150" s="1"/>
  <c r="H150"/>
  <c r="AL150" s="1"/>
  <c r="AU149" s="1"/>
  <c r="AT149"/>
  <c r="J149"/>
  <c r="BJ142"/>
  <c r="BH142"/>
  <c r="AD142" s="1"/>
  <c r="BF142"/>
  <c r="BD142"/>
  <c r="AW142"/>
  <c r="BC142" s="1"/>
  <c r="AP142"/>
  <c r="AX142" s="1"/>
  <c r="AV142" s="1"/>
  <c r="AO142"/>
  <c r="AK142"/>
  <c r="AT141" s="1"/>
  <c r="AJ142"/>
  <c r="AH142"/>
  <c r="AG142"/>
  <c r="AF142"/>
  <c r="AC142"/>
  <c r="AB142"/>
  <c r="Z142"/>
  <c r="J142"/>
  <c r="H142"/>
  <c r="AL142" s="1"/>
  <c r="AU141" s="1"/>
  <c r="AS141"/>
  <c r="J141"/>
  <c r="H141"/>
  <c r="BJ136"/>
  <c r="BF136"/>
  <c r="BD136"/>
  <c r="AW136"/>
  <c r="AP136"/>
  <c r="BI136" s="1"/>
  <c r="AE136" s="1"/>
  <c r="AO136"/>
  <c r="BH136" s="1"/>
  <c r="AD136" s="1"/>
  <c r="AK136"/>
  <c r="AJ136"/>
  <c r="AH136"/>
  <c r="AG136"/>
  <c r="AF136"/>
  <c r="AC136"/>
  <c r="AB136"/>
  <c r="Z136"/>
  <c r="J136"/>
  <c r="H136"/>
  <c r="AL136" s="1"/>
  <c r="BJ134"/>
  <c r="BF134"/>
  <c r="BD134"/>
  <c r="AW134"/>
  <c r="AP134"/>
  <c r="BI134" s="1"/>
  <c r="AE134" s="1"/>
  <c r="AO134"/>
  <c r="BH134" s="1"/>
  <c r="AD134" s="1"/>
  <c r="AK134"/>
  <c r="AJ134"/>
  <c r="AS133" s="1"/>
  <c r="AH134"/>
  <c r="AG134"/>
  <c r="AF134"/>
  <c r="AC134"/>
  <c r="AB134"/>
  <c r="Z134"/>
  <c r="J134"/>
  <c r="H134"/>
  <c r="AL134" s="1"/>
  <c r="AU133" s="1"/>
  <c r="AT133"/>
  <c r="J133"/>
  <c r="H133"/>
  <c r="BJ124"/>
  <c r="BD124"/>
  <c r="AX124"/>
  <c r="AP124"/>
  <c r="BI124" s="1"/>
  <c r="AE124" s="1"/>
  <c r="AO124"/>
  <c r="AW124" s="1"/>
  <c r="AK124"/>
  <c r="AJ124"/>
  <c r="AH124"/>
  <c r="AG124"/>
  <c r="AF124"/>
  <c r="AC124"/>
  <c r="AB124"/>
  <c r="Z124"/>
  <c r="J124"/>
  <c r="BF124" s="1"/>
  <c r="H124"/>
  <c r="AL124" s="1"/>
  <c r="BJ121"/>
  <c r="BD121"/>
  <c r="AX121"/>
  <c r="AP121"/>
  <c r="BI121" s="1"/>
  <c r="AE121" s="1"/>
  <c r="AO121"/>
  <c r="AW121" s="1"/>
  <c r="AK121"/>
  <c r="AJ121"/>
  <c r="AH121"/>
  <c r="AG121"/>
  <c r="AF121"/>
  <c r="AC121"/>
  <c r="AB121"/>
  <c r="Z121"/>
  <c r="J121"/>
  <c r="BF121" s="1"/>
  <c r="H121"/>
  <c r="AL121" s="1"/>
  <c r="BJ119"/>
  <c r="BD119"/>
  <c r="AX119"/>
  <c r="AP119"/>
  <c r="BI119" s="1"/>
  <c r="AE119" s="1"/>
  <c r="AO119"/>
  <c r="AW119" s="1"/>
  <c r="AK119"/>
  <c r="AJ119"/>
  <c r="AH119"/>
  <c r="AG119"/>
  <c r="AF119"/>
  <c r="AC119"/>
  <c r="AB119"/>
  <c r="Z119"/>
  <c r="J119"/>
  <c r="BF119" s="1"/>
  <c r="H119"/>
  <c r="AL119" s="1"/>
  <c r="BJ116"/>
  <c r="BD116"/>
  <c r="AX116"/>
  <c r="AP116"/>
  <c r="BI116" s="1"/>
  <c r="AE116" s="1"/>
  <c r="AO116"/>
  <c r="AW116" s="1"/>
  <c r="AK116"/>
  <c r="AJ116"/>
  <c r="AH116"/>
  <c r="AG116"/>
  <c r="AF116"/>
  <c r="AC116"/>
  <c r="AB116"/>
  <c r="Z116"/>
  <c r="J116"/>
  <c r="BF116" s="1"/>
  <c r="H116"/>
  <c r="AL116" s="1"/>
  <c r="BJ113"/>
  <c r="BD113"/>
  <c r="AX113"/>
  <c r="AP113"/>
  <c r="BI113" s="1"/>
  <c r="AE113" s="1"/>
  <c r="AO113"/>
  <c r="AW113" s="1"/>
  <c r="AK113"/>
  <c r="AJ113"/>
  <c r="AH113"/>
  <c r="AG113"/>
  <c r="AF113"/>
  <c r="AC113"/>
  <c r="AB113"/>
  <c r="Z113"/>
  <c r="J113"/>
  <c r="BF113" s="1"/>
  <c r="H113"/>
  <c r="AL113" s="1"/>
  <c r="BJ110"/>
  <c r="BD110"/>
  <c r="AX110"/>
  <c r="AP110"/>
  <c r="BI110" s="1"/>
  <c r="AE110" s="1"/>
  <c r="AO110"/>
  <c r="AW110" s="1"/>
  <c r="AK110"/>
  <c r="AJ110"/>
  <c r="AH110"/>
  <c r="AG110"/>
  <c r="AF110"/>
  <c r="AC110"/>
  <c r="AB110"/>
  <c r="Z110"/>
  <c r="J110"/>
  <c r="BF110" s="1"/>
  <c r="H110"/>
  <c r="AL110" s="1"/>
  <c r="BJ102"/>
  <c r="BD102"/>
  <c r="AX102"/>
  <c r="AP102"/>
  <c r="BI102" s="1"/>
  <c r="AE102" s="1"/>
  <c r="AO102"/>
  <c r="AW102" s="1"/>
  <c r="AK102"/>
  <c r="AJ102"/>
  <c r="AH102"/>
  <c r="AG102"/>
  <c r="AF102"/>
  <c r="AC102"/>
  <c r="AB102"/>
  <c r="Z102"/>
  <c r="J102"/>
  <c r="BF102" s="1"/>
  <c r="H102"/>
  <c r="AL102" s="1"/>
  <c r="BJ99"/>
  <c r="BD99"/>
  <c r="AX99"/>
  <c r="AP99"/>
  <c r="BI99" s="1"/>
  <c r="AE99" s="1"/>
  <c r="AO99"/>
  <c r="AW99" s="1"/>
  <c r="AK99"/>
  <c r="AJ99"/>
  <c r="AH99"/>
  <c r="AG99"/>
  <c r="AF99"/>
  <c r="AC99"/>
  <c r="AB99"/>
  <c r="Z99"/>
  <c r="J99"/>
  <c r="BF99" s="1"/>
  <c r="H99"/>
  <c r="AL99" s="1"/>
  <c r="BJ95"/>
  <c r="BD95"/>
  <c r="AX95"/>
  <c r="AP95"/>
  <c r="BI95" s="1"/>
  <c r="AE95" s="1"/>
  <c r="AO95"/>
  <c r="AW95" s="1"/>
  <c r="AK95"/>
  <c r="AJ95"/>
  <c r="AH95"/>
  <c r="AG95"/>
  <c r="AF95"/>
  <c r="AC95"/>
  <c r="AB95"/>
  <c r="Z95"/>
  <c r="J95"/>
  <c r="BF95" s="1"/>
  <c r="H95"/>
  <c r="AL95" s="1"/>
  <c r="BJ93"/>
  <c r="BD93"/>
  <c r="AX93"/>
  <c r="AP93"/>
  <c r="BI93" s="1"/>
  <c r="AE93" s="1"/>
  <c r="AO93"/>
  <c r="AW93" s="1"/>
  <c r="AK93"/>
  <c r="AJ93"/>
  <c r="AH93"/>
  <c r="AG93"/>
  <c r="AF93"/>
  <c r="AC93"/>
  <c r="AB93"/>
  <c r="Z93"/>
  <c r="J93"/>
  <c r="BF93" s="1"/>
  <c r="H93"/>
  <c r="AL93" s="1"/>
  <c r="BJ90"/>
  <c r="BD90"/>
  <c r="AX90"/>
  <c r="AP90"/>
  <c r="BI90" s="1"/>
  <c r="AE90" s="1"/>
  <c r="AO90"/>
  <c r="AW90" s="1"/>
  <c r="AK90"/>
  <c r="AT89" s="1"/>
  <c r="AJ90"/>
  <c r="AH90"/>
  <c r="AG90"/>
  <c r="AF90"/>
  <c r="AC90"/>
  <c r="AB90"/>
  <c r="Z90"/>
  <c r="J90"/>
  <c r="BF90" s="1"/>
  <c r="H90"/>
  <c r="AL90" s="1"/>
  <c r="AS89"/>
  <c r="H89"/>
  <c r="BJ86"/>
  <c r="BI86"/>
  <c r="BH86"/>
  <c r="BF86"/>
  <c r="BD86"/>
  <c r="BC86"/>
  <c r="AX86"/>
  <c r="AW86"/>
  <c r="AV86" s="1"/>
  <c r="AP86"/>
  <c r="AO86"/>
  <c r="AK86"/>
  <c r="AJ86"/>
  <c r="AS85" s="1"/>
  <c r="AH86"/>
  <c r="AG86"/>
  <c r="AF86"/>
  <c r="AE86"/>
  <c r="AD86"/>
  <c r="AC86"/>
  <c r="AB86"/>
  <c r="Z86"/>
  <c r="J86"/>
  <c r="H86"/>
  <c r="H85" s="1"/>
  <c r="K18" i="1" s="1"/>
  <c r="N18" s="1"/>
  <c r="AT85" i="4"/>
  <c r="J85"/>
  <c r="BJ79"/>
  <c r="BI79"/>
  <c r="AE79" s="1"/>
  <c r="BH79"/>
  <c r="AD79" s="1"/>
  <c r="BD79"/>
  <c r="AX79"/>
  <c r="AP79"/>
  <c r="AO79"/>
  <c r="AW79" s="1"/>
  <c r="AK79"/>
  <c r="AT78" s="1"/>
  <c r="AJ79"/>
  <c r="AH79"/>
  <c r="AG79"/>
  <c r="AF79"/>
  <c r="AC79"/>
  <c r="AB79"/>
  <c r="Z79"/>
  <c r="J79"/>
  <c r="BF79" s="1"/>
  <c r="H79"/>
  <c r="AL79" s="1"/>
  <c r="AU78" s="1"/>
  <c r="AS78"/>
  <c r="BJ76"/>
  <c r="BH76"/>
  <c r="BF76"/>
  <c r="BD76"/>
  <c r="AW76"/>
  <c r="BC76" s="1"/>
  <c r="AP76"/>
  <c r="AX76" s="1"/>
  <c r="AO76"/>
  <c r="AK76"/>
  <c r="AJ76"/>
  <c r="AH76"/>
  <c r="AG76"/>
  <c r="AF76"/>
  <c r="AD76"/>
  <c r="AC76"/>
  <c r="AB76"/>
  <c r="Z76"/>
  <c r="J76"/>
  <c r="H76"/>
  <c r="AL76" s="1"/>
  <c r="BJ74"/>
  <c r="BH74"/>
  <c r="BF74"/>
  <c r="BD74"/>
  <c r="AW74"/>
  <c r="BC74" s="1"/>
  <c r="AP74"/>
  <c r="AX74" s="1"/>
  <c r="AO74"/>
  <c r="AK74"/>
  <c r="AJ74"/>
  <c r="AH74"/>
  <c r="AG74"/>
  <c r="AF74"/>
  <c r="AD74"/>
  <c r="AC74"/>
  <c r="AB74"/>
  <c r="Z74"/>
  <c r="J74"/>
  <c r="H74"/>
  <c r="AL74" s="1"/>
  <c r="BJ72"/>
  <c r="BH72"/>
  <c r="BF72"/>
  <c r="BD72"/>
  <c r="AW72"/>
  <c r="BC72" s="1"/>
  <c r="AP72"/>
  <c r="AX72" s="1"/>
  <c r="AO72"/>
  <c r="AK72"/>
  <c r="AJ72"/>
  <c r="AH72"/>
  <c r="AG72"/>
  <c r="AF72"/>
  <c r="AD72"/>
  <c r="AC72"/>
  <c r="AB72"/>
  <c r="Z72"/>
  <c r="J72"/>
  <c r="H72"/>
  <c r="AL72" s="1"/>
  <c r="BJ70"/>
  <c r="BH70"/>
  <c r="BF70"/>
  <c r="BD70"/>
  <c r="AW70"/>
  <c r="BC70" s="1"/>
  <c r="AP70"/>
  <c r="AX70" s="1"/>
  <c r="AO70"/>
  <c r="AK70"/>
  <c r="AJ70"/>
  <c r="AS69" s="1"/>
  <c r="AH70"/>
  <c r="AG70"/>
  <c r="AF70"/>
  <c r="AD70"/>
  <c r="AC70"/>
  <c r="AB70"/>
  <c r="Z70"/>
  <c r="J70"/>
  <c r="H70"/>
  <c r="AL70" s="1"/>
  <c r="AU69" s="1"/>
  <c r="AT69"/>
  <c r="J69"/>
  <c r="H69"/>
  <c r="BJ66"/>
  <c r="BI66"/>
  <c r="AE66" s="1"/>
  <c r="BH66"/>
  <c r="AD66" s="1"/>
  <c r="BD66"/>
  <c r="AX66"/>
  <c r="AP66"/>
  <c r="AO66"/>
  <c r="AW66" s="1"/>
  <c r="AK66"/>
  <c r="AJ66"/>
  <c r="AH66"/>
  <c r="AG66"/>
  <c r="AF66"/>
  <c r="AC66"/>
  <c r="AB66"/>
  <c r="Z66"/>
  <c r="J66"/>
  <c r="BF66" s="1"/>
  <c r="H66"/>
  <c r="AL66" s="1"/>
  <c r="BJ63"/>
  <c r="BI63"/>
  <c r="AE63" s="1"/>
  <c r="BH63"/>
  <c r="AD63" s="1"/>
  <c r="BD63"/>
  <c r="AX63"/>
  <c r="AP63"/>
  <c r="AO63"/>
  <c r="AW63" s="1"/>
  <c r="AK63"/>
  <c r="AJ63"/>
  <c r="AH63"/>
  <c r="AG63"/>
  <c r="AF63"/>
  <c r="AC63"/>
  <c r="AB63"/>
  <c r="Z63"/>
  <c r="J63"/>
  <c r="BF63" s="1"/>
  <c r="H63"/>
  <c r="AL63" s="1"/>
  <c r="BJ60"/>
  <c r="BI60"/>
  <c r="AE60" s="1"/>
  <c r="BH60"/>
  <c r="AD60" s="1"/>
  <c r="BD60"/>
  <c r="AX60"/>
  <c r="AP60"/>
  <c r="AO60"/>
  <c r="AW60" s="1"/>
  <c r="AK60"/>
  <c r="AJ60"/>
  <c r="AH60"/>
  <c r="AG60"/>
  <c r="AF60"/>
  <c r="AC60"/>
  <c r="AB60"/>
  <c r="Z60"/>
  <c r="J60"/>
  <c r="BF60" s="1"/>
  <c r="H60"/>
  <c r="AL60" s="1"/>
  <c r="AU59" s="1"/>
  <c r="AT59"/>
  <c r="AS59"/>
  <c r="H59"/>
  <c r="K15" i="1" s="1"/>
  <c r="N15" s="1"/>
  <c r="BJ56" i="4"/>
  <c r="BF56"/>
  <c r="BD56"/>
  <c r="AP56"/>
  <c r="AX56" s="1"/>
  <c r="AO56"/>
  <c r="AW56" s="1"/>
  <c r="AK56"/>
  <c r="AJ56"/>
  <c r="AH56"/>
  <c r="AG56"/>
  <c r="AF56"/>
  <c r="AC56"/>
  <c r="AB56"/>
  <c r="Z56"/>
  <c r="J56"/>
  <c r="H56"/>
  <c r="AL56" s="1"/>
  <c r="BJ53"/>
  <c r="BD53"/>
  <c r="AP53"/>
  <c r="AX53" s="1"/>
  <c r="AO53"/>
  <c r="AW53" s="1"/>
  <c r="AK53"/>
  <c r="AJ53"/>
  <c r="AH53"/>
  <c r="AG53"/>
  <c r="AF53"/>
  <c r="AC53"/>
  <c r="AB53"/>
  <c r="Z53"/>
  <c r="J53"/>
  <c r="BF53" s="1"/>
  <c r="H53"/>
  <c r="AL53" s="1"/>
  <c r="BJ51"/>
  <c r="BD51"/>
  <c r="AP51"/>
  <c r="AX51" s="1"/>
  <c r="AO51"/>
  <c r="AW51" s="1"/>
  <c r="AK51"/>
  <c r="AJ51"/>
  <c r="AH51"/>
  <c r="AG51"/>
  <c r="AF51"/>
  <c r="AC51"/>
  <c r="AB51"/>
  <c r="Z51"/>
  <c r="J51"/>
  <c r="BF51" s="1"/>
  <c r="H51"/>
  <c r="AL51" s="1"/>
  <c r="BJ48"/>
  <c r="BD48"/>
  <c r="AP48"/>
  <c r="AX48" s="1"/>
  <c r="AO48"/>
  <c r="AW48" s="1"/>
  <c r="AK48"/>
  <c r="AJ48"/>
  <c r="AH48"/>
  <c r="AG48"/>
  <c r="AF48"/>
  <c r="AC48"/>
  <c r="AB48"/>
  <c r="Z48"/>
  <c r="J48"/>
  <c r="BF48" s="1"/>
  <c r="H48"/>
  <c r="AL48" s="1"/>
  <c r="BJ46"/>
  <c r="BD46"/>
  <c r="AP46"/>
  <c r="AX46" s="1"/>
  <c r="AO46"/>
  <c r="AW46" s="1"/>
  <c r="AK46"/>
  <c r="AJ46"/>
  <c r="AH46"/>
  <c r="AG46"/>
  <c r="AF46"/>
  <c r="AC46"/>
  <c r="AB46"/>
  <c r="Z46"/>
  <c r="J46"/>
  <c r="BF46" s="1"/>
  <c r="H46"/>
  <c r="AL46" s="1"/>
  <c r="BJ44"/>
  <c r="BD44"/>
  <c r="AP44"/>
  <c r="AX44" s="1"/>
  <c r="AO44"/>
  <c r="AW44" s="1"/>
  <c r="AK44"/>
  <c r="AJ44"/>
  <c r="AH44"/>
  <c r="AG44"/>
  <c r="AF44"/>
  <c r="AC44"/>
  <c r="AB44"/>
  <c r="Z44"/>
  <c r="J44"/>
  <c r="BF44" s="1"/>
  <c r="H44"/>
  <c r="AL44" s="1"/>
  <c r="BJ40"/>
  <c r="BD40"/>
  <c r="AP40"/>
  <c r="AX40" s="1"/>
  <c r="AO40"/>
  <c r="AW40" s="1"/>
  <c r="AK40"/>
  <c r="AJ40"/>
  <c r="AH40"/>
  <c r="AG40"/>
  <c r="AF40"/>
  <c r="AC40"/>
  <c r="AB40"/>
  <c r="Z40"/>
  <c r="J40"/>
  <c r="BF40" s="1"/>
  <c r="H40"/>
  <c r="AL40" s="1"/>
  <c r="BJ37"/>
  <c r="BD37"/>
  <c r="AP37"/>
  <c r="AX37" s="1"/>
  <c r="AO37"/>
  <c r="AW37" s="1"/>
  <c r="AK37"/>
  <c r="AJ37"/>
  <c r="AH37"/>
  <c r="AG37"/>
  <c r="AF37"/>
  <c r="AC37"/>
  <c r="AB37"/>
  <c r="Z37"/>
  <c r="J37"/>
  <c r="BF37" s="1"/>
  <c r="H37"/>
  <c r="AL37" s="1"/>
  <c r="BJ34"/>
  <c r="BD34"/>
  <c r="AP34"/>
  <c r="AX34" s="1"/>
  <c r="AO34"/>
  <c r="AW34" s="1"/>
  <c r="AK34"/>
  <c r="AJ34"/>
  <c r="AS33" s="1"/>
  <c r="AH34"/>
  <c r="AG34"/>
  <c r="AF34"/>
  <c r="AC34"/>
  <c r="AB34"/>
  <c r="Z34"/>
  <c r="J34"/>
  <c r="BF34" s="1"/>
  <c r="H34"/>
  <c r="H33" s="1"/>
  <c r="K14" i="1" s="1"/>
  <c r="N14" s="1"/>
  <c r="AT33" i="4"/>
  <c r="BJ30"/>
  <c r="BD30"/>
  <c r="AX30"/>
  <c r="AP30"/>
  <c r="BI30" s="1"/>
  <c r="AC30" s="1"/>
  <c r="AO30"/>
  <c r="BH30" s="1"/>
  <c r="AB30" s="1"/>
  <c r="AK30"/>
  <c r="AJ30"/>
  <c r="AH30"/>
  <c r="AG30"/>
  <c r="AF30"/>
  <c r="AE30"/>
  <c r="AD30"/>
  <c r="Z30"/>
  <c r="J30"/>
  <c r="BF30" s="1"/>
  <c r="H30"/>
  <c r="AL30" s="1"/>
  <c r="BJ27"/>
  <c r="BD27"/>
  <c r="AX27"/>
  <c r="AP27"/>
  <c r="BI27" s="1"/>
  <c r="AC27" s="1"/>
  <c r="AO27"/>
  <c r="BH27" s="1"/>
  <c r="AB27" s="1"/>
  <c r="AK27"/>
  <c r="AJ27"/>
  <c r="AH27"/>
  <c r="AG27"/>
  <c r="AF27"/>
  <c r="AE27"/>
  <c r="AD27"/>
  <c r="Z27"/>
  <c r="J27"/>
  <c r="BF27" s="1"/>
  <c r="H27"/>
  <c r="AL27" s="1"/>
  <c r="BJ23"/>
  <c r="BD23"/>
  <c r="AX23"/>
  <c r="AP23"/>
  <c r="BI23" s="1"/>
  <c r="AC23" s="1"/>
  <c r="AO23"/>
  <c r="BH23" s="1"/>
  <c r="AB23" s="1"/>
  <c r="AK23"/>
  <c r="AT22" s="1"/>
  <c r="AJ23"/>
  <c r="AH23"/>
  <c r="AG23"/>
  <c r="AF23"/>
  <c r="AE23"/>
  <c r="AD23"/>
  <c r="Z23"/>
  <c r="J23"/>
  <c r="BF23" s="1"/>
  <c r="H23"/>
  <c r="AL23" s="1"/>
  <c r="AS22"/>
  <c r="H22"/>
  <c r="BJ13"/>
  <c r="BD13"/>
  <c r="AP13"/>
  <c r="AX13" s="1"/>
  <c r="AO13"/>
  <c r="BH13" s="1"/>
  <c r="AB13" s="1"/>
  <c r="C14" i="2" s="1"/>
  <c r="AK13" i="4"/>
  <c r="C28" i="2" s="1"/>
  <c r="F28" s="1"/>
  <c r="AJ13" i="4"/>
  <c r="C27" i="2" s="1"/>
  <c r="AH13" i="4"/>
  <c r="AG13"/>
  <c r="AF13"/>
  <c r="AE13"/>
  <c r="AD13"/>
  <c r="Z13"/>
  <c r="C21" i="2" s="1"/>
  <c r="J13" i="4"/>
  <c r="BF13" s="1"/>
  <c r="H13"/>
  <c r="AL13" s="1"/>
  <c r="AU1"/>
  <c r="AT1"/>
  <c r="AS1"/>
  <c r="F44" i="3"/>
  <c r="I44" s="1"/>
  <c r="F43"/>
  <c r="I43" s="1"/>
  <c r="I42"/>
  <c r="F42"/>
  <c r="F41"/>
  <c r="I41" s="1"/>
  <c r="I40"/>
  <c r="F40"/>
  <c r="I39"/>
  <c r="F39"/>
  <c r="F38"/>
  <c r="I38" s="1"/>
  <c r="I37"/>
  <c r="F37"/>
  <c r="I36"/>
  <c r="F36"/>
  <c r="F35"/>
  <c r="I35" s="1"/>
  <c r="I26"/>
  <c r="I25"/>
  <c r="I24"/>
  <c r="I23"/>
  <c r="I22"/>
  <c r="I15" i="2" s="1"/>
  <c r="I21" i="3"/>
  <c r="I27" s="1"/>
  <c r="I18"/>
  <c r="I17"/>
  <c r="I16"/>
  <c r="I15"/>
  <c r="I10"/>
  <c r="F10"/>
  <c r="C10"/>
  <c r="F8"/>
  <c r="C8"/>
  <c r="F6"/>
  <c r="C6"/>
  <c r="F4"/>
  <c r="C4"/>
  <c r="F2"/>
  <c r="C2"/>
  <c r="I19" i="2"/>
  <c r="I18"/>
  <c r="I17"/>
  <c r="I16"/>
  <c r="F16"/>
  <c r="F22" s="1"/>
  <c r="F15"/>
  <c r="F14"/>
  <c r="I10"/>
  <c r="F10"/>
  <c r="C10"/>
  <c r="F8"/>
  <c r="C8"/>
  <c r="F6"/>
  <c r="C6"/>
  <c r="F4"/>
  <c r="C4"/>
  <c r="F2"/>
  <c r="C2"/>
  <c r="P28" i="1"/>
  <c r="P27"/>
  <c r="P26"/>
  <c r="N26"/>
  <c r="K26"/>
  <c r="P25"/>
  <c r="K25"/>
  <c r="N25" s="1"/>
  <c r="P24"/>
  <c r="L24"/>
  <c r="P23"/>
  <c r="P22"/>
  <c r="L22"/>
  <c r="P21"/>
  <c r="N21"/>
  <c r="L21"/>
  <c r="K21"/>
  <c r="P20"/>
  <c r="N20"/>
  <c r="L20"/>
  <c r="K20"/>
  <c r="P19"/>
  <c r="K19"/>
  <c r="N19" s="1"/>
  <c r="P18"/>
  <c r="L18"/>
  <c r="P17"/>
  <c r="P16"/>
  <c r="L16"/>
  <c r="K16"/>
  <c r="N16" s="1"/>
  <c r="P15"/>
  <c r="P14"/>
  <c r="P13"/>
  <c r="K13"/>
  <c r="N13" s="1"/>
  <c r="P12"/>
  <c r="J8"/>
  <c r="H8"/>
  <c r="D8"/>
  <c r="J6"/>
  <c r="H6"/>
  <c r="D6"/>
  <c r="J4"/>
  <c r="H4"/>
  <c r="D4"/>
  <c r="J2"/>
  <c r="H2"/>
  <c r="D2"/>
  <c r="C19" i="2" l="1"/>
  <c r="AX191" i="4"/>
  <c r="BC191" s="1"/>
  <c r="H186"/>
  <c r="AW13"/>
  <c r="BC13" s="1"/>
  <c r="C18" i="2"/>
  <c r="C20"/>
  <c r="BI13" i="4"/>
  <c r="AC13" s="1"/>
  <c r="AV66"/>
  <c r="BC66"/>
  <c r="AV174"/>
  <c r="BC174"/>
  <c r="AV95"/>
  <c r="BC95"/>
  <c r="AV113"/>
  <c r="BC113"/>
  <c r="AV124"/>
  <c r="BC124"/>
  <c r="AV178"/>
  <c r="BC178"/>
  <c r="F29" i="3"/>
  <c r="AV44" i="4"/>
  <c r="BC44"/>
  <c r="AV79"/>
  <c r="BC79"/>
  <c r="AV171"/>
  <c r="BC171"/>
  <c r="AV183"/>
  <c r="BC183"/>
  <c r="AU170"/>
  <c r="AV56"/>
  <c r="BC56"/>
  <c r="AV63"/>
  <c r="BC63"/>
  <c r="AV93"/>
  <c r="BC93"/>
  <c r="AV110"/>
  <c r="BC110"/>
  <c r="AV121"/>
  <c r="BC121"/>
  <c r="I45" i="3"/>
  <c r="I24" i="2" s="1"/>
  <c r="AV37" i="4"/>
  <c r="BC37"/>
  <c r="AV53"/>
  <c r="BC53"/>
  <c r="AU89"/>
  <c r="AV99"/>
  <c r="BC99"/>
  <c r="AV176"/>
  <c r="BC176"/>
  <c r="AV116"/>
  <c r="BC116"/>
  <c r="AV51"/>
  <c r="BC51"/>
  <c r="AV90"/>
  <c r="BC90"/>
  <c r="AV102"/>
  <c r="BC102"/>
  <c r="AV119"/>
  <c r="BC119"/>
  <c r="AV40"/>
  <c r="BC40"/>
  <c r="AV34"/>
  <c r="BC34"/>
  <c r="AV181"/>
  <c r="BC181"/>
  <c r="AV46"/>
  <c r="BC46"/>
  <c r="AU12"/>
  <c r="AV48"/>
  <c r="BC48"/>
  <c r="AV60"/>
  <c r="BC60"/>
  <c r="AU22"/>
  <c r="AL157"/>
  <c r="AU156" s="1"/>
  <c r="J59"/>
  <c r="L15" i="1" s="1"/>
  <c r="AV70" i="4"/>
  <c r="AV72"/>
  <c r="AV74"/>
  <c r="AV76"/>
  <c r="AW154"/>
  <c r="AL191"/>
  <c r="AU190" s="1"/>
  <c r="AT12"/>
  <c r="BI157"/>
  <c r="AC157" s="1"/>
  <c r="C15" i="2" s="1"/>
  <c r="AX168" i="4"/>
  <c r="AX187"/>
  <c r="AL34"/>
  <c r="AU33" s="1"/>
  <c r="AS12"/>
  <c r="AW23"/>
  <c r="AW27"/>
  <c r="AW30"/>
  <c r="J78"/>
  <c r="L17" i="1" s="1"/>
  <c r="AX134" i="4"/>
  <c r="AV134" s="1"/>
  <c r="AX136"/>
  <c r="AV136" s="1"/>
  <c r="H149"/>
  <c r="K22" i="1" s="1"/>
  <c r="N22" s="1"/>
  <c r="AW168" i="4"/>
  <c r="AW187"/>
  <c r="J12"/>
  <c r="L12" i="1" s="1"/>
  <c r="BI34" i="4"/>
  <c r="AE34" s="1"/>
  <c r="C17" i="2" s="1"/>
  <c r="BI37" i="4"/>
  <c r="AE37" s="1"/>
  <c r="BI40"/>
  <c r="AE40" s="1"/>
  <c r="BI44"/>
  <c r="AE44" s="1"/>
  <c r="BI46"/>
  <c r="AE46" s="1"/>
  <c r="BI48"/>
  <c r="AE48" s="1"/>
  <c r="BI51"/>
  <c r="AE51" s="1"/>
  <c r="BI53"/>
  <c r="AE53" s="1"/>
  <c r="BI56"/>
  <c r="AE56" s="1"/>
  <c r="H78"/>
  <c r="K17" i="1" s="1"/>
  <c r="N17" s="1"/>
  <c r="BH90" i="4"/>
  <c r="AD90" s="1"/>
  <c r="BH93"/>
  <c r="AD93" s="1"/>
  <c r="BH95"/>
  <c r="AD95" s="1"/>
  <c r="BH99"/>
  <c r="AD99" s="1"/>
  <c r="BH102"/>
  <c r="AD102" s="1"/>
  <c r="BH110"/>
  <c r="AD110" s="1"/>
  <c r="BH113"/>
  <c r="AD113" s="1"/>
  <c r="BH116"/>
  <c r="AD116" s="1"/>
  <c r="BH119"/>
  <c r="AD119" s="1"/>
  <c r="BH121"/>
  <c r="AD121" s="1"/>
  <c r="BH124"/>
  <c r="AD124" s="1"/>
  <c r="BI171"/>
  <c r="BH191"/>
  <c r="H12"/>
  <c r="BH34"/>
  <c r="AD34" s="1"/>
  <c r="BH37"/>
  <c r="AD37" s="1"/>
  <c r="BH40"/>
  <c r="AD40" s="1"/>
  <c r="BH44"/>
  <c r="AD44" s="1"/>
  <c r="BH46"/>
  <c r="AD46" s="1"/>
  <c r="BH48"/>
  <c r="AD48" s="1"/>
  <c r="BH51"/>
  <c r="AD51" s="1"/>
  <c r="BH53"/>
  <c r="AD53" s="1"/>
  <c r="BH56"/>
  <c r="AD56" s="1"/>
  <c r="J89"/>
  <c r="L19" i="1" s="1"/>
  <c r="BI142" i="4"/>
  <c r="AE142" s="1"/>
  <c r="AL154"/>
  <c r="AU153" s="1"/>
  <c r="BH171"/>
  <c r="BH174"/>
  <c r="BH176"/>
  <c r="BH178"/>
  <c r="BH181"/>
  <c r="BH183"/>
  <c r="J190"/>
  <c r="L28" i="1" s="1"/>
  <c r="J33" i="4"/>
  <c r="L14" i="1" s="1"/>
  <c r="BI70" i="4"/>
  <c r="AE70" s="1"/>
  <c r="BI72"/>
  <c r="AE72" s="1"/>
  <c r="BI74"/>
  <c r="AE74" s="1"/>
  <c r="BI76"/>
  <c r="AE76" s="1"/>
  <c r="AL86"/>
  <c r="AU85" s="1"/>
  <c r="BC157"/>
  <c r="BC159"/>
  <c r="BC161"/>
  <c r="J170"/>
  <c r="L26" i="1" s="1"/>
  <c r="I14" i="2"/>
  <c r="I22" s="1"/>
  <c r="J153" i="4"/>
  <c r="L23" i="1" s="1"/>
  <c r="J22" i="4"/>
  <c r="L13" i="1" s="1"/>
  <c r="J167" i="4"/>
  <c r="L25" i="1" s="1"/>
  <c r="J186" i="4"/>
  <c r="AV191" l="1"/>
  <c r="H185"/>
  <c r="K27" i="1"/>
  <c r="N27" s="1"/>
  <c r="AV13" i="4"/>
  <c r="BC134"/>
  <c r="BC136"/>
  <c r="L27" i="1"/>
  <c r="J185" i="4"/>
  <c r="AV168"/>
  <c r="BC168"/>
  <c r="AV23"/>
  <c r="BC23"/>
  <c r="C29" i="2"/>
  <c r="AV27" i="4"/>
  <c r="BC27"/>
  <c r="AV30"/>
  <c r="BC30"/>
  <c r="BC154"/>
  <c r="AV154"/>
  <c r="C16" i="2"/>
  <c r="C22" s="1"/>
  <c r="AV187" i="4"/>
  <c r="BC187"/>
  <c r="K12" i="1"/>
  <c r="N12" s="1"/>
  <c r="H194" i="4"/>
  <c r="K29" i="1" l="1"/>
  <c r="F29" i="2"/>
  <c r="I28"/>
  <c r="I29" l="1"/>
</calcChain>
</file>

<file path=xl/sharedStrings.xml><?xml version="1.0" encoding="utf-8"?>
<sst xmlns="http://schemas.openxmlformats.org/spreadsheetml/2006/main" count="1247" uniqueCount="421">
  <si>
    <t>Název stavby:</t>
  </si>
  <si>
    <t>Doba výstavby:</t>
  </si>
  <si>
    <t>Objednatel:</t>
  </si>
  <si>
    <t>Druh stavby:</t>
  </si>
  <si>
    <t>Začátek výstavby:</t>
  </si>
  <si>
    <t>Projektant:</t>
  </si>
  <si>
    <t>Lokalita:</t>
  </si>
  <si>
    <t>Konec výstavby:</t>
  </si>
  <si>
    <t>Zhotovitel:</t>
  </si>
  <si>
    <t>JKSO:</t>
  </si>
  <si>
    <t>Zpracováno dne:</t>
  </si>
  <si>
    <t>Zpracoval:</t>
  </si>
  <si>
    <t xml:space="preserve"> </t>
  </si>
  <si>
    <t>Náklady (Kč)</t>
  </si>
  <si>
    <t>Hmotnost (t)</t>
  </si>
  <si>
    <t>Kód</t>
  </si>
  <si>
    <t>Zkrácený popis</t>
  </si>
  <si>
    <t>Celkem</t>
  </si>
  <si>
    <t>61</t>
  </si>
  <si>
    <t>Úprava povrchů vnitřní</t>
  </si>
  <si>
    <t>T</t>
  </si>
  <si>
    <t/>
  </si>
  <si>
    <t>63</t>
  </si>
  <si>
    <t>Podlahy a podlahové konstrukce</t>
  </si>
  <si>
    <t>762</t>
  </si>
  <si>
    <t>Konstrukce tesařské</t>
  </si>
  <si>
    <t>763</t>
  </si>
  <si>
    <t>Dřevostavby</t>
  </si>
  <si>
    <t>766</t>
  </si>
  <si>
    <t>Konstrukce truhlářské</t>
  </si>
  <si>
    <t>767</t>
  </si>
  <si>
    <t>Konstrukce doplňkové stavební (zámečnické)</t>
  </si>
  <si>
    <t>775</t>
  </si>
  <si>
    <t>Podlahy vlysové a parketové</t>
  </si>
  <si>
    <t>776</t>
  </si>
  <si>
    <t>Podlahy povlakové</t>
  </si>
  <si>
    <t>777</t>
  </si>
  <si>
    <t>Podlahy ze syntetických hmot</t>
  </si>
  <si>
    <t>783</t>
  </si>
  <si>
    <t>Nátěry</t>
  </si>
  <si>
    <t>90</t>
  </si>
  <si>
    <t>Hodinové zúčtovací sazby (HZS)</t>
  </si>
  <si>
    <t>94</t>
  </si>
  <si>
    <t>Lešení a stavební výtahy</t>
  </si>
  <si>
    <t>97</t>
  </si>
  <si>
    <t>Prorážení otvorů a ostatní bourací práce</t>
  </si>
  <si>
    <t>H99</t>
  </si>
  <si>
    <t>Ostatní přesuny hmot</t>
  </si>
  <si>
    <t>S</t>
  </si>
  <si>
    <t>Přesuny sutí</t>
  </si>
  <si>
    <t>03VRN</t>
  </si>
  <si>
    <t>Zařízení staveniště</t>
  </si>
  <si>
    <t>09VRN</t>
  </si>
  <si>
    <t>Ostatní náklady</t>
  </si>
  <si>
    <t>Celkem:</t>
  </si>
  <si>
    <t>Poznámka:</t>
  </si>
  <si>
    <t>Krycí list slepého rozpočtu</t>
  </si>
  <si>
    <t>IČO/DIČ:</t>
  </si>
  <si>
    <t>Položek:</t>
  </si>
  <si>
    <t>Datum:</t>
  </si>
  <si>
    <t>Rozpočtové náklady v Kč</t>
  </si>
  <si>
    <t>A</t>
  </si>
  <si>
    <t>Základní rozpočtové náklady</t>
  </si>
  <si>
    <t>B</t>
  </si>
  <si>
    <t>Doplňkové náklady</t>
  </si>
  <si>
    <t>C</t>
  </si>
  <si>
    <t>Náklady na umístění stavby (NUS)</t>
  </si>
  <si>
    <t>HSV</t>
  </si>
  <si>
    <t>Dodávky</t>
  </si>
  <si>
    <t>Práce přesčas</t>
  </si>
  <si>
    <t>Montáž</t>
  </si>
  <si>
    <t>Bez pevné podl.</t>
  </si>
  <si>
    <t>Mimostav. doprava</t>
  </si>
  <si>
    <t>PSV</t>
  </si>
  <si>
    <t>Kulturní památka</t>
  </si>
  <si>
    <t>Územní vlivy</t>
  </si>
  <si>
    <t>Provozní vlivy</t>
  </si>
  <si>
    <t>"M"</t>
  </si>
  <si>
    <t>Ostatní</t>
  </si>
  <si>
    <t>NUS z rozpočtu</t>
  </si>
  <si>
    <t>Ostatní materiál</t>
  </si>
  <si>
    <t>Přesun hmot a sutí</t>
  </si>
  <si>
    <t>ZRN celkem</t>
  </si>
  <si>
    <t>DN celkem</t>
  </si>
  <si>
    <t>NUS celkem</t>
  </si>
  <si>
    <t>DN celkem z obj.</t>
  </si>
  <si>
    <t>NUS celkem z obj.</t>
  </si>
  <si>
    <t>VORN celkem</t>
  </si>
  <si>
    <t>VORN celkem z obj.</t>
  </si>
  <si>
    <t>Základ 0%</t>
  </si>
  <si>
    <t>Základ 12%</t>
  </si>
  <si>
    <t>DPH 12%</t>
  </si>
  <si>
    <t>Celkem bez DPH</t>
  </si>
  <si>
    <t>Základ 21%</t>
  </si>
  <si>
    <t>DPH 21%</t>
  </si>
  <si>
    <t>Celkem včetně DPH</t>
  </si>
  <si>
    <t>Projektant</t>
  </si>
  <si>
    <t>Objednatel</t>
  </si>
  <si>
    <t>Zhotovitel</t>
  </si>
  <si>
    <t>Datum, razítko a podpis</t>
  </si>
  <si>
    <t>Vedlejší a ostatní rozpočtové náklady</t>
  </si>
  <si>
    <t>Vedlejší rozpočtové náklady VRN</t>
  </si>
  <si>
    <t>Doplňkové náklady DN</t>
  </si>
  <si>
    <t>Kč</t>
  </si>
  <si>
    <t>%</t>
  </si>
  <si>
    <t>Základna</t>
  </si>
  <si>
    <t>Celkem DN</t>
  </si>
  <si>
    <t>Celkem NUS</t>
  </si>
  <si>
    <t>Celkem VRN</t>
  </si>
  <si>
    <t>Vedlejší a ostatní rozpočtové náklady VORN</t>
  </si>
  <si>
    <t>Ostatní rozpočtové náklady (VORN)</t>
  </si>
  <si>
    <t>Průzkumy, geodetické a projektové práce</t>
  </si>
  <si>
    <t>Příprava staveniště</t>
  </si>
  <si>
    <t>Inženýrské činnosti</t>
  </si>
  <si>
    <t>Finanční náklady</t>
  </si>
  <si>
    <t>Náklady na pracovníky</t>
  </si>
  <si>
    <t>Vlastní VORN</t>
  </si>
  <si>
    <t>Celkem VORN</t>
  </si>
  <si>
    <t>Slepý stavební rozpočet</t>
  </si>
  <si>
    <t>Výměna podlahy tělocvična ZŠ Hanušovice</t>
  </si>
  <si>
    <t>Město Hanušovice</t>
  </si>
  <si>
    <t>Oprava a udržovací práce</t>
  </si>
  <si>
    <t>Ing.Ladislav Trčka - PROINK</t>
  </si>
  <si>
    <t>Hanušovice</t>
  </si>
  <si>
    <t>Č</t>
  </si>
  <si>
    <t>MJ</t>
  </si>
  <si>
    <t>Množství</t>
  </si>
  <si>
    <t>Cena/MJ</t>
  </si>
  <si>
    <t>ISWORK</t>
  </si>
  <si>
    <t>GROUPCODE</t>
  </si>
  <si>
    <t>VATTAX</t>
  </si>
  <si>
    <t>Rozměry</t>
  </si>
  <si>
    <t>(Kč)</t>
  </si>
  <si>
    <t>Jednot.</t>
  </si>
  <si>
    <t>Přesuny</t>
  </si>
  <si>
    <t>Typ skupiny</t>
  </si>
  <si>
    <t>HSV mat</t>
  </si>
  <si>
    <t>HSV prac</t>
  </si>
  <si>
    <t>PSV mat</t>
  </si>
  <si>
    <t>PSV prac</t>
  </si>
  <si>
    <t>Mont mat</t>
  </si>
  <si>
    <t>Mont prac</t>
  </si>
  <si>
    <t>Ostatní mat.</t>
  </si>
  <si>
    <t>MAT</t>
  </si>
  <si>
    <t>WORK</t>
  </si>
  <si>
    <t>CELK</t>
  </si>
  <si>
    <t>1</t>
  </si>
  <si>
    <t>612421231RT2</t>
  </si>
  <si>
    <t>Oprava vápen.omítek stěn do 10 % pl. - štukových (podklad lepených koberců)</t>
  </si>
  <si>
    <t>m2</t>
  </si>
  <si>
    <t>61_</t>
  </si>
  <si>
    <t>6_</t>
  </si>
  <si>
    <t>_</t>
  </si>
  <si>
    <t>P</t>
  </si>
  <si>
    <t>s použitím suché maltové směsi</t>
  </si>
  <si>
    <t>43,5</t>
  </si>
  <si>
    <t>štítová stěna se vstupy</t>
  </si>
  <si>
    <t>2*5,8*0,2</t>
  </si>
  <si>
    <t>ostění a nadpraží dveří</t>
  </si>
  <si>
    <t>50,10</t>
  </si>
  <si>
    <t>štítová stěna bez vstupů</t>
  </si>
  <si>
    <t>67,0</t>
  </si>
  <si>
    <t>stěna pod galerií</t>
  </si>
  <si>
    <t>6*4,9*0,05+7,9*0,05</t>
  </si>
  <si>
    <t>40,2</t>
  </si>
  <si>
    <t>stěna s okny</t>
  </si>
  <si>
    <t>35,9*0,45</t>
  </si>
  <si>
    <t>parapet předstěny pod okny</t>
  </si>
  <si>
    <t>2</t>
  </si>
  <si>
    <t>635213232.001</t>
  </si>
  <si>
    <t>Pokládka podlahových desek ve dvou vrstvách  2x OSB 3 4PDB tl. 12 mm, na roštu</t>
  </si>
  <si>
    <t>63_</t>
  </si>
  <si>
    <t>desky vzájemně celoplošně lepené a sešroubované, lepené spoje</t>
  </si>
  <si>
    <t>632,5</t>
  </si>
  <si>
    <t>tělocvična (generovaná výměry)</t>
  </si>
  <si>
    <t>47,0</t>
  </si>
  <si>
    <t>nářaďovna (generovaná výměra)</t>
  </si>
  <si>
    <t>3</t>
  </si>
  <si>
    <t>60726010.A</t>
  </si>
  <si>
    <t>Deska dřevoštěpková OSB 3, 4PD tl. 12 mm, nebroušená</t>
  </si>
  <si>
    <t>M</t>
  </si>
  <si>
    <t>679,5</t>
  </si>
  <si>
    <t>;ztratné 5%; 33,975</t>
  </si>
  <si>
    <t>4</t>
  </si>
  <si>
    <t>60726010.B</t>
  </si>
  <si>
    <t>Deska dřevoštěpková OSB 3, 4PD tl. 12 mm, broušená</t>
  </si>
  <si>
    <t>5</t>
  </si>
  <si>
    <t>762526110.001</t>
  </si>
  <si>
    <t>Položení polštářů pod podlahy rozteče 500 mm</t>
  </si>
  <si>
    <t>7</t>
  </si>
  <si>
    <t>762_</t>
  </si>
  <si>
    <t>76_</t>
  </si>
  <si>
    <t>spodní desky křížového roštu</t>
  </si>
  <si>
    <t>6</t>
  </si>
  <si>
    <t>762526110.002</t>
  </si>
  <si>
    <t>Položení polštářů pod podlahy rozteče 277,8 mm</t>
  </si>
  <si>
    <t>horní desky křížového roštu</t>
  </si>
  <si>
    <t>60511081</t>
  </si>
  <si>
    <t>Prkna sušená (vlhkost max.18%)  SM/BO jakost II tl. 22 mm, š. 100 mm, 3 - 6 m</t>
  </si>
  <si>
    <t>m3</t>
  </si>
  <si>
    <t>17,05*0,1*0,022*35,9/0,5</t>
  </si>
  <si>
    <t>35,9*0,1*0,022*17,05/0,278</t>
  </si>
  <si>
    <t>;ztratné 8%; 0,6024</t>
  </si>
  <si>
    <t>8</t>
  </si>
  <si>
    <t>762595000R00</t>
  </si>
  <si>
    <t>Spojovací a ochranné prostředky k položení podlah</t>
  </si>
  <si>
    <t>2,69+4,84</t>
  </si>
  <si>
    <t>9</t>
  </si>
  <si>
    <t>762911125R00</t>
  </si>
  <si>
    <t>Impregnace řeziva tlakovakuová Bochemit FORTE PROFI</t>
  </si>
  <si>
    <t>8,13</t>
  </si>
  <si>
    <t>10</t>
  </si>
  <si>
    <t>762999.001</t>
  </si>
  <si>
    <t>Podložení a vyrovnání spodních prken roštu dřevěnými podkladky na pružných podložkách D+M</t>
  </si>
  <si>
    <t>ks</t>
  </si>
  <si>
    <t>předpoklad 5 ks/m2 (celkem 679,5/5=135,9 ks); vč dřevěných podkladků; pružné podložky ve specifikaci</t>
  </si>
  <si>
    <t>136</t>
  </si>
  <si>
    <t>11</t>
  </si>
  <si>
    <t>27314383</t>
  </si>
  <si>
    <t>Pružná podložka EPDM pod podkladky cca 100 x 100 mm, tl.10 mm</t>
  </si>
  <si>
    <t>kus</t>
  </si>
  <si>
    <t>12</t>
  </si>
  <si>
    <t>762521900.001</t>
  </si>
  <si>
    <t>Demontáž křížového roštu s hranotků rozměru 100-120x45mm vč podepření spodního roštu</t>
  </si>
  <si>
    <t>009</t>
  </si>
  <si>
    <t>009_</t>
  </si>
  <si>
    <t>Horní rošt-osová vzdál.650-700mm, spodní rošt-osová vzdál.750-800mm</t>
  </si>
  <si>
    <t>13</t>
  </si>
  <si>
    <t>762811811.001</t>
  </si>
  <si>
    <t>Demontáž hrubé podlahy z prken tl.20mm - položeno na křížovém roštu</t>
  </si>
  <si>
    <t>hrubé prkna š=6,5-11cm s mezerama 10mm</t>
  </si>
  <si>
    <t>14</t>
  </si>
  <si>
    <t>762111121.001</t>
  </si>
  <si>
    <t>Nosná konstrukce vnitřní předstěny z dřevěných KVH hranolů 60 x 40 mm, rozteč stojek 500 mm, výška stěny do 2,0m</t>
  </si>
  <si>
    <t>763_</t>
  </si>
  <si>
    <t>vč. spojovacích prostředků</t>
  </si>
  <si>
    <t>35,90*1,84+35,90*0,45</t>
  </si>
  <si>
    <t>15</t>
  </si>
  <si>
    <t>763612132.001</t>
  </si>
  <si>
    <t>Dod.+mont. obložení stěn z dřevoštěpkových desek P+D tl. do 18 mm, šroubováním, lepené spoje desek</t>
  </si>
  <si>
    <t>včetně dodávky desky OSB 3 4PD tl. 15 mm</t>
  </si>
  <si>
    <t>35,90*1,84</t>
  </si>
  <si>
    <t>16</t>
  </si>
  <si>
    <t>763613132.001</t>
  </si>
  <si>
    <t>Montáž záklopu předstěny z desek do tl. 18 mm, P+D, šroubováním, lepené spoje desek</t>
  </si>
  <si>
    <t>35,90*0,45</t>
  </si>
  <si>
    <t>17</t>
  </si>
  <si>
    <t>766411822R00</t>
  </si>
  <si>
    <t>Demontáž roštu předstěny</t>
  </si>
  <si>
    <t>766_</t>
  </si>
  <si>
    <t>35,9*1,84+35,9*0,45</t>
  </si>
  <si>
    <t>18</t>
  </si>
  <si>
    <t>766411811R00</t>
  </si>
  <si>
    <t>Demontáž obložení stěn panely velikosti do 1,5 m2</t>
  </si>
  <si>
    <t>19</t>
  </si>
  <si>
    <t>766900-001</t>
  </si>
  <si>
    <t>Zpětná montáž žebřin v=3,0m</t>
  </si>
  <si>
    <t>20</t>
  </si>
  <si>
    <t>766900-002</t>
  </si>
  <si>
    <t>Zpětná montáž sloupové kladiny dl.=5,0m uchycení na stěnu</t>
  </si>
  <si>
    <t>21</t>
  </si>
  <si>
    <t>767900.001</t>
  </si>
  <si>
    <t>Zpětná montáž kotvících prvků pro přenosná zařízení</t>
  </si>
  <si>
    <t>767_</t>
  </si>
  <si>
    <t>šplhací tyče</t>
  </si>
  <si>
    <t>kotvení sloupků přenosné hrazdy</t>
  </si>
  <si>
    <t>záklopky pro kotvení hrazdy</t>
  </si>
  <si>
    <t>kotvení sloupků (tenis volejbal apod)</t>
  </si>
  <si>
    <t>kotvení branek</t>
  </si>
  <si>
    <t>22</t>
  </si>
  <si>
    <t>775511800.001</t>
  </si>
  <si>
    <t>Demontáž podlahy vlysové lepené ve spojích</t>
  </si>
  <si>
    <t>775_</t>
  </si>
  <si>
    <t>77_</t>
  </si>
  <si>
    <t>třívrstvá lamela tl.22mm, š.120mm</t>
  </si>
  <si>
    <t>23</t>
  </si>
  <si>
    <t>777561010.001</t>
  </si>
  <si>
    <t>Tmelení spár a hlaviček šroubů, celoplošné přebroušení s vysátím</t>
  </si>
  <si>
    <t>776_</t>
  </si>
  <si>
    <t>vč. dodávky tmelu (např. Uzin NC405)</t>
  </si>
  <si>
    <t>24</t>
  </si>
  <si>
    <t>776101101R00</t>
  </si>
  <si>
    <t>Vysávání podlahy průmyslovým vysavačem pod povlakové podlahy</t>
  </si>
  <si>
    <t>25</t>
  </si>
  <si>
    <t>776521100R00</t>
  </si>
  <si>
    <t>Lepení povlakové podlahy z pásů na lepidlo - víceúčelová sportovní vinylová podlahová krytina</t>
  </si>
  <si>
    <t>krytina složena ze tří barev (výměry dekorů - 83,70m2, 98,9m2, 496,9m2)</t>
  </si>
  <si>
    <t>26</t>
  </si>
  <si>
    <t>61194299</t>
  </si>
  <si>
    <t>Víceúčelová sportovní vinilová podlah.krytina tl. 6,0 mm, heterogenní (pěnová podložka+vinylová vrchní vrstva)</t>
  </si>
  <si>
    <t>;ztratné 10%; 67,95</t>
  </si>
  <si>
    <t>27</t>
  </si>
  <si>
    <t>776721119.001</t>
  </si>
  <si>
    <t>Lepení pásů textilních na stěnu vč.lepidla</t>
  </si>
  <si>
    <t>104,4</t>
  </si>
  <si>
    <t>28</t>
  </si>
  <si>
    <t>697413059</t>
  </si>
  <si>
    <t>Zátěžový koberec vpichovaný polyamid nebo polypropylen, třída zátěže 33 celková tl.5,0mm</t>
  </si>
  <si>
    <t>285,34</t>
  </si>
  <si>
    <t>;ztratné 5%; 14,267</t>
  </si>
  <si>
    <t>29</t>
  </si>
  <si>
    <t>776981115.001</t>
  </si>
  <si>
    <t>Lišta hliníková podlahová ukončující - pro koberce do tl 5,0mm D+M</t>
  </si>
  <si>
    <t>m</t>
  </si>
  <si>
    <t>zásuvný ukončovací profil, šroubovací upevnění + lepení, povrchová úprava elox-imitace kartáč.nerezi</t>
  </si>
  <si>
    <t>63,9+0,65*4</t>
  </si>
  <si>
    <t>30</t>
  </si>
  <si>
    <t>776981115.002</t>
  </si>
  <si>
    <t>Lišta hliníková podlahová ukončující (schodová hrana) - pro koberce do tl.5,0mm D+M</t>
  </si>
  <si>
    <t>schodový ukončovací profil zásuvný, šroubovací upevnění + lepení, povrchová úprava elox-imitace kartáč.nerezi</t>
  </si>
  <si>
    <t>35,9</t>
  </si>
  <si>
    <t>31</t>
  </si>
  <si>
    <t>776421100R00</t>
  </si>
  <si>
    <t>Lepení podlahových soklíků z PVC a vinylu</t>
  </si>
  <si>
    <t>85,70</t>
  </si>
  <si>
    <t>generovaná výměra</t>
  </si>
  <si>
    <t>32</t>
  </si>
  <si>
    <t>611936969.1</t>
  </si>
  <si>
    <t>Lišta soklová odvětrávaná k vinylovým sportovním podlahám, rozměr 122 x 7 x 10 cm</t>
  </si>
  <si>
    <t>;ztratné 5%; 4,285</t>
  </si>
  <si>
    <t>33</t>
  </si>
  <si>
    <t>776511810.001</t>
  </si>
  <si>
    <t>Odstranění zátěžových koberců nalepených na stěně</t>
  </si>
  <si>
    <t>včetně odstranění starého lepidla</t>
  </si>
  <si>
    <t>34</t>
  </si>
  <si>
    <t>777101101R00</t>
  </si>
  <si>
    <t>Příprava podkladu - vysávání podlah průmyslovým vysavačem</t>
  </si>
  <si>
    <t>777_</t>
  </si>
  <si>
    <t>35</t>
  </si>
  <si>
    <t>713191100.001</t>
  </si>
  <si>
    <t>Položení separační fólie s přelepením spojů</t>
  </si>
  <si>
    <t>včetně dodávky PE fólie min.tl.0,2mm</t>
  </si>
  <si>
    <t>vrstva na betonu</t>
  </si>
  <si>
    <t>135,7</t>
  </si>
  <si>
    <t>přípočet pražce</t>
  </si>
  <si>
    <t>vrstva na křížovém roštu</t>
  </si>
  <si>
    <t>36</t>
  </si>
  <si>
    <t>783990900.001</t>
  </si>
  <si>
    <t>Lajnování hracích ploch</t>
  </si>
  <si>
    <t>783_</t>
  </si>
  <si>
    <t>78_</t>
  </si>
  <si>
    <t>včetně dodávky barvy</t>
  </si>
  <si>
    <t>224</t>
  </si>
  <si>
    <t>basketbal (bílá)</t>
  </si>
  <si>
    <t>134</t>
  </si>
  <si>
    <t>tenis (červená)</t>
  </si>
  <si>
    <t>399</t>
  </si>
  <si>
    <t>badbinton (modrá)</t>
  </si>
  <si>
    <t>73</t>
  </si>
  <si>
    <t>volejbal (černá)</t>
  </si>
  <si>
    <t>55</t>
  </si>
  <si>
    <t>florbal (zelená)</t>
  </si>
  <si>
    <t>37</t>
  </si>
  <si>
    <t>900      R02</t>
  </si>
  <si>
    <t>Neměřitelné práce, skryté konstrukce a zvýšená pracnost při úpravě detailů</t>
  </si>
  <si>
    <t>h</t>
  </si>
  <si>
    <t>90_</t>
  </si>
  <si>
    <t>9_</t>
  </si>
  <si>
    <t>práce budou účtovány na základě zápisu ve stavebním deníku</t>
  </si>
  <si>
    <t>60</t>
  </si>
  <si>
    <t>38</t>
  </si>
  <si>
    <t>941955001R00</t>
  </si>
  <si>
    <t>Lešení lehké pomocné, výška podlahy do 1,2 m</t>
  </si>
  <si>
    <t>94_</t>
  </si>
  <si>
    <t>36*0,6</t>
  </si>
  <si>
    <t>39</t>
  </si>
  <si>
    <t>976900-001</t>
  </si>
  <si>
    <t>Demontáž stávajících žebřin v=3,0m</t>
  </si>
  <si>
    <t>97_</t>
  </si>
  <si>
    <t>4*4</t>
  </si>
  <si>
    <t>40</t>
  </si>
  <si>
    <t>976900-002</t>
  </si>
  <si>
    <t>Demontáž stávající sloupové kladiny  dl,5,0m uchycené na stěnu</t>
  </si>
  <si>
    <t>41</t>
  </si>
  <si>
    <t>976900-003</t>
  </si>
  <si>
    <t>Demontáž stávajících kotvících prvků pro přenosná zařízení</t>
  </si>
  <si>
    <t>42</t>
  </si>
  <si>
    <t>999281105R00</t>
  </si>
  <si>
    <t>Přesun hmot pro opravy a údržbu do výšky 6 m</t>
  </si>
  <si>
    <t>t</t>
  </si>
  <si>
    <t>H99_</t>
  </si>
  <si>
    <t>36,91</t>
  </si>
  <si>
    <t>43</t>
  </si>
  <si>
    <t>979081111R00</t>
  </si>
  <si>
    <t>Odvoz suti a vybour. hmot na skládku do 1 km</t>
  </si>
  <si>
    <t>S_</t>
  </si>
  <si>
    <t>včetně naložení na dopravní prostředek a složení na skládce, bez poplatku za skládku.</t>
  </si>
  <si>
    <t>28,15</t>
  </si>
  <si>
    <t>44</t>
  </si>
  <si>
    <t>979081121R00</t>
  </si>
  <si>
    <t>Příplatek k odvozu za každý další 1 km 24x (celkem 25km)</t>
  </si>
  <si>
    <t>28,15*24</t>
  </si>
  <si>
    <t>45</t>
  </si>
  <si>
    <t>979082111R00</t>
  </si>
  <si>
    <t>Vnitrostaveništní doprava suti a vybouraných hmot do 10 m</t>
  </si>
  <si>
    <t>46</t>
  </si>
  <si>
    <t>979082121R00</t>
  </si>
  <si>
    <t>Příplatek k vnitrost. dopravě suti a vybouraných hmot za dalších 5 m (6x)</t>
  </si>
  <si>
    <t>celkem 40m</t>
  </si>
  <si>
    <t>28,15*6</t>
  </si>
  <si>
    <t>47</t>
  </si>
  <si>
    <t>979990161.001</t>
  </si>
  <si>
    <t>Poplatek za uložení - dřevo, skupina odpadu 170201</t>
  </si>
  <si>
    <t>27,15</t>
  </si>
  <si>
    <t>48</t>
  </si>
  <si>
    <t>979990182.001</t>
  </si>
  <si>
    <t>Poplatek za uložení suti - koberce, skupina odpadu 200307</t>
  </si>
  <si>
    <t>VORN</t>
  </si>
  <si>
    <t>49</t>
  </si>
  <si>
    <t>030001VRN</t>
  </si>
  <si>
    <t>Soubor</t>
  </si>
  <si>
    <t>99</t>
  </si>
  <si>
    <t>03VRN_</t>
  </si>
  <si>
    <t>Â _</t>
  </si>
  <si>
    <t>vybudování, provoz a odstranění - hygienické a pracovní zázemí pro pracovníky, skladování materiálu;  spotřebované energie; provádění bezpečnostních a hygienických opatření na staveništi</t>
  </si>
  <si>
    <t>50</t>
  </si>
  <si>
    <t>090001VRN</t>
  </si>
  <si>
    <t>Kompletační a koordinační činnost zhotovitele</t>
  </si>
  <si>
    <t>09VRN_</t>
  </si>
  <si>
    <t>koordinace poddovatelů, provozní řády, potřebné zkoušky/revize, kompletace dokladů apod.</t>
  </si>
  <si>
    <t>Slepý stavební rozpočet - rekapitulace</t>
  </si>
</sst>
</file>

<file path=xl/styles.xml><?xml version="1.0" encoding="utf-8"?>
<styleSheet xmlns="http://schemas.openxmlformats.org/spreadsheetml/2006/main">
  <fonts count="13">
    <font>
      <sz val="11"/>
      <name val="Calibri"/>
      <charset val="1"/>
    </font>
    <font>
      <sz val="18"/>
      <color rgb="FF000000"/>
      <name val="Arial"/>
      <charset val="238"/>
    </font>
    <font>
      <sz val="10"/>
      <color rgb="FF000000"/>
      <name val="Arial"/>
      <charset val="238"/>
    </font>
    <font>
      <b/>
      <sz val="10"/>
      <color rgb="FF000000"/>
      <name val="Arial"/>
      <charset val="238"/>
    </font>
    <font>
      <i/>
      <sz val="8"/>
      <color rgb="FF000000"/>
      <name val="Arial"/>
      <charset val="238"/>
    </font>
    <font>
      <b/>
      <sz val="18"/>
      <color rgb="FF000000"/>
      <name val="Arial"/>
      <charset val="238"/>
    </font>
    <font>
      <b/>
      <sz val="20"/>
      <color rgb="FF000000"/>
      <name val="Arial"/>
      <charset val="238"/>
    </font>
    <font>
      <b/>
      <sz val="11"/>
      <color rgb="FF000000"/>
      <name val="Arial"/>
      <charset val="238"/>
    </font>
    <font>
      <b/>
      <sz val="12"/>
      <color rgb="FF000000"/>
      <name val="Arial"/>
      <charset val="238"/>
    </font>
    <font>
      <sz val="12"/>
      <color rgb="FF000000"/>
      <name val="Arial"/>
      <charset val="238"/>
    </font>
    <font>
      <i/>
      <sz val="10"/>
      <color rgb="FF000000"/>
      <name val="Arial"/>
      <charset val="238"/>
    </font>
    <font>
      <i/>
      <sz val="10"/>
      <color rgb="FFFF0000"/>
      <name val="Arial"/>
      <charset val="238"/>
    </font>
    <font>
      <sz val="10"/>
      <color rgb="FF0000FF"/>
      <name val="Arial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CCFFFF"/>
        <bgColor rgb="FFCCFFFF"/>
      </patternFill>
    </fill>
    <fill>
      <patternFill patternType="solid">
        <fgColor rgb="FFCCFFFF"/>
        <bgColor rgb="FFCCFFFF"/>
      </patternFill>
    </fill>
  </fills>
  <borders count="7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2" fillId="0" borderId="5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left" vertical="center"/>
    </xf>
    <xf numFmtId="0" fontId="3" fillId="0" borderId="14" xfId="0" applyNumberFormat="1" applyFont="1" applyFill="1" applyBorder="1" applyAlignment="1" applyProtection="1">
      <alignment horizontal="center" vertical="center"/>
    </xf>
    <xf numFmtId="0" fontId="3" fillId="0" borderId="15" xfId="0" applyNumberFormat="1" applyFont="1" applyFill="1" applyBorder="1" applyAlignment="1" applyProtection="1">
      <alignment horizontal="center" vertical="center"/>
    </xf>
    <xf numFmtId="0" fontId="3" fillId="0" borderId="16" xfId="0" applyNumberFormat="1" applyFont="1" applyFill="1" applyBorder="1" applyAlignment="1" applyProtection="1">
      <alignment horizontal="left" vertical="center"/>
    </xf>
    <xf numFmtId="0" fontId="3" fillId="0" borderId="20" xfId="0" applyNumberFormat="1" applyFont="1" applyFill="1" applyBorder="1" applyAlignment="1" applyProtection="1">
      <alignment horizontal="center" vertical="center"/>
    </xf>
    <xf numFmtId="0" fontId="3" fillId="0" borderId="21" xfId="0" applyNumberFormat="1" applyFont="1" applyFill="1" applyBorder="1" applyAlignment="1" applyProtection="1">
      <alignment horizontal="center" vertical="center"/>
    </xf>
    <xf numFmtId="0" fontId="2" fillId="0" borderId="22" xfId="0" applyNumberFormat="1" applyFont="1" applyFill="1" applyBorder="1" applyAlignment="1" applyProtection="1">
      <alignment horizontal="left" vertical="center"/>
    </xf>
    <xf numFmtId="4" fontId="2" fillId="0" borderId="23" xfId="0" applyNumberFormat="1" applyFont="1" applyFill="1" applyBorder="1" applyAlignment="1" applyProtection="1">
      <alignment horizontal="right" vertical="center"/>
    </xf>
    <xf numFmtId="4" fontId="2" fillId="0" borderId="24" xfId="0" applyNumberFormat="1" applyFont="1" applyFill="1" applyBorder="1" applyAlignment="1" applyProtection="1">
      <alignment horizontal="right" vertical="center"/>
    </xf>
    <xf numFmtId="0" fontId="2" fillId="0" borderId="25" xfId="0" applyNumberFormat="1" applyFont="1" applyFill="1" applyBorder="1" applyAlignment="1" applyProtection="1">
      <alignment horizontal="right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2" fillId="0" borderId="26" xfId="0" applyNumberFormat="1" applyFont="1" applyFill="1" applyBorder="1" applyAlignment="1" applyProtection="1">
      <alignment horizontal="left" vertical="center"/>
    </xf>
    <xf numFmtId="4" fontId="2" fillId="0" borderId="27" xfId="0" applyNumberFormat="1" applyFont="1" applyFill="1" applyBorder="1" applyAlignment="1" applyProtection="1">
      <alignment horizontal="right" vertical="center"/>
    </xf>
    <xf numFmtId="4" fontId="2" fillId="0" borderId="28" xfId="0" applyNumberFormat="1" applyFont="1" applyFill="1" applyBorder="1" applyAlignment="1" applyProtection="1">
      <alignment horizontal="right" vertical="center"/>
    </xf>
    <xf numFmtId="4" fontId="3" fillId="0" borderId="29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6" fillId="2" borderId="31" xfId="0" applyNumberFormat="1" applyFont="1" applyFill="1" applyBorder="1" applyAlignment="1" applyProtection="1">
      <alignment horizontal="center" vertical="center"/>
    </xf>
    <xf numFmtId="0" fontId="6" fillId="2" borderId="34" xfId="0" applyNumberFormat="1" applyFont="1" applyFill="1" applyBorder="1" applyAlignment="1" applyProtection="1">
      <alignment horizontal="center" vertical="center"/>
    </xf>
    <xf numFmtId="0" fontId="8" fillId="0" borderId="35" xfId="0" applyNumberFormat="1" applyFont="1" applyFill="1" applyBorder="1" applyAlignment="1" applyProtection="1">
      <alignment horizontal="left" vertical="center"/>
    </xf>
    <xf numFmtId="0" fontId="9" fillId="0" borderId="36" xfId="0" applyNumberFormat="1" applyFont="1" applyFill="1" applyBorder="1" applyAlignment="1" applyProtection="1">
      <alignment horizontal="left" vertical="center"/>
    </xf>
    <xf numFmtId="4" fontId="9" fillId="0" borderId="36" xfId="0" applyNumberFormat="1" applyFont="1" applyFill="1" applyBorder="1" applyAlignment="1" applyProtection="1">
      <alignment horizontal="right" vertical="center"/>
    </xf>
    <xf numFmtId="0" fontId="9" fillId="0" borderId="36" xfId="0" applyNumberFormat="1" applyFont="1" applyFill="1" applyBorder="1" applyAlignment="1" applyProtection="1">
      <alignment horizontal="right" vertical="center"/>
    </xf>
    <xf numFmtId="0" fontId="8" fillId="0" borderId="39" xfId="0" applyNumberFormat="1" applyFont="1" applyFill="1" applyBorder="1" applyAlignment="1" applyProtection="1">
      <alignment horizontal="left" vertical="center"/>
    </xf>
    <xf numFmtId="4" fontId="9" fillId="0" borderId="43" xfId="0" applyNumberFormat="1" applyFont="1" applyFill="1" applyBorder="1" applyAlignment="1" applyProtection="1">
      <alignment horizontal="right" vertical="center"/>
    </xf>
    <xf numFmtId="0" fontId="9" fillId="0" borderId="43" xfId="0" applyNumberFormat="1" applyFont="1" applyFill="1" applyBorder="1" applyAlignment="1" applyProtection="1">
      <alignment horizontal="right" vertical="center"/>
    </xf>
    <xf numFmtId="4" fontId="9" fillId="0" borderId="34" xfId="0" applyNumberFormat="1" applyFont="1" applyFill="1" applyBorder="1" applyAlignment="1" applyProtection="1">
      <alignment horizontal="right" vertical="center"/>
    </xf>
    <xf numFmtId="4" fontId="9" fillId="0" borderId="46" xfId="0" applyNumberFormat="1" applyFont="1" applyFill="1" applyBorder="1" applyAlignment="1" applyProtection="1">
      <alignment horizontal="right" vertical="center"/>
    </xf>
    <xf numFmtId="4" fontId="8" fillId="2" borderId="33" xfId="0" applyNumberFormat="1" applyFont="1" applyFill="1" applyBorder="1" applyAlignment="1" applyProtection="1">
      <alignment horizontal="right" vertical="center"/>
    </xf>
    <xf numFmtId="4" fontId="8" fillId="2" borderId="38" xfId="0" applyNumberFormat="1" applyFont="1" applyFill="1" applyBorder="1" applyAlignment="1" applyProtection="1">
      <alignment horizontal="right" vertical="center"/>
    </xf>
    <xf numFmtId="0" fontId="4" fillId="0" borderId="23" xfId="0" applyNumberFormat="1" applyFont="1" applyFill="1" applyBorder="1" applyAlignment="1" applyProtection="1">
      <alignment horizontal="left" vertical="center"/>
    </xf>
    <xf numFmtId="0" fontId="3" fillId="0" borderId="15" xfId="0" applyNumberFormat="1" applyFont="1" applyFill="1" applyBorder="1" applyAlignment="1" applyProtection="1">
      <alignment horizontal="right" vertical="center"/>
    </xf>
    <xf numFmtId="4" fontId="2" fillId="0" borderId="36" xfId="0" applyNumberFormat="1" applyFont="1" applyFill="1" applyBorder="1" applyAlignment="1" applyProtection="1">
      <alignment horizontal="right" vertical="center"/>
    </xf>
    <xf numFmtId="0" fontId="2" fillId="0" borderId="36" xfId="0" applyNumberFormat="1" applyFont="1" applyFill="1" applyBorder="1" applyAlignment="1" applyProtection="1">
      <alignment horizontal="left" vertical="center"/>
    </xf>
    <xf numFmtId="4" fontId="2" fillId="0" borderId="64" xfId="0" applyNumberFormat="1" applyFont="1" applyFill="1" applyBorder="1" applyAlignment="1" applyProtection="1">
      <alignment horizontal="right" vertical="center"/>
    </xf>
    <xf numFmtId="0" fontId="2" fillId="0" borderId="64" xfId="0" applyNumberFormat="1" applyFont="1" applyFill="1" applyBorder="1" applyAlignment="1" applyProtection="1">
      <alignment horizontal="left" vertical="center"/>
    </xf>
    <xf numFmtId="0" fontId="3" fillId="0" borderId="68" xfId="0" applyNumberFormat="1" applyFont="1" applyFill="1" applyBorder="1" applyAlignment="1" applyProtection="1">
      <alignment horizontal="left" vertical="center"/>
    </xf>
    <xf numFmtId="0" fontId="3" fillId="0" borderId="68" xfId="0" applyNumberFormat="1" applyFont="1" applyFill="1" applyBorder="1" applyAlignment="1" applyProtection="1">
      <alignment horizontal="right" vertical="center"/>
    </xf>
    <xf numFmtId="4" fontId="3" fillId="0" borderId="68" xfId="0" applyNumberFormat="1" applyFont="1" applyFill="1" applyBorder="1" applyAlignment="1" applyProtection="1">
      <alignment horizontal="right" vertical="center"/>
    </xf>
    <xf numFmtId="4" fontId="3" fillId="2" borderId="0" xfId="0" applyNumberFormat="1" applyFont="1" applyFill="1" applyBorder="1" applyAlignment="1" applyProtection="1">
      <alignment horizontal="right" vertical="center"/>
    </xf>
    <xf numFmtId="0" fontId="3" fillId="0" borderId="70" xfId="0" applyNumberFormat="1" applyFont="1" applyFill="1" applyBorder="1" applyAlignment="1" applyProtection="1">
      <alignment horizontal="left" vertical="center"/>
    </xf>
    <xf numFmtId="0" fontId="3" fillId="0" borderId="71" xfId="0" applyNumberFormat="1" applyFont="1" applyFill="1" applyBorder="1" applyAlignment="1" applyProtection="1">
      <alignment horizontal="left" vertical="center"/>
    </xf>
    <xf numFmtId="0" fontId="3" fillId="0" borderId="71" xfId="0" applyNumberFormat="1" applyFont="1" applyFill="1" applyBorder="1" applyAlignment="1" applyProtection="1">
      <alignment horizontal="center" vertical="center"/>
    </xf>
    <xf numFmtId="0" fontId="3" fillId="3" borderId="73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2" fillId="0" borderId="76" xfId="0" applyNumberFormat="1" applyFont="1" applyFill="1" applyBorder="1" applyAlignment="1" applyProtection="1">
      <alignment horizontal="left" vertical="center"/>
    </xf>
    <xf numFmtId="0" fontId="2" fillId="0" borderId="77" xfId="0" applyNumberFormat="1" applyFont="1" applyFill="1" applyBorder="1" applyAlignment="1" applyProtection="1">
      <alignment horizontal="left" vertical="center"/>
    </xf>
    <xf numFmtId="0" fontId="3" fillId="3" borderId="77" xfId="0" applyNumberFormat="1" applyFont="1" applyFill="1" applyBorder="1" applyAlignment="1" applyProtection="1">
      <alignment horizontal="center" vertical="center"/>
      <protection locked="0"/>
    </xf>
    <xf numFmtId="0" fontId="3" fillId="0" borderId="78" xfId="0" applyNumberFormat="1" applyFont="1" applyFill="1" applyBorder="1" applyAlignment="1" applyProtection="1">
      <alignment horizontal="center" vertical="center"/>
    </xf>
    <xf numFmtId="0" fontId="3" fillId="0" borderId="46" xfId="0" applyNumberFormat="1" applyFont="1" applyFill="1" applyBorder="1" applyAlignment="1" applyProtection="1">
      <alignment horizontal="center" vertical="center"/>
    </xf>
    <xf numFmtId="0" fontId="2" fillId="2" borderId="22" xfId="0" applyNumberFormat="1" applyFont="1" applyFill="1" applyBorder="1" applyAlignment="1" applyProtection="1">
      <alignment horizontal="left" vertical="center"/>
    </xf>
    <xf numFmtId="0" fontId="3" fillId="2" borderId="23" xfId="0" applyNumberFormat="1" applyFont="1" applyFill="1" applyBorder="1" applyAlignment="1" applyProtection="1">
      <alignment horizontal="left" vertical="center"/>
    </xf>
    <xf numFmtId="0" fontId="2" fillId="2" borderId="23" xfId="0" applyNumberFormat="1" applyFont="1" applyFill="1" applyBorder="1" applyAlignment="1" applyProtection="1">
      <alignment horizontal="left" vertical="center"/>
    </xf>
    <xf numFmtId="0" fontId="2" fillId="4" borderId="23" xfId="0" applyNumberFormat="1" applyFont="1" applyFill="1" applyBorder="1" applyAlignment="1" applyProtection="1">
      <alignment horizontal="left" vertical="center"/>
      <protection locked="0"/>
    </xf>
    <xf numFmtId="4" fontId="3" fillId="2" borderId="23" xfId="0" applyNumberFormat="1" applyFont="1" applyFill="1" applyBorder="1" applyAlignment="1" applyProtection="1">
      <alignment horizontal="right" vertical="center"/>
    </xf>
    <xf numFmtId="0" fontId="3" fillId="2" borderId="23" xfId="0" applyNumberFormat="1" applyFont="1" applyFill="1" applyBorder="1" applyAlignment="1" applyProtection="1">
      <alignment horizontal="right" vertical="center"/>
    </xf>
    <xf numFmtId="4" fontId="3" fillId="2" borderId="24" xfId="0" applyNumberFormat="1" applyFont="1" applyFill="1" applyBorder="1" applyAlignment="1" applyProtection="1">
      <alignment horizontal="right" vertical="center"/>
    </xf>
    <xf numFmtId="4" fontId="2" fillId="3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horizontal="right" vertical="center"/>
    </xf>
    <xf numFmtId="1" fontId="3" fillId="2" borderId="0" xfId="0" applyNumberFormat="1" applyFont="1" applyFill="1" applyBorder="1" applyAlignment="1" applyProtection="1">
      <alignment horizontal="right" vertical="center"/>
    </xf>
    <xf numFmtId="0" fontId="0" fillId="0" borderId="5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4" fontId="11" fillId="0" borderId="0" xfId="0" applyNumberFormat="1" applyFont="1" applyFill="1" applyBorder="1" applyAlignment="1" applyProtection="1">
      <alignment horizontal="right" vertical="center"/>
    </xf>
    <xf numFmtId="0" fontId="0" fillId="0" borderId="6" xfId="0" applyNumberFormat="1" applyFont="1" applyFill="1" applyBorder="1" applyAlignment="1" applyProtection="1"/>
    <xf numFmtId="0" fontId="2" fillId="2" borderId="5" xfId="0" applyNumberFormat="1" applyFont="1" applyFill="1" applyBorder="1" applyAlignment="1" applyProtection="1">
      <alignment horizontal="left" vertical="center"/>
    </xf>
    <xf numFmtId="0" fontId="3" fillId="2" borderId="0" xfId="0" applyNumberFormat="1" applyFont="1" applyFill="1" applyBorder="1" applyAlignment="1" applyProtection="1">
      <alignment horizontal="left" vertical="center"/>
    </xf>
    <xf numFmtId="0" fontId="2" fillId="2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>
      <alignment horizontal="left" vertical="center"/>
      <protection locked="0"/>
    </xf>
    <xf numFmtId="4" fontId="3" fillId="2" borderId="6" xfId="0" applyNumberFormat="1" applyFont="1" applyFill="1" applyBorder="1" applyAlignment="1" applyProtection="1">
      <alignment horizontal="right" vertical="center"/>
    </xf>
    <xf numFmtId="0" fontId="12" fillId="0" borderId="5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left" vertical="center" wrapText="1"/>
    </xf>
    <xf numFmtId="4" fontId="12" fillId="0" borderId="0" xfId="0" applyNumberFormat="1" applyFont="1" applyFill="1" applyBorder="1" applyAlignment="1" applyProtection="1">
      <alignment horizontal="right" vertical="center"/>
    </xf>
    <xf numFmtId="4" fontId="12" fillId="3" borderId="0" xfId="0" applyNumberFormat="1" applyFont="1" applyFill="1" applyBorder="1" applyAlignment="1" applyProtection="1">
      <alignment horizontal="right" vertical="center"/>
      <protection locked="0"/>
    </xf>
    <xf numFmtId="4" fontId="12" fillId="0" borderId="6" xfId="0" applyNumberFormat="1" applyFont="1" applyFill="1" applyBorder="1" applyAlignment="1" applyProtection="1">
      <alignment horizontal="right" vertical="center"/>
    </xf>
    <xf numFmtId="0" fontId="12" fillId="0" borderId="0" xfId="0" applyNumberFormat="1" applyFont="1" applyFill="1" applyBorder="1" applyAlignment="1" applyProtection="1">
      <alignment horizontal="right" vertical="center"/>
    </xf>
    <xf numFmtId="0" fontId="0" fillId="0" borderId="26" xfId="0" applyNumberFormat="1" applyFont="1" applyFill="1" applyBorder="1" applyAlignment="1" applyProtection="1"/>
    <xf numFmtId="0" fontId="0" fillId="0" borderId="27" xfId="0" applyNumberFormat="1" applyFont="1" applyFill="1" applyBorder="1" applyAlignment="1" applyProtection="1"/>
    <xf numFmtId="0" fontId="11" fillId="0" borderId="27" xfId="0" applyNumberFormat="1" applyFont="1" applyFill="1" applyBorder="1" applyAlignment="1" applyProtection="1">
      <alignment horizontal="left" vertical="center"/>
    </xf>
    <xf numFmtId="0" fontId="10" fillId="0" borderId="27" xfId="0" applyNumberFormat="1" applyFont="1" applyFill="1" applyBorder="1" applyAlignment="1" applyProtection="1">
      <alignment horizontal="left" vertical="center"/>
    </xf>
    <xf numFmtId="4" fontId="11" fillId="0" borderId="27" xfId="0" applyNumberFormat="1" applyFont="1" applyFill="1" applyBorder="1" applyAlignment="1" applyProtection="1">
      <alignment horizontal="right" vertical="center"/>
    </xf>
    <xf numFmtId="0" fontId="0" fillId="3" borderId="27" xfId="0" applyNumberFormat="1" applyFont="1" applyFill="1" applyBorder="1" applyAlignment="1" applyProtection="1">
      <protection locked="0"/>
    </xf>
    <xf numFmtId="0" fontId="0" fillId="0" borderId="28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left" vertical="center"/>
    </xf>
    <xf numFmtId="0" fontId="2" fillId="0" borderId="5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2" fillId="0" borderId="5" xfId="0" applyNumberFormat="1" applyFont="1" applyFill="1" applyBorder="1" applyAlignment="1" applyProtection="1">
      <alignment horizontal="left" vertical="center" wrapText="1"/>
    </xf>
    <xf numFmtId="0" fontId="2" fillId="0" borderId="7" xfId="0" applyNumberFormat="1" applyFont="1" applyFill="1" applyBorder="1" applyAlignment="1" applyProtection="1">
      <alignment horizontal="left" vertical="center"/>
    </xf>
    <xf numFmtId="0" fontId="2" fillId="0" borderId="8" xfId="0" applyNumberFormat="1" applyFont="1" applyFill="1" applyBorder="1" applyAlignment="1" applyProtection="1">
      <alignment horizontal="left" vertical="center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left" vertical="center"/>
    </xf>
    <xf numFmtId="0" fontId="2" fillId="0" borderId="6" xfId="0" applyNumberFormat="1" applyFont="1" applyFill="1" applyBorder="1" applyAlignment="1" applyProtection="1">
      <alignment horizontal="left" vertical="center"/>
    </xf>
    <xf numFmtId="0" fontId="2" fillId="0" borderId="9" xfId="0" applyNumberFormat="1" applyFont="1" applyFill="1" applyBorder="1" applyAlignment="1" applyProtection="1">
      <alignment horizontal="left" vertical="center"/>
    </xf>
    <xf numFmtId="0" fontId="2" fillId="0" borderId="11" xfId="0" applyNumberFormat="1" applyFont="1" applyFill="1" applyBorder="1" applyAlignment="1" applyProtection="1">
      <alignment horizontal="left" vertical="center"/>
    </xf>
    <xf numFmtId="0" fontId="2" fillId="0" borderId="12" xfId="0" applyNumberFormat="1" applyFont="1" applyFill="1" applyBorder="1" applyAlignment="1" applyProtection="1">
      <alignment horizontal="left" vertical="center"/>
    </xf>
    <xf numFmtId="0" fontId="2" fillId="0" borderId="13" xfId="0" applyNumberFormat="1" applyFont="1" applyFill="1" applyBorder="1" applyAlignment="1" applyProtection="1">
      <alignment horizontal="left" vertical="center"/>
    </xf>
    <xf numFmtId="0" fontId="3" fillId="0" borderId="17" xfId="0" applyNumberFormat="1" applyFont="1" applyFill="1" applyBorder="1" applyAlignment="1" applyProtection="1">
      <alignment horizontal="left" vertical="center"/>
    </xf>
    <xf numFmtId="0" fontId="3" fillId="0" borderId="18" xfId="0" applyNumberFormat="1" applyFont="1" applyFill="1" applyBorder="1" applyAlignment="1" applyProtection="1">
      <alignment horizontal="left" vertical="center"/>
    </xf>
    <xf numFmtId="0" fontId="3" fillId="0" borderId="19" xfId="0" applyNumberFormat="1" applyFont="1" applyFill="1" applyBorder="1" applyAlignment="1" applyProtection="1">
      <alignment horizontal="left" vertical="center"/>
    </xf>
    <xf numFmtId="0" fontId="2" fillId="0" borderId="23" xfId="0" applyNumberFormat="1" applyFont="1" applyFill="1" applyBorder="1" applyAlignment="1" applyProtection="1">
      <alignment horizontal="left" vertical="center"/>
    </xf>
    <xf numFmtId="0" fontId="2" fillId="0" borderId="27" xfId="0" applyNumberFormat="1" applyFont="1" applyFill="1" applyBorder="1" applyAlignment="1" applyProtection="1">
      <alignment horizontal="left" vertical="center"/>
    </xf>
    <xf numFmtId="0" fontId="3" fillId="0" borderId="29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26" xfId="0" applyNumberFormat="1" applyFont="1" applyFill="1" applyBorder="1" applyAlignment="1" applyProtection="1">
      <alignment horizontal="left" vertical="center"/>
    </xf>
    <xf numFmtId="1" fontId="2" fillId="0" borderId="6" xfId="0" applyNumberFormat="1" applyFont="1" applyFill="1" applyBorder="1" applyAlignment="1" applyProtection="1">
      <alignment horizontal="left" vertical="center"/>
    </xf>
    <xf numFmtId="0" fontId="2" fillId="0" borderId="6" xfId="0" applyNumberFormat="1" applyFont="1" applyFill="1" applyBorder="1" applyAlignment="1" applyProtection="1">
      <alignment horizontal="left" vertical="center" wrapText="1"/>
    </xf>
    <xf numFmtId="0" fontId="2" fillId="0" borderId="28" xfId="0" applyNumberFormat="1" applyFont="1" applyFill="1" applyBorder="1" applyAlignment="1" applyProtection="1">
      <alignment horizontal="left" vertical="center"/>
    </xf>
    <xf numFmtId="0" fontId="5" fillId="0" borderId="30" xfId="0" applyNumberFormat="1" applyFont="1" applyFill="1" applyBorder="1" applyAlignment="1" applyProtection="1">
      <alignment horizontal="center" vertical="center"/>
    </xf>
    <xf numFmtId="0" fontId="7" fillId="0" borderId="32" xfId="0" applyNumberFormat="1" applyFont="1" applyFill="1" applyBorder="1" applyAlignment="1" applyProtection="1">
      <alignment horizontal="left" vertical="center"/>
    </xf>
    <xf numFmtId="0" fontId="7" fillId="0" borderId="33" xfId="0" applyNumberFormat="1" applyFont="1" applyFill="1" applyBorder="1" applyAlignment="1" applyProtection="1">
      <alignment horizontal="left" vertical="center"/>
    </xf>
    <xf numFmtId="0" fontId="8" fillId="0" borderId="40" xfId="0" applyNumberFormat="1" applyFont="1" applyFill="1" applyBorder="1" applyAlignment="1" applyProtection="1">
      <alignment horizontal="left" vertical="center"/>
    </xf>
    <xf numFmtId="0" fontId="8" fillId="0" borderId="38" xfId="0" applyNumberFormat="1" applyFont="1" applyFill="1" applyBorder="1" applyAlignment="1" applyProtection="1">
      <alignment horizontal="left" vertical="center"/>
    </xf>
    <xf numFmtId="0" fontId="8" fillId="0" borderId="41" xfId="0" applyNumberFormat="1" applyFont="1" applyFill="1" applyBorder="1" applyAlignment="1" applyProtection="1">
      <alignment horizontal="left" vertical="center"/>
    </xf>
    <xf numFmtId="0" fontId="8" fillId="0" borderId="42" xfId="0" applyNumberFormat="1" applyFont="1" applyFill="1" applyBorder="1" applyAlignment="1" applyProtection="1">
      <alignment horizontal="left" vertical="center"/>
    </xf>
    <xf numFmtId="0" fontId="8" fillId="0" borderId="45" xfId="0" applyNumberFormat="1" applyFont="1" applyFill="1" applyBorder="1" applyAlignment="1" applyProtection="1">
      <alignment horizontal="left" vertical="center"/>
    </xf>
    <xf numFmtId="0" fontId="8" fillId="0" borderId="33" xfId="0" applyNumberFormat="1" applyFont="1" applyFill="1" applyBorder="1" applyAlignment="1" applyProtection="1">
      <alignment horizontal="left" vertical="center"/>
    </xf>
    <xf numFmtId="0" fontId="9" fillId="0" borderId="37" xfId="0" applyNumberFormat="1" applyFont="1" applyFill="1" applyBorder="1" applyAlignment="1" applyProtection="1">
      <alignment horizontal="left" vertical="center"/>
    </xf>
    <xf numFmtId="0" fontId="9" fillId="0" borderId="38" xfId="0" applyNumberFormat="1" applyFont="1" applyFill="1" applyBorder="1" applyAlignment="1" applyProtection="1">
      <alignment horizontal="left" vertical="center"/>
    </xf>
    <xf numFmtId="0" fontId="9" fillId="0" borderId="44" xfId="0" applyNumberFormat="1" applyFont="1" applyFill="1" applyBorder="1" applyAlignment="1" applyProtection="1">
      <alignment horizontal="left" vertical="center"/>
    </xf>
    <xf numFmtId="0" fontId="9" fillId="0" borderId="42" xfId="0" applyNumberFormat="1" applyFont="1" applyFill="1" applyBorder="1" applyAlignment="1" applyProtection="1">
      <alignment horizontal="left" vertical="center"/>
    </xf>
    <xf numFmtId="0" fontId="8" fillId="0" borderId="32" xfId="0" applyNumberFormat="1" applyFont="1" applyFill="1" applyBorder="1" applyAlignment="1" applyProtection="1">
      <alignment horizontal="left" vertical="center"/>
    </xf>
    <xf numFmtId="0" fontId="8" fillId="0" borderId="37" xfId="0" applyNumberFormat="1" applyFont="1" applyFill="1" applyBorder="1" applyAlignment="1" applyProtection="1">
      <alignment horizontal="left" vertical="center"/>
    </xf>
    <xf numFmtId="0" fontId="8" fillId="2" borderId="45" xfId="0" applyNumberFormat="1" applyFont="1" applyFill="1" applyBorder="1" applyAlignment="1" applyProtection="1">
      <alignment horizontal="left" vertical="center"/>
    </xf>
    <xf numFmtId="0" fontId="8" fillId="2" borderId="47" xfId="0" applyNumberFormat="1" applyFont="1" applyFill="1" applyBorder="1" applyAlignment="1" applyProtection="1">
      <alignment horizontal="left" vertical="center"/>
    </xf>
    <xf numFmtId="0" fontId="8" fillId="2" borderId="40" xfId="0" applyNumberFormat="1" applyFont="1" applyFill="1" applyBorder="1" applyAlignment="1" applyProtection="1">
      <alignment horizontal="left" vertical="center"/>
    </xf>
    <xf numFmtId="0" fontId="8" fillId="2" borderId="48" xfId="0" applyNumberFormat="1" applyFont="1" applyFill="1" applyBorder="1" applyAlignment="1" applyProtection="1">
      <alignment horizontal="left" vertical="center"/>
    </xf>
    <xf numFmtId="0" fontId="8" fillId="2" borderId="32" xfId="0" applyNumberFormat="1" applyFont="1" applyFill="1" applyBorder="1" applyAlignment="1" applyProtection="1">
      <alignment horizontal="left" vertical="center"/>
    </xf>
    <xf numFmtId="0" fontId="8" fillId="2" borderId="37" xfId="0" applyNumberFormat="1" applyFont="1" applyFill="1" applyBorder="1" applyAlignment="1" applyProtection="1">
      <alignment horizontal="left" vertical="center"/>
    </xf>
    <xf numFmtId="0" fontId="9" fillId="0" borderId="49" xfId="0" applyNumberFormat="1" applyFont="1" applyFill="1" applyBorder="1" applyAlignment="1" applyProtection="1">
      <alignment horizontal="left" vertical="center"/>
    </xf>
    <xf numFmtId="0" fontId="9" fillId="0" borderId="12" xfId="0" applyNumberFormat="1" applyFont="1" applyFill="1" applyBorder="1" applyAlignment="1" applyProtection="1">
      <alignment horizontal="left" vertical="center"/>
    </xf>
    <xf numFmtId="0" fontId="9" fillId="0" borderId="50" xfId="0" applyNumberFormat="1" applyFont="1" applyFill="1" applyBorder="1" applyAlignment="1" applyProtection="1">
      <alignment horizontal="left" vertical="center"/>
    </xf>
    <xf numFmtId="0" fontId="9" fillId="0" borderId="52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0" fontId="9" fillId="0" borderId="53" xfId="0" applyNumberFormat="1" applyFont="1" applyFill="1" applyBorder="1" applyAlignment="1" applyProtection="1">
      <alignment horizontal="left" vertical="center"/>
    </xf>
    <xf numFmtId="0" fontId="9" fillId="0" borderId="55" xfId="0" applyNumberFormat="1" applyFont="1" applyFill="1" applyBorder="1" applyAlignment="1" applyProtection="1">
      <alignment horizontal="left" vertical="center"/>
    </xf>
    <xf numFmtId="0" fontId="9" fillId="0" borderId="18" xfId="0" applyNumberFormat="1" applyFont="1" applyFill="1" applyBorder="1" applyAlignment="1" applyProtection="1">
      <alignment horizontal="left" vertical="center"/>
    </xf>
    <xf numFmtId="0" fontId="9" fillId="0" borderId="56" xfId="0" applyNumberFormat="1" applyFont="1" applyFill="1" applyBorder="1" applyAlignment="1" applyProtection="1">
      <alignment horizontal="left" vertical="center"/>
    </xf>
    <xf numFmtId="0" fontId="9" fillId="0" borderId="51" xfId="0" applyNumberFormat="1" applyFont="1" applyFill="1" applyBorder="1" applyAlignment="1" applyProtection="1">
      <alignment horizontal="left" vertical="center"/>
    </xf>
    <xf numFmtId="0" fontId="9" fillId="0" borderId="54" xfId="0" applyNumberFormat="1" applyFont="1" applyFill="1" applyBorder="1" applyAlignment="1" applyProtection="1">
      <alignment horizontal="left" vertical="center"/>
    </xf>
    <xf numFmtId="0" fontId="9" fillId="0" borderId="57" xfId="0" applyNumberFormat="1" applyFont="1" applyFill="1" applyBorder="1" applyAlignment="1" applyProtection="1">
      <alignment horizontal="left" vertical="center"/>
    </xf>
    <xf numFmtId="0" fontId="8" fillId="0" borderId="8" xfId="0" applyNumberFormat="1" applyFont="1" applyFill="1" applyBorder="1" applyAlignment="1" applyProtection="1">
      <alignment horizontal="left" vertical="center"/>
    </xf>
    <xf numFmtId="0" fontId="3" fillId="0" borderId="58" xfId="0" applyNumberFormat="1" applyFont="1" applyFill="1" applyBorder="1" applyAlignment="1" applyProtection="1">
      <alignment horizontal="left" vertical="center"/>
    </xf>
    <xf numFmtId="0" fontId="3" fillId="0" borderId="59" xfId="0" applyNumberFormat="1" applyFont="1" applyFill="1" applyBorder="1" applyAlignment="1" applyProtection="1">
      <alignment horizontal="left" vertical="center"/>
    </xf>
    <xf numFmtId="0" fontId="3" fillId="0" borderId="60" xfId="0" applyNumberFormat="1" applyFont="1" applyFill="1" applyBorder="1" applyAlignment="1" applyProtection="1">
      <alignment horizontal="left" vertical="center"/>
    </xf>
    <xf numFmtId="0" fontId="2" fillId="0" borderId="40" xfId="0" applyNumberFormat="1" applyFont="1" applyFill="1" applyBorder="1" applyAlignment="1" applyProtection="1">
      <alignment horizontal="left" vertical="center"/>
    </xf>
    <xf numFmtId="0" fontId="2" fillId="0" borderId="48" xfId="0" applyNumberFormat="1" applyFont="1" applyFill="1" applyBorder="1" applyAlignment="1" applyProtection="1">
      <alignment horizontal="left" vertical="center"/>
    </xf>
    <xf numFmtId="0" fontId="2" fillId="0" borderId="38" xfId="0" applyNumberFormat="1" applyFont="1" applyFill="1" applyBorder="1" applyAlignment="1" applyProtection="1">
      <alignment horizontal="left" vertical="center"/>
    </xf>
    <xf numFmtId="0" fontId="2" fillId="0" borderId="61" xfId="0" applyNumberFormat="1" applyFont="1" applyFill="1" applyBorder="1" applyAlignment="1" applyProtection="1">
      <alignment horizontal="left" vertical="center"/>
    </xf>
    <xf numFmtId="0" fontId="2" fillId="0" borderId="62" xfId="0" applyNumberFormat="1" applyFont="1" applyFill="1" applyBorder="1" applyAlignment="1" applyProtection="1">
      <alignment horizontal="left" vertical="center"/>
    </xf>
    <xf numFmtId="0" fontId="2" fillId="0" borderId="63" xfId="0" applyNumberFormat="1" applyFont="1" applyFill="1" applyBorder="1" applyAlignment="1" applyProtection="1">
      <alignment horizontal="left" vertical="center"/>
    </xf>
    <xf numFmtId="0" fontId="3" fillId="0" borderId="65" xfId="0" applyNumberFormat="1" applyFont="1" applyFill="1" applyBorder="1" applyAlignment="1" applyProtection="1">
      <alignment horizontal="left" vertical="center"/>
    </xf>
    <xf numFmtId="0" fontId="3" fillId="0" borderId="66" xfId="0" applyNumberFormat="1" applyFont="1" applyFill="1" applyBorder="1" applyAlignment="1" applyProtection="1">
      <alignment horizontal="left" vertical="center"/>
    </xf>
    <xf numFmtId="0" fontId="3" fillId="0" borderId="67" xfId="0" applyNumberFormat="1" applyFont="1" applyFill="1" applyBorder="1" applyAlignment="1" applyProtection="1">
      <alignment horizontal="left" vertical="center"/>
    </xf>
    <xf numFmtId="0" fontId="8" fillId="0" borderId="65" xfId="0" applyNumberFormat="1" applyFont="1" applyFill="1" applyBorder="1" applyAlignment="1" applyProtection="1">
      <alignment horizontal="left" vertical="center"/>
    </xf>
    <xf numFmtId="0" fontId="8" fillId="0" borderId="66" xfId="0" applyNumberFormat="1" applyFont="1" applyFill="1" applyBorder="1" applyAlignment="1" applyProtection="1">
      <alignment horizontal="left" vertical="center"/>
    </xf>
    <xf numFmtId="0" fontId="8" fillId="0" borderId="67" xfId="0" applyNumberFormat="1" applyFont="1" applyFill="1" applyBorder="1" applyAlignment="1" applyProtection="1">
      <alignment horizontal="left" vertical="center"/>
    </xf>
    <xf numFmtId="4" fontId="8" fillId="0" borderId="69" xfId="0" applyNumberFormat="1" applyFont="1" applyFill="1" applyBorder="1" applyAlignment="1" applyProtection="1">
      <alignment horizontal="right" vertical="center"/>
    </xf>
    <xf numFmtId="0" fontId="8" fillId="0" borderId="66" xfId="0" applyNumberFormat="1" applyFont="1" applyFill="1" applyBorder="1" applyAlignment="1" applyProtection="1">
      <alignment horizontal="right" vertical="center"/>
    </xf>
    <xf numFmtId="0" fontId="8" fillId="0" borderId="67" xfId="0" applyNumberFormat="1" applyFont="1" applyFill="1" applyBorder="1" applyAlignment="1" applyProtection="1">
      <alignment horizontal="right" vertical="center"/>
    </xf>
    <xf numFmtId="0" fontId="2" fillId="3" borderId="3" xfId="0" applyNumberFormat="1" applyFont="1" applyFill="1" applyBorder="1" applyAlignment="1" applyProtection="1">
      <alignment horizontal="left" vertical="center"/>
      <protection locked="0"/>
    </xf>
    <xf numFmtId="0" fontId="2" fillId="3" borderId="0" xfId="0" applyNumberFormat="1" applyFont="1" applyFill="1" applyBorder="1" applyAlignment="1" applyProtection="1">
      <alignment horizontal="left" vertical="center"/>
      <protection locked="0"/>
    </xf>
    <xf numFmtId="0" fontId="2" fillId="3" borderId="8" xfId="0" applyNumberFormat="1" applyFont="1" applyFill="1" applyBorder="1" applyAlignment="1" applyProtection="1">
      <alignment horizontal="left" vertical="center"/>
      <protection locked="0"/>
    </xf>
    <xf numFmtId="0" fontId="2" fillId="3" borderId="0" xfId="0" applyNumberFormat="1" applyFont="1" applyFill="1" applyBorder="1" applyAlignment="1" applyProtection="1">
      <alignment horizontal="left" vertical="center" wrapText="1"/>
      <protection locked="0"/>
    </xf>
    <xf numFmtId="0" fontId="2" fillId="3" borderId="6" xfId="0" applyNumberFormat="1" applyFont="1" applyFill="1" applyBorder="1" applyAlignment="1" applyProtection="1">
      <alignment horizontal="left" vertical="center"/>
      <protection locked="0"/>
    </xf>
    <xf numFmtId="0" fontId="2" fillId="3" borderId="9" xfId="0" applyNumberFormat="1" applyFont="1" applyFill="1" applyBorder="1" applyAlignment="1" applyProtection="1">
      <alignment horizontal="left" vertical="center"/>
      <protection locked="0"/>
    </xf>
    <xf numFmtId="0" fontId="3" fillId="0" borderId="11" xfId="0" applyNumberFormat="1" applyFont="1" applyFill="1" applyBorder="1" applyAlignment="1" applyProtection="1">
      <alignment horizontal="left" vertical="center"/>
    </xf>
    <xf numFmtId="0" fontId="3" fillId="0" borderId="72" xfId="0" applyNumberFormat="1" applyFont="1" applyFill="1" applyBorder="1" applyAlignment="1" applyProtection="1">
      <alignment horizontal="left" vertical="center"/>
    </xf>
    <xf numFmtId="0" fontId="3" fillId="0" borderId="74" xfId="0" applyNumberFormat="1" applyFont="1" applyFill="1" applyBorder="1" applyAlignment="1" applyProtection="1">
      <alignment horizontal="center" vertical="center"/>
    </xf>
    <xf numFmtId="0" fontId="3" fillId="0" borderId="75" xfId="0" applyNumberFormat="1" applyFont="1" applyFill="1" applyBorder="1" applyAlignment="1" applyProtection="1">
      <alignment horizontal="center" vertical="center"/>
    </xf>
    <xf numFmtId="0" fontId="3" fillId="2" borderId="23" xfId="0" applyNumberFormat="1" applyFont="1" applyFill="1" applyBorder="1" applyAlignment="1" applyProtection="1">
      <alignment horizontal="left" vertical="center" wrapText="1"/>
    </xf>
    <xf numFmtId="0" fontId="3" fillId="2" borderId="23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0" fillId="3" borderId="0" xfId="0" applyNumberFormat="1" applyFont="1" applyFill="1" applyBorder="1" applyAlignment="1" applyProtection="1">
      <alignment horizontal="left" vertical="center"/>
      <protection locked="0"/>
    </xf>
    <xf numFmtId="0" fontId="10" fillId="0" borderId="6" xfId="0" applyNumberFormat="1" applyFont="1" applyFill="1" applyBorder="1" applyAlignment="1" applyProtection="1">
      <alignment horizontal="left" vertical="center"/>
    </xf>
    <xf numFmtId="0" fontId="3" fillId="2" borderId="0" xfId="0" applyNumberFormat="1" applyFont="1" applyFill="1" applyBorder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left" vertical="center" wrapText="1"/>
    </xf>
    <xf numFmtId="0" fontId="12" fillId="0" borderId="0" xfId="0" applyNumberFormat="1" applyFont="1" applyFill="1" applyBorder="1" applyAlignment="1" applyProtection="1">
      <alignment horizontal="left" vertical="center"/>
    </xf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pic>
      <xdr:nvPicPr>
        <xdr:cNvPr id="0" name="Obrázek 4294967295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pic>
      <xdr:nvPicPr>
        <xdr:cNvPr id="0" name="Obrázek 4294967295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pic>
      <xdr:nvPicPr>
        <xdr:cNvPr id="0" name="Obrázek 4294967295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pic>
      <xdr:nvPicPr>
        <xdr:cNvPr id="0" name="Obrázek 4294967295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1"/>
  <sheetViews>
    <sheetView workbookViewId="0">
      <pane ySplit="11" topLeftCell="A12" activePane="bottomLeft" state="frozen"/>
      <selection pane="bottomLeft" activeCell="J33" sqref="J33"/>
    </sheetView>
  </sheetViews>
  <sheetFormatPr defaultColWidth="12.140625" defaultRowHeight="15" customHeight="1"/>
  <cols>
    <col min="1" max="1" width="5.7109375" customWidth="1"/>
    <col min="2" max="10" width="15.7109375" customWidth="1"/>
    <col min="11" max="12" width="14.28515625" customWidth="1"/>
    <col min="13" max="16" width="12.140625" hidden="1"/>
  </cols>
  <sheetData>
    <row r="1" spans="1:16" ht="54.75" customHeight="1">
      <c r="A1" s="89" t="s">
        <v>420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6">
      <c r="A2" s="90" t="s">
        <v>0</v>
      </c>
      <c r="B2" s="91"/>
      <c r="C2" s="91"/>
      <c r="D2" s="97" t="str">
        <f>'Stavební rozpočet'!C2</f>
        <v>Výměna podlahy tělocvična ZŠ Hanušovice</v>
      </c>
      <c r="E2" s="98"/>
      <c r="F2" s="98"/>
      <c r="G2" s="101" t="s">
        <v>1</v>
      </c>
      <c r="H2" s="101" t="str">
        <f>'Stavební rozpočet'!G2</f>
        <v xml:space="preserve"> </v>
      </c>
      <c r="I2" s="101" t="s">
        <v>2</v>
      </c>
      <c r="J2" s="101" t="str">
        <f>'Stavební rozpočet'!I2</f>
        <v>Město Hanušovice</v>
      </c>
      <c r="K2" s="91"/>
      <c r="L2" s="102"/>
    </row>
    <row r="3" spans="1:16" ht="15" customHeight="1">
      <c r="A3" s="92"/>
      <c r="B3" s="93"/>
      <c r="C3" s="93"/>
      <c r="D3" s="99"/>
      <c r="E3" s="99"/>
      <c r="F3" s="99"/>
      <c r="G3" s="93"/>
      <c r="H3" s="93"/>
      <c r="I3" s="93"/>
      <c r="J3" s="93"/>
      <c r="K3" s="93"/>
      <c r="L3" s="103"/>
    </row>
    <row r="4" spans="1:16">
      <c r="A4" s="94" t="s">
        <v>3</v>
      </c>
      <c r="B4" s="93"/>
      <c r="C4" s="93"/>
      <c r="D4" s="100" t="str">
        <f>'Stavební rozpočet'!C4</f>
        <v>Oprava a udržovací práce</v>
      </c>
      <c r="E4" s="93"/>
      <c r="F4" s="93"/>
      <c r="G4" s="100" t="s">
        <v>4</v>
      </c>
      <c r="H4" s="100" t="str">
        <f>'Stavební rozpočet'!G4</f>
        <v xml:space="preserve"> </v>
      </c>
      <c r="I4" s="100" t="s">
        <v>5</v>
      </c>
      <c r="J4" s="100" t="str">
        <f>'Stavební rozpočet'!I4</f>
        <v>Ing.Ladislav Trčka - PROINK</v>
      </c>
      <c r="K4" s="93"/>
      <c r="L4" s="103"/>
    </row>
    <row r="5" spans="1:16" ht="15" customHeight="1">
      <c r="A5" s="92"/>
      <c r="B5" s="93"/>
      <c r="C5" s="93"/>
      <c r="D5" s="93"/>
      <c r="E5" s="93"/>
      <c r="F5" s="93"/>
      <c r="G5" s="93"/>
      <c r="H5" s="93"/>
      <c r="I5" s="93"/>
      <c r="J5" s="93"/>
      <c r="K5" s="93"/>
      <c r="L5" s="103"/>
    </row>
    <row r="6" spans="1:16">
      <c r="A6" s="94" t="s">
        <v>6</v>
      </c>
      <c r="B6" s="93"/>
      <c r="C6" s="93"/>
      <c r="D6" s="100" t="str">
        <f>'Stavební rozpočet'!C6</f>
        <v>Hanušovice</v>
      </c>
      <c r="E6" s="93"/>
      <c r="F6" s="93"/>
      <c r="G6" s="100" t="s">
        <v>7</v>
      </c>
      <c r="H6" s="100" t="str">
        <f>'Stavební rozpočet'!G6</f>
        <v xml:space="preserve"> </v>
      </c>
      <c r="I6" s="100" t="s">
        <v>8</v>
      </c>
      <c r="J6" s="100">
        <f>'Stavební rozpočet'!I6</f>
        <v>0</v>
      </c>
      <c r="K6" s="93"/>
      <c r="L6" s="103"/>
    </row>
    <row r="7" spans="1:16" ht="15" customHeight="1">
      <c r="A7" s="92"/>
      <c r="B7" s="93"/>
      <c r="C7" s="93"/>
      <c r="D7" s="93"/>
      <c r="E7" s="93"/>
      <c r="F7" s="93"/>
      <c r="G7" s="93"/>
      <c r="H7" s="93"/>
      <c r="I7" s="93"/>
      <c r="J7" s="93"/>
      <c r="K7" s="93"/>
      <c r="L7" s="103"/>
    </row>
    <row r="8" spans="1:16">
      <c r="A8" s="94" t="s">
        <v>9</v>
      </c>
      <c r="B8" s="93"/>
      <c r="C8" s="93"/>
      <c r="D8" s="100" t="str">
        <f>'Stavební rozpočet'!C8</f>
        <v xml:space="preserve"> </v>
      </c>
      <c r="E8" s="93"/>
      <c r="F8" s="93"/>
      <c r="G8" s="100" t="s">
        <v>10</v>
      </c>
      <c r="H8" s="100">
        <f>'Stavební rozpočet'!G8</f>
        <v>0</v>
      </c>
      <c r="I8" s="100" t="s">
        <v>11</v>
      </c>
      <c r="J8" s="100">
        <f>'Stavební rozpočet'!I8</f>
        <v>0</v>
      </c>
      <c r="K8" s="93"/>
      <c r="L8" s="103"/>
    </row>
    <row r="9" spans="1:16">
      <c r="A9" s="95"/>
      <c r="B9" s="96"/>
      <c r="C9" s="96"/>
      <c r="D9" s="96"/>
      <c r="E9" s="96"/>
      <c r="F9" s="96"/>
      <c r="G9" s="96"/>
      <c r="H9" s="96"/>
      <c r="I9" s="96"/>
      <c r="J9" s="96"/>
      <c r="K9" s="96"/>
      <c r="L9" s="104"/>
    </row>
    <row r="10" spans="1:16">
      <c r="A10" s="4" t="s">
        <v>12</v>
      </c>
      <c r="B10" s="105" t="s">
        <v>12</v>
      </c>
      <c r="C10" s="106"/>
      <c r="D10" s="106"/>
      <c r="E10" s="106"/>
      <c r="F10" s="106"/>
      <c r="G10" s="106"/>
      <c r="H10" s="106"/>
      <c r="I10" s="106"/>
      <c r="J10" s="107"/>
      <c r="K10" s="5" t="s">
        <v>13</v>
      </c>
      <c r="L10" s="6" t="s">
        <v>14</v>
      </c>
    </row>
    <row r="11" spans="1:16">
      <c r="A11" s="7" t="s">
        <v>15</v>
      </c>
      <c r="B11" s="108" t="s">
        <v>16</v>
      </c>
      <c r="C11" s="109"/>
      <c r="D11" s="109"/>
      <c r="E11" s="109"/>
      <c r="F11" s="109"/>
      <c r="G11" s="109"/>
      <c r="H11" s="109"/>
      <c r="I11" s="109"/>
      <c r="J11" s="110"/>
      <c r="K11" s="8" t="s">
        <v>17</v>
      </c>
      <c r="L11" s="9" t="s">
        <v>17</v>
      </c>
    </row>
    <row r="12" spans="1:16">
      <c r="A12" s="10" t="s">
        <v>18</v>
      </c>
      <c r="B12" s="111" t="s">
        <v>19</v>
      </c>
      <c r="C12" s="111"/>
      <c r="D12" s="111"/>
      <c r="E12" s="111"/>
      <c r="F12" s="111"/>
      <c r="G12" s="111"/>
      <c r="H12" s="111"/>
      <c r="I12" s="111"/>
      <c r="J12" s="111"/>
      <c r="K12" s="11">
        <f>ROUND('Stavební rozpočet'!H12,2)</f>
        <v>0</v>
      </c>
      <c r="L12" s="12">
        <f>'Stavební rozpočet'!J12</f>
        <v>0.80273819999999996</v>
      </c>
      <c r="M12" s="13" t="s">
        <v>20</v>
      </c>
      <c r="N12" s="14">
        <f t="shared" ref="N12:N28" si="0">IF(M12="F",0,K12)</f>
        <v>0</v>
      </c>
      <c r="O12" s="2" t="s">
        <v>21</v>
      </c>
      <c r="P12" s="14">
        <f t="shared" ref="P12:P28" si="1">IF(M12="T",0,K12)</f>
        <v>0</v>
      </c>
    </row>
    <row r="13" spans="1:16">
      <c r="A13" s="1" t="s">
        <v>22</v>
      </c>
      <c r="B13" s="93" t="s">
        <v>23</v>
      </c>
      <c r="C13" s="93"/>
      <c r="D13" s="93"/>
      <c r="E13" s="93"/>
      <c r="F13" s="93"/>
      <c r="G13" s="93"/>
      <c r="H13" s="93"/>
      <c r="I13" s="93"/>
      <c r="J13" s="93"/>
      <c r="K13" s="14">
        <f>ROUND('Stavební rozpočet'!H22,2)</f>
        <v>0</v>
      </c>
      <c r="L13" s="15">
        <f>'Stavební rozpočet'!J22</f>
        <v>22.144984000000001</v>
      </c>
      <c r="M13" s="13" t="s">
        <v>20</v>
      </c>
      <c r="N13" s="14">
        <f t="shared" si="0"/>
        <v>0</v>
      </c>
      <c r="O13" s="2" t="s">
        <v>21</v>
      </c>
      <c r="P13" s="14">
        <f t="shared" si="1"/>
        <v>0</v>
      </c>
    </row>
    <row r="14" spans="1:16">
      <c r="A14" s="1" t="s">
        <v>24</v>
      </c>
      <c r="B14" s="93" t="s">
        <v>25</v>
      </c>
      <c r="C14" s="93"/>
      <c r="D14" s="93"/>
      <c r="E14" s="93"/>
      <c r="F14" s="93"/>
      <c r="G14" s="93"/>
      <c r="H14" s="93"/>
      <c r="I14" s="93"/>
      <c r="J14" s="93"/>
      <c r="K14" s="14">
        <f>ROUND('Stavební rozpočet'!H33,2)</f>
        <v>0</v>
      </c>
      <c r="L14" s="15">
        <f>'Stavební rozpočet'!J33</f>
        <v>19.546526499999999</v>
      </c>
      <c r="M14" s="13" t="s">
        <v>20</v>
      </c>
      <c r="N14" s="14">
        <f t="shared" si="0"/>
        <v>0</v>
      </c>
      <c r="O14" s="2" t="s">
        <v>21</v>
      </c>
      <c r="P14" s="14">
        <f t="shared" si="1"/>
        <v>0</v>
      </c>
    </row>
    <row r="15" spans="1:16">
      <c r="A15" s="1" t="s">
        <v>26</v>
      </c>
      <c r="B15" s="93" t="s">
        <v>27</v>
      </c>
      <c r="C15" s="93"/>
      <c r="D15" s="93"/>
      <c r="E15" s="93"/>
      <c r="F15" s="93"/>
      <c r="G15" s="93"/>
      <c r="H15" s="93"/>
      <c r="I15" s="93"/>
      <c r="J15" s="93"/>
      <c r="K15" s="14">
        <f>ROUND('Stavební rozpočet'!H59,2)</f>
        <v>0</v>
      </c>
      <c r="L15" s="15">
        <f>'Stavební rozpočet'!J59</f>
        <v>0.83518380000000003</v>
      </c>
      <c r="M15" s="13" t="s">
        <v>20</v>
      </c>
      <c r="N15" s="14">
        <f t="shared" si="0"/>
        <v>0</v>
      </c>
      <c r="O15" s="2" t="s">
        <v>21</v>
      </c>
      <c r="P15" s="14">
        <f t="shared" si="1"/>
        <v>0</v>
      </c>
    </row>
    <row r="16" spans="1:16">
      <c r="A16" s="1" t="s">
        <v>28</v>
      </c>
      <c r="B16" s="93" t="s">
        <v>29</v>
      </c>
      <c r="C16" s="93"/>
      <c r="D16" s="93"/>
      <c r="E16" s="93"/>
      <c r="F16" s="93"/>
      <c r="G16" s="93"/>
      <c r="H16" s="93"/>
      <c r="I16" s="93"/>
      <c r="J16" s="93"/>
      <c r="K16" s="14">
        <f>ROUND('Stavební rozpočet'!H69,2)</f>
        <v>0</v>
      </c>
      <c r="L16" s="15">
        <f>'Stavební rozpočet'!J69</f>
        <v>2.6873864999999997</v>
      </c>
      <c r="M16" s="13" t="s">
        <v>20</v>
      </c>
      <c r="N16" s="14">
        <f t="shared" si="0"/>
        <v>0</v>
      </c>
      <c r="O16" s="2" t="s">
        <v>21</v>
      </c>
      <c r="P16" s="14">
        <f t="shared" si="1"/>
        <v>0</v>
      </c>
    </row>
    <row r="17" spans="1:16">
      <c r="A17" s="1" t="s">
        <v>30</v>
      </c>
      <c r="B17" s="93" t="s">
        <v>31</v>
      </c>
      <c r="C17" s="93"/>
      <c r="D17" s="93"/>
      <c r="E17" s="93"/>
      <c r="F17" s="93"/>
      <c r="G17" s="93"/>
      <c r="H17" s="93"/>
      <c r="I17" s="93"/>
      <c r="J17" s="93"/>
      <c r="K17" s="14">
        <f>ROUND('Stavební rozpočet'!H78,2)</f>
        <v>0</v>
      </c>
      <c r="L17" s="15">
        <f>'Stavební rozpočet'!J78</f>
        <v>2.5600000000000002E-3</v>
      </c>
      <c r="M17" s="13" t="s">
        <v>20</v>
      </c>
      <c r="N17" s="14">
        <f t="shared" si="0"/>
        <v>0</v>
      </c>
      <c r="O17" s="2" t="s">
        <v>21</v>
      </c>
      <c r="P17" s="14">
        <f t="shared" si="1"/>
        <v>0</v>
      </c>
    </row>
    <row r="18" spans="1:16">
      <c r="A18" s="1" t="s">
        <v>32</v>
      </c>
      <c r="B18" s="93" t="s">
        <v>33</v>
      </c>
      <c r="C18" s="93"/>
      <c r="D18" s="93"/>
      <c r="E18" s="93"/>
      <c r="F18" s="93"/>
      <c r="G18" s="93"/>
      <c r="H18" s="93"/>
      <c r="I18" s="93"/>
      <c r="J18" s="93"/>
      <c r="K18" s="14">
        <f>ROUND('Stavební rozpočet'!H85,2)</f>
        <v>0</v>
      </c>
      <c r="L18" s="15">
        <f>'Stavební rozpočet'!J85</f>
        <v>9.5129999999999999</v>
      </c>
      <c r="M18" s="13" t="s">
        <v>20</v>
      </c>
      <c r="N18" s="14">
        <f t="shared" si="0"/>
        <v>0</v>
      </c>
      <c r="O18" s="2" t="s">
        <v>21</v>
      </c>
      <c r="P18" s="14">
        <f t="shared" si="1"/>
        <v>0</v>
      </c>
    </row>
    <row r="19" spans="1:16">
      <c r="A19" s="1" t="s">
        <v>34</v>
      </c>
      <c r="B19" s="93" t="s">
        <v>35</v>
      </c>
      <c r="C19" s="93"/>
      <c r="D19" s="93"/>
      <c r="E19" s="93"/>
      <c r="F19" s="93"/>
      <c r="G19" s="93"/>
      <c r="H19" s="93"/>
      <c r="I19" s="93"/>
      <c r="J19" s="93"/>
      <c r="K19" s="14">
        <f>ROUND('Stavební rozpočet'!H89,2)</f>
        <v>0</v>
      </c>
      <c r="L19" s="15">
        <f>'Stavební rozpočet'!J89</f>
        <v>9.0074693000000003</v>
      </c>
      <c r="M19" s="13" t="s">
        <v>20</v>
      </c>
      <c r="N19" s="14">
        <f t="shared" si="0"/>
        <v>0</v>
      </c>
      <c r="O19" s="2" t="s">
        <v>21</v>
      </c>
      <c r="P19" s="14">
        <f t="shared" si="1"/>
        <v>0</v>
      </c>
    </row>
    <row r="20" spans="1:16">
      <c r="A20" s="1" t="s">
        <v>36</v>
      </c>
      <c r="B20" s="93" t="s">
        <v>37</v>
      </c>
      <c r="C20" s="93"/>
      <c r="D20" s="93"/>
      <c r="E20" s="93"/>
      <c r="F20" s="93"/>
      <c r="G20" s="93"/>
      <c r="H20" s="93"/>
      <c r="I20" s="93"/>
      <c r="J20" s="93"/>
      <c r="K20" s="14">
        <f>ROUND('Stavební rozpočet'!H133,2)</f>
        <v>0</v>
      </c>
      <c r="L20" s="15">
        <f>'Stavební rozpočet'!J133</f>
        <v>4.4841000000000006E-2</v>
      </c>
      <c r="M20" s="13" t="s">
        <v>20</v>
      </c>
      <c r="N20" s="14">
        <f t="shared" si="0"/>
        <v>0</v>
      </c>
      <c r="O20" s="2" t="s">
        <v>21</v>
      </c>
      <c r="P20" s="14">
        <f t="shared" si="1"/>
        <v>0</v>
      </c>
    </row>
    <row r="21" spans="1:16">
      <c r="A21" s="1" t="s">
        <v>38</v>
      </c>
      <c r="B21" s="93" t="s">
        <v>39</v>
      </c>
      <c r="C21" s="93"/>
      <c r="D21" s="93"/>
      <c r="E21" s="93"/>
      <c r="F21" s="93"/>
      <c r="G21" s="93"/>
      <c r="H21" s="93"/>
      <c r="I21" s="93"/>
      <c r="J21" s="93"/>
      <c r="K21" s="14">
        <f>ROUND('Stavební rozpočet'!H141,2)</f>
        <v>0</v>
      </c>
      <c r="L21" s="15">
        <f>'Stavební rozpočet'!J141</f>
        <v>0.4425</v>
      </c>
      <c r="M21" s="13" t="s">
        <v>20</v>
      </c>
      <c r="N21" s="14">
        <f t="shared" si="0"/>
        <v>0</v>
      </c>
      <c r="O21" s="2" t="s">
        <v>21</v>
      </c>
      <c r="P21" s="14">
        <f t="shared" si="1"/>
        <v>0</v>
      </c>
    </row>
    <row r="22" spans="1:16">
      <c r="A22" s="1" t="s">
        <v>40</v>
      </c>
      <c r="B22" s="93" t="s">
        <v>41</v>
      </c>
      <c r="C22" s="93"/>
      <c r="D22" s="93"/>
      <c r="E22" s="93"/>
      <c r="F22" s="93"/>
      <c r="G22" s="93"/>
      <c r="H22" s="93"/>
      <c r="I22" s="93"/>
      <c r="J22" s="93"/>
      <c r="K22" s="14">
        <f>ROUND('Stavební rozpočet'!H149,2)</f>
        <v>0</v>
      </c>
      <c r="L22" s="15">
        <f>'Stavební rozpočet'!J149</f>
        <v>0</v>
      </c>
      <c r="M22" s="13" t="s">
        <v>20</v>
      </c>
      <c r="N22" s="14">
        <f t="shared" si="0"/>
        <v>0</v>
      </c>
      <c r="O22" s="2" t="s">
        <v>21</v>
      </c>
      <c r="P22" s="14">
        <f t="shared" si="1"/>
        <v>0</v>
      </c>
    </row>
    <row r="23" spans="1:16">
      <c r="A23" s="1" t="s">
        <v>42</v>
      </c>
      <c r="B23" s="93" t="s">
        <v>43</v>
      </c>
      <c r="C23" s="93"/>
      <c r="D23" s="93"/>
      <c r="E23" s="93"/>
      <c r="F23" s="93"/>
      <c r="G23" s="93"/>
      <c r="H23" s="93"/>
      <c r="I23" s="93"/>
      <c r="J23" s="93"/>
      <c r="K23" s="14">
        <f>ROUND('Stavební rozpočet'!H153,2)</f>
        <v>0</v>
      </c>
      <c r="L23" s="15">
        <f>'Stavební rozpočet'!J153</f>
        <v>2.6136E-2</v>
      </c>
      <c r="M23" s="13" t="s">
        <v>20</v>
      </c>
      <c r="N23" s="14">
        <f t="shared" si="0"/>
        <v>0</v>
      </c>
      <c r="O23" s="2" t="s">
        <v>21</v>
      </c>
      <c r="P23" s="14">
        <f t="shared" si="1"/>
        <v>0</v>
      </c>
    </row>
    <row r="24" spans="1:16">
      <c r="A24" s="1" t="s">
        <v>44</v>
      </c>
      <c r="B24" s="93" t="s">
        <v>45</v>
      </c>
      <c r="C24" s="93"/>
      <c r="D24" s="93"/>
      <c r="E24" s="93"/>
      <c r="F24" s="93"/>
      <c r="G24" s="93"/>
      <c r="H24" s="93"/>
      <c r="I24" s="93"/>
      <c r="J24" s="93"/>
      <c r="K24" s="14">
        <f>ROUND('Stavební rozpočet'!H156,2)</f>
        <v>0</v>
      </c>
      <c r="L24" s="15">
        <f>'Stavební rozpočet'!J156</f>
        <v>0</v>
      </c>
      <c r="M24" s="13" t="s">
        <v>20</v>
      </c>
      <c r="N24" s="14">
        <f t="shared" si="0"/>
        <v>0</v>
      </c>
      <c r="O24" s="2" t="s">
        <v>21</v>
      </c>
      <c r="P24" s="14">
        <f t="shared" si="1"/>
        <v>0</v>
      </c>
    </row>
    <row r="25" spans="1:16">
      <c r="A25" s="1" t="s">
        <v>46</v>
      </c>
      <c r="B25" s="93" t="s">
        <v>47</v>
      </c>
      <c r="C25" s="93"/>
      <c r="D25" s="93"/>
      <c r="E25" s="93"/>
      <c r="F25" s="93"/>
      <c r="G25" s="93"/>
      <c r="H25" s="93"/>
      <c r="I25" s="93"/>
      <c r="J25" s="93"/>
      <c r="K25" s="14">
        <f>ROUND('Stavební rozpočet'!H167,2)</f>
        <v>0</v>
      </c>
      <c r="L25" s="15">
        <f>'Stavební rozpočet'!J167</f>
        <v>0</v>
      </c>
      <c r="M25" s="13" t="s">
        <v>20</v>
      </c>
      <c r="N25" s="14">
        <f t="shared" si="0"/>
        <v>0</v>
      </c>
      <c r="O25" s="2" t="s">
        <v>21</v>
      </c>
      <c r="P25" s="14">
        <f t="shared" si="1"/>
        <v>0</v>
      </c>
    </row>
    <row r="26" spans="1:16">
      <c r="A26" s="1" t="s">
        <v>48</v>
      </c>
      <c r="B26" s="93" t="s">
        <v>49</v>
      </c>
      <c r="C26" s="93"/>
      <c r="D26" s="93"/>
      <c r="E26" s="93"/>
      <c r="F26" s="93"/>
      <c r="G26" s="93"/>
      <c r="H26" s="93"/>
      <c r="I26" s="93"/>
      <c r="J26" s="93"/>
      <c r="K26" s="14">
        <f>ROUND('Stavební rozpočet'!H170,2)</f>
        <v>0</v>
      </c>
      <c r="L26" s="15">
        <f>'Stavební rozpočet'!J170</f>
        <v>0</v>
      </c>
      <c r="M26" s="13" t="s">
        <v>20</v>
      </c>
      <c r="N26" s="14">
        <f t="shared" si="0"/>
        <v>0</v>
      </c>
      <c r="O26" s="2" t="s">
        <v>21</v>
      </c>
      <c r="P26" s="14">
        <f t="shared" si="1"/>
        <v>0</v>
      </c>
    </row>
    <row r="27" spans="1:16">
      <c r="A27" s="1" t="s">
        <v>50</v>
      </c>
      <c r="B27" s="93" t="s">
        <v>51</v>
      </c>
      <c r="C27" s="93"/>
      <c r="D27" s="93"/>
      <c r="E27" s="93"/>
      <c r="F27" s="93"/>
      <c r="G27" s="93"/>
      <c r="H27" s="93"/>
      <c r="I27" s="93"/>
      <c r="J27" s="93"/>
      <c r="K27" s="14">
        <f>ROUND('Stavební rozpočet'!H186,2)</f>
        <v>0</v>
      </c>
      <c r="L27" s="15">
        <f>'Stavební rozpočet'!J186</f>
        <v>0</v>
      </c>
      <c r="M27" s="13" t="s">
        <v>20</v>
      </c>
      <c r="N27" s="14">
        <f t="shared" si="0"/>
        <v>0</v>
      </c>
      <c r="O27" s="2" t="s">
        <v>21</v>
      </c>
      <c r="P27" s="14">
        <f t="shared" si="1"/>
        <v>0</v>
      </c>
    </row>
    <row r="28" spans="1:16">
      <c r="A28" s="16" t="s">
        <v>52</v>
      </c>
      <c r="B28" s="112" t="s">
        <v>53</v>
      </c>
      <c r="C28" s="112"/>
      <c r="D28" s="112"/>
      <c r="E28" s="112"/>
      <c r="F28" s="112"/>
      <c r="G28" s="112"/>
      <c r="H28" s="112"/>
      <c r="I28" s="112"/>
      <c r="J28" s="112"/>
      <c r="K28" s="17">
        <f>ROUND('Stavební rozpočet'!H190,2)</f>
        <v>0</v>
      </c>
      <c r="L28" s="18">
        <f>'Stavební rozpočet'!J190</f>
        <v>0</v>
      </c>
      <c r="M28" s="13" t="s">
        <v>20</v>
      </c>
      <c r="N28" s="14">
        <f t="shared" si="0"/>
        <v>0</v>
      </c>
      <c r="O28" s="2" t="s">
        <v>21</v>
      </c>
      <c r="P28" s="14">
        <f t="shared" si="1"/>
        <v>0</v>
      </c>
    </row>
    <row r="29" spans="1:16">
      <c r="I29" s="113" t="s">
        <v>54</v>
      </c>
      <c r="J29" s="113"/>
      <c r="K29" s="19">
        <f>ROUND(SUM(N12:N28),0)</f>
        <v>0</v>
      </c>
      <c r="L29" s="191">
        <f>SUM(L12:L28)</f>
        <v>65.053325299999997</v>
      </c>
    </row>
    <row r="30" spans="1:16">
      <c r="A30" s="20" t="s">
        <v>55</v>
      </c>
    </row>
    <row r="31" spans="1:16" ht="12.75" customHeight="1">
      <c r="A31" s="100" t="s">
        <v>21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</row>
  </sheetData>
  <sheetProtection password="F483" sheet="1" objects="1" scenarios="1"/>
  <mergeCells count="46">
    <mergeCell ref="B26:J26"/>
    <mergeCell ref="B27:J27"/>
    <mergeCell ref="B28:J28"/>
    <mergeCell ref="I29:J29"/>
    <mergeCell ref="A31:L31"/>
    <mergeCell ref="B21:J21"/>
    <mergeCell ref="B22:J22"/>
    <mergeCell ref="B23:J23"/>
    <mergeCell ref="B24:J24"/>
    <mergeCell ref="B25:J25"/>
    <mergeCell ref="B16:J16"/>
    <mergeCell ref="B17:J17"/>
    <mergeCell ref="B18:J18"/>
    <mergeCell ref="B19:J19"/>
    <mergeCell ref="B20:J20"/>
    <mergeCell ref="B11:J11"/>
    <mergeCell ref="B12:J12"/>
    <mergeCell ref="B13:J13"/>
    <mergeCell ref="B14:J14"/>
    <mergeCell ref="B15:J15"/>
    <mergeCell ref="J2:L3"/>
    <mergeCell ref="J4:L5"/>
    <mergeCell ref="J6:L7"/>
    <mergeCell ref="J8:L9"/>
    <mergeCell ref="B10:J10"/>
    <mergeCell ref="H8:H9"/>
    <mergeCell ref="I2:I3"/>
    <mergeCell ref="I4:I5"/>
    <mergeCell ref="I6:I7"/>
    <mergeCell ref="I8:I9"/>
    <mergeCell ref="A1:L1"/>
    <mergeCell ref="A2:C3"/>
    <mergeCell ref="A4:C5"/>
    <mergeCell ref="A6:C7"/>
    <mergeCell ref="A8:C9"/>
    <mergeCell ref="D2:F3"/>
    <mergeCell ref="D4:F5"/>
    <mergeCell ref="D6:F7"/>
    <mergeCell ref="D8:F9"/>
    <mergeCell ref="G2:G3"/>
    <mergeCell ref="G4:G5"/>
    <mergeCell ref="G6:G7"/>
    <mergeCell ref="G8:G9"/>
    <mergeCell ref="H2:H3"/>
    <mergeCell ref="H4:H5"/>
    <mergeCell ref="H6:H7"/>
  </mergeCells>
  <pageMargins left="0.393999993801117" right="0.393999993801117" top="0.59100002050399802" bottom="0.59100002050399802" header="0" footer="0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7"/>
  <sheetViews>
    <sheetView workbookViewId="0">
      <selection activeCell="A37" sqref="A37:I37"/>
    </sheetView>
  </sheetViews>
  <sheetFormatPr defaultColWidth="12.140625" defaultRowHeight="15" customHeight="1"/>
  <cols>
    <col min="1" max="1" width="9.140625" customWidth="1"/>
    <col min="2" max="2" width="12.85546875" customWidth="1"/>
    <col min="3" max="3" width="27.140625" customWidth="1"/>
    <col min="4" max="4" width="10" customWidth="1"/>
    <col min="5" max="5" width="14" customWidth="1"/>
    <col min="6" max="6" width="27.140625" customWidth="1"/>
    <col min="7" max="7" width="9.140625" customWidth="1"/>
    <col min="8" max="8" width="12.85546875" customWidth="1"/>
    <col min="9" max="9" width="27.140625" customWidth="1"/>
  </cols>
  <sheetData>
    <row r="1" spans="1:9" ht="54.75" customHeight="1">
      <c r="A1" s="114" t="s">
        <v>56</v>
      </c>
      <c r="B1" s="89"/>
      <c r="C1" s="89"/>
      <c r="D1" s="89"/>
      <c r="E1" s="89"/>
      <c r="F1" s="89"/>
      <c r="G1" s="89"/>
      <c r="H1" s="89"/>
      <c r="I1" s="89"/>
    </row>
    <row r="2" spans="1:9">
      <c r="A2" s="90" t="s">
        <v>0</v>
      </c>
      <c r="B2" s="91"/>
      <c r="C2" s="97" t="str">
        <f>'Stavební rozpočet'!C2</f>
        <v>Výměna podlahy tělocvična ZŠ Hanušovice</v>
      </c>
      <c r="D2" s="98"/>
      <c r="E2" s="101" t="s">
        <v>2</v>
      </c>
      <c r="F2" s="101" t="str">
        <f>'Stavební rozpočet'!I2</f>
        <v>Město Hanušovice</v>
      </c>
      <c r="G2" s="91"/>
      <c r="H2" s="101" t="s">
        <v>57</v>
      </c>
      <c r="I2" s="102" t="s">
        <v>21</v>
      </c>
    </row>
    <row r="3" spans="1:9" ht="15" customHeight="1">
      <c r="A3" s="92"/>
      <c r="B3" s="93"/>
      <c r="C3" s="99"/>
      <c r="D3" s="99"/>
      <c r="E3" s="93"/>
      <c r="F3" s="93"/>
      <c r="G3" s="93"/>
      <c r="H3" s="93"/>
      <c r="I3" s="103"/>
    </row>
    <row r="4" spans="1:9">
      <c r="A4" s="94" t="s">
        <v>3</v>
      </c>
      <c r="B4" s="93"/>
      <c r="C4" s="100" t="str">
        <f>'Stavební rozpočet'!C4</f>
        <v>Oprava a udržovací práce</v>
      </c>
      <c r="D4" s="93"/>
      <c r="E4" s="100" t="s">
        <v>5</v>
      </c>
      <c r="F4" s="100" t="str">
        <f>'Stavební rozpočet'!I4</f>
        <v>Ing.Ladislav Trčka - PROINK</v>
      </c>
      <c r="G4" s="93"/>
      <c r="H4" s="100" t="s">
        <v>57</v>
      </c>
      <c r="I4" s="103" t="s">
        <v>21</v>
      </c>
    </row>
    <row r="5" spans="1:9" ht="15" customHeight="1">
      <c r="A5" s="92"/>
      <c r="B5" s="93"/>
      <c r="C5" s="93"/>
      <c r="D5" s="93"/>
      <c r="E5" s="93"/>
      <c r="F5" s="93"/>
      <c r="G5" s="93"/>
      <c r="H5" s="93"/>
      <c r="I5" s="103"/>
    </row>
    <row r="6" spans="1:9">
      <c r="A6" s="94" t="s">
        <v>6</v>
      </c>
      <c r="B6" s="93"/>
      <c r="C6" s="100" t="str">
        <f>'Stavební rozpočet'!C6</f>
        <v>Hanušovice</v>
      </c>
      <c r="D6" s="93"/>
      <c r="E6" s="100" t="s">
        <v>8</v>
      </c>
      <c r="F6" s="100">
        <f>'Stavební rozpočet'!I6</f>
        <v>0</v>
      </c>
      <c r="G6" s="93"/>
      <c r="H6" s="100" t="s">
        <v>57</v>
      </c>
      <c r="I6" s="103" t="s">
        <v>21</v>
      </c>
    </row>
    <row r="7" spans="1:9" ht="15" customHeight="1">
      <c r="A7" s="92"/>
      <c r="B7" s="93"/>
      <c r="C7" s="93"/>
      <c r="D7" s="93"/>
      <c r="E7" s="93"/>
      <c r="F7" s="93"/>
      <c r="G7" s="93"/>
      <c r="H7" s="93"/>
      <c r="I7" s="103"/>
    </row>
    <row r="8" spans="1:9">
      <c r="A8" s="94" t="s">
        <v>4</v>
      </c>
      <c r="B8" s="93"/>
      <c r="C8" s="100" t="str">
        <f>'Stavební rozpočet'!G4</f>
        <v xml:space="preserve"> </v>
      </c>
      <c r="D8" s="93"/>
      <c r="E8" s="100" t="s">
        <v>7</v>
      </c>
      <c r="F8" s="100" t="str">
        <f>'Stavební rozpočet'!G6</f>
        <v xml:space="preserve"> </v>
      </c>
      <c r="G8" s="93"/>
      <c r="H8" s="93" t="s">
        <v>58</v>
      </c>
      <c r="I8" s="116">
        <v>50</v>
      </c>
    </row>
    <row r="9" spans="1:9">
      <c r="A9" s="92"/>
      <c r="B9" s="93"/>
      <c r="C9" s="93"/>
      <c r="D9" s="93"/>
      <c r="E9" s="93"/>
      <c r="F9" s="93"/>
      <c r="G9" s="93"/>
      <c r="H9" s="93"/>
      <c r="I9" s="103"/>
    </row>
    <row r="10" spans="1:9">
      <c r="A10" s="94" t="s">
        <v>9</v>
      </c>
      <c r="B10" s="93"/>
      <c r="C10" s="100" t="str">
        <f>'Stavební rozpočet'!C8</f>
        <v xml:space="preserve"> </v>
      </c>
      <c r="D10" s="93"/>
      <c r="E10" s="100" t="s">
        <v>11</v>
      </c>
      <c r="F10" s="100">
        <f>'Stavební rozpočet'!I8</f>
        <v>0</v>
      </c>
      <c r="G10" s="93"/>
      <c r="H10" s="93" t="s">
        <v>59</v>
      </c>
      <c r="I10" s="117">
        <f>'Stavební rozpočet'!G8</f>
        <v>0</v>
      </c>
    </row>
    <row r="11" spans="1:9">
      <c r="A11" s="115"/>
      <c r="B11" s="112"/>
      <c r="C11" s="112"/>
      <c r="D11" s="112"/>
      <c r="E11" s="112"/>
      <c r="F11" s="112"/>
      <c r="G11" s="112"/>
      <c r="H11" s="112"/>
      <c r="I11" s="118"/>
    </row>
    <row r="12" spans="1:9" ht="23.25">
      <c r="A12" s="119" t="s">
        <v>60</v>
      </c>
      <c r="B12" s="119"/>
      <c r="C12" s="119"/>
      <c r="D12" s="119"/>
      <c r="E12" s="119"/>
      <c r="F12" s="119"/>
      <c r="G12" s="119"/>
      <c r="H12" s="119"/>
      <c r="I12" s="119"/>
    </row>
    <row r="13" spans="1:9" ht="26.25" customHeight="1">
      <c r="A13" s="21" t="s">
        <v>61</v>
      </c>
      <c r="B13" s="120" t="s">
        <v>62</v>
      </c>
      <c r="C13" s="121"/>
      <c r="D13" s="22" t="s">
        <v>63</v>
      </c>
      <c r="E13" s="120" t="s">
        <v>64</v>
      </c>
      <c r="F13" s="121"/>
      <c r="G13" s="22" t="s">
        <v>65</v>
      </c>
      <c r="H13" s="120" t="s">
        <v>66</v>
      </c>
      <c r="I13" s="121"/>
    </row>
    <row r="14" spans="1:9" ht="15.75">
      <c r="A14" s="23" t="s">
        <v>67</v>
      </c>
      <c r="B14" s="24" t="s">
        <v>68</v>
      </c>
      <c r="C14" s="25">
        <f>SUM('Stavební rozpočet'!AB12:AB386)</f>
        <v>0</v>
      </c>
      <c r="D14" s="128" t="s">
        <v>69</v>
      </c>
      <c r="E14" s="129"/>
      <c r="F14" s="25">
        <f>VORN!I15</f>
        <v>0</v>
      </c>
      <c r="G14" s="128" t="s">
        <v>51</v>
      </c>
      <c r="H14" s="129"/>
      <c r="I14" s="26">
        <f>VORN!I21</f>
        <v>0</v>
      </c>
    </row>
    <row r="15" spans="1:9" ht="15.75">
      <c r="A15" s="27" t="s">
        <v>21</v>
      </c>
      <c r="B15" s="24" t="s">
        <v>70</v>
      </c>
      <c r="C15" s="25">
        <f>SUM('Stavební rozpočet'!AC12:AC386)</f>
        <v>0</v>
      </c>
      <c r="D15" s="128" t="s">
        <v>71</v>
      </c>
      <c r="E15" s="129"/>
      <c r="F15" s="25">
        <f>VORN!I16</f>
        <v>0</v>
      </c>
      <c r="G15" s="128" t="s">
        <v>72</v>
      </c>
      <c r="H15" s="129"/>
      <c r="I15" s="26">
        <f>VORN!I22</f>
        <v>0</v>
      </c>
    </row>
    <row r="16" spans="1:9" ht="15.75">
      <c r="A16" s="23" t="s">
        <v>73</v>
      </c>
      <c r="B16" s="24" t="s">
        <v>68</v>
      </c>
      <c r="C16" s="25">
        <f>SUM('Stavební rozpočet'!AD12:AD386)</f>
        <v>0</v>
      </c>
      <c r="D16" s="128" t="s">
        <v>74</v>
      </c>
      <c r="E16" s="129"/>
      <c r="F16" s="25">
        <f>VORN!I17</f>
        <v>0</v>
      </c>
      <c r="G16" s="128" t="s">
        <v>75</v>
      </c>
      <c r="H16" s="129"/>
      <c r="I16" s="26">
        <f>VORN!I23</f>
        <v>0</v>
      </c>
    </row>
    <row r="17" spans="1:9" ht="15.75">
      <c r="A17" s="27" t="s">
        <v>21</v>
      </c>
      <c r="B17" s="24" t="s">
        <v>70</v>
      </c>
      <c r="C17" s="25">
        <f>SUM('Stavební rozpočet'!AE12:AE386)</f>
        <v>0</v>
      </c>
      <c r="D17" s="128" t="s">
        <v>21</v>
      </c>
      <c r="E17" s="129"/>
      <c r="F17" s="26" t="s">
        <v>21</v>
      </c>
      <c r="G17" s="128" t="s">
        <v>76</v>
      </c>
      <c r="H17" s="129"/>
      <c r="I17" s="26">
        <f>VORN!I24</f>
        <v>0</v>
      </c>
    </row>
    <row r="18" spans="1:9" ht="15.75">
      <c r="A18" s="23" t="s">
        <v>77</v>
      </c>
      <c r="B18" s="24" t="s">
        <v>68</v>
      </c>
      <c r="C18" s="25">
        <f>SUM('Stavební rozpočet'!AF12:AF386)</f>
        <v>0</v>
      </c>
      <c r="D18" s="128" t="s">
        <v>21</v>
      </c>
      <c r="E18" s="129"/>
      <c r="F18" s="26" t="s">
        <v>21</v>
      </c>
      <c r="G18" s="128" t="s">
        <v>78</v>
      </c>
      <c r="H18" s="129"/>
      <c r="I18" s="26">
        <f>VORN!I25</f>
        <v>0</v>
      </c>
    </row>
    <row r="19" spans="1:9" ht="15.75">
      <c r="A19" s="27" t="s">
        <v>21</v>
      </c>
      <c r="B19" s="24" t="s">
        <v>70</v>
      </c>
      <c r="C19" s="25">
        <f>SUM('Stavební rozpočet'!AG12:AG386)</f>
        <v>0</v>
      </c>
      <c r="D19" s="128" t="s">
        <v>21</v>
      </c>
      <c r="E19" s="129"/>
      <c r="F19" s="26" t="s">
        <v>21</v>
      </c>
      <c r="G19" s="128" t="s">
        <v>79</v>
      </c>
      <c r="H19" s="129"/>
      <c r="I19" s="26">
        <f>VORN!I26</f>
        <v>0</v>
      </c>
    </row>
    <row r="20" spans="1:9" ht="15.75">
      <c r="A20" s="122" t="s">
        <v>80</v>
      </c>
      <c r="B20" s="123"/>
      <c r="C20" s="25">
        <f>SUM('Stavební rozpočet'!AH12:AH386)</f>
        <v>0</v>
      </c>
      <c r="D20" s="128" t="s">
        <v>21</v>
      </c>
      <c r="E20" s="129"/>
      <c r="F20" s="26" t="s">
        <v>21</v>
      </c>
      <c r="G20" s="128" t="s">
        <v>21</v>
      </c>
      <c r="H20" s="129"/>
      <c r="I20" s="26" t="s">
        <v>21</v>
      </c>
    </row>
    <row r="21" spans="1:9" ht="15.75">
      <c r="A21" s="124" t="s">
        <v>81</v>
      </c>
      <c r="B21" s="125"/>
      <c r="C21" s="28">
        <f>SUM('Stavební rozpočet'!Z12:Z386)</f>
        <v>0</v>
      </c>
      <c r="D21" s="130" t="s">
        <v>21</v>
      </c>
      <c r="E21" s="131"/>
      <c r="F21" s="29" t="s">
        <v>21</v>
      </c>
      <c r="G21" s="130" t="s">
        <v>21</v>
      </c>
      <c r="H21" s="131"/>
      <c r="I21" s="29" t="s">
        <v>21</v>
      </c>
    </row>
    <row r="22" spans="1:9" ht="16.5" customHeight="1">
      <c r="A22" s="126" t="s">
        <v>82</v>
      </c>
      <c r="B22" s="127"/>
      <c r="C22" s="30">
        <f>ROUND(SUM(C14:C21),0)</f>
        <v>0</v>
      </c>
      <c r="D22" s="132" t="s">
        <v>83</v>
      </c>
      <c r="E22" s="127"/>
      <c r="F22" s="30">
        <f>SUM(F14:F21)</f>
        <v>0</v>
      </c>
      <c r="G22" s="132" t="s">
        <v>84</v>
      </c>
      <c r="H22" s="127"/>
      <c r="I22" s="30">
        <f>SUM(I14:I21)</f>
        <v>0</v>
      </c>
    </row>
    <row r="23" spans="1:9" ht="15.75">
      <c r="D23" s="122" t="s">
        <v>85</v>
      </c>
      <c r="E23" s="123"/>
      <c r="F23" s="31">
        <v>0</v>
      </c>
      <c r="G23" s="133" t="s">
        <v>86</v>
      </c>
      <c r="H23" s="123"/>
      <c r="I23" s="25">
        <v>0</v>
      </c>
    </row>
    <row r="24" spans="1:9" ht="15.75">
      <c r="G24" s="122" t="s">
        <v>87</v>
      </c>
      <c r="H24" s="123"/>
      <c r="I24" s="28">
        <f>vorn_sum</f>
        <v>0</v>
      </c>
    </row>
    <row r="25" spans="1:9" ht="15.75">
      <c r="G25" s="122" t="s">
        <v>88</v>
      </c>
      <c r="H25" s="123"/>
      <c r="I25" s="30">
        <v>0</v>
      </c>
    </row>
    <row r="27" spans="1:9" ht="15.75">
      <c r="A27" s="134" t="s">
        <v>89</v>
      </c>
      <c r="B27" s="135"/>
      <c r="C27" s="32">
        <f>ROUND(SUM('Stavební rozpočet'!AJ12:AJ386),0)</f>
        <v>0</v>
      </c>
    </row>
    <row r="28" spans="1:9" ht="15.75">
      <c r="A28" s="136" t="s">
        <v>90</v>
      </c>
      <c r="B28" s="137"/>
      <c r="C28" s="33">
        <f>ROUND(SUM('Stavební rozpočet'!AK12:AK386),0)</f>
        <v>0</v>
      </c>
      <c r="D28" s="138" t="s">
        <v>91</v>
      </c>
      <c r="E28" s="135"/>
      <c r="F28" s="32">
        <f>ROUND(C28*(12/100),2)</f>
        <v>0</v>
      </c>
      <c r="G28" s="138" t="s">
        <v>92</v>
      </c>
      <c r="H28" s="135"/>
      <c r="I28" s="32">
        <f>ROUND(SUM(C27:C29),0)</f>
        <v>0</v>
      </c>
    </row>
    <row r="29" spans="1:9" ht="15.75">
      <c r="A29" s="136" t="s">
        <v>93</v>
      </c>
      <c r="B29" s="137"/>
      <c r="C29" s="33">
        <f>ROUND(SUM('Stavební rozpočet'!AL12:AL386),0)</f>
        <v>0</v>
      </c>
      <c r="D29" s="139" t="s">
        <v>94</v>
      </c>
      <c r="E29" s="137"/>
      <c r="F29" s="33">
        <f>ROUND(C29*(21/100),2)</f>
        <v>0</v>
      </c>
      <c r="G29" s="139" t="s">
        <v>95</v>
      </c>
      <c r="H29" s="137"/>
      <c r="I29" s="33">
        <f>ROUND(SUM(F28:F29)+I28,0)</f>
        <v>0</v>
      </c>
    </row>
    <row r="31" spans="1:9">
      <c r="A31" s="140" t="s">
        <v>96</v>
      </c>
      <c r="B31" s="141"/>
      <c r="C31" s="142"/>
      <c r="D31" s="149" t="s">
        <v>97</v>
      </c>
      <c r="E31" s="141"/>
      <c r="F31" s="142"/>
      <c r="G31" s="149" t="s">
        <v>98</v>
      </c>
      <c r="H31" s="141"/>
      <c r="I31" s="142"/>
    </row>
    <row r="32" spans="1:9">
      <c r="A32" s="143" t="s">
        <v>21</v>
      </c>
      <c r="B32" s="144"/>
      <c r="C32" s="145"/>
      <c r="D32" s="150" t="s">
        <v>21</v>
      </c>
      <c r="E32" s="144"/>
      <c r="F32" s="145"/>
      <c r="G32" s="150" t="s">
        <v>21</v>
      </c>
      <c r="H32" s="144"/>
      <c r="I32" s="145"/>
    </row>
    <row r="33" spans="1:9">
      <c r="A33" s="143" t="s">
        <v>21</v>
      </c>
      <c r="B33" s="144"/>
      <c r="C33" s="145"/>
      <c r="D33" s="150" t="s">
        <v>21</v>
      </c>
      <c r="E33" s="144"/>
      <c r="F33" s="145"/>
      <c r="G33" s="150" t="s">
        <v>21</v>
      </c>
      <c r="H33" s="144"/>
      <c r="I33" s="145"/>
    </row>
    <row r="34" spans="1:9">
      <c r="A34" s="143" t="s">
        <v>21</v>
      </c>
      <c r="B34" s="144"/>
      <c r="C34" s="145"/>
      <c r="D34" s="150" t="s">
        <v>21</v>
      </c>
      <c r="E34" s="144"/>
      <c r="F34" s="145"/>
      <c r="G34" s="150" t="s">
        <v>21</v>
      </c>
      <c r="H34" s="144"/>
      <c r="I34" s="145"/>
    </row>
    <row r="35" spans="1:9">
      <c r="A35" s="146" t="s">
        <v>99</v>
      </c>
      <c r="B35" s="147"/>
      <c r="C35" s="148"/>
      <c r="D35" s="151" t="s">
        <v>99</v>
      </c>
      <c r="E35" s="147"/>
      <c r="F35" s="148"/>
      <c r="G35" s="151" t="s">
        <v>99</v>
      </c>
      <c r="H35" s="147"/>
      <c r="I35" s="148"/>
    </row>
    <row r="36" spans="1:9">
      <c r="A36" s="34" t="s">
        <v>55</v>
      </c>
    </row>
    <row r="37" spans="1:9" ht="12.75" customHeight="1">
      <c r="A37" s="100" t="s">
        <v>21</v>
      </c>
      <c r="B37" s="93"/>
      <c r="C37" s="93"/>
      <c r="D37" s="93"/>
      <c r="E37" s="93"/>
      <c r="F37" s="93"/>
      <c r="G37" s="93"/>
      <c r="H37" s="93"/>
      <c r="I37" s="93"/>
    </row>
  </sheetData>
  <sheetProtection password="F483" sheet="1"/>
  <mergeCells count="83">
    <mergeCell ref="A37:I37"/>
    <mergeCell ref="G31:I31"/>
    <mergeCell ref="G32:I32"/>
    <mergeCell ref="G33:I33"/>
    <mergeCell ref="G34:I34"/>
    <mergeCell ref="G35:I35"/>
    <mergeCell ref="D31:F31"/>
    <mergeCell ref="D32:F32"/>
    <mergeCell ref="D33:F33"/>
    <mergeCell ref="D34:F34"/>
    <mergeCell ref="D35:F35"/>
    <mergeCell ref="A31:C31"/>
    <mergeCell ref="A32:C32"/>
    <mergeCell ref="A33:C33"/>
    <mergeCell ref="A34:C34"/>
    <mergeCell ref="A35:C35"/>
    <mergeCell ref="G24:H24"/>
    <mergeCell ref="G25:H25"/>
    <mergeCell ref="A27:B27"/>
    <mergeCell ref="A28:B28"/>
    <mergeCell ref="A29:B29"/>
    <mergeCell ref="D28:E28"/>
    <mergeCell ref="D29:E29"/>
    <mergeCell ref="G28:H28"/>
    <mergeCell ref="G29:H29"/>
    <mergeCell ref="D23:E2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A20:B20"/>
    <mergeCell ref="A21:B21"/>
    <mergeCell ref="A22:B22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I10:I11"/>
    <mergeCell ref="A12:I12"/>
    <mergeCell ref="B13:C13"/>
    <mergeCell ref="E13:F13"/>
    <mergeCell ref="H13:I13"/>
    <mergeCell ref="F10:G11"/>
    <mergeCell ref="H2:H3"/>
    <mergeCell ref="H4:H5"/>
    <mergeCell ref="H6:H7"/>
    <mergeCell ref="H8:H9"/>
    <mergeCell ref="H10:H11"/>
    <mergeCell ref="A10:B11"/>
    <mergeCell ref="E2:E3"/>
    <mergeCell ref="E4:E5"/>
    <mergeCell ref="E6:E7"/>
    <mergeCell ref="E8:E9"/>
    <mergeCell ref="E10:E11"/>
    <mergeCell ref="C2:D3"/>
    <mergeCell ref="C4:D5"/>
    <mergeCell ref="C6:D7"/>
    <mergeCell ref="C8:D9"/>
    <mergeCell ref="C10:D11"/>
    <mergeCell ref="A1:I1"/>
    <mergeCell ref="A2:B3"/>
    <mergeCell ref="A4:B5"/>
    <mergeCell ref="A6:B7"/>
    <mergeCell ref="A8:B9"/>
    <mergeCell ref="F2:G3"/>
    <mergeCell ref="F4:G5"/>
    <mergeCell ref="F6:G7"/>
    <mergeCell ref="F8:G9"/>
    <mergeCell ref="I2:I3"/>
    <mergeCell ref="I4:I5"/>
    <mergeCell ref="I6:I7"/>
    <mergeCell ref="I8:I9"/>
  </mergeCells>
  <pageMargins left="0.393999993801117" right="0.393999993801117" top="0.59100002050399802" bottom="0.59100002050399802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5"/>
  <sheetViews>
    <sheetView workbookViewId="0">
      <selection activeCell="A45" sqref="A45:E45"/>
    </sheetView>
  </sheetViews>
  <sheetFormatPr defaultColWidth="12.140625" defaultRowHeight="15" customHeight="1"/>
  <cols>
    <col min="1" max="1" width="9.140625" customWidth="1"/>
    <col min="2" max="2" width="12.85546875" customWidth="1"/>
    <col min="3" max="3" width="22.85546875" customWidth="1"/>
    <col min="4" max="4" width="10" customWidth="1"/>
    <col min="5" max="5" width="14" customWidth="1"/>
    <col min="6" max="6" width="22.85546875" customWidth="1"/>
    <col min="7" max="7" width="9.140625" customWidth="1"/>
    <col min="8" max="8" width="17.140625" customWidth="1"/>
    <col min="9" max="9" width="22.85546875" customWidth="1"/>
  </cols>
  <sheetData>
    <row r="1" spans="1:9" ht="54.75" customHeight="1">
      <c r="A1" s="114" t="s">
        <v>100</v>
      </c>
      <c r="B1" s="89"/>
      <c r="C1" s="89"/>
      <c r="D1" s="89"/>
      <c r="E1" s="89"/>
      <c r="F1" s="89"/>
      <c r="G1" s="89"/>
      <c r="H1" s="89"/>
      <c r="I1" s="89"/>
    </row>
    <row r="2" spans="1:9">
      <c r="A2" s="90" t="s">
        <v>0</v>
      </c>
      <c r="B2" s="91"/>
      <c r="C2" s="97" t="str">
        <f>'Stavební rozpočet'!C2</f>
        <v>Výměna podlahy tělocvična ZŠ Hanušovice</v>
      </c>
      <c r="D2" s="98"/>
      <c r="E2" s="101" t="s">
        <v>2</v>
      </c>
      <c r="F2" s="101" t="str">
        <f>'Stavební rozpočet'!I2</f>
        <v>Město Hanušovice</v>
      </c>
      <c r="G2" s="91"/>
      <c r="H2" s="101" t="s">
        <v>57</v>
      </c>
      <c r="I2" s="102" t="s">
        <v>21</v>
      </c>
    </row>
    <row r="3" spans="1:9" ht="15" customHeight="1">
      <c r="A3" s="92"/>
      <c r="B3" s="93"/>
      <c r="C3" s="99"/>
      <c r="D3" s="99"/>
      <c r="E3" s="93"/>
      <c r="F3" s="93"/>
      <c r="G3" s="93"/>
      <c r="H3" s="93"/>
      <c r="I3" s="103"/>
    </row>
    <row r="4" spans="1:9">
      <c r="A4" s="94" t="s">
        <v>3</v>
      </c>
      <c r="B4" s="93"/>
      <c r="C4" s="100" t="str">
        <f>'Stavební rozpočet'!C4</f>
        <v>Oprava a udržovací práce</v>
      </c>
      <c r="D4" s="93"/>
      <c r="E4" s="100" t="s">
        <v>5</v>
      </c>
      <c r="F4" s="100" t="str">
        <f>'Stavební rozpočet'!I4</f>
        <v>Ing.Ladislav Trčka - PROINK</v>
      </c>
      <c r="G4" s="93"/>
      <c r="H4" s="100" t="s">
        <v>57</v>
      </c>
      <c r="I4" s="103" t="s">
        <v>21</v>
      </c>
    </row>
    <row r="5" spans="1:9" ht="15" customHeight="1">
      <c r="A5" s="92"/>
      <c r="B5" s="93"/>
      <c r="C5" s="93"/>
      <c r="D5" s="93"/>
      <c r="E5" s="93"/>
      <c r="F5" s="93"/>
      <c r="G5" s="93"/>
      <c r="H5" s="93"/>
      <c r="I5" s="103"/>
    </row>
    <row r="6" spans="1:9">
      <c r="A6" s="94" t="s">
        <v>6</v>
      </c>
      <c r="B6" s="93"/>
      <c r="C6" s="100" t="str">
        <f>'Stavební rozpočet'!C6</f>
        <v>Hanušovice</v>
      </c>
      <c r="D6" s="93"/>
      <c r="E6" s="100" t="s">
        <v>8</v>
      </c>
      <c r="F6" s="100">
        <f>'Stavební rozpočet'!I6</f>
        <v>0</v>
      </c>
      <c r="G6" s="93"/>
      <c r="H6" s="100" t="s">
        <v>57</v>
      </c>
      <c r="I6" s="103" t="s">
        <v>21</v>
      </c>
    </row>
    <row r="7" spans="1:9" ht="15" customHeight="1">
      <c r="A7" s="92"/>
      <c r="B7" s="93"/>
      <c r="C7" s="93"/>
      <c r="D7" s="93"/>
      <c r="E7" s="93"/>
      <c r="F7" s="93"/>
      <c r="G7" s="93"/>
      <c r="H7" s="93"/>
      <c r="I7" s="103"/>
    </row>
    <row r="8" spans="1:9">
      <c r="A8" s="94" t="s">
        <v>4</v>
      </c>
      <c r="B8" s="93"/>
      <c r="C8" s="100" t="str">
        <f>'Stavební rozpočet'!G4</f>
        <v xml:space="preserve"> </v>
      </c>
      <c r="D8" s="93"/>
      <c r="E8" s="100" t="s">
        <v>7</v>
      </c>
      <c r="F8" s="100" t="str">
        <f>'Stavební rozpočet'!G6</f>
        <v xml:space="preserve"> </v>
      </c>
      <c r="G8" s="93"/>
      <c r="H8" s="93" t="s">
        <v>58</v>
      </c>
      <c r="I8" s="116">
        <v>50</v>
      </c>
    </row>
    <row r="9" spans="1:9">
      <c r="A9" s="92"/>
      <c r="B9" s="93"/>
      <c r="C9" s="93"/>
      <c r="D9" s="93"/>
      <c r="E9" s="93"/>
      <c r="F9" s="93"/>
      <c r="G9" s="93"/>
      <c r="H9" s="93"/>
      <c r="I9" s="103"/>
    </row>
    <row r="10" spans="1:9">
      <c r="A10" s="94" t="s">
        <v>9</v>
      </c>
      <c r="B10" s="93"/>
      <c r="C10" s="100" t="str">
        <f>'Stavební rozpočet'!C8</f>
        <v xml:space="preserve"> </v>
      </c>
      <c r="D10" s="93"/>
      <c r="E10" s="100" t="s">
        <v>11</v>
      </c>
      <c r="F10" s="100">
        <f>'Stavební rozpočet'!I8</f>
        <v>0</v>
      </c>
      <c r="G10" s="93"/>
      <c r="H10" s="93" t="s">
        <v>59</v>
      </c>
      <c r="I10" s="117">
        <f>'Stavební rozpočet'!G8</f>
        <v>0</v>
      </c>
    </row>
    <row r="11" spans="1:9">
      <c r="A11" s="115"/>
      <c r="B11" s="112"/>
      <c r="C11" s="112"/>
      <c r="D11" s="112"/>
      <c r="E11" s="112"/>
      <c r="F11" s="112"/>
      <c r="G11" s="112"/>
      <c r="H11" s="112"/>
      <c r="I11" s="118"/>
    </row>
    <row r="13" spans="1:9" ht="15.75">
      <c r="A13" s="152" t="s">
        <v>101</v>
      </c>
      <c r="B13" s="152"/>
      <c r="C13" s="152"/>
      <c r="D13" s="152"/>
      <c r="E13" s="152"/>
    </row>
    <row r="14" spans="1:9">
      <c r="A14" s="153" t="s">
        <v>102</v>
      </c>
      <c r="B14" s="154"/>
      <c r="C14" s="154"/>
      <c r="D14" s="154"/>
      <c r="E14" s="155"/>
      <c r="F14" s="35" t="s">
        <v>103</v>
      </c>
      <c r="G14" s="35" t="s">
        <v>104</v>
      </c>
      <c r="H14" s="35" t="s">
        <v>105</v>
      </c>
      <c r="I14" s="35" t="s">
        <v>103</v>
      </c>
    </row>
    <row r="15" spans="1:9">
      <c r="A15" s="156" t="s">
        <v>69</v>
      </c>
      <c r="B15" s="157"/>
      <c r="C15" s="157"/>
      <c r="D15" s="157"/>
      <c r="E15" s="158"/>
      <c r="F15" s="36">
        <v>0</v>
      </c>
      <c r="G15" s="37" t="s">
        <v>21</v>
      </c>
      <c r="H15" s="37" t="s">
        <v>21</v>
      </c>
      <c r="I15" s="36">
        <f>F15</f>
        <v>0</v>
      </c>
    </row>
    <row r="16" spans="1:9">
      <c r="A16" s="156" t="s">
        <v>71</v>
      </c>
      <c r="B16" s="157"/>
      <c r="C16" s="157"/>
      <c r="D16" s="157"/>
      <c r="E16" s="158"/>
      <c r="F16" s="36">
        <v>0</v>
      </c>
      <c r="G16" s="37" t="s">
        <v>21</v>
      </c>
      <c r="H16" s="37" t="s">
        <v>21</v>
      </c>
      <c r="I16" s="36">
        <f>F16</f>
        <v>0</v>
      </c>
    </row>
    <row r="17" spans="1:9">
      <c r="A17" s="159" t="s">
        <v>74</v>
      </c>
      <c r="B17" s="160"/>
      <c r="C17" s="160"/>
      <c r="D17" s="160"/>
      <c r="E17" s="161"/>
      <c r="F17" s="38">
        <v>0</v>
      </c>
      <c r="G17" s="39" t="s">
        <v>21</v>
      </c>
      <c r="H17" s="39" t="s">
        <v>21</v>
      </c>
      <c r="I17" s="38">
        <f>F17</f>
        <v>0</v>
      </c>
    </row>
    <row r="18" spans="1:9">
      <c r="A18" s="162" t="s">
        <v>106</v>
      </c>
      <c r="B18" s="163"/>
      <c r="C18" s="163"/>
      <c r="D18" s="163"/>
      <c r="E18" s="164"/>
      <c r="F18" s="40" t="s">
        <v>21</v>
      </c>
      <c r="G18" s="41" t="s">
        <v>21</v>
      </c>
      <c r="H18" s="41" t="s">
        <v>21</v>
      </c>
      <c r="I18" s="42">
        <f>SUM(I15:I17)</f>
        <v>0</v>
      </c>
    </row>
    <row r="20" spans="1:9">
      <c r="A20" s="153" t="s">
        <v>66</v>
      </c>
      <c r="B20" s="154"/>
      <c r="C20" s="154"/>
      <c r="D20" s="154"/>
      <c r="E20" s="155"/>
      <c r="F20" s="35" t="s">
        <v>103</v>
      </c>
      <c r="G20" s="35" t="s">
        <v>104</v>
      </c>
      <c r="H20" s="35" t="s">
        <v>105</v>
      </c>
      <c r="I20" s="35" t="s">
        <v>103</v>
      </c>
    </row>
    <row r="21" spans="1:9">
      <c r="A21" s="156" t="s">
        <v>51</v>
      </c>
      <c r="B21" s="157"/>
      <c r="C21" s="157"/>
      <c r="D21" s="157"/>
      <c r="E21" s="158"/>
      <c r="F21" s="36">
        <v>0</v>
      </c>
      <c r="G21" s="37" t="s">
        <v>21</v>
      </c>
      <c r="H21" s="37" t="s">
        <v>21</v>
      </c>
      <c r="I21" s="36">
        <f t="shared" ref="I21:I26" si="0">F21</f>
        <v>0</v>
      </c>
    </row>
    <row r="22" spans="1:9">
      <c r="A22" s="156" t="s">
        <v>72</v>
      </c>
      <c r="B22" s="157"/>
      <c r="C22" s="157"/>
      <c r="D22" s="157"/>
      <c r="E22" s="158"/>
      <c r="F22" s="36">
        <v>0</v>
      </c>
      <c r="G22" s="37" t="s">
        <v>21</v>
      </c>
      <c r="H22" s="37" t="s">
        <v>21</v>
      </c>
      <c r="I22" s="36">
        <f t="shared" si="0"/>
        <v>0</v>
      </c>
    </row>
    <row r="23" spans="1:9">
      <c r="A23" s="156" t="s">
        <v>75</v>
      </c>
      <c r="B23" s="157"/>
      <c r="C23" s="157"/>
      <c r="D23" s="157"/>
      <c r="E23" s="158"/>
      <c r="F23" s="36">
        <v>0</v>
      </c>
      <c r="G23" s="37" t="s">
        <v>21</v>
      </c>
      <c r="H23" s="37" t="s">
        <v>21</v>
      </c>
      <c r="I23" s="36">
        <f t="shared" si="0"/>
        <v>0</v>
      </c>
    </row>
    <row r="24" spans="1:9">
      <c r="A24" s="156" t="s">
        <v>76</v>
      </c>
      <c r="B24" s="157"/>
      <c r="C24" s="157"/>
      <c r="D24" s="157"/>
      <c r="E24" s="158"/>
      <c r="F24" s="36">
        <v>0</v>
      </c>
      <c r="G24" s="37" t="s">
        <v>21</v>
      </c>
      <c r="H24" s="37" t="s">
        <v>21</v>
      </c>
      <c r="I24" s="36">
        <f t="shared" si="0"/>
        <v>0</v>
      </c>
    </row>
    <row r="25" spans="1:9">
      <c r="A25" s="156" t="s">
        <v>78</v>
      </c>
      <c r="B25" s="157"/>
      <c r="C25" s="157"/>
      <c r="D25" s="157"/>
      <c r="E25" s="158"/>
      <c r="F25" s="36">
        <v>0</v>
      </c>
      <c r="G25" s="37" t="s">
        <v>21</v>
      </c>
      <c r="H25" s="37" t="s">
        <v>21</v>
      </c>
      <c r="I25" s="36">
        <f t="shared" si="0"/>
        <v>0</v>
      </c>
    </row>
    <row r="26" spans="1:9">
      <c r="A26" s="159" t="s">
        <v>79</v>
      </c>
      <c r="B26" s="160"/>
      <c r="C26" s="160"/>
      <c r="D26" s="160"/>
      <c r="E26" s="161"/>
      <c r="F26" s="38">
        <v>0</v>
      </c>
      <c r="G26" s="39" t="s">
        <v>21</v>
      </c>
      <c r="H26" s="39" t="s">
        <v>21</v>
      </c>
      <c r="I26" s="38">
        <f t="shared" si="0"/>
        <v>0</v>
      </c>
    </row>
    <row r="27" spans="1:9">
      <c r="A27" s="162" t="s">
        <v>107</v>
      </c>
      <c r="B27" s="163"/>
      <c r="C27" s="163"/>
      <c r="D27" s="163"/>
      <c r="E27" s="164"/>
      <c r="F27" s="40" t="s">
        <v>21</v>
      </c>
      <c r="G27" s="41" t="s">
        <v>21</v>
      </c>
      <c r="H27" s="41" t="s">
        <v>21</v>
      </c>
      <c r="I27" s="42">
        <f>SUM(I21:I26)</f>
        <v>0</v>
      </c>
    </row>
    <row r="29" spans="1:9" ht="15.75">
      <c r="A29" s="165" t="s">
        <v>108</v>
      </c>
      <c r="B29" s="166"/>
      <c r="C29" s="166"/>
      <c r="D29" s="166"/>
      <c r="E29" s="167"/>
      <c r="F29" s="168">
        <f>I18+I27</f>
        <v>0</v>
      </c>
      <c r="G29" s="169"/>
      <c r="H29" s="169"/>
      <c r="I29" s="170"/>
    </row>
    <row r="33" spans="1:9" ht="15.75">
      <c r="A33" s="152" t="s">
        <v>109</v>
      </c>
      <c r="B33" s="152"/>
      <c r="C33" s="152"/>
      <c r="D33" s="152"/>
      <c r="E33" s="152"/>
    </row>
    <row r="34" spans="1:9">
      <c r="A34" s="153" t="s">
        <v>110</v>
      </c>
      <c r="B34" s="154"/>
      <c r="C34" s="154"/>
      <c r="D34" s="154"/>
      <c r="E34" s="155"/>
      <c r="F34" s="35" t="s">
        <v>103</v>
      </c>
      <c r="G34" s="35" t="s">
        <v>104</v>
      </c>
      <c r="H34" s="35" t="s">
        <v>105</v>
      </c>
      <c r="I34" s="35" t="s">
        <v>103</v>
      </c>
    </row>
    <row r="35" spans="1:9">
      <c r="A35" s="156" t="s">
        <v>111</v>
      </c>
      <c r="B35" s="157"/>
      <c r="C35" s="157"/>
      <c r="D35" s="157"/>
      <c r="E35" s="158"/>
      <c r="F35" s="36">
        <f>SUM('Stavební rozpočet'!BM12:BM386)</f>
        <v>0</v>
      </c>
      <c r="G35" s="37" t="s">
        <v>21</v>
      </c>
      <c r="H35" s="37" t="s">
        <v>21</v>
      </c>
      <c r="I35" s="36">
        <f t="shared" ref="I35:I44" si="1">F35</f>
        <v>0</v>
      </c>
    </row>
    <row r="36" spans="1:9">
      <c r="A36" s="156" t="s">
        <v>112</v>
      </c>
      <c r="B36" s="157"/>
      <c r="C36" s="157"/>
      <c r="D36" s="157"/>
      <c r="E36" s="158"/>
      <c r="F36" s="36">
        <f>SUM('Stavební rozpočet'!BN12:BN386)</f>
        <v>0</v>
      </c>
      <c r="G36" s="37" t="s">
        <v>21</v>
      </c>
      <c r="H36" s="37" t="s">
        <v>21</v>
      </c>
      <c r="I36" s="36">
        <f t="shared" si="1"/>
        <v>0</v>
      </c>
    </row>
    <row r="37" spans="1:9">
      <c r="A37" s="156" t="s">
        <v>51</v>
      </c>
      <c r="B37" s="157"/>
      <c r="C37" s="157"/>
      <c r="D37" s="157"/>
      <c r="E37" s="158"/>
      <c r="F37" s="36">
        <f>SUM('Stavební rozpočet'!BO12:BO386)</f>
        <v>0</v>
      </c>
      <c r="G37" s="37" t="s">
        <v>21</v>
      </c>
      <c r="H37" s="37" t="s">
        <v>21</v>
      </c>
      <c r="I37" s="36">
        <f t="shared" si="1"/>
        <v>0</v>
      </c>
    </row>
    <row r="38" spans="1:9">
      <c r="A38" s="156" t="s">
        <v>113</v>
      </c>
      <c r="B38" s="157"/>
      <c r="C38" s="157"/>
      <c r="D38" s="157"/>
      <c r="E38" s="158"/>
      <c r="F38" s="36">
        <f>SUM('Stavební rozpočet'!BP12:BP386)</f>
        <v>0</v>
      </c>
      <c r="G38" s="37" t="s">
        <v>21</v>
      </c>
      <c r="H38" s="37" t="s">
        <v>21</v>
      </c>
      <c r="I38" s="36">
        <f t="shared" si="1"/>
        <v>0</v>
      </c>
    </row>
    <row r="39" spans="1:9">
      <c r="A39" s="156" t="s">
        <v>114</v>
      </c>
      <c r="B39" s="157"/>
      <c r="C39" s="157"/>
      <c r="D39" s="157"/>
      <c r="E39" s="158"/>
      <c r="F39" s="36">
        <f>SUM('Stavební rozpočet'!BQ12:BQ386)</f>
        <v>0</v>
      </c>
      <c r="G39" s="37" t="s">
        <v>21</v>
      </c>
      <c r="H39" s="37" t="s">
        <v>21</v>
      </c>
      <c r="I39" s="36">
        <f t="shared" si="1"/>
        <v>0</v>
      </c>
    </row>
    <row r="40" spans="1:9">
      <c r="A40" s="156" t="s">
        <v>75</v>
      </c>
      <c r="B40" s="157"/>
      <c r="C40" s="157"/>
      <c r="D40" s="157"/>
      <c r="E40" s="158"/>
      <c r="F40" s="36">
        <f>SUM('Stavební rozpočet'!BR12:BR386)</f>
        <v>0</v>
      </c>
      <c r="G40" s="37" t="s">
        <v>21</v>
      </c>
      <c r="H40" s="37" t="s">
        <v>21</v>
      </c>
      <c r="I40" s="36">
        <f t="shared" si="1"/>
        <v>0</v>
      </c>
    </row>
    <row r="41" spans="1:9">
      <c r="A41" s="156" t="s">
        <v>76</v>
      </c>
      <c r="B41" s="157"/>
      <c r="C41" s="157"/>
      <c r="D41" s="157"/>
      <c r="E41" s="158"/>
      <c r="F41" s="36">
        <f>SUM('Stavební rozpočet'!BS12:BS386)</f>
        <v>0</v>
      </c>
      <c r="G41" s="37" t="s">
        <v>21</v>
      </c>
      <c r="H41" s="37" t="s">
        <v>21</v>
      </c>
      <c r="I41" s="36">
        <f t="shared" si="1"/>
        <v>0</v>
      </c>
    </row>
    <row r="42" spans="1:9">
      <c r="A42" s="156" t="s">
        <v>115</v>
      </c>
      <c r="B42" s="157"/>
      <c r="C42" s="157"/>
      <c r="D42" s="157"/>
      <c r="E42" s="158"/>
      <c r="F42" s="36">
        <f>SUM('Stavební rozpočet'!BT12:BT386)</f>
        <v>0</v>
      </c>
      <c r="G42" s="37" t="s">
        <v>21</v>
      </c>
      <c r="H42" s="37" t="s">
        <v>21</v>
      </c>
      <c r="I42" s="36">
        <f t="shared" si="1"/>
        <v>0</v>
      </c>
    </row>
    <row r="43" spans="1:9">
      <c r="A43" s="156" t="s">
        <v>53</v>
      </c>
      <c r="B43" s="157"/>
      <c r="C43" s="157"/>
      <c r="D43" s="157"/>
      <c r="E43" s="158"/>
      <c r="F43" s="36">
        <f>SUM('Stavební rozpočet'!BU12:BU386)</f>
        <v>0</v>
      </c>
      <c r="G43" s="37" t="s">
        <v>21</v>
      </c>
      <c r="H43" s="37" t="s">
        <v>21</v>
      </c>
      <c r="I43" s="36">
        <f t="shared" si="1"/>
        <v>0</v>
      </c>
    </row>
    <row r="44" spans="1:9">
      <c r="A44" s="159" t="s">
        <v>116</v>
      </c>
      <c r="B44" s="160"/>
      <c r="C44" s="160"/>
      <c r="D44" s="160"/>
      <c r="E44" s="161"/>
      <c r="F44" s="38">
        <f>SUM('Stavební rozpočet'!BV12:BV386)</f>
        <v>0</v>
      </c>
      <c r="G44" s="39" t="s">
        <v>21</v>
      </c>
      <c r="H44" s="39" t="s">
        <v>21</v>
      </c>
      <c r="I44" s="38">
        <f t="shared" si="1"/>
        <v>0</v>
      </c>
    </row>
    <row r="45" spans="1:9">
      <c r="A45" s="162" t="s">
        <v>117</v>
      </c>
      <c r="B45" s="163"/>
      <c r="C45" s="163"/>
      <c r="D45" s="163"/>
      <c r="E45" s="164"/>
      <c r="F45" s="40" t="s">
        <v>21</v>
      </c>
      <c r="G45" s="41" t="s">
        <v>21</v>
      </c>
      <c r="H45" s="41" t="s">
        <v>21</v>
      </c>
      <c r="I45" s="42">
        <f>SUM(I35:I44)</f>
        <v>0</v>
      </c>
    </row>
  </sheetData>
  <sheetProtection password="F483" sheet="1"/>
  <mergeCells count="60">
    <mergeCell ref="A41:E41"/>
    <mergeCell ref="A42:E42"/>
    <mergeCell ref="A43:E43"/>
    <mergeCell ref="A44:E44"/>
    <mergeCell ref="A45:E45"/>
    <mergeCell ref="A36:E36"/>
    <mergeCell ref="A37:E37"/>
    <mergeCell ref="A38:E38"/>
    <mergeCell ref="A39:E39"/>
    <mergeCell ref="A40:E40"/>
    <mergeCell ref="A29:E29"/>
    <mergeCell ref="F29:I29"/>
    <mergeCell ref="A33:E33"/>
    <mergeCell ref="A34:E34"/>
    <mergeCell ref="A35:E35"/>
    <mergeCell ref="A23:E23"/>
    <mergeCell ref="A24:E24"/>
    <mergeCell ref="A25:E25"/>
    <mergeCell ref="A26:E26"/>
    <mergeCell ref="A27:E27"/>
    <mergeCell ref="A17:E17"/>
    <mergeCell ref="A18:E18"/>
    <mergeCell ref="A20:E20"/>
    <mergeCell ref="A21:E21"/>
    <mergeCell ref="A22:E22"/>
    <mergeCell ref="I10:I11"/>
    <mergeCell ref="A13:E13"/>
    <mergeCell ref="A14:E14"/>
    <mergeCell ref="A15:E15"/>
    <mergeCell ref="A16:E16"/>
    <mergeCell ref="H10:H11"/>
    <mergeCell ref="C2:D3"/>
    <mergeCell ref="C4:D5"/>
    <mergeCell ref="C6:D7"/>
    <mergeCell ref="C8:D9"/>
    <mergeCell ref="C10:D11"/>
    <mergeCell ref="F2:G3"/>
    <mergeCell ref="F4:G5"/>
    <mergeCell ref="F6:G7"/>
    <mergeCell ref="F8:G9"/>
    <mergeCell ref="F10:G11"/>
    <mergeCell ref="A10:B11"/>
    <mergeCell ref="E2:E3"/>
    <mergeCell ref="E4:E5"/>
    <mergeCell ref="E6:E7"/>
    <mergeCell ref="E8:E9"/>
    <mergeCell ref="E10:E11"/>
    <mergeCell ref="A1:I1"/>
    <mergeCell ref="A2:B3"/>
    <mergeCell ref="A4:B5"/>
    <mergeCell ref="A6:B7"/>
    <mergeCell ref="A8:B9"/>
    <mergeCell ref="H2:H3"/>
    <mergeCell ref="H4:H5"/>
    <mergeCell ref="H6:H7"/>
    <mergeCell ref="H8:H9"/>
    <mergeCell ref="I2:I3"/>
    <mergeCell ref="I4:I5"/>
    <mergeCell ref="I6:I7"/>
    <mergeCell ref="I8:I9"/>
  </mergeCells>
  <pageMargins left="0.393999993801117" right="0.393999993801117" top="0.59100002050399802" bottom="0.59100002050399802" header="0" footer="0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Z196"/>
  <sheetViews>
    <sheetView tabSelected="1" workbookViewId="0">
      <pane ySplit="11" topLeftCell="A12" activePane="bottomLeft" state="frozen"/>
      <selection pane="bottomLeft" activeCell="G18" sqref="G18"/>
    </sheetView>
  </sheetViews>
  <sheetFormatPr defaultColWidth="12.140625" defaultRowHeight="15" customHeight="1"/>
  <cols>
    <col min="1" max="1" width="3.140625" customWidth="1"/>
    <col min="2" max="2" width="17.85546875" customWidth="1"/>
    <col min="3" max="3" width="42.85546875" customWidth="1"/>
    <col min="4" max="4" width="35.7109375" customWidth="1"/>
    <col min="5" max="5" width="6.7109375" customWidth="1"/>
    <col min="6" max="6" width="12.85546875" customWidth="1"/>
    <col min="7" max="7" width="12" customWidth="1"/>
    <col min="8" max="8" width="15.7109375" customWidth="1"/>
    <col min="9" max="10" width="11.7109375" customWidth="1"/>
    <col min="25" max="75" width="12.140625" hidden="1"/>
    <col min="76" max="76" width="78.5703125" hidden="1" customWidth="1"/>
    <col min="77" max="78" width="12.140625" hidden="1"/>
  </cols>
  <sheetData>
    <row r="1" spans="1:76" ht="54.75" customHeight="1">
      <c r="A1" s="89" t="s">
        <v>118</v>
      </c>
      <c r="B1" s="89"/>
      <c r="C1" s="89"/>
      <c r="D1" s="89"/>
      <c r="E1" s="89"/>
      <c r="F1" s="89"/>
      <c r="G1" s="89"/>
      <c r="H1" s="89"/>
      <c r="I1" s="89"/>
      <c r="J1" s="89"/>
      <c r="AS1" s="43">
        <f>SUM(AJ1:AJ2)</f>
        <v>0</v>
      </c>
      <c r="AT1" s="43">
        <f>SUM(AK1:AK2)</f>
        <v>0</v>
      </c>
      <c r="AU1" s="43">
        <f>SUM(AL1:AL2)</f>
        <v>0</v>
      </c>
    </row>
    <row r="2" spans="1:76">
      <c r="A2" s="90" t="s">
        <v>0</v>
      </c>
      <c r="B2" s="91"/>
      <c r="C2" s="97" t="s">
        <v>119</v>
      </c>
      <c r="D2" s="98"/>
      <c r="E2" s="91" t="s">
        <v>1</v>
      </c>
      <c r="F2" s="91"/>
      <c r="G2" s="171" t="s">
        <v>12</v>
      </c>
      <c r="H2" s="101" t="s">
        <v>2</v>
      </c>
      <c r="I2" s="101" t="s">
        <v>120</v>
      </c>
      <c r="J2" s="102"/>
    </row>
    <row r="3" spans="1:76">
      <c r="A3" s="92"/>
      <c r="B3" s="93"/>
      <c r="C3" s="99"/>
      <c r="D3" s="99"/>
      <c r="E3" s="93"/>
      <c r="F3" s="93"/>
      <c r="G3" s="172"/>
      <c r="H3" s="93"/>
      <c r="I3" s="93"/>
      <c r="J3" s="103"/>
    </row>
    <row r="4" spans="1:76">
      <c r="A4" s="94" t="s">
        <v>3</v>
      </c>
      <c r="B4" s="93"/>
      <c r="C4" s="100" t="s">
        <v>121</v>
      </c>
      <c r="D4" s="93"/>
      <c r="E4" s="93" t="s">
        <v>4</v>
      </c>
      <c r="F4" s="93"/>
      <c r="G4" s="172" t="s">
        <v>12</v>
      </c>
      <c r="H4" s="100" t="s">
        <v>5</v>
      </c>
      <c r="I4" s="100" t="s">
        <v>122</v>
      </c>
      <c r="J4" s="103"/>
    </row>
    <row r="5" spans="1:76">
      <c r="A5" s="92"/>
      <c r="B5" s="93"/>
      <c r="C5" s="93"/>
      <c r="D5" s="93"/>
      <c r="E5" s="93"/>
      <c r="F5" s="93"/>
      <c r="G5" s="172"/>
      <c r="H5" s="93"/>
      <c r="I5" s="93"/>
      <c r="J5" s="103"/>
    </row>
    <row r="6" spans="1:76">
      <c r="A6" s="94" t="s">
        <v>6</v>
      </c>
      <c r="B6" s="93"/>
      <c r="C6" s="100" t="s">
        <v>123</v>
      </c>
      <c r="D6" s="93"/>
      <c r="E6" s="93" t="s">
        <v>7</v>
      </c>
      <c r="F6" s="93"/>
      <c r="G6" s="172" t="s">
        <v>12</v>
      </c>
      <c r="H6" s="100" t="s">
        <v>8</v>
      </c>
      <c r="I6" s="174"/>
      <c r="J6" s="175"/>
    </row>
    <row r="7" spans="1:76">
      <c r="A7" s="92"/>
      <c r="B7" s="93"/>
      <c r="C7" s="93"/>
      <c r="D7" s="93"/>
      <c r="E7" s="93"/>
      <c r="F7" s="93"/>
      <c r="G7" s="172"/>
      <c r="H7" s="93"/>
      <c r="I7" s="172"/>
      <c r="J7" s="175"/>
    </row>
    <row r="8" spans="1:76">
      <c r="A8" s="94" t="s">
        <v>9</v>
      </c>
      <c r="B8" s="93"/>
      <c r="C8" s="100" t="s">
        <v>12</v>
      </c>
      <c r="D8" s="93"/>
      <c r="E8" s="93" t="s">
        <v>10</v>
      </c>
      <c r="F8" s="93"/>
      <c r="G8" s="172"/>
      <c r="H8" s="100" t="s">
        <v>11</v>
      </c>
      <c r="I8" s="174"/>
      <c r="J8" s="175"/>
    </row>
    <row r="9" spans="1:76">
      <c r="A9" s="95"/>
      <c r="B9" s="96"/>
      <c r="C9" s="96"/>
      <c r="D9" s="96"/>
      <c r="E9" s="96"/>
      <c r="F9" s="96"/>
      <c r="G9" s="173"/>
      <c r="H9" s="96"/>
      <c r="I9" s="173"/>
      <c r="J9" s="176"/>
    </row>
    <row r="10" spans="1:76">
      <c r="A10" s="44" t="s">
        <v>124</v>
      </c>
      <c r="B10" s="45" t="s">
        <v>15</v>
      </c>
      <c r="C10" s="177" t="s">
        <v>16</v>
      </c>
      <c r="D10" s="178"/>
      <c r="E10" s="45" t="s">
        <v>125</v>
      </c>
      <c r="F10" s="46" t="s">
        <v>126</v>
      </c>
      <c r="G10" s="47" t="s">
        <v>127</v>
      </c>
      <c r="H10" s="5" t="s">
        <v>13</v>
      </c>
      <c r="I10" s="179" t="s">
        <v>14</v>
      </c>
      <c r="J10" s="180"/>
      <c r="BK10" s="48" t="s">
        <v>128</v>
      </c>
      <c r="BL10" s="49" t="s">
        <v>129</v>
      </c>
      <c r="BW10" s="49" t="s">
        <v>130</v>
      </c>
    </row>
    <row r="11" spans="1:76">
      <c r="A11" s="50" t="s">
        <v>12</v>
      </c>
      <c r="B11" s="51" t="s">
        <v>12</v>
      </c>
      <c r="C11" s="108" t="s">
        <v>131</v>
      </c>
      <c r="D11" s="110"/>
      <c r="E11" s="51" t="s">
        <v>12</v>
      </c>
      <c r="F11" s="51" t="s">
        <v>12</v>
      </c>
      <c r="G11" s="52" t="s">
        <v>132</v>
      </c>
      <c r="H11" s="8" t="s">
        <v>17</v>
      </c>
      <c r="I11" s="53" t="s">
        <v>133</v>
      </c>
      <c r="J11" s="54" t="s">
        <v>17</v>
      </c>
      <c r="Z11" s="48" t="s">
        <v>134</v>
      </c>
      <c r="AA11" s="48" t="s">
        <v>135</v>
      </c>
      <c r="AB11" s="48" t="s">
        <v>136</v>
      </c>
      <c r="AC11" s="48" t="s">
        <v>137</v>
      </c>
      <c r="AD11" s="48" t="s">
        <v>138</v>
      </c>
      <c r="AE11" s="48" t="s">
        <v>139</v>
      </c>
      <c r="AF11" s="48" t="s">
        <v>140</v>
      </c>
      <c r="AG11" s="48" t="s">
        <v>141</v>
      </c>
      <c r="AH11" s="48" t="s">
        <v>142</v>
      </c>
      <c r="BH11" s="48" t="s">
        <v>143</v>
      </c>
      <c r="BI11" s="48" t="s">
        <v>144</v>
      </c>
      <c r="BJ11" s="48" t="s">
        <v>145</v>
      </c>
    </row>
    <row r="12" spans="1:76">
      <c r="A12" s="55" t="s">
        <v>21</v>
      </c>
      <c r="B12" s="56" t="s">
        <v>18</v>
      </c>
      <c r="C12" s="181" t="s">
        <v>19</v>
      </c>
      <c r="D12" s="182"/>
      <c r="E12" s="57" t="s">
        <v>12</v>
      </c>
      <c r="F12" s="57" t="s">
        <v>12</v>
      </c>
      <c r="G12" s="58" t="s">
        <v>12</v>
      </c>
      <c r="H12" s="59">
        <f>ROUND(SUM(H13:H13),0)</f>
        <v>0</v>
      </c>
      <c r="I12" s="60" t="s">
        <v>21</v>
      </c>
      <c r="J12" s="61">
        <f>SUM(J13:J13)</f>
        <v>0.80273819999999996</v>
      </c>
      <c r="AI12" s="48" t="s">
        <v>21</v>
      </c>
      <c r="AS12" s="43">
        <f>SUM(AJ13:AJ13)</f>
        <v>0</v>
      </c>
      <c r="AT12" s="43">
        <f>SUM(AK13:AK13)</f>
        <v>0</v>
      </c>
      <c r="AU12" s="43">
        <f>SUM(AL13:AL13)</f>
        <v>0</v>
      </c>
    </row>
    <row r="13" spans="1:76">
      <c r="A13" s="1" t="s">
        <v>146</v>
      </c>
      <c r="B13" s="2" t="s">
        <v>147</v>
      </c>
      <c r="C13" s="100" t="s">
        <v>148</v>
      </c>
      <c r="D13" s="93"/>
      <c r="E13" s="2" t="s">
        <v>149</v>
      </c>
      <c r="F13" s="14">
        <v>221.14</v>
      </c>
      <c r="G13" s="62">
        <v>0</v>
      </c>
      <c r="H13" s="14">
        <f>ROUND(F13*G13,0)</f>
        <v>0</v>
      </c>
      <c r="I13" s="14">
        <v>3.63E-3</v>
      </c>
      <c r="J13" s="15">
        <f>F13*I13</f>
        <v>0.80273819999999996</v>
      </c>
      <c r="Z13" s="14">
        <f>ROUND(IF(AQ13="5",BJ13,0),2)</f>
        <v>0</v>
      </c>
      <c r="AB13" s="14">
        <f>ROUND(IF(AQ13="1",BH13,0),2)</f>
        <v>0</v>
      </c>
      <c r="AC13" s="14">
        <f>ROUND(IF(AQ13="1",BI13,0),2)</f>
        <v>0</v>
      </c>
      <c r="AD13" s="14">
        <f>ROUND(IF(AQ13="7",BH13,0),2)</f>
        <v>0</v>
      </c>
      <c r="AE13" s="14">
        <f>ROUND(IF(AQ13="7",BI13,0),2)</f>
        <v>0</v>
      </c>
      <c r="AF13" s="14">
        <f>ROUND(IF(AQ13="2",BH13,0),2)</f>
        <v>0</v>
      </c>
      <c r="AG13" s="14">
        <f>ROUND(IF(AQ13="2",BI13,0),2)</f>
        <v>0</v>
      </c>
      <c r="AH13" s="14">
        <f>ROUND(IF(AQ13="0",BJ13,0),2)</f>
        <v>0</v>
      </c>
      <c r="AI13" s="48" t="s">
        <v>21</v>
      </c>
      <c r="AJ13" s="14">
        <f>IF(AN13=0,H13,0)</f>
        <v>0</v>
      </c>
      <c r="AK13" s="14">
        <f>IF(AN13=12,H13,0)</f>
        <v>0</v>
      </c>
      <c r="AL13" s="14">
        <f>IF(AN13=21,H13,0)</f>
        <v>0</v>
      </c>
      <c r="AN13" s="14">
        <v>21</v>
      </c>
      <c r="AO13" s="14">
        <f>G13*0.194218346</f>
        <v>0</v>
      </c>
      <c r="AP13" s="14">
        <f>G13*(1-0.194218346)</f>
        <v>0</v>
      </c>
      <c r="AQ13" s="63" t="s">
        <v>146</v>
      </c>
      <c r="AV13" s="14">
        <f>ROUND(AW13+AX13,2)</f>
        <v>0</v>
      </c>
      <c r="AW13" s="14">
        <f>ROUND(F13*AO13,2)</f>
        <v>0</v>
      </c>
      <c r="AX13" s="14">
        <f>ROUND(F13*AP13,2)</f>
        <v>0</v>
      </c>
      <c r="AY13" s="63" t="s">
        <v>150</v>
      </c>
      <c r="AZ13" s="63" t="s">
        <v>151</v>
      </c>
      <c r="BA13" s="48" t="s">
        <v>152</v>
      </c>
      <c r="BB13" s="64">
        <v>100013</v>
      </c>
      <c r="BC13" s="14">
        <f>AW13+AX13</f>
        <v>0</v>
      </c>
      <c r="BD13" s="14">
        <f>G13/(100-BE13)*100</f>
        <v>0</v>
      </c>
      <c r="BE13" s="14">
        <v>0</v>
      </c>
      <c r="BF13" s="14">
        <f>J13</f>
        <v>0.80273819999999996</v>
      </c>
      <c r="BH13" s="14">
        <f>F13*AO13</f>
        <v>0</v>
      </c>
      <c r="BI13" s="14">
        <f>F13*AP13</f>
        <v>0</v>
      </c>
      <c r="BJ13" s="14">
        <f>F13*G13</f>
        <v>0</v>
      </c>
      <c r="BK13" s="63" t="s">
        <v>153</v>
      </c>
      <c r="BL13" s="14">
        <v>61</v>
      </c>
      <c r="BW13" s="14">
        <v>21</v>
      </c>
      <c r="BX13" s="3" t="s">
        <v>148</v>
      </c>
    </row>
    <row r="14" spans="1:76" ht="13.5" customHeight="1">
      <c r="A14" s="65"/>
      <c r="C14" s="183" t="s">
        <v>154</v>
      </c>
      <c r="D14" s="184"/>
      <c r="E14" s="184"/>
      <c r="F14" s="184"/>
      <c r="G14" s="185"/>
      <c r="H14" s="184"/>
      <c r="I14" s="184"/>
      <c r="J14" s="186"/>
    </row>
    <row r="15" spans="1:76">
      <c r="A15" s="65"/>
      <c r="C15" s="67" t="s">
        <v>155</v>
      </c>
      <c r="D15" s="66" t="s">
        <v>156</v>
      </c>
      <c r="F15" s="68">
        <v>43.5</v>
      </c>
      <c r="J15" s="69"/>
    </row>
    <row r="16" spans="1:76">
      <c r="A16" s="65"/>
      <c r="C16" s="67" t="s">
        <v>157</v>
      </c>
      <c r="D16" s="66" t="s">
        <v>158</v>
      </c>
      <c r="F16" s="68">
        <v>2.3199999999999998</v>
      </c>
      <c r="J16" s="69"/>
    </row>
    <row r="17" spans="1:76">
      <c r="A17" s="65"/>
      <c r="C17" s="67" t="s">
        <v>159</v>
      </c>
      <c r="D17" s="66" t="s">
        <v>160</v>
      </c>
      <c r="F17" s="68">
        <v>50.1</v>
      </c>
      <c r="J17" s="69"/>
    </row>
    <row r="18" spans="1:76">
      <c r="A18" s="65"/>
      <c r="C18" s="67" t="s">
        <v>161</v>
      </c>
      <c r="D18" s="66" t="s">
        <v>162</v>
      </c>
      <c r="F18" s="68">
        <v>67</v>
      </c>
      <c r="J18" s="69"/>
    </row>
    <row r="19" spans="1:76">
      <c r="A19" s="65"/>
      <c r="C19" s="67" t="s">
        <v>163</v>
      </c>
      <c r="D19" s="66" t="s">
        <v>158</v>
      </c>
      <c r="F19" s="68">
        <v>1.86</v>
      </c>
      <c r="J19" s="69"/>
    </row>
    <row r="20" spans="1:76">
      <c r="A20" s="65"/>
      <c r="C20" s="67" t="s">
        <v>164</v>
      </c>
      <c r="D20" s="66" t="s">
        <v>165</v>
      </c>
      <c r="F20" s="68">
        <v>40.200000000000003</v>
      </c>
      <c r="J20" s="69"/>
    </row>
    <row r="21" spans="1:76">
      <c r="A21" s="65"/>
      <c r="C21" s="67" t="s">
        <v>166</v>
      </c>
      <c r="D21" s="66" t="s">
        <v>167</v>
      </c>
      <c r="F21" s="68">
        <v>16.16</v>
      </c>
      <c r="J21" s="69"/>
    </row>
    <row r="22" spans="1:76">
      <c r="A22" s="70" t="s">
        <v>21</v>
      </c>
      <c r="B22" s="71" t="s">
        <v>22</v>
      </c>
      <c r="C22" s="187" t="s">
        <v>23</v>
      </c>
      <c r="D22" s="188"/>
      <c r="E22" s="72" t="s">
        <v>12</v>
      </c>
      <c r="F22" s="72" t="s">
        <v>12</v>
      </c>
      <c r="G22" s="73" t="s">
        <v>12</v>
      </c>
      <c r="H22" s="43">
        <f>ROUND(SUM(H23:H30),0)</f>
        <v>0</v>
      </c>
      <c r="I22" s="48" t="s">
        <v>21</v>
      </c>
      <c r="J22" s="74">
        <f>SUM(J23:J30)</f>
        <v>22.144984000000001</v>
      </c>
      <c r="AI22" s="48" t="s">
        <v>21</v>
      </c>
      <c r="AS22" s="43">
        <f>SUM(AJ23:AJ30)</f>
        <v>0</v>
      </c>
      <c r="AT22" s="43">
        <f>SUM(AK23:AK30)</f>
        <v>0</v>
      </c>
      <c r="AU22" s="43">
        <f>SUM(AL23:AL30)</f>
        <v>0</v>
      </c>
    </row>
    <row r="23" spans="1:76">
      <c r="A23" s="1" t="s">
        <v>168</v>
      </c>
      <c r="B23" s="2" t="s">
        <v>169</v>
      </c>
      <c r="C23" s="100" t="s">
        <v>170</v>
      </c>
      <c r="D23" s="93"/>
      <c r="E23" s="2" t="s">
        <v>149</v>
      </c>
      <c r="F23" s="14">
        <v>679.5</v>
      </c>
      <c r="G23" s="62">
        <v>0</v>
      </c>
      <c r="H23" s="14">
        <f>ROUND(F23*G23,0)</f>
        <v>0</v>
      </c>
      <c r="I23" s="14">
        <v>1.6E-2</v>
      </c>
      <c r="J23" s="15">
        <f>F23*I23</f>
        <v>10.872</v>
      </c>
      <c r="Z23" s="14">
        <f>ROUND(IF(AQ23="5",BJ23,0),2)</f>
        <v>0</v>
      </c>
      <c r="AB23" s="14">
        <f>ROUND(IF(AQ23="1",BH23,0),2)</f>
        <v>0</v>
      </c>
      <c r="AC23" s="14">
        <f>ROUND(IF(AQ23="1",BI23,0),2)</f>
        <v>0</v>
      </c>
      <c r="AD23" s="14">
        <f>ROUND(IF(AQ23="7",BH23,0),2)</f>
        <v>0</v>
      </c>
      <c r="AE23" s="14">
        <f>ROUND(IF(AQ23="7",BI23,0),2)</f>
        <v>0</v>
      </c>
      <c r="AF23" s="14">
        <f>ROUND(IF(AQ23="2",BH23,0),2)</f>
        <v>0</v>
      </c>
      <c r="AG23" s="14">
        <f>ROUND(IF(AQ23="2",BI23,0),2)</f>
        <v>0</v>
      </c>
      <c r="AH23" s="14">
        <f>ROUND(IF(AQ23="0",BJ23,0),2)</f>
        <v>0</v>
      </c>
      <c r="AI23" s="48" t="s">
        <v>21</v>
      </c>
      <c r="AJ23" s="14">
        <f>IF(AN23=0,H23,0)</f>
        <v>0</v>
      </c>
      <c r="AK23" s="14">
        <f>IF(AN23=12,H23,0)</f>
        <v>0</v>
      </c>
      <c r="AL23" s="14">
        <f>IF(AN23=21,H23,0)</f>
        <v>0</v>
      </c>
      <c r="AN23" s="14">
        <v>21</v>
      </c>
      <c r="AO23" s="14">
        <f>G23*0.19101092</f>
        <v>0</v>
      </c>
      <c r="AP23" s="14">
        <f>G23*(1-0.19101092)</f>
        <v>0</v>
      </c>
      <c r="AQ23" s="63" t="s">
        <v>146</v>
      </c>
      <c r="AV23" s="14">
        <f>ROUND(AW23+AX23,2)</f>
        <v>0</v>
      </c>
      <c r="AW23" s="14">
        <f>ROUND(F23*AO23,2)</f>
        <v>0</v>
      </c>
      <c r="AX23" s="14">
        <f>ROUND(F23*AP23,2)</f>
        <v>0</v>
      </c>
      <c r="AY23" s="63" t="s">
        <v>171</v>
      </c>
      <c r="AZ23" s="63" t="s">
        <v>151</v>
      </c>
      <c r="BA23" s="48" t="s">
        <v>152</v>
      </c>
      <c r="BB23" s="64">
        <v>100009</v>
      </c>
      <c r="BC23" s="14">
        <f>AW23+AX23</f>
        <v>0</v>
      </c>
      <c r="BD23" s="14">
        <f>G23/(100-BE23)*100</f>
        <v>0</v>
      </c>
      <c r="BE23" s="14">
        <v>0</v>
      </c>
      <c r="BF23" s="14">
        <f>J23</f>
        <v>10.872</v>
      </c>
      <c r="BH23" s="14">
        <f>F23*AO23</f>
        <v>0</v>
      </c>
      <c r="BI23" s="14">
        <f>F23*AP23</f>
        <v>0</v>
      </c>
      <c r="BJ23" s="14">
        <f>F23*G23</f>
        <v>0</v>
      </c>
      <c r="BK23" s="63" t="s">
        <v>153</v>
      </c>
      <c r="BL23" s="14">
        <v>63</v>
      </c>
      <c r="BW23" s="14">
        <v>21</v>
      </c>
      <c r="BX23" s="3" t="s">
        <v>170</v>
      </c>
    </row>
    <row r="24" spans="1:76" ht="13.5" customHeight="1">
      <c r="A24" s="65"/>
      <c r="C24" s="183" t="s">
        <v>172</v>
      </c>
      <c r="D24" s="184"/>
      <c r="E24" s="184"/>
      <c r="F24" s="184"/>
      <c r="G24" s="185"/>
      <c r="H24" s="184"/>
      <c r="I24" s="184"/>
      <c r="J24" s="186"/>
    </row>
    <row r="25" spans="1:76">
      <c r="A25" s="65"/>
      <c r="C25" s="67" t="s">
        <v>173</v>
      </c>
      <c r="D25" s="66" t="s">
        <v>174</v>
      </c>
      <c r="F25" s="68">
        <v>632.5</v>
      </c>
      <c r="J25" s="69"/>
    </row>
    <row r="26" spans="1:76">
      <c r="A26" s="65"/>
      <c r="C26" s="67" t="s">
        <v>175</v>
      </c>
      <c r="D26" s="66" t="s">
        <v>176</v>
      </c>
      <c r="F26" s="68">
        <v>47</v>
      </c>
      <c r="J26" s="69"/>
    </row>
    <row r="27" spans="1:76">
      <c r="A27" s="75" t="s">
        <v>177</v>
      </c>
      <c r="B27" s="76" t="s">
        <v>178</v>
      </c>
      <c r="C27" s="189" t="s">
        <v>179</v>
      </c>
      <c r="D27" s="190"/>
      <c r="E27" s="76" t="s">
        <v>149</v>
      </c>
      <c r="F27" s="78">
        <v>713.48</v>
      </c>
      <c r="G27" s="79">
        <v>0</v>
      </c>
      <c r="H27" s="78">
        <f>ROUND(F27*G27,0)</f>
        <v>0</v>
      </c>
      <c r="I27" s="78">
        <v>7.9000000000000008E-3</v>
      </c>
      <c r="J27" s="80">
        <f>F27*I27</f>
        <v>5.6364920000000005</v>
      </c>
      <c r="Z27" s="14">
        <f>ROUND(IF(AQ27="5",BJ27,0),2)</f>
        <v>0</v>
      </c>
      <c r="AB27" s="14">
        <f>ROUND(IF(AQ27="1",BH27,0),2)</f>
        <v>0</v>
      </c>
      <c r="AC27" s="14">
        <f>ROUND(IF(AQ27="1",BI27,0),2)</f>
        <v>0</v>
      </c>
      <c r="AD27" s="14">
        <f>ROUND(IF(AQ27="7",BH27,0),2)</f>
        <v>0</v>
      </c>
      <c r="AE27" s="14">
        <f>ROUND(IF(AQ27="7",BI27,0),2)</f>
        <v>0</v>
      </c>
      <c r="AF27" s="14">
        <f>ROUND(IF(AQ27="2",BH27,0),2)</f>
        <v>0</v>
      </c>
      <c r="AG27" s="14">
        <f>ROUND(IF(AQ27="2",BI27,0),2)</f>
        <v>0</v>
      </c>
      <c r="AH27" s="14">
        <f>ROUND(IF(AQ27="0",BJ27,0),2)</f>
        <v>0</v>
      </c>
      <c r="AI27" s="48" t="s">
        <v>21</v>
      </c>
      <c r="AJ27" s="78">
        <f>IF(AN27=0,H27,0)</f>
        <v>0</v>
      </c>
      <c r="AK27" s="78">
        <f>IF(AN27=12,H27,0)</f>
        <v>0</v>
      </c>
      <c r="AL27" s="78">
        <f>IF(AN27=21,H27,0)</f>
        <v>0</v>
      </c>
      <c r="AN27" s="14">
        <v>21</v>
      </c>
      <c r="AO27" s="14">
        <f>G27*1</f>
        <v>0</v>
      </c>
      <c r="AP27" s="14">
        <f>G27*(1-1)</f>
        <v>0</v>
      </c>
      <c r="AQ27" s="81" t="s">
        <v>146</v>
      </c>
      <c r="AV27" s="14">
        <f>ROUND(AW27+AX27,2)</f>
        <v>0</v>
      </c>
      <c r="AW27" s="14">
        <f>ROUND(F27*AO27,2)</f>
        <v>0</v>
      </c>
      <c r="AX27" s="14">
        <f>ROUND(F27*AP27,2)</f>
        <v>0</v>
      </c>
      <c r="AY27" s="63" t="s">
        <v>171</v>
      </c>
      <c r="AZ27" s="63" t="s">
        <v>151</v>
      </c>
      <c r="BA27" s="48" t="s">
        <v>152</v>
      </c>
      <c r="BC27" s="14">
        <f>AW27+AX27</f>
        <v>0</v>
      </c>
      <c r="BD27" s="14">
        <f>G27/(100-BE27)*100</f>
        <v>0</v>
      </c>
      <c r="BE27" s="14">
        <v>0</v>
      </c>
      <c r="BF27" s="14">
        <f>J27</f>
        <v>5.6364920000000005</v>
      </c>
      <c r="BH27" s="78">
        <f>F27*AO27</f>
        <v>0</v>
      </c>
      <c r="BI27" s="78">
        <f>F27*AP27</f>
        <v>0</v>
      </c>
      <c r="BJ27" s="78">
        <f>F27*G27</f>
        <v>0</v>
      </c>
      <c r="BK27" s="81" t="s">
        <v>180</v>
      </c>
      <c r="BL27" s="14">
        <v>63</v>
      </c>
      <c r="BW27" s="14">
        <v>21</v>
      </c>
      <c r="BX27" s="77" t="s">
        <v>179</v>
      </c>
    </row>
    <row r="28" spans="1:76">
      <c r="A28" s="65"/>
      <c r="C28" s="67" t="s">
        <v>181</v>
      </c>
      <c r="D28" s="66" t="s">
        <v>21</v>
      </c>
      <c r="F28" s="68">
        <v>679.5</v>
      </c>
      <c r="J28" s="69"/>
    </row>
    <row r="29" spans="1:76">
      <c r="A29" s="65"/>
      <c r="C29" s="67" t="s">
        <v>182</v>
      </c>
      <c r="D29" s="66" t="s">
        <v>21</v>
      </c>
      <c r="F29" s="68">
        <v>33.979999999999997</v>
      </c>
      <c r="J29" s="69"/>
    </row>
    <row r="30" spans="1:76">
      <c r="A30" s="75" t="s">
        <v>183</v>
      </c>
      <c r="B30" s="76" t="s">
        <v>184</v>
      </c>
      <c r="C30" s="189" t="s">
        <v>185</v>
      </c>
      <c r="D30" s="190"/>
      <c r="E30" s="76" t="s">
        <v>149</v>
      </c>
      <c r="F30" s="78">
        <v>713.48</v>
      </c>
      <c r="G30" s="79">
        <v>0</v>
      </c>
      <c r="H30" s="78">
        <f>ROUND(F30*G30,0)</f>
        <v>0</v>
      </c>
      <c r="I30" s="78">
        <v>7.9000000000000008E-3</v>
      </c>
      <c r="J30" s="80">
        <f>F30*I30</f>
        <v>5.6364920000000005</v>
      </c>
      <c r="Z30" s="14">
        <f>ROUND(IF(AQ30="5",BJ30,0),2)</f>
        <v>0</v>
      </c>
      <c r="AB30" s="14">
        <f>ROUND(IF(AQ30="1",BH30,0),2)</f>
        <v>0</v>
      </c>
      <c r="AC30" s="14">
        <f>ROUND(IF(AQ30="1",BI30,0),2)</f>
        <v>0</v>
      </c>
      <c r="AD30" s="14">
        <f>ROUND(IF(AQ30="7",BH30,0),2)</f>
        <v>0</v>
      </c>
      <c r="AE30" s="14">
        <f>ROUND(IF(AQ30="7",BI30,0),2)</f>
        <v>0</v>
      </c>
      <c r="AF30" s="14">
        <f>ROUND(IF(AQ30="2",BH30,0),2)</f>
        <v>0</v>
      </c>
      <c r="AG30" s="14">
        <f>ROUND(IF(AQ30="2",BI30,0),2)</f>
        <v>0</v>
      </c>
      <c r="AH30" s="14">
        <f>ROUND(IF(AQ30="0",BJ30,0),2)</f>
        <v>0</v>
      </c>
      <c r="AI30" s="48" t="s">
        <v>21</v>
      </c>
      <c r="AJ30" s="78">
        <f>IF(AN30=0,H30,0)</f>
        <v>0</v>
      </c>
      <c r="AK30" s="78">
        <f>IF(AN30=12,H30,0)</f>
        <v>0</v>
      </c>
      <c r="AL30" s="78">
        <f>IF(AN30=21,H30,0)</f>
        <v>0</v>
      </c>
      <c r="AN30" s="14">
        <v>21</v>
      </c>
      <c r="AO30" s="14">
        <f>G30*1</f>
        <v>0</v>
      </c>
      <c r="AP30" s="14">
        <f>G30*(1-1)</f>
        <v>0</v>
      </c>
      <c r="AQ30" s="81" t="s">
        <v>146</v>
      </c>
      <c r="AV30" s="14">
        <f>ROUND(AW30+AX30,2)</f>
        <v>0</v>
      </c>
      <c r="AW30" s="14">
        <f>ROUND(F30*AO30,2)</f>
        <v>0</v>
      </c>
      <c r="AX30" s="14">
        <f>ROUND(F30*AP30,2)</f>
        <v>0</v>
      </c>
      <c r="AY30" s="63" t="s">
        <v>171</v>
      </c>
      <c r="AZ30" s="63" t="s">
        <v>151</v>
      </c>
      <c r="BA30" s="48" t="s">
        <v>152</v>
      </c>
      <c r="BC30" s="14">
        <f>AW30+AX30</f>
        <v>0</v>
      </c>
      <c r="BD30" s="14">
        <f>G30/(100-BE30)*100</f>
        <v>0</v>
      </c>
      <c r="BE30" s="14">
        <v>0</v>
      </c>
      <c r="BF30" s="14">
        <f>J30</f>
        <v>5.6364920000000005</v>
      </c>
      <c r="BH30" s="78">
        <f>F30*AO30</f>
        <v>0</v>
      </c>
      <c r="BI30" s="78">
        <f>F30*AP30</f>
        <v>0</v>
      </c>
      <c r="BJ30" s="78">
        <f>F30*G30</f>
        <v>0</v>
      </c>
      <c r="BK30" s="81" t="s">
        <v>180</v>
      </c>
      <c r="BL30" s="14">
        <v>63</v>
      </c>
      <c r="BW30" s="14">
        <v>21</v>
      </c>
      <c r="BX30" s="77" t="s">
        <v>185</v>
      </c>
    </row>
    <row r="31" spans="1:76">
      <c r="A31" s="65"/>
      <c r="C31" s="67" t="s">
        <v>181</v>
      </c>
      <c r="D31" s="66" t="s">
        <v>21</v>
      </c>
      <c r="F31" s="68">
        <v>679.5</v>
      </c>
      <c r="J31" s="69"/>
    </row>
    <row r="32" spans="1:76">
      <c r="A32" s="65"/>
      <c r="C32" s="67" t="s">
        <v>182</v>
      </c>
      <c r="D32" s="66" t="s">
        <v>21</v>
      </c>
      <c r="F32" s="68">
        <v>33.979999999999997</v>
      </c>
      <c r="J32" s="69"/>
    </row>
    <row r="33" spans="1:76">
      <c r="A33" s="70" t="s">
        <v>21</v>
      </c>
      <c r="B33" s="71" t="s">
        <v>24</v>
      </c>
      <c r="C33" s="187" t="s">
        <v>25</v>
      </c>
      <c r="D33" s="188"/>
      <c r="E33" s="72" t="s">
        <v>12</v>
      </c>
      <c r="F33" s="72" t="s">
        <v>12</v>
      </c>
      <c r="G33" s="73" t="s">
        <v>12</v>
      </c>
      <c r="H33" s="43">
        <f>ROUND(SUM(H34:H56),0)</f>
        <v>0</v>
      </c>
      <c r="I33" s="48" t="s">
        <v>21</v>
      </c>
      <c r="J33" s="74">
        <f>SUM(J34:J56)</f>
        <v>19.546526499999999</v>
      </c>
      <c r="AI33" s="48" t="s">
        <v>21</v>
      </c>
      <c r="AS33" s="43">
        <f>SUM(AJ34:AJ56)</f>
        <v>0</v>
      </c>
      <c r="AT33" s="43">
        <f>SUM(AK34:AK56)</f>
        <v>0</v>
      </c>
      <c r="AU33" s="43">
        <f>SUM(AL34:AL56)</f>
        <v>0</v>
      </c>
    </row>
    <row r="34" spans="1:76">
      <c r="A34" s="1" t="s">
        <v>186</v>
      </c>
      <c r="B34" s="2" t="s">
        <v>187</v>
      </c>
      <c r="C34" s="100" t="s">
        <v>188</v>
      </c>
      <c r="D34" s="93"/>
      <c r="E34" s="2" t="s">
        <v>149</v>
      </c>
      <c r="F34" s="14">
        <v>679.5</v>
      </c>
      <c r="G34" s="62">
        <v>0</v>
      </c>
      <c r="H34" s="14">
        <f>ROUND(F34*G34,0)</f>
        <v>0</v>
      </c>
      <c r="I34" s="14">
        <v>0</v>
      </c>
      <c r="J34" s="15">
        <f>F34*I34</f>
        <v>0</v>
      </c>
      <c r="Z34" s="14">
        <f>ROUND(IF(AQ34="5",BJ34,0),2)</f>
        <v>0</v>
      </c>
      <c r="AB34" s="14">
        <f>ROUND(IF(AQ34="1",BH34,0),2)</f>
        <v>0</v>
      </c>
      <c r="AC34" s="14">
        <f>ROUND(IF(AQ34="1",BI34,0),2)</f>
        <v>0</v>
      </c>
      <c r="AD34" s="14">
        <f>ROUND(IF(AQ34="7",BH34,0),2)</f>
        <v>0</v>
      </c>
      <c r="AE34" s="14">
        <f>ROUND(IF(AQ34="7",BI34,0),2)</f>
        <v>0</v>
      </c>
      <c r="AF34" s="14">
        <f>ROUND(IF(AQ34="2",BH34,0),2)</f>
        <v>0</v>
      </c>
      <c r="AG34" s="14">
        <f>ROUND(IF(AQ34="2",BI34,0),2)</f>
        <v>0</v>
      </c>
      <c r="AH34" s="14">
        <f>ROUND(IF(AQ34="0",BJ34,0),2)</f>
        <v>0</v>
      </c>
      <c r="AI34" s="48" t="s">
        <v>21</v>
      </c>
      <c r="AJ34" s="14">
        <f>IF(AN34=0,H34,0)</f>
        <v>0</v>
      </c>
      <c r="AK34" s="14">
        <f>IF(AN34=12,H34,0)</f>
        <v>0</v>
      </c>
      <c r="AL34" s="14">
        <f>IF(AN34=21,H34,0)</f>
        <v>0</v>
      </c>
      <c r="AN34" s="14">
        <v>21</v>
      </c>
      <c r="AO34" s="14">
        <f>G34*0</f>
        <v>0</v>
      </c>
      <c r="AP34" s="14">
        <f>G34*(1-0)</f>
        <v>0</v>
      </c>
      <c r="AQ34" s="63" t="s">
        <v>189</v>
      </c>
      <c r="AV34" s="14">
        <f>ROUND(AW34+AX34,2)</f>
        <v>0</v>
      </c>
      <c r="AW34" s="14">
        <f>ROUND(F34*AO34,2)</f>
        <v>0</v>
      </c>
      <c r="AX34" s="14">
        <f>ROUND(F34*AP34,2)</f>
        <v>0</v>
      </c>
      <c r="AY34" s="63" t="s">
        <v>190</v>
      </c>
      <c r="AZ34" s="63" t="s">
        <v>191</v>
      </c>
      <c r="BA34" s="48" t="s">
        <v>152</v>
      </c>
      <c r="BB34" s="64">
        <v>100012</v>
      </c>
      <c r="BC34" s="14">
        <f>AW34+AX34</f>
        <v>0</v>
      </c>
      <c r="BD34" s="14">
        <f>G34/(100-BE34)*100</f>
        <v>0</v>
      </c>
      <c r="BE34" s="14">
        <v>0</v>
      </c>
      <c r="BF34" s="14">
        <f>J34</f>
        <v>0</v>
      </c>
      <c r="BH34" s="14">
        <f>F34*AO34</f>
        <v>0</v>
      </c>
      <c r="BI34" s="14">
        <f>F34*AP34</f>
        <v>0</v>
      </c>
      <c r="BJ34" s="14">
        <f>F34*G34</f>
        <v>0</v>
      </c>
      <c r="BK34" s="63" t="s">
        <v>153</v>
      </c>
      <c r="BL34" s="14">
        <v>762</v>
      </c>
      <c r="BW34" s="14">
        <v>21</v>
      </c>
      <c r="BX34" s="3" t="s">
        <v>188</v>
      </c>
    </row>
    <row r="35" spans="1:76" ht="13.5" customHeight="1">
      <c r="A35" s="65"/>
      <c r="C35" s="183" t="s">
        <v>192</v>
      </c>
      <c r="D35" s="184"/>
      <c r="E35" s="184"/>
      <c r="F35" s="184"/>
      <c r="G35" s="185"/>
      <c r="H35" s="184"/>
      <c r="I35" s="184"/>
      <c r="J35" s="186"/>
    </row>
    <row r="36" spans="1:76">
      <c r="A36" s="65"/>
      <c r="C36" s="67" t="s">
        <v>181</v>
      </c>
      <c r="D36" s="66" t="s">
        <v>21</v>
      </c>
      <c r="F36" s="68">
        <v>679.5</v>
      </c>
      <c r="J36" s="69"/>
    </row>
    <row r="37" spans="1:76">
      <c r="A37" s="1" t="s">
        <v>193</v>
      </c>
      <c r="B37" s="2" t="s">
        <v>194</v>
      </c>
      <c r="C37" s="100" t="s">
        <v>195</v>
      </c>
      <c r="D37" s="93"/>
      <c r="E37" s="2" t="s">
        <v>149</v>
      </c>
      <c r="F37" s="14">
        <v>679.5</v>
      </c>
      <c r="G37" s="62">
        <v>0</v>
      </c>
      <c r="H37" s="14">
        <f>ROUND(F37*G37,0)</f>
        <v>0</v>
      </c>
      <c r="I37" s="14">
        <v>0</v>
      </c>
      <c r="J37" s="15">
        <f>F37*I37</f>
        <v>0</v>
      </c>
      <c r="Z37" s="14">
        <f>ROUND(IF(AQ37="5",BJ37,0),2)</f>
        <v>0</v>
      </c>
      <c r="AB37" s="14">
        <f>ROUND(IF(AQ37="1",BH37,0),2)</f>
        <v>0</v>
      </c>
      <c r="AC37" s="14">
        <f>ROUND(IF(AQ37="1",BI37,0),2)</f>
        <v>0</v>
      </c>
      <c r="AD37" s="14">
        <f>ROUND(IF(AQ37="7",BH37,0),2)</f>
        <v>0</v>
      </c>
      <c r="AE37" s="14">
        <f>ROUND(IF(AQ37="7",BI37,0),2)</f>
        <v>0</v>
      </c>
      <c r="AF37" s="14">
        <f>ROUND(IF(AQ37="2",BH37,0),2)</f>
        <v>0</v>
      </c>
      <c r="AG37" s="14">
        <f>ROUND(IF(AQ37="2",BI37,0),2)</f>
        <v>0</v>
      </c>
      <c r="AH37" s="14">
        <f>ROUND(IF(AQ37="0",BJ37,0),2)</f>
        <v>0</v>
      </c>
      <c r="AI37" s="48" t="s">
        <v>21</v>
      </c>
      <c r="AJ37" s="14">
        <f>IF(AN37=0,H37,0)</f>
        <v>0</v>
      </c>
      <c r="AK37" s="14">
        <f>IF(AN37=12,H37,0)</f>
        <v>0</v>
      </c>
      <c r="AL37" s="14">
        <f>IF(AN37=21,H37,0)</f>
        <v>0</v>
      </c>
      <c r="AN37" s="14">
        <v>21</v>
      </c>
      <c r="AO37" s="14">
        <f>G37*0</f>
        <v>0</v>
      </c>
      <c r="AP37" s="14">
        <f>G37*(1-0)</f>
        <v>0</v>
      </c>
      <c r="AQ37" s="63" t="s">
        <v>189</v>
      </c>
      <c r="AV37" s="14">
        <f>ROUND(AW37+AX37,2)</f>
        <v>0</v>
      </c>
      <c r="AW37" s="14">
        <f>ROUND(F37*AO37,2)</f>
        <v>0</v>
      </c>
      <c r="AX37" s="14">
        <f>ROUND(F37*AP37,2)</f>
        <v>0</v>
      </c>
      <c r="AY37" s="63" t="s">
        <v>190</v>
      </c>
      <c r="AZ37" s="63" t="s">
        <v>191</v>
      </c>
      <c r="BA37" s="48" t="s">
        <v>152</v>
      </c>
      <c r="BB37" s="64">
        <v>100012</v>
      </c>
      <c r="BC37" s="14">
        <f>AW37+AX37</f>
        <v>0</v>
      </c>
      <c r="BD37" s="14">
        <f>G37/(100-BE37)*100</f>
        <v>0</v>
      </c>
      <c r="BE37" s="14">
        <v>0</v>
      </c>
      <c r="BF37" s="14">
        <f>J37</f>
        <v>0</v>
      </c>
      <c r="BH37" s="14">
        <f>F37*AO37</f>
        <v>0</v>
      </c>
      <c r="BI37" s="14">
        <f>F37*AP37</f>
        <v>0</v>
      </c>
      <c r="BJ37" s="14">
        <f>F37*G37</f>
        <v>0</v>
      </c>
      <c r="BK37" s="63" t="s">
        <v>153</v>
      </c>
      <c r="BL37" s="14">
        <v>762</v>
      </c>
      <c r="BW37" s="14">
        <v>21</v>
      </c>
      <c r="BX37" s="3" t="s">
        <v>195</v>
      </c>
    </row>
    <row r="38" spans="1:76" ht="13.5" customHeight="1">
      <c r="A38" s="65"/>
      <c r="C38" s="183" t="s">
        <v>196</v>
      </c>
      <c r="D38" s="184"/>
      <c r="E38" s="184"/>
      <c r="F38" s="184"/>
      <c r="G38" s="185"/>
      <c r="H38" s="184"/>
      <c r="I38" s="184"/>
      <c r="J38" s="186"/>
    </row>
    <row r="39" spans="1:76">
      <c r="A39" s="65"/>
      <c r="C39" s="67" t="s">
        <v>181</v>
      </c>
      <c r="D39" s="66" t="s">
        <v>21</v>
      </c>
      <c r="F39" s="68">
        <v>679.5</v>
      </c>
      <c r="J39" s="69"/>
    </row>
    <row r="40" spans="1:76">
      <c r="A40" s="75" t="s">
        <v>189</v>
      </c>
      <c r="B40" s="76" t="s">
        <v>197</v>
      </c>
      <c r="C40" s="189" t="s">
        <v>198</v>
      </c>
      <c r="D40" s="190"/>
      <c r="E40" s="76" t="s">
        <v>199</v>
      </c>
      <c r="F40" s="78">
        <v>8.1300000000000008</v>
      </c>
      <c r="G40" s="79">
        <v>0</v>
      </c>
      <c r="H40" s="78">
        <f>ROUND(F40*G40,0)</f>
        <v>0</v>
      </c>
      <c r="I40" s="78">
        <v>0.55000000000000004</v>
      </c>
      <c r="J40" s="80">
        <f>F40*I40</f>
        <v>4.4715000000000007</v>
      </c>
      <c r="Z40" s="14">
        <f>ROUND(IF(AQ40="5",BJ40,0),2)</f>
        <v>0</v>
      </c>
      <c r="AB40" s="14">
        <f>ROUND(IF(AQ40="1",BH40,0),2)</f>
        <v>0</v>
      </c>
      <c r="AC40" s="14">
        <f>ROUND(IF(AQ40="1",BI40,0),2)</f>
        <v>0</v>
      </c>
      <c r="AD40" s="14">
        <f>ROUND(IF(AQ40="7",BH40,0),2)</f>
        <v>0</v>
      </c>
      <c r="AE40" s="14">
        <f>ROUND(IF(AQ40="7",BI40,0),2)</f>
        <v>0</v>
      </c>
      <c r="AF40" s="14">
        <f>ROUND(IF(AQ40="2",BH40,0),2)</f>
        <v>0</v>
      </c>
      <c r="AG40" s="14">
        <f>ROUND(IF(AQ40="2",BI40,0),2)</f>
        <v>0</v>
      </c>
      <c r="AH40" s="14">
        <f>ROUND(IF(AQ40="0",BJ40,0),2)</f>
        <v>0</v>
      </c>
      <c r="AI40" s="48" t="s">
        <v>21</v>
      </c>
      <c r="AJ40" s="78">
        <f>IF(AN40=0,H40,0)</f>
        <v>0</v>
      </c>
      <c r="AK40" s="78">
        <f>IF(AN40=12,H40,0)</f>
        <v>0</v>
      </c>
      <c r="AL40" s="78">
        <f>IF(AN40=21,H40,0)</f>
        <v>0</v>
      </c>
      <c r="AN40" s="14">
        <v>21</v>
      </c>
      <c r="AO40" s="14">
        <f>G40*1</f>
        <v>0</v>
      </c>
      <c r="AP40" s="14">
        <f>G40*(1-1)</f>
        <v>0</v>
      </c>
      <c r="AQ40" s="81" t="s">
        <v>189</v>
      </c>
      <c r="AV40" s="14">
        <f>ROUND(AW40+AX40,2)</f>
        <v>0</v>
      </c>
      <c r="AW40" s="14">
        <f>ROUND(F40*AO40,2)</f>
        <v>0</v>
      </c>
      <c r="AX40" s="14">
        <f>ROUND(F40*AP40,2)</f>
        <v>0</v>
      </c>
      <c r="AY40" s="63" t="s">
        <v>190</v>
      </c>
      <c r="AZ40" s="63" t="s">
        <v>191</v>
      </c>
      <c r="BA40" s="48" t="s">
        <v>152</v>
      </c>
      <c r="BC40" s="14">
        <f>AW40+AX40</f>
        <v>0</v>
      </c>
      <c r="BD40" s="14">
        <f>G40/(100-BE40)*100</f>
        <v>0</v>
      </c>
      <c r="BE40" s="14">
        <v>0</v>
      </c>
      <c r="BF40" s="14">
        <f>J40</f>
        <v>4.4715000000000007</v>
      </c>
      <c r="BH40" s="78">
        <f>F40*AO40</f>
        <v>0</v>
      </c>
      <c r="BI40" s="78">
        <f>F40*AP40</f>
        <v>0</v>
      </c>
      <c r="BJ40" s="78">
        <f>F40*G40</f>
        <v>0</v>
      </c>
      <c r="BK40" s="81" t="s">
        <v>180</v>
      </c>
      <c r="BL40" s="14">
        <v>762</v>
      </c>
      <c r="BW40" s="14">
        <v>21</v>
      </c>
      <c r="BX40" s="77" t="s">
        <v>198</v>
      </c>
    </row>
    <row r="41" spans="1:76">
      <c r="A41" s="65"/>
      <c r="C41" s="67" t="s">
        <v>200</v>
      </c>
      <c r="D41" s="66" t="s">
        <v>192</v>
      </c>
      <c r="F41" s="68">
        <v>2.69</v>
      </c>
      <c r="J41" s="69"/>
    </row>
    <row r="42" spans="1:76">
      <c r="A42" s="65"/>
      <c r="C42" s="67" t="s">
        <v>201</v>
      </c>
      <c r="D42" s="66" t="s">
        <v>196</v>
      </c>
      <c r="F42" s="68">
        <v>4.84</v>
      </c>
      <c r="J42" s="69"/>
    </row>
    <row r="43" spans="1:76">
      <c r="A43" s="65"/>
      <c r="C43" s="67" t="s">
        <v>202</v>
      </c>
      <c r="D43" s="66" t="s">
        <v>21</v>
      </c>
      <c r="F43" s="68">
        <v>0.6</v>
      </c>
      <c r="J43" s="69"/>
    </row>
    <row r="44" spans="1:76">
      <c r="A44" s="1" t="s">
        <v>203</v>
      </c>
      <c r="B44" s="2" t="s">
        <v>204</v>
      </c>
      <c r="C44" s="100" t="s">
        <v>205</v>
      </c>
      <c r="D44" s="93"/>
      <c r="E44" s="2" t="s">
        <v>199</v>
      </c>
      <c r="F44" s="14">
        <v>7.53</v>
      </c>
      <c r="G44" s="62">
        <v>0</v>
      </c>
      <c r="H44" s="14">
        <f>ROUND(F44*G44,0)</f>
        <v>0</v>
      </c>
      <c r="I44" s="14">
        <v>2.9499999999999999E-3</v>
      </c>
      <c r="J44" s="15">
        <f>F44*I44</f>
        <v>2.2213500000000001E-2</v>
      </c>
      <c r="Z44" s="14">
        <f>ROUND(IF(AQ44="5",BJ44,0),2)</f>
        <v>0</v>
      </c>
      <c r="AB44" s="14">
        <f>ROUND(IF(AQ44="1",BH44,0),2)</f>
        <v>0</v>
      </c>
      <c r="AC44" s="14">
        <f>ROUND(IF(AQ44="1",BI44,0),2)</f>
        <v>0</v>
      </c>
      <c r="AD44" s="14">
        <f>ROUND(IF(AQ44="7",BH44,0),2)</f>
        <v>0</v>
      </c>
      <c r="AE44" s="14">
        <f>ROUND(IF(AQ44="7",BI44,0),2)</f>
        <v>0</v>
      </c>
      <c r="AF44" s="14">
        <f>ROUND(IF(AQ44="2",BH44,0),2)</f>
        <v>0</v>
      </c>
      <c r="AG44" s="14">
        <f>ROUND(IF(AQ44="2",BI44,0),2)</f>
        <v>0</v>
      </c>
      <c r="AH44" s="14">
        <f>ROUND(IF(AQ44="0",BJ44,0),2)</f>
        <v>0</v>
      </c>
      <c r="AI44" s="48" t="s">
        <v>21</v>
      </c>
      <c r="AJ44" s="14">
        <f>IF(AN44=0,H44,0)</f>
        <v>0</v>
      </c>
      <c r="AK44" s="14">
        <f>IF(AN44=12,H44,0)</f>
        <v>0</v>
      </c>
      <c r="AL44" s="14">
        <f>IF(AN44=21,H44,0)</f>
        <v>0</v>
      </c>
      <c r="AN44" s="14">
        <v>21</v>
      </c>
      <c r="AO44" s="14">
        <f>G44*1.000046702</f>
        <v>0</v>
      </c>
      <c r="AP44" s="14">
        <f>G44*(1-1.000046702)</f>
        <v>0</v>
      </c>
      <c r="AQ44" s="63" t="s">
        <v>189</v>
      </c>
      <c r="AV44" s="14">
        <f>ROUND(AW44+AX44,2)</f>
        <v>0</v>
      </c>
      <c r="AW44" s="14">
        <f>ROUND(F44*AO44,2)</f>
        <v>0</v>
      </c>
      <c r="AX44" s="14">
        <f>ROUND(F44*AP44,2)</f>
        <v>0</v>
      </c>
      <c r="AY44" s="63" t="s">
        <v>190</v>
      </c>
      <c r="AZ44" s="63" t="s">
        <v>191</v>
      </c>
      <c r="BA44" s="48" t="s">
        <v>152</v>
      </c>
      <c r="BB44" s="64">
        <v>100012</v>
      </c>
      <c r="BC44" s="14">
        <f>AW44+AX44</f>
        <v>0</v>
      </c>
      <c r="BD44" s="14">
        <f>G44/(100-BE44)*100</f>
        <v>0</v>
      </c>
      <c r="BE44" s="14">
        <v>0</v>
      </c>
      <c r="BF44" s="14">
        <f>J44</f>
        <v>2.2213500000000001E-2</v>
      </c>
      <c r="BH44" s="14">
        <f>F44*AO44</f>
        <v>0</v>
      </c>
      <c r="BI44" s="14">
        <f>F44*AP44</f>
        <v>0</v>
      </c>
      <c r="BJ44" s="14">
        <f>F44*G44</f>
        <v>0</v>
      </c>
      <c r="BK44" s="63" t="s">
        <v>153</v>
      </c>
      <c r="BL44" s="14">
        <v>762</v>
      </c>
      <c r="BW44" s="14">
        <v>21</v>
      </c>
      <c r="BX44" s="3" t="s">
        <v>205</v>
      </c>
    </row>
    <row r="45" spans="1:76">
      <c r="A45" s="65"/>
      <c r="C45" s="67" t="s">
        <v>206</v>
      </c>
      <c r="D45" s="66" t="s">
        <v>21</v>
      </c>
      <c r="F45" s="68">
        <v>7.53</v>
      </c>
      <c r="J45" s="69"/>
    </row>
    <row r="46" spans="1:76">
      <c r="A46" s="1" t="s">
        <v>207</v>
      </c>
      <c r="B46" s="2" t="s">
        <v>208</v>
      </c>
      <c r="C46" s="100" t="s">
        <v>209</v>
      </c>
      <c r="D46" s="93"/>
      <c r="E46" s="2" t="s">
        <v>199</v>
      </c>
      <c r="F46" s="14">
        <v>8.1300000000000008</v>
      </c>
      <c r="G46" s="62">
        <v>0</v>
      </c>
      <c r="H46" s="14">
        <f>ROUND(F46*G46,0)</f>
        <v>0</v>
      </c>
      <c r="I46" s="14">
        <v>1.21E-2</v>
      </c>
      <c r="J46" s="15">
        <f>F46*I46</f>
        <v>9.8373000000000002E-2</v>
      </c>
      <c r="Z46" s="14">
        <f>ROUND(IF(AQ46="5",BJ46,0),2)</f>
        <v>0</v>
      </c>
      <c r="AB46" s="14">
        <f>ROUND(IF(AQ46="1",BH46,0),2)</f>
        <v>0</v>
      </c>
      <c r="AC46" s="14">
        <f>ROUND(IF(AQ46="1",BI46,0),2)</f>
        <v>0</v>
      </c>
      <c r="AD46" s="14">
        <f>ROUND(IF(AQ46="7",BH46,0),2)</f>
        <v>0</v>
      </c>
      <c r="AE46" s="14">
        <f>ROUND(IF(AQ46="7",BI46,0),2)</f>
        <v>0</v>
      </c>
      <c r="AF46" s="14">
        <f>ROUND(IF(AQ46="2",BH46,0),2)</f>
        <v>0</v>
      </c>
      <c r="AG46" s="14">
        <f>ROUND(IF(AQ46="2",BI46,0),2)</f>
        <v>0</v>
      </c>
      <c r="AH46" s="14">
        <f>ROUND(IF(AQ46="0",BJ46,0),2)</f>
        <v>0</v>
      </c>
      <c r="AI46" s="48" t="s">
        <v>21</v>
      </c>
      <c r="AJ46" s="14">
        <f>IF(AN46=0,H46,0)</f>
        <v>0</v>
      </c>
      <c r="AK46" s="14">
        <f>IF(AN46=12,H46,0)</f>
        <v>0</v>
      </c>
      <c r="AL46" s="14">
        <f>IF(AN46=21,H46,0)</f>
        <v>0</v>
      </c>
      <c r="AN46" s="14">
        <v>21</v>
      </c>
      <c r="AO46" s="14">
        <f>G46*0.994045311</f>
        <v>0</v>
      </c>
      <c r="AP46" s="14">
        <f>G46*(1-0.994045311)</f>
        <v>0</v>
      </c>
      <c r="AQ46" s="63" t="s">
        <v>189</v>
      </c>
      <c r="AV46" s="14">
        <f>ROUND(AW46+AX46,2)</f>
        <v>0</v>
      </c>
      <c r="AW46" s="14">
        <f>ROUND(F46*AO46,2)</f>
        <v>0</v>
      </c>
      <c r="AX46" s="14">
        <f>ROUND(F46*AP46,2)</f>
        <v>0</v>
      </c>
      <c r="AY46" s="63" t="s">
        <v>190</v>
      </c>
      <c r="AZ46" s="63" t="s">
        <v>191</v>
      </c>
      <c r="BA46" s="48" t="s">
        <v>152</v>
      </c>
      <c r="BB46" s="64">
        <v>100012</v>
      </c>
      <c r="BC46" s="14">
        <f>AW46+AX46</f>
        <v>0</v>
      </c>
      <c r="BD46" s="14">
        <f>G46/(100-BE46)*100</f>
        <v>0</v>
      </c>
      <c r="BE46" s="14">
        <v>0</v>
      </c>
      <c r="BF46" s="14">
        <f>J46</f>
        <v>9.8373000000000002E-2</v>
      </c>
      <c r="BH46" s="14">
        <f>F46*AO46</f>
        <v>0</v>
      </c>
      <c r="BI46" s="14">
        <f>F46*AP46</f>
        <v>0</v>
      </c>
      <c r="BJ46" s="14">
        <f>F46*G46</f>
        <v>0</v>
      </c>
      <c r="BK46" s="63" t="s">
        <v>153</v>
      </c>
      <c r="BL46" s="14">
        <v>762</v>
      </c>
      <c r="BW46" s="14">
        <v>21</v>
      </c>
      <c r="BX46" s="3" t="s">
        <v>209</v>
      </c>
    </row>
    <row r="47" spans="1:76">
      <c r="A47" s="65"/>
      <c r="C47" s="67" t="s">
        <v>210</v>
      </c>
      <c r="D47" s="66" t="s">
        <v>21</v>
      </c>
      <c r="F47" s="68">
        <v>8.1300000000000008</v>
      </c>
      <c r="J47" s="69"/>
    </row>
    <row r="48" spans="1:76" ht="25.5">
      <c r="A48" s="1" t="s">
        <v>211</v>
      </c>
      <c r="B48" s="2" t="s">
        <v>212</v>
      </c>
      <c r="C48" s="100" t="s">
        <v>213</v>
      </c>
      <c r="D48" s="93"/>
      <c r="E48" s="2" t="s">
        <v>214</v>
      </c>
      <c r="F48" s="14">
        <v>136</v>
      </c>
      <c r="G48" s="62">
        <v>0</v>
      </c>
      <c r="H48" s="14">
        <f>ROUND(F48*G48,0)</f>
        <v>0</v>
      </c>
      <c r="I48" s="14">
        <v>0</v>
      </c>
      <c r="J48" s="15">
        <f>F48*I48</f>
        <v>0</v>
      </c>
      <c r="Z48" s="14">
        <f>ROUND(IF(AQ48="5",BJ48,0),2)</f>
        <v>0</v>
      </c>
      <c r="AB48" s="14">
        <f>ROUND(IF(AQ48="1",BH48,0),2)</f>
        <v>0</v>
      </c>
      <c r="AC48" s="14">
        <f>ROUND(IF(AQ48="1",BI48,0),2)</f>
        <v>0</v>
      </c>
      <c r="AD48" s="14">
        <f>ROUND(IF(AQ48="7",BH48,0),2)</f>
        <v>0</v>
      </c>
      <c r="AE48" s="14">
        <f>ROUND(IF(AQ48="7",BI48,0),2)</f>
        <v>0</v>
      </c>
      <c r="AF48" s="14">
        <f>ROUND(IF(AQ48="2",BH48,0),2)</f>
        <v>0</v>
      </c>
      <c r="AG48" s="14">
        <f>ROUND(IF(AQ48="2",BI48,0),2)</f>
        <v>0</v>
      </c>
      <c r="AH48" s="14">
        <f>ROUND(IF(AQ48="0",BJ48,0),2)</f>
        <v>0</v>
      </c>
      <c r="AI48" s="48" t="s">
        <v>21</v>
      </c>
      <c r="AJ48" s="14">
        <f>IF(AN48=0,H48,0)</f>
        <v>0</v>
      </c>
      <c r="AK48" s="14">
        <f>IF(AN48=12,H48,0)</f>
        <v>0</v>
      </c>
      <c r="AL48" s="14">
        <f>IF(AN48=21,H48,0)</f>
        <v>0</v>
      </c>
      <c r="AN48" s="14">
        <v>21</v>
      </c>
      <c r="AO48" s="14">
        <f>G48*0.166666667</f>
        <v>0</v>
      </c>
      <c r="AP48" s="14">
        <f>G48*(1-0.166666667)</f>
        <v>0</v>
      </c>
      <c r="AQ48" s="63" t="s">
        <v>189</v>
      </c>
      <c r="AV48" s="14">
        <f>ROUND(AW48+AX48,2)</f>
        <v>0</v>
      </c>
      <c r="AW48" s="14">
        <f>ROUND(F48*AO48,2)</f>
        <v>0</v>
      </c>
      <c r="AX48" s="14">
        <f>ROUND(F48*AP48,2)</f>
        <v>0</v>
      </c>
      <c r="AY48" s="63" t="s">
        <v>190</v>
      </c>
      <c r="AZ48" s="63" t="s">
        <v>191</v>
      </c>
      <c r="BA48" s="48" t="s">
        <v>152</v>
      </c>
      <c r="BB48" s="64">
        <v>100012</v>
      </c>
      <c r="BC48" s="14">
        <f>AW48+AX48</f>
        <v>0</v>
      </c>
      <c r="BD48" s="14">
        <f>G48/(100-BE48)*100</f>
        <v>0</v>
      </c>
      <c r="BE48" s="14">
        <v>0</v>
      </c>
      <c r="BF48" s="14">
        <f>J48</f>
        <v>0</v>
      </c>
      <c r="BH48" s="14">
        <f>F48*AO48</f>
        <v>0</v>
      </c>
      <c r="BI48" s="14">
        <f>F48*AP48</f>
        <v>0</v>
      </c>
      <c r="BJ48" s="14">
        <f>F48*G48</f>
        <v>0</v>
      </c>
      <c r="BK48" s="63" t="s">
        <v>153</v>
      </c>
      <c r="BL48" s="14">
        <v>762</v>
      </c>
      <c r="BW48" s="14">
        <v>21</v>
      </c>
      <c r="BX48" s="3" t="s">
        <v>213</v>
      </c>
    </row>
    <row r="49" spans="1:76" ht="13.5" customHeight="1">
      <c r="A49" s="65"/>
      <c r="C49" s="183" t="s">
        <v>215</v>
      </c>
      <c r="D49" s="184"/>
      <c r="E49" s="184"/>
      <c r="F49" s="184"/>
      <c r="G49" s="185"/>
      <c r="H49" s="184"/>
      <c r="I49" s="184"/>
      <c r="J49" s="186"/>
    </row>
    <row r="50" spans="1:76">
      <c r="A50" s="65"/>
      <c r="C50" s="67" t="s">
        <v>216</v>
      </c>
      <c r="D50" s="66" t="s">
        <v>21</v>
      </c>
      <c r="F50" s="68">
        <v>136</v>
      </c>
      <c r="J50" s="69"/>
    </row>
    <row r="51" spans="1:76">
      <c r="A51" s="75" t="s">
        <v>217</v>
      </c>
      <c r="B51" s="76" t="s">
        <v>218</v>
      </c>
      <c r="C51" s="189" t="s">
        <v>219</v>
      </c>
      <c r="D51" s="190"/>
      <c r="E51" s="76" t="s">
        <v>220</v>
      </c>
      <c r="F51" s="78">
        <v>136</v>
      </c>
      <c r="G51" s="79">
        <v>0</v>
      </c>
      <c r="H51" s="78">
        <f>ROUND(F51*G51,0)</f>
        <v>0</v>
      </c>
      <c r="I51" s="78">
        <v>4.0000000000000003E-5</v>
      </c>
      <c r="J51" s="80">
        <f>F51*I51</f>
        <v>5.4400000000000004E-3</v>
      </c>
      <c r="Z51" s="14">
        <f>ROUND(IF(AQ51="5",BJ51,0),2)</f>
        <v>0</v>
      </c>
      <c r="AB51" s="14">
        <f>ROUND(IF(AQ51="1",BH51,0),2)</f>
        <v>0</v>
      </c>
      <c r="AC51" s="14">
        <f>ROUND(IF(AQ51="1",BI51,0),2)</f>
        <v>0</v>
      </c>
      <c r="AD51" s="14">
        <f>ROUND(IF(AQ51="7",BH51,0),2)</f>
        <v>0</v>
      </c>
      <c r="AE51" s="14">
        <f>ROUND(IF(AQ51="7",BI51,0),2)</f>
        <v>0</v>
      </c>
      <c r="AF51" s="14">
        <f>ROUND(IF(AQ51="2",BH51,0),2)</f>
        <v>0</v>
      </c>
      <c r="AG51" s="14">
        <f>ROUND(IF(AQ51="2",BI51,0),2)</f>
        <v>0</v>
      </c>
      <c r="AH51" s="14">
        <f>ROUND(IF(AQ51="0",BJ51,0),2)</f>
        <v>0</v>
      </c>
      <c r="AI51" s="48" t="s">
        <v>21</v>
      </c>
      <c r="AJ51" s="78">
        <f>IF(AN51=0,H51,0)</f>
        <v>0</v>
      </c>
      <c r="AK51" s="78">
        <f>IF(AN51=12,H51,0)</f>
        <v>0</v>
      </c>
      <c r="AL51" s="78">
        <f>IF(AN51=21,H51,0)</f>
        <v>0</v>
      </c>
      <c r="AN51" s="14">
        <v>21</v>
      </c>
      <c r="AO51" s="14">
        <f>G51*1</f>
        <v>0</v>
      </c>
      <c r="AP51" s="14">
        <f>G51*(1-1)</f>
        <v>0</v>
      </c>
      <c r="AQ51" s="81" t="s">
        <v>189</v>
      </c>
      <c r="AV51" s="14">
        <f>ROUND(AW51+AX51,2)</f>
        <v>0</v>
      </c>
      <c r="AW51" s="14">
        <f>ROUND(F51*AO51,2)</f>
        <v>0</v>
      </c>
      <c r="AX51" s="14">
        <f>ROUND(F51*AP51,2)</f>
        <v>0</v>
      </c>
      <c r="AY51" s="63" t="s">
        <v>190</v>
      </c>
      <c r="AZ51" s="63" t="s">
        <v>191</v>
      </c>
      <c r="BA51" s="48" t="s">
        <v>152</v>
      </c>
      <c r="BC51" s="14">
        <f>AW51+AX51</f>
        <v>0</v>
      </c>
      <c r="BD51" s="14">
        <f>G51/(100-BE51)*100</f>
        <v>0</v>
      </c>
      <c r="BE51" s="14">
        <v>0</v>
      </c>
      <c r="BF51" s="14">
        <f>J51</f>
        <v>5.4400000000000004E-3</v>
      </c>
      <c r="BH51" s="78">
        <f>F51*AO51</f>
        <v>0</v>
      </c>
      <c r="BI51" s="78">
        <f>F51*AP51</f>
        <v>0</v>
      </c>
      <c r="BJ51" s="78">
        <f>F51*G51</f>
        <v>0</v>
      </c>
      <c r="BK51" s="81" t="s">
        <v>180</v>
      </c>
      <c r="BL51" s="14">
        <v>762</v>
      </c>
      <c r="BW51" s="14">
        <v>21</v>
      </c>
      <c r="BX51" s="77" t="s">
        <v>219</v>
      </c>
    </row>
    <row r="52" spans="1:76">
      <c r="A52" s="65"/>
      <c r="C52" s="67" t="s">
        <v>216</v>
      </c>
      <c r="D52" s="66" t="s">
        <v>21</v>
      </c>
      <c r="F52" s="68">
        <v>136</v>
      </c>
      <c r="J52" s="69"/>
    </row>
    <row r="53" spans="1:76">
      <c r="A53" s="1" t="s">
        <v>221</v>
      </c>
      <c r="B53" s="2" t="s">
        <v>222</v>
      </c>
      <c r="C53" s="100" t="s">
        <v>223</v>
      </c>
      <c r="D53" s="93"/>
      <c r="E53" s="2" t="s">
        <v>149</v>
      </c>
      <c r="F53" s="14">
        <v>679.5</v>
      </c>
      <c r="G53" s="62">
        <v>0</v>
      </c>
      <c r="H53" s="14">
        <f>ROUND(F53*G53,0)</f>
        <v>0</v>
      </c>
      <c r="I53" s="14">
        <v>0.01</v>
      </c>
      <c r="J53" s="15">
        <f>F53*I53</f>
        <v>6.7949999999999999</v>
      </c>
      <c r="Z53" s="14">
        <f>ROUND(IF(AQ53="5",BJ53,0),2)</f>
        <v>0</v>
      </c>
      <c r="AB53" s="14">
        <f>ROUND(IF(AQ53="1",BH53,0),2)</f>
        <v>0</v>
      </c>
      <c r="AC53" s="14">
        <f>ROUND(IF(AQ53="1",BI53,0),2)</f>
        <v>0</v>
      </c>
      <c r="AD53" s="14">
        <f>ROUND(IF(AQ53="7",BH53,0),2)</f>
        <v>0</v>
      </c>
      <c r="AE53" s="14">
        <f>ROUND(IF(AQ53="7",BI53,0),2)</f>
        <v>0</v>
      </c>
      <c r="AF53" s="14">
        <f>ROUND(IF(AQ53="2",BH53,0),2)</f>
        <v>0</v>
      </c>
      <c r="AG53" s="14">
        <f>ROUND(IF(AQ53="2",BI53,0),2)</f>
        <v>0</v>
      </c>
      <c r="AH53" s="14">
        <f>ROUND(IF(AQ53="0",BJ53,0),2)</f>
        <v>0</v>
      </c>
      <c r="AI53" s="48" t="s">
        <v>224</v>
      </c>
      <c r="AJ53" s="14">
        <f>IF(AN53=0,H53,0)</f>
        <v>0</v>
      </c>
      <c r="AK53" s="14">
        <f>IF(AN53=12,H53,0)</f>
        <v>0</v>
      </c>
      <c r="AL53" s="14">
        <f>IF(AN53=21,H53,0)</f>
        <v>0</v>
      </c>
      <c r="AN53" s="14">
        <v>21</v>
      </c>
      <c r="AO53" s="14">
        <f>G53*0</f>
        <v>0</v>
      </c>
      <c r="AP53" s="14">
        <f>G53*(1-0)</f>
        <v>0</v>
      </c>
      <c r="AQ53" s="63" t="s">
        <v>189</v>
      </c>
      <c r="AV53" s="14">
        <f>ROUND(AW53+AX53,2)</f>
        <v>0</v>
      </c>
      <c r="AW53" s="14">
        <f>ROUND(F53*AO53,2)</f>
        <v>0</v>
      </c>
      <c r="AX53" s="14">
        <f>ROUND(F53*AP53,2)</f>
        <v>0</v>
      </c>
      <c r="AY53" s="63" t="s">
        <v>190</v>
      </c>
      <c r="AZ53" s="63" t="s">
        <v>191</v>
      </c>
      <c r="BA53" s="48" t="s">
        <v>225</v>
      </c>
      <c r="BB53" s="64">
        <v>100015</v>
      </c>
      <c r="BC53" s="14">
        <f>AW53+AX53</f>
        <v>0</v>
      </c>
      <c r="BD53" s="14">
        <f>G53/(100-BE53)*100</f>
        <v>0</v>
      </c>
      <c r="BE53" s="14">
        <v>0</v>
      </c>
      <c r="BF53" s="14">
        <f>J53</f>
        <v>6.7949999999999999</v>
      </c>
      <c r="BH53" s="14">
        <f>F53*AO53</f>
        <v>0</v>
      </c>
      <c r="BI53" s="14">
        <f>F53*AP53</f>
        <v>0</v>
      </c>
      <c r="BJ53" s="14">
        <f>F53*G53</f>
        <v>0</v>
      </c>
      <c r="BK53" s="63" t="s">
        <v>153</v>
      </c>
      <c r="BL53" s="14">
        <v>762</v>
      </c>
      <c r="BW53" s="14">
        <v>21</v>
      </c>
      <c r="BX53" s="3" t="s">
        <v>223</v>
      </c>
    </row>
    <row r="54" spans="1:76" ht="13.5" customHeight="1">
      <c r="A54" s="65"/>
      <c r="C54" s="183" t="s">
        <v>226</v>
      </c>
      <c r="D54" s="184"/>
      <c r="E54" s="184"/>
      <c r="F54" s="184"/>
      <c r="G54" s="185"/>
      <c r="H54" s="184"/>
      <c r="I54" s="184"/>
      <c r="J54" s="186"/>
    </row>
    <row r="55" spans="1:76">
      <c r="A55" s="65"/>
      <c r="C55" s="67" t="s">
        <v>181</v>
      </c>
      <c r="D55" s="66" t="s">
        <v>21</v>
      </c>
      <c r="F55" s="68">
        <v>679.5</v>
      </c>
      <c r="J55" s="69"/>
    </row>
    <row r="56" spans="1:76">
      <c r="A56" s="1" t="s">
        <v>227</v>
      </c>
      <c r="B56" s="2" t="s">
        <v>228</v>
      </c>
      <c r="C56" s="100" t="s">
        <v>229</v>
      </c>
      <c r="D56" s="93"/>
      <c r="E56" s="2" t="s">
        <v>149</v>
      </c>
      <c r="F56" s="14">
        <v>679.5</v>
      </c>
      <c r="G56" s="62">
        <v>0</v>
      </c>
      <c r="H56" s="14">
        <f>ROUND(F56*G56,0)</f>
        <v>0</v>
      </c>
      <c r="I56" s="14">
        <v>1.2E-2</v>
      </c>
      <c r="J56" s="15">
        <f>F56*I56</f>
        <v>8.1539999999999999</v>
      </c>
      <c r="Z56" s="14">
        <f>ROUND(IF(AQ56="5",BJ56,0),2)</f>
        <v>0</v>
      </c>
      <c r="AB56" s="14">
        <f>ROUND(IF(AQ56="1",BH56,0),2)</f>
        <v>0</v>
      </c>
      <c r="AC56" s="14">
        <f>ROUND(IF(AQ56="1",BI56,0),2)</f>
        <v>0</v>
      </c>
      <c r="AD56" s="14">
        <f>ROUND(IF(AQ56="7",BH56,0),2)</f>
        <v>0</v>
      </c>
      <c r="AE56" s="14">
        <f>ROUND(IF(AQ56="7",BI56,0),2)</f>
        <v>0</v>
      </c>
      <c r="AF56" s="14">
        <f>ROUND(IF(AQ56="2",BH56,0),2)</f>
        <v>0</v>
      </c>
      <c r="AG56" s="14">
        <f>ROUND(IF(AQ56="2",BI56,0),2)</f>
        <v>0</v>
      </c>
      <c r="AH56" s="14">
        <f>ROUND(IF(AQ56="0",BJ56,0),2)</f>
        <v>0</v>
      </c>
      <c r="AI56" s="48" t="s">
        <v>224</v>
      </c>
      <c r="AJ56" s="14">
        <f>IF(AN56=0,H56,0)</f>
        <v>0</v>
      </c>
      <c r="AK56" s="14">
        <f>IF(AN56=12,H56,0)</f>
        <v>0</v>
      </c>
      <c r="AL56" s="14">
        <f>IF(AN56=21,H56,0)</f>
        <v>0</v>
      </c>
      <c r="AN56" s="14">
        <v>21</v>
      </c>
      <c r="AO56" s="14">
        <f>G56*0</f>
        <v>0</v>
      </c>
      <c r="AP56" s="14">
        <f>G56*(1-0)</f>
        <v>0</v>
      </c>
      <c r="AQ56" s="63" t="s">
        <v>189</v>
      </c>
      <c r="AV56" s="14">
        <f>ROUND(AW56+AX56,2)</f>
        <v>0</v>
      </c>
      <c r="AW56" s="14">
        <f>ROUND(F56*AO56,2)</f>
        <v>0</v>
      </c>
      <c r="AX56" s="14">
        <f>ROUND(F56*AP56,2)</f>
        <v>0</v>
      </c>
      <c r="AY56" s="63" t="s">
        <v>190</v>
      </c>
      <c r="AZ56" s="63" t="s">
        <v>191</v>
      </c>
      <c r="BA56" s="48" t="s">
        <v>225</v>
      </c>
      <c r="BB56" s="64">
        <v>100015</v>
      </c>
      <c r="BC56" s="14">
        <f>AW56+AX56</f>
        <v>0</v>
      </c>
      <c r="BD56" s="14">
        <f>G56/(100-BE56)*100</f>
        <v>0</v>
      </c>
      <c r="BE56" s="14">
        <v>0</v>
      </c>
      <c r="BF56" s="14">
        <f>J56</f>
        <v>8.1539999999999999</v>
      </c>
      <c r="BH56" s="14">
        <f>F56*AO56</f>
        <v>0</v>
      </c>
      <c r="BI56" s="14">
        <f>F56*AP56</f>
        <v>0</v>
      </c>
      <c r="BJ56" s="14">
        <f>F56*G56</f>
        <v>0</v>
      </c>
      <c r="BK56" s="63" t="s">
        <v>153</v>
      </c>
      <c r="BL56" s="14">
        <v>762</v>
      </c>
      <c r="BW56" s="14">
        <v>21</v>
      </c>
      <c r="BX56" s="3" t="s">
        <v>229</v>
      </c>
    </row>
    <row r="57" spans="1:76" ht="13.5" customHeight="1">
      <c r="A57" s="65"/>
      <c r="C57" s="183" t="s">
        <v>230</v>
      </c>
      <c r="D57" s="184"/>
      <c r="E57" s="184"/>
      <c r="F57" s="184"/>
      <c r="G57" s="185"/>
      <c r="H57" s="184"/>
      <c r="I57" s="184"/>
      <c r="J57" s="186"/>
    </row>
    <row r="58" spans="1:76">
      <c r="A58" s="65"/>
      <c r="C58" s="67" t="s">
        <v>181</v>
      </c>
      <c r="D58" s="66" t="s">
        <v>21</v>
      </c>
      <c r="F58" s="68">
        <v>679.5</v>
      </c>
      <c r="J58" s="69"/>
    </row>
    <row r="59" spans="1:76">
      <c r="A59" s="70" t="s">
        <v>21</v>
      </c>
      <c r="B59" s="71" t="s">
        <v>26</v>
      </c>
      <c r="C59" s="187" t="s">
        <v>27</v>
      </c>
      <c r="D59" s="188"/>
      <c r="E59" s="72" t="s">
        <v>12</v>
      </c>
      <c r="F59" s="72" t="s">
        <v>12</v>
      </c>
      <c r="G59" s="73" t="s">
        <v>12</v>
      </c>
      <c r="H59" s="43">
        <f>ROUND(SUM(H60:H66),0)</f>
        <v>0</v>
      </c>
      <c r="I59" s="48" t="s">
        <v>21</v>
      </c>
      <c r="J59" s="74">
        <f>SUM(J60:J66)</f>
        <v>0.83518380000000003</v>
      </c>
      <c r="AI59" s="48" t="s">
        <v>21</v>
      </c>
      <c r="AS59" s="43">
        <f>SUM(AJ60:AJ66)</f>
        <v>0</v>
      </c>
      <c r="AT59" s="43">
        <f>SUM(AK60:AK66)</f>
        <v>0</v>
      </c>
      <c r="AU59" s="43">
        <f>SUM(AL60:AL66)</f>
        <v>0</v>
      </c>
    </row>
    <row r="60" spans="1:76" ht="25.5">
      <c r="A60" s="1" t="s">
        <v>231</v>
      </c>
      <c r="B60" s="2" t="s">
        <v>232</v>
      </c>
      <c r="C60" s="100" t="s">
        <v>233</v>
      </c>
      <c r="D60" s="93"/>
      <c r="E60" s="2" t="s">
        <v>149</v>
      </c>
      <c r="F60" s="14">
        <v>82.21</v>
      </c>
      <c r="G60" s="62">
        <v>0</v>
      </c>
      <c r="H60" s="14">
        <f>ROUND(F60*G60,0)</f>
        <v>0</v>
      </c>
      <c r="I60" s="14">
        <v>8.0000000000000002E-3</v>
      </c>
      <c r="J60" s="15">
        <f>F60*I60</f>
        <v>0.65767999999999993</v>
      </c>
      <c r="Z60" s="14">
        <f>ROUND(IF(AQ60="5",BJ60,0),2)</f>
        <v>0</v>
      </c>
      <c r="AB60" s="14">
        <f>ROUND(IF(AQ60="1",BH60,0),2)</f>
        <v>0</v>
      </c>
      <c r="AC60" s="14">
        <f>ROUND(IF(AQ60="1",BI60,0),2)</f>
        <v>0</v>
      </c>
      <c r="AD60" s="14">
        <f>ROUND(IF(AQ60="7",BH60,0),2)</f>
        <v>0</v>
      </c>
      <c r="AE60" s="14">
        <f>ROUND(IF(AQ60="7",BI60,0),2)</f>
        <v>0</v>
      </c>
      <c r="AF60" s="14">
        <f>ROUND(IF(AQ60="2",BH60,0),2)</f>
        <v>0</v>
      </c>
      <c r="AG60" s="14">
        <f>ROUND(IF(AQ60="2",BI60,0),2)</f>
        <v>0</v>
      </c>
      <c r="AH60" s="14">
        <f>ROUND(IF(AQ60="0",BJ60,0),2)</f>
        <v>0</v>
      </c>
      <c r="AI60" s="48" t="s">
        <v>21</v>
      </c>
      <c r="AJ60" s="14">
        <f>IF(AN60=0,H60,0)</f>
        <v>0</v>
      </c>
      <c r="AK60" s="14">
        <f>IF(AN60=12,H60,0)</f>
        <v>0</v>
      </c>
      <c r="AL60" s="14">
        <f>IF(AN60=21,H60,0)</f>
        <v>0</v>
      </c>
      <c r="AN60" s="14">
        <v>21</v>
      </c>
      <c r="AO60" s="14">
        <f>G60*0.17262107</f>
        <v>0</v>
      </c>
      <c r="AP60" s="14">
        <f>G60*(1-0.17262107)</f>
        <v>0</v>
      </c>
      <c r="AQ60" s="63" t="s">
        <v>189</v>
      </c>
      <c r="AV60" s="14">
        <f>ROUND(AW60+AX60,2)</f>
        <v>0</v>
      </c>
      <c r="AW60" s="14">
        <f>ROUND(F60*AO60,2)</f>
        <v>0</v>
      </c>
      <c r="AX60" s="14">
        <f>ROUND(F60*AP60,2)</f>
        <v>0</v>
      </c>
      <c r="AY60" s="63" t="s">
        <v>234</v>
      </c>
      <c r="AZ60" s="63" t="s">
        <v>191</v>
      </c>
      <c r="BA60" s="48" t="s">
        <v>152</v>
      </c>
      <c r="BB60" s="64">
        <v>100008</v>
      </c>
      <c r="BC60" s="14">
        <f>AW60+AX60</f>
        <v>0</v>
      </c>
      <c r="BD60" s="14">
        <f>G60/(100-BE60)*100</f>
        <v>0</v>
      </c>
      <c r="BE60" s="14">
        <v>0</v>
      </c>
      <c r="BF60" s="14">
        <f>J60</f>
        <v>0.65767999999999993</v>
      </c>
      <c r="BH60" s="14">
        <f>F60*AO60</f>
        <v>0</v>
      </c>
      <c r="BI60" s="14">
        <f>F60*AP60</f>
        <v>0</v>
      </c>
      <c r="BJ60" s="14">
        <f>F60*G60</f>
        <v>0</v>
      </c>
      <c r="BK60" s="63" t="s">
        <v>153</v>
      </c>
      <c r="BL60" s="14">
        <v>763</v>
      </c>
      <c r="BW60" s="14">
        <v>21</v>
      </c>
      <c r="BX60" s="3" t="s">
        <v>233</v>
      </c>
    </row>
    <row r="61" spans="1:76" ht="13.5" customHeight="1">
      <c r="A61" s="65"/>
      <c r="C61" s="183" t="s">
        <v>235</v>
      </c>
      <c r="D61" s="184"/>
      <c r="E61" s="184"/>
      <c r="F61" s="184"/>
      <c r="G61" s="185"/>
      <c r="H61" s="184"/>
      <c r="I61" s="184"/>
      <c r="J61" s="186"/>
    </row>
    <row r="62" spans="1:76">
      <c r="A62" s="65"/>
      <c r="C62" s="67" t="s">
        <v>236</v>
      </c>
      <c r="D62" s="66" t="s">
        <v>21</v>
      </c>
      <c r="F62" s="68">
        <v>82.21</v>
      </c>
      <c r="J62" s="69"/>
    </row>
    <row r="63" spans="1:76" ht="25.5">
      <c r="A63" s="1" t="s">
        <v>237</v>
      </c>
      <c r="B63" s="2" t="s">
        <v>238</v>
      </c>
      <c r="C63" s="100" t="s">
        <v>239</v>
      </c>
      <c r="D63" s="93"/>
      <c r="E63" s="2" t="s">
        <v>149</v>
      </c>
      <c r="F63" s="14">
        <v>66.06</v>
      </c>
      <c r="G63" s="62">
        <v>0</v>
      </c>
      <c r="H63" s="14">
        <f>ROUND(F63*G63,0)</f>
        <v>0</v>
      </c>
      <c r="I63" s="14">
        <v>7.2999999999999996E-4</v>
      </c>
      <c r="J63" s="15">
        <f>F63*I63</f>
        <v>4.8223799999999997E-2</v>
      </c>
      <c r="Z63" s="14">
        <f>ROUND(IF(AQ63="5",BJ63,0),2)</f>
        <v>0</v>
      </c>
      <c r="AB63" s="14">
        <f>ROUND(IF(AQ63="1",BH63,0),2)</f>
        <v>0</v>
      </c>
      <c r="AC63" s="14">
        <f>ROUND(IF(AQ63="1",BI63,0),2)</f>
        <v>0</v>
      </c>
      <c r="AD63" s="14">
        <f>ROUND(IF(AQ63="7",BH63,0),2)</f>
        <v>0</v>
      </c>
      <c r="AE63" s="14">
        <f>ROUND(IF(AQ63="7",BI63,0),2)</f>
        <v>0</v>
      </c>
      <c r="AF63" s="14">
        <f>ROUND(IF(AQ63="2",BH63,0),2)</f>
        <v>0</v>
      </c>
      <c r="AG63" s="14">
        <f>ROUND(IF(AQ63="2",BI63,0),2)</f>
        <v>0</v>
      </c>
      <c r="AH63" s="14">
        <f>ROUND(IF(AQ63="0",BJ63,0),2)</f>
        <v>0</v>
      </c>
      <c r="AI63" s="48" t="s">
        <v>21</v>
      </c>
      <c r="AJ63" s="14">
        <f>IF(AN63=0,H63,0)</f>
        <v>0</v>
      </c>
      <c r="AK63" s="14">
        <f>IF(AN63=12,H63,0)</f>
        <v>0</v>
      </c>
      <c r="AL63" s="14">
        <f>IF(AN63=21,H63,0)</f>
        <v>0</v>
      </c>
      <c r="AN63" s="14">
        <v>21</v>
      </c>
      <c r="AO63" s="14">
        <f>G63*0.612217338</f>
        <v>0</v>
      </c>
      <c r="AP63" s="14">
        <f>G63*(1-0.612217338)</f>
        <v>0</v>
      </c>
      <c r="AQ63" s="63" t="s">
        <v>189</v>
      </c>
      <c r="AV63" s="14">
        <f>ROUND(AW63+AX63,2)</f>
        <v>0</v>
      </c>
      <c r="AW63" s="14">
        <f>ROUND(F63*AO63,2)</f>
        <v>0</v>
      </c>
      <c r="AX63" s="14">
        <f>ROUND(F63*AP63,2)</f>
        <v>0</v>
      </c>
      <c r="AY63" s="63" t="s">
        <v>234</v>
      </c>
      <c r="AZ63" s="63" t="s">
        <v>191</v>
      </c>
      <c r="BA63" s="48" t="s">
        <v>152</v>
      </c>
      <c r="BB63" s="64">
        <v>100008</v>
      </c>
      <c r="BC63" s="14">
        <f>AW63+AX63</f>
        <v>0</v>
      </c>
      <c r="BD63" s="14">
        <f>G63/(100-BE63)*100</f>
        <v>0</v>
      </c>
      <c r="BE63" s="14">
        <v>0</v>
      </c>
      <c r="BF63" s="14">
        <f>J63</f>
        <v>4.8223799999999997E-2</v>
      </c>
      <c r="BH63" s="14">
        <f>F63*AO63</f>
        <v>0</v>
      </c>
      <c r="BI63" s="14">
        <f>F63*AP63</f>
        <v>0</v>
      </c>
      <c r="BJ63" s="14">
        <f>F63*G63</f>
        <v>0</v>
      </c>
      <c r="BK63" s="63" t="s">
        <v>153</v>
      </c>
      <c r="BL63" s="14">
        <v>763</v>
      </c>
      <c r="BW63" s="14">
        <v>21</v>
      </c>
      <c r="BX63" s="3" t="s">
        <v>239</v>
      </c>
    </row>
    <row r="64" spans="1:76" ht="13.5" customHeight="1">
      <c r="A64" s="65"/>
      <c r="C64" s="183" t="s">
        <v>240</v>
      </c>
      <c r="D64" s="184"/>
      <c r="E64" s="184"/>
      <c r="F64" s="184"/>
      <c r="G64" s="185"/>
      <c r="H64" s="184"/>
      <c r="I64" s="184"/>
      <c r="J64" s="186"/>
    </row>
    <row r="65" spans="1:76">
      <c r="A65" s="65"/>
      <c r="C65" s="67" t="s">
        <v>241</v>
      </c>
      <c r="D65" s="66" t="s">
        <v>21</v>
      </c>
      <c r="F65" s="68">
        <v>66.06</v>
      </c>
      <c r="J65" s="69"/>
    </row>
    <row r="66" spans="1:76">
      <c r="A66" s="1" t="s">
        <v>242</v>
      </c>
      <c r="B66" s="2" t="s">
        <v>243</v>
      </c>
      <c r="C66" s="100" t="s">
        <v>244</v>
      </c>
      <c r="D66" s="93"/>
      <c r="E66" s="2" t="s">
        <v>149</v>
      </c>
      <c r="F66" s="14">
        <v>16.16</v>
      </c>
      <c r="G66" s="62">
        <v>0</v>
      </c>
      <c r="H66" s="14">
        <f>ROUND(F66*G66,0)</f>
        <v>0</v>
      </c>
      <c r="I66" s="14">
        <v>8.0000000000000002E-3</v>
      </c>
      <c r="J66" s="15">
        <f>F66*I66</f>
        <v>0.12928000000000001</v>
      </c>
      <c r="Z66" s="14">
        <f>ROUND(IF(AQ66="5",BJ66,0),2)</f>
        <v>0</v>
      </c>
      <c r="AB66" s="14">
        <f>ROUND(IF(AQ66="1",BH66,0),2)</f>
        <v>0</v>
      </c>
      <c r="AC66" s="14">
        <f>ROUND(IF(AQ66="1",BI66,0),2)</f>
        <v>0</v>
      </c>
      <c r="AD66" s="14">
        <f>ROUND(IF(AQ66="7",BH66,0),2)</f>
        <v>0</v>
      </c>
      <c r="AE66" s="14">
        <f>ROUND(IF(AQ66="7",BI66,0),2)</f>
        <v>0</v>
      </c>
      <c r="AF66" s="14">
        <f>ROUND(IF(AQ66="2",BH66,0),2)</f>
        <v>0</v>
      </c>
      <c r="AG66" s="14">
        <f>ROUND(IF(AQ66="2",BI66,0),2)</f>
        <v>0</v>
      </c>
      <c r="AH66" s="14">
        <f>ROUND(IF(AQ66="0",BJ66,0),2)</f>
        <v>0</v>
      </c>
      <c r="AI66" s="48" t="s">
        <v>21</v>
      </c>
      <c r="AJ66" s="14">
        <f>IF(AN66=0,H66,0)</f>
        <v>0</v>
      </c>
      <c r="AK66" s="14">
        <f>IF(AN66=12,H66,0)</f>
        <v>0</v>
      </c>
      <c r="AL66" s="14">
        <f>IF(AN66=21,H66,0)</f>
        <v>0</v>
      </c>
      <c r="AN66" s="14">
        <v>21</v>
      </c>
      <c r="AO66" s="14">
        <f>G66*0.660752467</f>
        <v>0</v>
      </c>
      <c r="AP66" s="14">
        <f>G66*(1-0.660752467)</f>
        <v>0</v>
      </c>
      <c r="AQ66" s="63" t="s">
        <v>189</v>
      </c>
      <c r="AV66" s="14">
        <f>ROUND(AW66+AX66,2)</f>
        <v>0</v>
      </c>
      <c r="AW66" s="14">
        <f>ROUND(F66*AO66,2)</f>
        <v>0</v>
      </c>
      <c r="AX66" s="14">
        <f>ROUND(F66*AP66,2)</f>
        <v>0</v>
      </c>
      <c r="AY66" s="63" t="s">
        <v>234</v>
      </c>
      <c r="AZ66" s="63" t="s">
        <v>191</v>
      </c>
      <c r="BA66" s="48" t="s">
        <v>152</v>
      </c>
      <c r="BB66" s="64">
        <v>100008</v>
      </c>
      <c r="BC66" s="14">
        <f>AW66+AX66</f>
        <v>0</v>
      </c>
      <c r="BD66" s="14">
        <f>G66/(100-BE66)*100</f>
        <v>0</v>
      </c>
      <c r="BE66" s="14">
        <v>0</v>
      </c>
      <c r="BF66" s="14">
        <f>J66</f>
        <v>0.12928000000000001</v>
      </c>
      <c r="BH66" s="14">
        <f>F66*AO66</f>
        <v>0</v>
      </c>
      <c r="BI66" s="14">
        <f>F66*AP66</f>
        <v>0</v>
      </c>
      <c r="BJ66" s="14">
        <f>F66*G66</f>
        <v>0</v>
      </c>
      <c r="BK66" s="63" t="s">
        <v>153</v>
      </c>
      <c r="BL66" s="14">
        <v>763</v>
      </c>
      <c r="BW66" s="14">
        <v>21</v>
      </c>
      <c r="BX66" s="3" t="s">
        <v>244</v>
      </c>
    </row>
    <row r="67" spans="1:76" ht="13.5" customHeight="1">
      <c r="A67" s="65"/>
      <c r="C67" s="183" t="s">
        <v>240</v>
      </c>
      <c r="D67" s="184"/>
      <c r="E67" s="184"/>
      <c r="F67" s="184"/>
      <c r="G67" s="185"/>
      <c r="H67" s="184"/>
      <c r="I67" s="184"/>
      <c r="J67" s="186"/>
    </row>
    <row r="68" spans="1:76">
      <c r="A68" s="65"/>
      <c r="C68" s="67" t="s">
        <v>245</v>
      </c>
      <c r="D68" s="66" t="s">
        <v>21</v>
      </c>
      <c r="F68" s="68">
        <v>16.16</v>
      </c>
      <c r="J68" s="69"/>
    </row>
    <row r="69" spans="1:76">
      <c r="A69" s="70" t="s">
        <v>21</v>
      </c>
      <c r="B69" s="71" t="s">
        <v>28</v>
      </c>
      <c r="C69" s="187" t="s">
        <v>29</v>
      </c>
      <c r="D69" s="188"/>
      <c r="E69" s="72" t="s">
        <v>12</v>
      </c>
      <c r="F69" s="72" t="s">
        <v>12</v>
      </c>
      <c r="G69" s="73" t="s">
        <v>12</v>
      </c>
      <c r="H69" s="43">
        <f>ROUND(SUM(H70:H76),0)</f>
        <v>0</v>
      </c>
      <c r="I69" s="48" t="s">
        <v>21</v>
      </c>
      <c r="J69" s="74">
        <f>SUM(J70:J76)</f>
        <v>2.6873864999999997</v>
      </c>
      <c r="AI69" s="48" t="s">
        <v>21</v>
      </c>
      <c r="AS69" s="43">
        <f>SUM(AJ70:AJ76)</f>
        <v>0</v>
      </c>
      <c r="AT69" s="43">
        <f>SUM(AK70:AK76)</f>
        <v>0</v>
      </c>
      <c r="AU69" s="43">
        <f>SUM(AL70:AL76)</f>
        <v>0</v>
      </c>
    </row>
    <row r="70" spans="1:76">
      <c r="A70" s="1" t="s">
        <v>246</v>
      </c>
      <c r="B70" s="2" t="s">
        <v>247</v>
      </c>
      <c r="C70" s="100" t="s">
        <v>248</v>
      </c>
      <c r="D70" s="93"/>
      <c r="E70" s="2" t="s">
        <v>149</v>
      </c>
      <c r="F70" s="14">
        <v>82.21</v>
      </c>
      <c r="G70" s="62">
        <v>0</v>
      </c>
      <c r="H70" s="14">
        <f>ROUND(F70*G70,0)</f>
        <v>0</v>
      </c>
      <c r="I70" s="14">
        <v>8.0000000000000002E-3</v>
      </c>
      <c r="J70" s="15">
        <f>F70*I70</f>
        <v>0.65767999999999993</v>
      </c>
      <c r="Z70" s="14">
        <f>ROUND(IF(AQ70="5",BJ70,0),2)</f>
        <v>0</v>
      </c>
      <c r="AB70" s="14">
        <f>ROUND(IF(AQ70="1",BH70,0),2)</f>
        <v>0</v>
      </c>
      <c r="AC70" s="14">
        <f>ROUND(IF(AQ70="1",BI70,0),2)</f>
        <v>0</v>
      </c>
      <c r="AD70" s="14">
        <f>ROUND(IF(AQ70="7",BH70,0),2)</f>
        <v>0</v>
      </c>
      <c r="AE70" s="14">
        <f>ROUND(IF(AQ70="7",BI70,0),2)</f>
        <v>0</v>
      </c>
      <c r="AF70" s="14">
        <f>ROUND(IF(AQ70="2",BH70,0),2)</f>
        <v>0</v>
      </c>
      <c r="AG70" s="14">
        <f>ROUND(IF(AQ70="2",BI70,0),2)</f>
        <v>0</v>
      </c>
      <c r="AH70" s="14">
        <f>ROUND(IF(AQ70="0",BJ70,0),2)</f>
        <v>0</v>
      </c>
      <c r="AI70" s="48" t="s">
        <v>224</v>
      </c>
      <c r="AJ70" s="14">
        <f>IF(AN70=0,H70,0)</f>
        <v>0</v>
      </c>
      <c r="AK70" s="14">
        <f>IF(AN70=12,H70,0)</f>
        <v>0</v>
      </c>
      <c r="AL70" s="14">
        <f>IF(AN70=21,H70,0)</f>
        <v>0</v>
      </c>
      <c r="AN70" s="14">
        <v>21</v>
      </c>
      <c r="AO70" s="14">
        <f>G70*0</f>
        <v>0</v>
      </c>
      <c r="AP70" s="14">
        <f>G70*(1-0)</f>
        <v>0</v>
      </c>
      <c r="AQ70" s="63" t="s">
        <v>189</v>
      </c>
      <c r="AV70" s="14">
        <f>ROUND(AW70+AX70,2)</f>
        <v>0</v>
      </c>
      <c r="AW70" s="14">
        <f>ROUND(F70*AO70,2)</f>
        <v>0</v>
      </c>
      <c r="AX70" s="14">
        <f>ROUND(F70*AP70,2)</f>
        <v>0</v>
      </c>
      <c r="AY70" s="63" t="s">
        <v>249</v>
      </c>
      <c r="AZ70" s="63" t="s">
        <v>191</v>
      </c>
      <c r="BA70" s="48" t="s">
        <v>225</v>
      </c>
      <c r="BB70" s="64">
        <v>100019</v>
      </c>
      <c r="BC70" s="14">
        <f>AW70+AX70</f>
        <v>0</v>
      </c>
      <c r="BD70" s="14">
        <f>G70/(100-BE70)*100</f>
        <v>0</v>
      </c>
      <c r="BE70" s="14">
        <v>0</v>
      </c>
      <c r="BF70" s="14">
        <f>J70</f>
        <v>0.65767999999999993</v>
      </c>
      <c r="BH70" s="14">
        <f>F70*AO70</f>
        <v>0</v>
      </c>
      <c r="BI70" s="14">
        <f>F70*AP70</f>
        <v>0</v>
      </c>
      <c r="BJ70" s="14">
        <f>F70*G70</f>
        <v>0</v>
      </c>
      <c r="BK70" s="63" t="s">
        <v>153</v>
      </c>
      <c r="BL70" s="14">
        <v>766</v>
      </c>
      <c r="BW70" s="14">
        <v>21</v>
      </c>
      <c r="BX70" s="3" t="s">
        <v>248</v>
      </c>
    </row>
    <row r="71" spans="1:76">
      <c r="A71" s="65"/>
      <c r="C71" s="67" t="s">
        <v>250</v>
      </c>
      <c r="D71" s="66" t="s">
        <v>21</v>
      </c>
      <c r="F71" s="68">
        <v>82.21</v>
      </c>
      <c r="J71" s="69"/>
    </row>
    <row r="72" spans="1:76">
      <c r="A72" s="1" t="s">
        <v>251</v>
      </c>
      <c r="B72" s="2" t="s">
        <v>252</v>
      </c>
      <c r="C72" s="100" t="s">
        <v>253</v>
      </c>
      <c r="D72" s="93"/>
      <c r="E72" s="2" t="s">
        <v>149</v>
      </c>
      <c r="F72" s="14">
        <v>82.21</v>
      </c>
      <c r="G72" s="62">
        <v>0</v>
      </c>
      <c r="H72" s="14">
        <f>ROUND(F72*G72,0)</f>
        <v>0</v>
      </c>
      <c r="I72" s="14">
        <v>2.4649999999999998E-2</v>
      </c>
      <c r="J72" s="15">
        <f>F72*I72</f>
        <v>2.0264764999999998</v>
      </c>
      <c r="Z72" s="14">
        <f>ROUND(IF(AQ72="5",BJ72,0),2)</f>
        <v>0</v>
      </c>
      <c r="AB72" s="14">
        <f>ROUND(IF(AQ72="1",BH72,0),2)</f>
        <v>0</v>
      </c>
      <c r="AC72" s="14">
        <f>ROUND(IF(AQ72="1",BI72,0),2)</f>
        <v>0</v>
      </c>
      <c r="AD72" s="14">
        <f>ROUND(IF(AQ72="7",BH72,0),2)</f>
        <v>0</v>
      </c>
      <c r="AE72" s="14">
        <f>ROUND(IF(AQ72="7",BI72,0),2)</f>
        <v>0</v>
      </c>
      <c r="AF72" s="14">
        <f>ROUND(IF(AQ72="2",BH72,0),2)</f>
        <v>0</v>
      </c>
      <c r="AG72" s="14">
        <f>ROUND(IF(AQ72="2",BI72,0),2)</f>
        <v>0</v>
      </c>
      <c r="AH72" s="14">
        <f>ROUND(IF(AQ72="0",BJ72,0),2)</f>
        <v>0</v>
      </c>
      <c r="AI72" s="48" t="s">
        <v>224</v>
      </c>
      <c r="AJ72" s="14">
        <f>IF(AN72=0,H72,0)</f>
        <v>0</v>
      </c>
      <c r="AK72" s="14">
        <f>IF(AN72=12,H72,0)</f>
        <v>0</v>
      </c>
      <c r="AL72" s="14">
        <f>IF(AN72=21,H72,0)</f>
        <v>0</v>
      </c>
      <c r="AN72" s="14">
        <v>21</v>
      </c>
      <c r="AO72" s="14">
        <f>G72*0</f>
        <v>0</v>
      </c>
      <c r="AP72" s="14">
        <f>G72*(1-0)</f>
        <v>0</v>
      </c>
      <c r="AQ72" s="63" t="s">
        <v>189</v>
      </c>
      <c r="AV72" s="14">
        <f>ROUND(AW72+AX72,2)</f>
        <v>0</v>
      </c>
      <c r="AW72" s="14">
        <f>ROUND(F72*AO72,2)</f>
        <v>0</v>
      </c>
      <c r="AX72" s="14">
        <f>ROUND(F72*AP72,2)</f>
        <v>0</v>
      </c>
      <c r="AY72" s="63" t="s">
        <v>249</v>
      </c>
      <c r="AZ72" s="63" t="s">
        <v>191</v>
      </c>
      <c r="BA72" s="48" t="s">
        <v>225</v>
      </c>
      <c r="BB72" s="64">
        <v>100005</v>
      </c>
      <c r="BC72" s="14">
        <f>AW72+AX72</f>
        <v>0</v>
      </c>
      <c r="BD72" s="14">
        <f>G72/(100-BE72)*100</f>
        <v>0</v>
      </c>
      <c r="BE72" s="14">
        <v>0</v>
      </c>
      <c r="BF72" s="14">
        <f>J72</f>
        <v>2.0264764999999998</v>
      </c>
      <c r="BH72" s="14">
        <f>F72*AO72</f>
        <v>0</v>
      </c>
      <c r="BI72" s="14">
        <f>F72*AP72</f>
        <v>0</v>
      </c>
      <c r="BJ72" s="14">
        <f>F72*G72</f>
        <v>0</v>
      </c>
      <c r="BK72" s="63" t="s">
        <v>153</v>
      </c>
      <c r="BL72" s="14">
        <v>766</v>
      </c>
      <c r="BW72" s="14">
        <v>21</v>
      </c>
      <c r="BX72" s="3" t="s">
        <v>253</v>
      </c>
    </row>
    <row r="73" spans="1:76">
      <c r="A73" s="65"/>
      <c r="C73" s="67" t="s">
        <v>250</v>
      </c>
      <c r="D73" s="66" t="s">
        <v>21</v>
      </c>
      <c r="F73" s="68">
        <v>82.21</v>
      </c>
      <c r="J73" s="69"/>
    </row>
    <row r="74" spans="1:76">
      <c r="A74" s="1" t="s">
        <v>254</v>
      </c>
      <c r="B74" s="2" t="s">
        <v>255</v>
      </c>
      <c r="C74" s="100" t="s">
        <v>256</v>
      </c>
      <c r="D74" s="93"/>
      <c r="E74" s="2" t="s">
        <v>220</v>
      </c>
      <c r="F74" s="14">
        <v>16</v>
      </c>
      <c r="G74" s="62">
        <v>0</v>
      </c>
      <c r="H74" s="14">
        <f>ROUND(F74*G74,0)</f>
        <v>0</v>
      </c>
      <c r="I74" s="14">
        <v>1.9000000000000001E-4</v>
      </c>
      <c r="J74" s="15">
        <f>F74*I74</f>
        <v>3.0400000000000002E-3</v>
      </c>
      <c r="Z74" s="14">
        <f>ROUND(IF(AQ74="5",BJ74,0),2)</f>
        <v>0</v>
      </c>
      <c r="AB74" s="14">
        <f>ROUND(IF(AQ74="1",BH74,0),2)</f>
        <v>0</v>
      </c>
      <c r="AC74" s="14">
        <f>ROUND(IF(AQ74="1",BI74,0),2)</f>
        <v>0</v>
      </c>
      <c r="AD74" s="14">
        <f>ROUND(IF(AQ74="7",BH74,0),2)</f>
        <v>0</v>
      </c>
      <c r="AE74" s="14">
        <f>ROUND(IF(AQ74="7",BI74,0),2)</f>
        <v>0</v>
      </c>
      <c r="AF74" s="14">
        <f>ROUND(IF(AQ74="2",BH74,0),2)</f>
        <v>0</v>
      </c>
      <c r="AG74" s="14">
        <f>ROUND(IF(AQ74="2",BI74,0),2)</f>
        <v>0</v>
      </c>
      <c r="AH74" s="14">
        <f>ROUND(IF(AQ74="0",BJ74,0),2)</f>
        <v>0</v>
      </c>
      <c r="AI74" s="48" t="s">
        <v>21</v>
      </c>
      <c r="AJ74" s="14">
        <f>IF(AN74=0,H74,0)</f>
        <v>0</v>
      </c>
      <c r="AK74" s="14">
        <f>IF(AN74=12,H74,0)</f>
        <v>0</v>
      </c>
      <c r="AL74" s="14">
        <f>IF(AN74=21,H74,0)</f>
        <v>0</v>
      </c>
      <c r="AN74" s="14">
        <v>21</v>
      </c>
      <c r="AO74" s="14">
        <f>G74*0.00990099</f>
        <v>0</v>
      </c>
      <c r="AP74" s="14">
        <f>G74*(1-0.00990099)</f>
        <v>0</v>
      </c>
      <c r="AQ74" s="63" t="s">
        <v>189</v>
      </c>
      <c r="AV74" s="14">
        <f>ROUND(AW74+AX74,2)</f>
        <v>0</v>
      </c>
      <c r="AW74" s="14">
        <f>ROUND(F74*AO74,2)</f>
        <v>0</v>
      </c>
      <c r="AX74" s="14">
        <f>ROUND(F74*AP74,2)</f>
        <v>0</v>
      </c>
      <c r="AY74" s="63" t="s">
        <v>249</v>
      </c>
      <c r="AZ74" s="63" t="s">
        <v>191</v>
      </c>
      <c r="BA74" s="48" t="s">
        <v>152</v>
      </c>
      <c r="BB74" s="64">
        <v>100005</v>
      </c>
      <c r="BC74" s="14">
        <f>AW74+AX74</f>
        <v>0</v>
      </c>
      <c r="BD74" s="14">
        <f>G74/(100-BE74)*100</f>
        <v>0</v>
      </c>
      <c r="BE74" s="14">
        <v>0</v>
      </c>
      <c r="BF74" s="14">
        <f>J74</f>
        <v>3.0400000000000002E-3</v>
      </c>
      <c r="BH74" s="14">
        <f>F74*AO74</f>
        <v>0</v>
      </c>
      <c r="BI74" s="14">
        <f>F74*AP74</f>
        <v>0</v>
      </c>
      <c r="BJ74" s="14">
        <f>F74*G74</f>
        <v>0</v>
      </c>
      <c r="BK74" s="63" t="s">
        <v>153</v>
      </c>
      <c r="BL74" s="14">
        <v>766</v>
      </c>
      <c r="BW74" s="14">
        <v>21</v>
      </c>
      <c r="BX74" s="3" t="s">
        <v>256</v>
      </c>
    </row>
    <row r="75" spans="1:76">
      <c r="A75" s="65"/>
      <c r="C75" s="67" t="s">
        <v>242</v>
      </c>
      <c r="D75" s="66" t="s">
        <v>21</v>
      </c>
      <c r="F75" s="68">
        <v>16</v>
      </c>
      <c r="J75" s="69"/>
    </row>
    <row r="76" spans="1:76">
      <c r="A76" s="1" t="s">
        <v>257</v>
      </c>
      <c r="B76" s="2" t="s">
        <v>258</v>
      </c>
      <c r="C76" s="100" t="s">
        <v>259</v>
      </c>
      <c r="D76" s="93"/>
      <c r="E76" s="2" t="s">
        <v>220</v>
      </c>
      <c r="F76" s="14">
        <v>1</v>
      </c>
      <c r="G76" s="62">
        <v>0</v>
      </c>
      <c r="H76" s="14">
        <f>ROUND(F76*G76,0)</f>
        <v>0</v>
      </c>
      <c r="I76" s="14">
        <v>1.9000000000000001E-4</v>
      </c>
      <c r="J76" s="15">
        <f>F76*I76</f>
        <v>1.9000000000000001E-4</v>
      </c>
      <c r="Z76" s="14">
        <f>ROUND(IF(AQ76="5",BJ76,0),2)</f>
        <v>0</v>
      </c>
      <c r="AB76" s="14">
        <f>ROUND(IF(AQ76="1",BH76,0),2)</f>
        <v>0</v>
      </c>
      <c r="AC76" s="14">
        <f>ROUND(IF(AQ76="1",BI76,0),2)</f>
        <v>0</v>
      </c>
      <c r="AD76" s="14">
        <f>ROUND(IF(AQ76="7",BH76,0),2)</f>
        <v>0</v>
      </c>
      <c r="AE76" s="14">
        <f>ROUND(IF(AQ76="7",BI76,0),2)</f>
        <v>0</v>
      </c>
      <c r="AF76" s="14">
        <f>ROUND(IF(AQ76="2",BH76,0),2)</f>
        <v>0</v>
      </c>
      <c r="AG76" s="14">
        <f>ROUND(IF(AQ76="2",BI76,0),2)</f>
        <v>0</v>
      </c>
      <c r="AH76" s="14">
        <f>ROUND(IF(AQ76="0",BJ76,0),2)</f>
        <v>0</v>
      </c>
      <c r="AI76" s="48" t="s">
        <v>21</v>
      </c>
      <c r="AJ76" s="14">
        <f>IF(AN76=0,H76,0)</f>
        <v>0</v>
      </c>
      <c r="AK76" s="14">
        <f>IF(AN76=12,H76,0)</f>
        <v>0</v>
      </c>
      <c r="AL76" s="14">
        <f>IF(AN76=21,H76,0)</f>
        <v>0</v>
      </c>
      <c r="AN76" s="14">
        <v>21</v>
      </c>
      <c r="AO76" s="14">
        <f>G76*0.007633588</f>
        <v>0</v>
      </c>
      <c r="AP76" s="14">
        <f>G76*(1-0.007633588)</f>
        <v>0</v>
      </c>
      <c r="AQ76" s="63" t="s">
        <v>189</v>
      </c>
      <c r="AV76" s="14">
        <f>ROUND(AW76+AX76,2)</f>
        <v>0</v>
      </c>
      <c r="AW76" s="14">
        <f>ROUND(F76*AO76,2)</f>
        <v>0</v>
      </c>
      <c r="AX76" s="14">
        <f>ROUND(F76*AP76,2)</f>
        <v>0</v>
      </c>
      <c r="AY76" s="63" t="s">
        <v>249</v>
      </c>
      <c r="AZ76" s="63" t="s">
        <v>191</v>
      </c>
      <c r="BA76" s="48" t="s">
        <v>152</v>
      </c>
      <c r="BB76" s="64">
        <v>100005</v>
      </c>
      <c r="BC76" s="14">
        <f>AW76+AX76</f>
        <v>0</v>
      </c>
      <c r="BD76" s="14">
        <f>G76/(100-BE76)*100</f>
        <v>0</v>
      </c>
      <c r="BE76" s="14">
        <v>0</v>
      </c>
      <c r="BF76" s="14">
        <f>J76</f>
        <v>1.9000000000000001E-4</v>
      </c>
      <c r="BH76" s="14">
        <f>F76*AO76</f>
        <v>0</v>
      </c>
      <c r="BI76" s="14">
        <f>F76*AP76</f>
        <v>0</v>
      </c>
      <c r="BJ76" s="14">
        <f>F76*G76</f>
        <v>0</v>
      </c>
      <c r="BK76" s="63" t="s">
        <v>153</v>
      </c>
      <c r="BL76" s="14">
        <v>766</v>
      </c>
      <c r="BW76" s="14">
        <v>21</v>
      </c>
      <c r="BX76" s="3" t="s">
        <v>259</v>
      </c>
    </row>
    <row r="77" spans="1:76">
      <c r="A77" s="65"/>
      <c r="C77" s="67" t="s">
        <v>146</v>
      </c>
      <c r="D77" s="66" t="s">
        <v>21</v>
      </c>
      <c r="F77" s="68">
        <v>1</v>
      </c>
      <c r="J77" s="69"/>
    </row>
    <row r="78" spans="1:76">
      <c r="A78" s="70" t="s">
        <v>21</v>
      </c>
      <c r="B78" s="71" t="s">
        <v>30</v>
      </c>
      <c r="C78" s="187" t="s">
        <v>31</v>
      </c>
      <c r="D78" s="188"/>
      <c r="E78" s="72" t="s">
        <v>12</v>
      </c>
      <c r="F78" s="72" t="s">
        <v>12</v>
      </c>
      <c r="G78" s="73" t="s">
        <v>12</v>
      </c>
      <c r="H78" s="43">
        <f>ROUND(SUM(H79:H79),0)</f>
        <v>0</v>
      </c>
      <c r="I78" s="48" t="s">
        <v>21</v>
      </c>
      <c r="J78" s="74">
        <f>SUM(J79:J79)</f>
        <v>2.5600000000000002E-3</v>
      </c>
      <c r="AI78" s="48" t="s">
        <v>21</v>
      </c>
      <c r="AS78" s="43">
        <f>SUM(AJ79:AJ79)</f>
        <v>0</v>
      </c>
      <c r="AT78" s="43">
        <f>SUM(AK79:AK79)</f>
        <v>0</v>
      </c>
      <c r="AU78" s="43">
        <f>SUM(AL79:AL79)</f>
        <v>0</v>
      </c>
    </row>
    <row r="79" spans="1:76">
      <c r="A79" s="1" t="s">
        <v>260</v>
      </c>
      <c r="B79" s="2" t="s">
        <v>261</v>
      </c>
      <c r="C79" s="100" t="s">
        <v>262</v>
      </c>
      <c r="D79" s="93"/>
      <c r="E79" s="2" t="s">
        <v>214</v>
      </c>
      <c r="F79" s="14">
        <v>32</v>
      </c>
      <c r="G79" s="62">
        <v>0</v>
      </c>
      <c r="H79" s="14">
        <f>ROUND(F79*G79,0)</f>
        <v>0</v>
      </c>
      <c r="I79" s="14">
        <v>8.0000000000000007E-5</v>
      </c>
      <c r="J79" s="15">
        <f>F79*I79</f>
        <v>2.5600000000000002E-3</v>
      </c>
      <c r="Z79" s="14">
        <f>ROUND(IF(AQ79="5",BJ79,0),2)</f>
        <v>0</v>
      </c>
      <c r="AB79" s="14">
        <f>ROUND(IF(AQ79="1",BH79,0),2)</f>
        <v>0</v>
      </c>
      <c r="AC79" s="14">
        <f>ROUND(IF(AQ79="1",BI79,0),2)</f>
        <v>0</v>
      </c>
      <c r="AD79" s="14">
        <f>ROUND(IF(AQ79="7",BH79,0),2)</f>
        <v>0</v>
      </c>
      <c r="AE79" s="14">
        <f>ROUND(IF(AQ79="7",BI79,0),2)</f>
        <v>0</v>
      </c>
      <c r="AF79" s="14">
        <f>ROUND(IF(AQ79="2",BH79,0),2)</f>
        <v>0</v>
      </c>
      <c r="AG79" s="14">
        <f>ROUND(IF(AQ79="2",BI79,0),2)</f>
        <v>0</v>
      </c>
      <c r="AH79" s="14">
        <f>ROUND(IF(AQ79="0",BJ79,0),2)</f>
        <v>0</v>
      </c>
      <c r="AI79" s="48" t="s">
        <v>21</v>
      </c>
      <c r="AJ79" s="14">
        <f>IF(AN79=0,H79,0)</f>
        <v>0</v>
      </c>
      <c r="AK79" s="14">
        <f>IF(AN79=12,H79,0)</f>
        <v>0</v>
      </c>
      <c r="AL79" s="14">
        <f>IF(AN79=21,H79,0)</f>
        <v>0</v>
      </c>
      <c r="AN79" s="14">
        <v>21</v>
      </c>
      <c r="AO79" s="14">
        <f>G79*0</f>
        <v>0</v>
      </c>
      <c r="AP79" s="14">
        <f>G79*(1-0)</f>
        <v>0</v>
      </c>
      <c r="AQ79" s="63" t="s">
        <v>189</v>
      </c>
      <c r="AV79" s="14">
        <f>ROUND(AW79+AX79,2)</f>
        <v>0</v>
      </c>
      <c r="AW79" s="14">
        <f>ROUND(F79*AO79,2)</f>
        <v>0</v>
      </c>
      <c r="AX79" s="14">
        <f>ROUND(F79*AP79,2)</f>
        <v>0</v>
      </c>
      <c r="AY79" s="63" t="s">
        <v>263</v>
      </c>
      <c r="AZ79" s="63" t="s">
        <v>191</v>
      </c>
      <c r="BA79" s="48" t="s">
        <v>152</v>
      </c>
      <c r="BB79" s="64">
        <v>100006</v>
      </c>
      <c r="BC79" s="14">
        <f>AW79+AX79</f>
        <v>0</v>
      </c>
      <c r="BD79" s="14">
        <f>G79/(100-BE79)*100</f>
        <v>0</v>
      </c>
      <c r="BE79" s="14">
        <v>0</v>
      </c>
      <c r="BF79" s="14">
        <f>J79</f>
        <v>2.5600000000000002E-3</v>
      </c>
      <c r="BH79" s="14">
        <f>F79*AO79</f>
        <v>0</v>
      </c>
      <c r="BI79" s="14">
        <f>F79*AP79</f>
        <v>0</v>
      </c>
      <c r="BJ79" s="14">
        <f>F79*G79</f>
        <v>0</v>
      </c>
      <c r="BK79" s="63" t="s">
        <v>153</v>
      </c>
      <c r="BL79" s="14">
        <v>767</v>
      </c>
      <c r="BW79" s="14">
        <v>21</v>
      </c>
      <c r="BX79" s="3" t="s">
        <v>262</v>
      </c>
    </row>
    <row r="80" spans="1:76">
      <c r="A80" s="65"/>
      <c r="C80" s="67" t="s">
        <v>203</v>
      </c>
      <c r="D80" s="66" t="s">
        <v>264</v>
      </c>
      <c r="F80" s="68">
        <v>8</v>
      </c>
      <c r="J80" s="69"/>
    </row>
    <row r="81" spans="1:76">
      <c r="A81" s="65"/>
      <c r="C81" s="67" t="s">
        <v>183</v>
      </c>
      <c r="D81" s="66" t="s">
        <v>265</v>
      </c>
      <c r="F81" s="68">
        <v>4</v>
      </c>
      <c r="J81" s="69"/>
    </row>
    <row r="82" spans="1:76">
      <c r="A82" s="65"/>
      <c r="C82" s="67" t="s">
        <v>203</v>
      </c>
      <c r="D82" s="66" t="s">
        <v>266</v>
      </c>
      <c r="F82" s="68">
        <v>8</v>
      </c>
      <c r="J82" s="69"/>
    </row>
    <row r="83" spans="1:76">
      <c r="A83" s="65"/>
      <c r="C83" s="67" t="s">
        <v>203</v>
      </c>
      <c r="D83" s="66" t="s">
        <v>267</v>
      </c>
      <c r="F83" s="68">
        <v>8</v>
      </c>
      <c r="J83" s="69"/>
    </row>
    <row r="84" spans="1:76">
      <c r="A84" s="65"/>
      <c r="C84" s="67" t="s">
        <v>183</v>
      </c>
      <c r="D84" s="66" t="s">
        <v>268</v>
      </c>
      <c r="F84" s="68">
        <v>4</v>
      </c>
      <c r="J84" s="69"/>
    </row>
    <row r="85" spans="1:76">
      <c r="A85" s="70" t="s">
        <v>21</v>
      </c>
      <c r="B85" s="71" t="s">
        <v>32</v>
      </c>
      <c r="C85" s="187" t="s">
        <v>33</v>
      </c>
      <c r="D85" s="188"/>
      <c r="E85" s="72" t="s">
        <v>12</v>
      </c>
      <c r="F85" s="72" t="s">
        <v>12</v>
      </c>
      <c r="G85" s="73" t="s">
        <v>12</v>
      </c>
      <c r="H85" s="43">
        <f>ROUND(SUM(H86:H86),0)</f>
        <v>0</v>
      </c>
      <c r="I85" s="48" t="s">
        <v>21</v>
      </c>
      <c r="J85" s="74">
        <f>SUM(J86:J86)</f>
        <v>9.5129999999999999</v>
      </c>
      <c r="AI85" s="48" t="s">
        <v>21</v>
      </c>
      <c r="AS85" s="43">
        <f>SUM(AJ86:AJ86)</f>
        <v>0</v>
      </c>
      <c r="AT85" s="43">
        <f>SUM(AK86:AK86)</f>
        <v>0</v>
      </c>
      <c r="AU85" s="43">
        <f>SUM(AL86:AL86)</f>
        <v>0</v>
      </c>
    </row>
    <row r="86" spans="1:76">
      <c r="A86" s="1" t="s">
        <v>269</v>
      </c>
      <c r="B86" s="2" t="s">
        <v>270</v>
      </c>
      <c r="C86" s="100" t="s">
        <v>271</v>
      </c>
      <c r="D86" s="93"/>
      <c r="E86" s="2" t="s">
        <v>149</v>
      </c>
      <c r="F86" s="14">
        <v>679.5</v>
      </c>
      <c r="G86" s="62">
        <v>0</v>
      </c>
      <c r="H86" s="14">
        <f>ROUND(F86*G86,0)</f>
        <v>0</v>
      </c>
      <c r="I86" s="14">
        <v>1.4E-2</v>
      </c>
      <c r="J86" s="15">
        <f>F86*I86</f>
        <v>9.5129999999999999</v>
      </c>
      <c r="Z86" s="14">
        <f>ROUND(IF(AQ86="5",BJ86,0),2)</f>
        <v>0</v>
      </c>
      <c r="AB86" s="14">
        <f>ROUND(IF(AQ86="1",BH86,0),2)</f>
        <v>0</v>
      </c>
      <c r="AC86" s="14">
        <f>ROUND(IF(AQ86="1",BI86,0),2)</f>
        <v>0</v>
      </c>
      <c r="AD86" s="14">
        <f>ROUND(IF(AQ86="7",BH86,0),2)</f>
        <v>0</v>
      </c>
      <c r="AE86" s="14">
        <f>ROUND(IF(AQ86="7",BI86,0),2)</f>
        <v>0</v>
      </c>
      <c r="AF86" s="14">
        <f>ROUND(IF(AQ86="2",BH86,0),2)</f>
        <v>0</v>
      </c>
      <c r="AG86" s="14">
        <f>ROUND(IF(AQ86="2",BI86,0),2)</f>
        <v>0</v>
      </c>
      <c r="AH86" s="14">
        <f>ROUND(IF(AQ86="0",BJ86,0),2)</f>
        <v>0</v>
      </c>
      <c r="AI86" s="48" t="s">
        <v>224</v>
      </c>
      <c r="AJ86" s="14">
        <f>IF(AN86=0,H86,0)</f>
        <v>0</v>
      </c>
      <c r="AK86" s="14">
        <f>IF(AN86=12,H86,0)</f>
        <v>0</v>
      </c>
      <c r="AL86" s="14">
        <f>IF(AN86=21,H86,0)</f>
        <v>0</v>
      </c>
      <c r="AN86" s="14">
        <v>21</v>
      </c>
      <c r="AO86" s="14">
        <f>G86*0</f>
        <v>0</v>
      </c>
      <c r="AP86" s="14">
        <f>G86*(1-0)</f>
        <v>0</v>
      </c>
      <c r="AQ86" s="63" t="s">
        <v>189</v>
      </c>
      <c r="AV86" s="14">
        <f>ROUND(AW86+AX86,2)</f>
        <v>0</v>
      </c>
      <c r="AW86" s="14">
        <f>ROUND(F86*AO86,2)</f>
        <v>0</v>
      </c>
      <c r="AX86" s="14">
        <f>ROUND(F86*AP86,2)</f>
        <v>0</v>
      </c>
      <c r="AY86" s="63" t="s">
        <v>272</v>
      </c>
      <c r="AZ86" s="63" t="s">
        <v>273</v>
      </c>
      <c r="BA86" s="48" t="s">
        <v>225</v>
      </c>
      <c r="BB86" s="64">
        <v>100016</v>
      </c>
      <c r="BC86" s="14">
        <f>AW86+AX86</f>
        <v>0</v>
      </c>
      <c r="BD86" s="14">
        <f>G86/(100-BE86)*100</f>
        <v>0</v>
      </c>
      <c r="BE86" s="14">
        <v>0</v>
      </c>
      <c r="BF86" s="14">
        <f>J86</f>
        <v>9.5129999999999999</v>
      </c>
      <c r="BH86" s="14">
        <f>F86*AO86</f>
        <v>0</v>
      </c>
      <c r="BI86" s="14">
        <f>F86*AP86</f>
        <v>0</v>
      </c>
      <c r="BJ86" s="14">
        <f>F86*G86</f>
        <v>0</v>
      </c>
      <c r="BK86" s="63" t="s">
        <v>153</v>
      </c>
      <c r="BL86" s="14">
        <v>775</v>
      </c>
      <c r="BW86" s="14">
        <v>21</v>
      </c>
      <c r="BX86" s="3" t="s">
        <v>271</v>
      </c>
    </row>
    <row r="87" spans="1:76" ht="13.5" customHeight="1">
      <c r="A87" s="65"/>
      <c r="C87" s="183" t="s">
        <v>274</v>
      </c>
      <c r="D87" s="184"/>
      <c r="E87" s="184"/>
      <c r="F87" s="184"/>
      <c r="G87" s="185"/>
      <c r="H87" s="184"/>
      <c r="I87" s="184"/>
      <c r="J87" s="186"/>
    </row>
    <row r="88" spans="1:76">
      <c r="A88" s="65"/>
      <c r="C88" s="67" t="s">
        <v>181</v>
      </c>
      <c r="D88" s="66" t="s">
        <v>21</v>
      </c>
      <c r="F88" s="68">
        <v>679.5</v>
      </c>
      <c r="J88" s="69"/>
    </row>
    <row r="89" spans="1:76">
      <c r="A89" s="70" t="s">
        <v>21</v>
      </c>
      <c r="B89" s="71" t="s">
        <v>34</v>
      </c>
      <c r="C89" s="187" t="s">
        <v>35</v>
      </c>
      <c r="D89" s="188"/>
      <c r="E89" s="72" t="s">
        <v>12</v>
      </c>
      <c r="F89" s="72" t="s">
        <v>12</v>
      </c>
      <c r="G89" s="73" t="s">
        <v>12</v>
      </c>
      <c r="H89" s="43">
        <f>ROUND(SUM(H90:H124),0)</f>
        <v>0</v>
      </c>
      <c r="I89" s="48" t="s">
        <v>21</v>
      </c>
      <c r="J89" s="74">
        <f>SUM(J90:J124)</f>
        <v>9.0074693000000003</v>
      </c>
      <c r="AI89" s="48" t="s">
        <v>21</v>
      </c>
      <c r="AS89" s="43">
        <f>SUM(AJ90:AJ124)</f>
        <v>0</v>
      </c>
      <c r="AT89" s="43">
        <f>SUM(AK90:AK124)</f>
        <v>0</v>
      </c>
      <c r="AU89" s="43">
        <f>SUM(AL90:AL124)</f>
        <v>0</v>
      </c>
    </row>
    <row r="90" spans="1:76">
      <c r="A90" s="1" t="s">
        <v>275</v>
      </c>
      <c r="B90" s="2" t="s">
        <v>276</v>
      </c>
      <c r="C90" s="100" t="s">
        <v>277</v>
      </c>
      <c r="D90" s="93"/>
      <c r="E90" s="2" t="s">
        <v>149</v>
      </c>
      <c r="F90" s="14">
        <v>679.5</v>
      </c>
      <c r="G90" s="62">
        <v>0</v>
      </c>
      <c r="H90" s="14">
        <f>ROUND(F90*G90,0)</f>
        <v>0</v>
      </c>
      <c r="I90" s="14">
        <v>1.1999999999999999E-3</v>
      </c>
      <c r="J90" s="15">
        <f>F90*I90</f>
        <v>0.8153999999999999</v>
      </c>
      <c r="Z90" s="14">
        <f>ROUND(IF(AQ90="5",BJ90,0),2)</f>
        <v>0</v>
      </c>
      <c r="AB90" s="14">
        <f>ROUND(IF(AQ90="1",BH90,0),2)</f>
        <v>0</v>
      </c>
      <c r="AC90" s="14">
        <f>ROUND(IF(AQ90="1",BI90,0),2)</f>
        <v>0</v>
      </c>
      <c r="AD90" s="14">
        <f>ROUND(IF(AQ90="7",BH90,0),2)</f>
        <v>0</v>
      </c>
      <c r="AE90" s="14">
        <f>ROUND(IF(AQ90="7",BI90,0),2)</f>
        <v>0</v>
      </c>
      <c r="AF90" s="14">
        <f>ROUND(IF(AQ90="2",BH90,0),2)</f>
        <v>0</v>
      </c>
      <c r="AG90" s="14">
        <f>ROUND(IF(AQ90="2",BI90,0),2)</f>
        <v>0</v>
      </c>
      <c r="AH90" s="14">
        <f>ROUND(IF(AQ90="0",BJ90,0),2)</f>
        <v>0</v>
      </c>
      <c r="AI90" s="48" t="s">
        <v>21</v>
      </c>
      <c r="AJ90" s="14">
        <f>IF(AN90=0,H90,0)</f>
        <v>0</v>
      </c>
      <c r="AK90" s="14">
        <f>IF(AN90=12,H90,0)</f>
        <v>0</v>
      </c>
      <c r="AL90" s="14">
        <f>IF(AN90=21,H90,0)</f>
        <v>0</v>
      </c>
      <c r="AN90" s="14">
        <v>21</v>
      </c>
      <c r="AO90" s="14">
        <f>G90*0.444442307</f>
        <v>0</v>
      </c>
      <c r="AP90" s="14">
        <f>G90*(1-0.444442307)</f>
        <v>0</v>
      </c>
      <c r="AQ90" s="63" t="s">
        <v>189</v>
      </c>
      <c r="AV90" s="14">
        <f>ROUND(AW90+AX90,2)</f>
        <v>0</v>
      </c>
      <c r="AW90" s="14">
        <f>ROUND(F90*AO90,2)</f>
        <v>0</v>
      </c>
      <c r="AX90" s="14">
        <f>ROUND(F90*AP90,2)</f>
        <v>0</v>
      </c>
      <c r="AY90" s="63" t="s">
        <v>278</v>
      </c>
      <c r="AZ90" s="63" t="s">
        <v>273</v>
      </c>
      <c r="BA90" s="48" t="s">
        <v>152</v>
      </c>
      <c r="BB90" s="64">
        <v>100002</v>
      </c>
      <c r="BC90" s="14">
        <f>AW90+AX90</f>
        <v>0</v>
      </c>
      <c r="BD90" s="14">
        <f>G90/(100-BE90)*100</f>
        <v>0</v>
      </c>
      <c r="BE90" s="14">
        <v>0</v>
      </c>
      <c r="BF90" s="14">
        <f>J90</f>
        <v>0.8153999999999999</v>
      </c>
      <c r="BH90" s="14">
        <f>F90*AO90</f>
        <v>0</v>
      </c>
      <c r="BI90" s="14">
        <f>F90*AP90</f>
        <v>0</v>
      </c>
      <c r="BJ90" s="14">
        <f>F90*G90</f>
        <v>0</v>
      </c>
      <c r="BK90" s="63" t="s">
        <v>153</v>
      </c>
      <c r="BL90" s="14">
        <v>776</v>
      </c>
      <c r="BW90" s="14">
        <v>21</v>
      </c>
      <c r="BX90" s="3" t="s">
        <v>277</v>
      </c>
    </row>
    <row r="91" spans="1:76" ht="13.5" customHeight="1">
      <c r="A91" s="65"/>
      <c r="C91" s="183" t="s">
        <v>279</v>
      </c>
      <c r="D91" s="184"/>
      <c r="E91" s="184"/>
      <c r="F91" s="184"/>
      <c r="G91" s="185"/>
      <c r="H91" s="184"/>
      <c r="I91" s="184"/>
      <c r="J91" s="186"/>
    </row>
    <row r="92" spans="1:76">
      <c r="A92" s="65"/>
      <c r="C92" s="67" t="s">
        <v>181</v>
      </c>
      <c r="D92" s="66" t="s">
        <v>21</v>
      </c>
      <c r="F92" s="68">
        <v>679.5</v>
      </c>
      <c r="J92" s="69"/>
    </row>
    <row r="93" spans="1:76">
      <c r="A93" s="1" t="s">
        <v>280</v>
      </c>
      <c r="B93" s="2" t="s">
        <v>281</v>
      </c>
      <c r="C93" s="100" t="s">
        <v>282</v>
      </c>
      <c r="D93" s="93"/>
      <c r="E93" s="2" t="s">
        <v>149</v>
      </c>
      <c r="F93" s="14">
        <v>679.5</v>
      </c>
      <c r="G93" s="62">
        <v>0</v>
      </c>
      <c r="H93" s="14">
        <f>ROUND(F93*G93,0)</f>
        <v>0</v>
      </c>
      <c r="I93" s="14">
        <v>0</v>
      </c>
      <c r="J93" s="15">
        <f>F93*I93</f>
        <v>0</v>
      </c>
      <c r="Z93" s="14">
        <f>ROUND(IF(AQ93="5",BJ93,0),2)</f>
        <v>0</v>
      </c>
      <c r="AB93" s="14">
        <f>ROUND(IF(AQ93="1",BH93,0),2)</f>
        <v>0</v>
      </c>
      <c r="AC93" s="14">
        <f>ROUND(IF(AQ93="1",BI93,0),2)</f>
        <v>0</v>
      </c>
      <c r="AD93" s="14">
        <f>ROUND(IF(AQ93="7",BH93,0),2)</f>
        <v>0</v>
      </c>
      <c r="AE93" s="14">
        <f>ROUND(IF(AQ93="7",BI93,0),2)</f>
        <v>0</v>
      </c>
      <c r="AF93" s="14">
        <f>ROUND(IF(AQ93="2",BH93,0),2)</f>
        <v>0</v>
      </c>
      <c r="AG93" s="14">
        <f>ROUND(IF(AQ93="2",BI93,0),2)</f>
        <v>0</v>
      </c>
      <c r="AH93" s="14">
        <f>ROUND(IF(AQ93="0",BJ93,0),2)</f>
        <v>0</v>
      </c>
      <c r="AI93" s="48" t="s">
        <v>21</v>
      </c>
      <c r="AJ93" s="14">
        <f>IF(AN93=0,H93,0)</f>
        <v>0</v>
      </c>
      <c r="AK93" s="14">
        <f>IF(AN93=12,H93,0)</f>
        <v>0</v>
      </c>
      <c r="AL93" s="14">
        <f>IF(AN93=21,H93,0)</f>
        <v>0</v>
      </c>
      <c r="AN93" s="14">
        <v>21</v>
      </c>
      <c r="AO93" s="14">
        <f>G93*0</f>
        <v>0</v>
      </c>
      <c r="AP93" s="14">
        <f>G93*(1-0)</f>
        <v>0</v>
      </c>
      <c r="AQ93" s="63" t="s">
        <v>189</v>
      </c>
      <c r="AV93" s="14">
        <f>ROUND(AW93+AX93,2)</f>
        <v>0</v>
      </c>
      <c r="AW93" s="14">
        <f>ROUND(F93*AO93,2)</f>
        <v>0</v>
      </c>
      <c r="AX93" s="14">
        <f>ROUND(F93*AP93,2)</f>
        <v>0</v>
      </c>
      <c r="AY93" s="63" t="s">
        <v>278</v>
      </c>
      <c r="AZ93" s="63" t="s">
        <v>273</v>
      </c>
      <c r="BA93" s="48" t="s">
        <v>152</v>
      </c>
      <c r="BB93" s="64">
        <v>100002</v>
      </c>
      <c r="BC93" s="14">
        <f>AW93+AX93</f>
        <v>0</v>
      </c>
      <c r="BD93" s="14">
        <f>G93/(100-BE93)*100</f>
        <v>0</v>
      </c>
      <c r="BE93" s="14">
        <v>0</v>
      </c>
      <c r="BF93" s="14">
        <f>J93</f>
        <v>0</v>
      </c>
      <c r="BH93" s="14">
        <f>F93*AO93</f>
        <v>0</v>
      </c>
      <c r="BI93" s="14">
        <f>F93*AP93</f>
        <v>0</v>
      </c>
      <c r="BJ93" s="14">
        <f>F93*G93</f>
        <v>0</v>
      </c>
      <c r="BK93" s="63" t="s">
        <v>153</v>
      </c>
      <c r="BL93" s="14">
        <v>776</v>
      </c>
      <c r="BW93" s="14">
        <v>21</v>
      </c>
      <c r="BX93" s="3" t="s">
        <v>282</v>
      </c>
    </row>
    <row r="94" spans="1:76">
      <c r="A94" s="65"/>
      <c r="C94" s="67" t="s">
        <v>181</v>
      </c>
      <c r="D94" s="66" t="s">
        <v>21</v>
      </c>
      <c r="F94" s="68">
        <v>679.5</v>
      </c>
      <c r="J94" s="69"/>
    </row>
    <row r="95" spans="1:76" ht="25.5">
      <c r="A95" s="1" t="s">
        <v>283</v>
      </c>
      <c r="B95" s="2" t="s">
        <v>284</v>
      </c>
      <c r="C95" s="100" t="s">
        <v>285</v>
      </c>
      <c r="D95" s="93"/>
      <c r="E95" s="2" t="s">
        <v>149</v>
      </c>
      <c r="F95" s="14">
        <v>679.5</v>
      </c>
      <c r="G95" s="62">
        <v>0</v>
      </c>
      <c r="H95" s="14">
        <f>ROUND(F95*G95,0)</f>
        <v>0</v>
      </c>
      <c r="I95" s="14">
        <v>3.8000000000000002E-4</v>
      </c>
      <c r="J95" s="15">
        <f>F95*I95</f>
        <v>0.25821</v>
      </c>
      <c r="Z95" s="14">
        <f>ROUND(IF(AQ95="5",BJ95,0),2)</f>
        <v>0</v>
      </c>
      <c r="AB95" s="14">
        <f>ROUND(IF(AQ95="1",BH95,0),2)</f>
        <v>0</v>
      </c>
      <c r="AC95" s="14">
        <f>ROUND(IF(AQ95="1",BI95,0),2)</f>
        <v>0</v>
      </c>
      <c r="AD95" s="14">
        <f>ROUND(IF(AQ95="7",BH95,0),2)</f>
        <v>0</v>
      </c>
      <c r="AE95" s="14">
        <f>ROUND(IF(AQ95="7",BI95,0),2)</f>
        <v>0</v>
      </c>
      <c r="AF95" s="14">
        <f>ROUND(IF(AQ95="2",BH95,0),2)</f>
        <v>0</v>
      </c>
      <c r="AG95" s="14">
        <f>ROUND(IF(AQ95="2",BI95,0),2)</f>
        <v>0</v>
      </c>
      <c r="AH95" s="14">
        <f>ROUND(IF(AQ95="0",BJ95,0),2)</f>
        <v>0</v>
      </c>
      <c r="AI95" s="48" t="s">
        <v>21</v>
      </c>
      <c r="AJ95" s="14">
        <f>IF(AN95=0,H95,0)</f>
        <v>0</v>
      </c>
      <c r="AK95" s="14">
        <f>IF(AN95=12,H95,0)</f>
        <v>0</v>
      </c>
      <c r="AL95" s="14">
        <f>IF(AN95=21,H95,0)</f>
        <v>0</v>
      </c>
      <c r="AN95" s="14">
        <v>21</v>
      </c>
      <c r="AO95" s="14">
        <f>G95*0.290078144</f>
        <v>0</v>
      </c>
      <c r="AP95" s="14">
        <f>G95*(1-0.290078144)</f>
        <v>0</v>
      </c>
      <c r="AQ95" s="63" t="s">
        <v>189</v>
      </c>
      <c r="AV95" s="14">
        <f>ROUND(AW95+AX95,2)</f>
        <v>0</v>
      </c>
      <c r="AW95" s="14">
        <f>ROUND(F95*AO95,2)</f>
        <v>0</v>
      </c>
      <c r="AX95" s="14">
        <f>ROUND(F95*AP95,2)</f>
        <v>0</v>
      </c>
      <c r="AY95" s="63" t="s">
        <v>278</v>
      </c>
      <c r="AZ95" s="63" t="s">
        <v>273</v>
      </c>
      <c r="BA95" s="48" t="s">
        <v>152</v>
      </c>
      <c r="BB95" s="64">
        <v>100002</v>
      </c>
      <c r="BC95" s="14">
        <f>AW95+AX95</f>
        <v>0</v>
      </c>
      <c r="BD95" s="14">
        <f>G95/(100-BE95)*100</f>
        <v>0</v>
      </c>
      <c r="BE95" s="14">
        <v>0</v>
      </c>
      <c r="BF95" s="14">
        <f>J95</f>
        <v>0.25821</v>
      </c>
      <c r="BH95" s="14">
        <f>F95*AO95</f>
        <v>0</v>
      </c>
      <c r="BI95" s="14">
        <f>F95*AP95</f>
        <v>0</v>
      </c>
      <c r="BJ95" s="14">
        <f>F95*G95</f>
        <v>0</v>
      </c>
      <c r="BK95" s="63" t="s">
        <v>153</v>
      </c>
      <c r="BL95" s="14">
        <v>776</v>
      </c>
      <c r="BW95" s="14">
        <v>21</v>
      </c>
      <c r="BX95" s="3" t="s">
        <v>285</v>
      </c>
    </row>
    <row r="96" spans="1:76" ht="13.5" customHeight="1">
      <c r="A96" s="65"/>
      <c r="C96" s="183" t="s">
        <v>286</v>
      </c>
      <c r="D96" s="184"/>
      <c r="E96" s="184"/>
      <c r="F96" s="184"/>
      <c r="G96" s="185"/>
      <c r="H96" s="184"/>
      <c r="I96" s="184"/>
      <c r="J96" s="186"/>
    </row>
    <row r="97" spans="1:76">
      <c r="A97" s="65"/>
      <c r="C97" s="67" t="s">
        <v>173</v>
      </c>
      <c r="D97" s="66" t="s">
        <v>174</v>
      </c>
      <c r="F97" s="68">
        <v>632.5</v>
      </c>
      <c r="J97" s="69"/>
    </row>
    <row r="98" spans="1:76">
      <c r="A98" s="65"/>
      <c r="C98" s="67" t="s">
        <v>175</v>
      </c>
      <c r="D98" s="66" t="s">
        <v>176</v>
      </c>
      <c r="F98" s="68">
        <v>47</v>
      </c>
      <c r="J98" s="69"/>
    </row>
    <row r="99" spans="1:76" ht="25.5">
      <c r="A99" s="75" t="s">
        <v>287</v>
      </c>
      <c r="B99" s="76" t="s">
        <v>288</v>
      </c>
      <c r="C99" s="189" t="s">
        <v>289</v>
      </c>
      <c r="D99" s="190"/>
      <c r="E99" s="76" t="s">
        <v>149</v>
      </c>
      <c r="F99" s="78">
        <v>747.45</v>
      </c>
      <c r="G99" s="79">
        <v>0</v>
      </c>
      <c r="H99" s="78">
        <f>ROUND(F99*G99,0)</f>
        <v>0</v>
      </c>
      <c r="I99" s="78">
        <v>8.5699999999999995E-3</v>
      </c>
      <c r="J99" s="80">
        <f>F99*I99</f>
        <v>6.4056464999999996</v>
      </c>
      <c r="Z99" s="14">
        <f>ROUND(IF(AQ99="5",BJ99,0),2)</f>
        <v>0</v>
      </c>
      <c r="AB99" s="14">
        <f>ROUND(IF(AQ99="1",BH99,0),2)</f>
        <v>0</v>
      </c>
      <c r="AC99" s="14">
        <f>ROUND(IF(AQ99="1",BI99,0),2)</f>
        <v>0</v>
      </c>
      <c r="AD99" s="14">
        <f>ROUND(IF(AQ99="7",BH99,0),2)</f>
        <v>0</v>
      </c>
      <c r="AE99" s="14">
        <f>ROUND(IF(AQ99="7",BI99,0),2)</f>
        <v>0</v>
      </c>
      <c r="AF99" s="14">
        <f>ROUND(IF(AQ99="2",BH99,0),2)</f>
        <v>0</v>
      </c>
      <c r="AG99" s="14">
        <f>ROUND(IF(AQ99="2",BI99,0),2)</f>
        <v>0</v>
      </c>
      <c r="AH99" s="14">
        <f>ROUND(IF(AQ99="0",BJ99,0),2)</f>
        <v>0</v>
      </c>
      <c r="AI99" s="48" t="s">
        <v>21</v>
      </c>
      <c r="AJ99" s="78">
        <f>IF(AN99=0,H99,0)</f>
        <v>0</v>
      </c>
      <c r="AK99" s="78">
        <f>IF(AN99=12,H99,0)</f>
        <v>0</v>
      </c>
      <c r="AL99" s="78">
        <f>IF(AN99=21,H99,0)</f>
        <v>0</v>
      </c>
      <c r="AN99" s="14">
        <v>21</v>
      </c>
      <c r="AO99" s="14">
        <f>G99*1</f>
        <v>0</v>
      </c>
      <c r="AP99" s="14">
        <f>G99*(1-1)</f>
        <v>0</v>
      </c>
      <c r="AQ99" s="81" t="s">
        <v>189</v>
      </c>
      <c r="AV99" s="14">
        <f>ROUND(AW99+AX99,2)</f>
        <v>0</v>
      </c>
      <c r="AW99" s="14">
        <f>ROUND(F99*AO99,2)</f>
        <v>0</v>
      </c>
      <c r="AX99" s="14">
        <f>ROUND(F99*AP99,2)</f>
        <v>0</v>
      </c>
      <c r="AY99" s="63" t="s">
        <v>278</v>
      </c>
      <c r="AZ99" s="63" t="s">
        <v>273</v>
      </c>
      <c r="BA99" s="48" t="s">
        <v>152</v>
      </c>
      <c r="BC99" s="14">
        <f>AW99+AX99</f>
        <v>0</v>
      </c>
      <c r="BD99" s="14">
        <f>G99/(100-BE99)*100</f>
        <v>0</v>
      </c>
      <c r="BE99" s="14">
        <v>0</v>
      </c>
      <c r="BF99" s="14">
        <f>J99</f>
        <v>6.4056464999999996</v>
      </c>
      <c r="BH99" s="78">
        <f>F99*AO99</f>
        <v>0</v>
      </c>
      <c r="BI99" s="78">
        <f>F99*AP99</f>
        <v>0</v>
      </c>
      <c r="BJ99" s="78">
        <f>F99*G99</f>
        <v>0</v>
      </c>
      <c r="BK99" s="81" t="s">
        <v>180</v>
      </c>
      <c r="BL99" s="14">
        <v>776</v>
      </c>
      <c r="BW99" s="14">
        <v>21</v>
      </c>
      <c r="BX99" s="77" t="s">
        <v>289</v>
      </c>
    </row>
    <row r="100" spans="1:76">
      <c r="A100" s="65"/>
      <c r="C100" s="67" t="s">
        <v>181</v>
      </c>
      <c r="D100" s="66" t="s">
        <v>21</v>
      </c>
      <c r="F100" s="68">
        <v>679.5</v>
      </c>
      <c r="J100" s="69"/>
    </row>
    <row r="101" spans="1:76">
      <c r="A101" s="65"/>
      <c r="C101" s="67" t="s">
        <v>290</v>
      </c>
      <c r="D101" s="66" t="s">
        <v>21</v>
      </c>
      <c r="F101" s="68">
        <v>67.95</v>
      </c>
      <c r="J101" s="69"/>
    </row>
    <row r="102" spans="1:76">
      <c r="A102" s="1" t="s">
        <v>291</v>
      </c>
      <c r="B102" s="2" t="s">
        <v>292</v>
      </c>
      <c r="C102" s="100" t="s">
        <v>293</v>
      </c>
      <c r="D102" s="93"/>
      <c r="E102" s="2" t="s">
        <v>149</v>
      </c>
      <c r="F102" s="14">
        <v>285.33999999999997</v>
      </c>
      <c r="G102" s="62">
        <v>0</v>
      </c>
      <c r="H102" s="14">
        <f>ROUND(F102*G102,0)</f>
        <v>0</v>
      </c>
      <c r="I102" s="14">
        <v>2.9E-4</v>
      </c>
      <c r="J102" s="15">
        <f>F102*I102</f>
        <v>8.2748599999999992E-2</v>
      </c>
      <c r="Z102" s="14">
        <f>ROUND(IF(AQ102="5",BJ102,0),2)</f>
        <v>0</v>
      </c>
      <c r="AB102" s="14">
        <f>ROUND(IF(AQ102="1",BH102,0),2)</f>
        <v>0</v>
      </c>
      <c r="AC102" s="14">
        <f>ROUND(IF(AQ102="1",BI102,0),2)</f>
        <v>0</v>
      </c>
      <c r="AD102" s="14">
        <f>ROUND(IF(AQ102="7",BH102,0),2)</f>
        <v>0</v>
      </c>
      <c r="AE102" s="14">
        <f>ROUND(IF(AQ102="7",BI102,0),2)</f>
        <v>0</v>
      </c>
      <c r="AF102" s="14">
        <f>ROUND(IF(AQ102="2",BH102,0),2)</f>
        <v>0</v>
      </c>
      <c r="AG102" s="14">
        <f>ROUND(IF(AQ102="2",BI102,0),2)</f>
        <v>0</v>
      </c>
      <c r="AH102" s="14">
        <f>ROUND(IF(AQ102="0",BJ102,0),2)</f>
        <v>0</v>
      </c>
      <c r="AI102" s="48" t="s">
        <v>21</v>
      </c>
      <c r="AJ102" s="14">
        <f>IF(AN102=0,H102,0)</f>
        <v>0</v>
      </c>
      <c r="AK102" s="14">
        <f>IF(AN102=12,H102,0)</f>
        <v>0</v>
      </c>
      <c r="AL102" s="14">
        <f>IF(AN102=21,H102,0)</f>
        <v>0</v>
      </c>
      <c r="AN102" s="14">
        <v>21</v>
      </c>
      <c r="AO102" s="14">
        <f>G102*0.189188831</f>
        <v>0</v>
      </c>
      <c r="AP102" s="14">
        <f>G102*(1-0.189188831)</f>
        <v>0</v>
      </c>
      <c r="AQ102" s="63" t="s">
        <v>189</v>
      </c>
      <c r="AV102" s="14">
        <f>ROUND(AW102+AX102,2)</f>
        <v>0</v>
      </c>
      <c r="AW102" s="14">
        <f>ROUND(F102*AO102,2)</f>
        <v>0</v>
      </c>
      <c r="AX102" s="14">
        <f>ROUND(F102*AP102,2)</f>
        <v>0</v>
      </c>
      <c r="AY102" s="63" t="s">
        <v>278</v>
      </c>
      <c r="AZ102" s="63" t="s">
        <v>273</v>
      </c>
      <c r="BA102" s="48" t="s">
        <v>152</v>
      </c>
      <c r="BB102" s="64">
        <v>100002</v>
      </c>
      <c r="BC102" s="14">
        <f>AW102+AX102</f>
        <v>0</v>
      </c>
      <c r="BD102" s="14">
        <f>G102/(100-BE102)*100</f>
        <v>0</v>
      </c>
      <c r="BE102" s="14">
        <v>0</v>
      </c>
      <c r="BF102" s="14">
        <f>J102</f>
        <v>8.2748599999999992E-2</v>
      </c>
      <c r="BH102" s="14">
        <f>F102*AO102</f>
        <v>0</v>
      </c>
      <c r="BI102" s="14">
        <f>F102*AP102</f>
        <v>0</v>
      </c>
      <c r="BJ102" s="14">
        <f>F102*G102</f>
        <v>0</v>
      </c>
      <c r="BK102" s="63" t="s">
        <v>153</v>
      </c>
      <c r="BL102" s="14">
        <v>776</v>
      </c>
      <c r="BW102" s="14">
        <v>21</v>
      </c>
      <c r="BX102" s="3" t="s">
        <v>293</v>
      </c>
    </row>
    <row r="103" spans="1:76">
      <c r="A103" s="65"/>
      <c r="C103" s="67" t="s">
        <v>155</v>
      </c>
      <c r="D103" s="66" t="s">
        <v>156</v>
      </c>
      <c r="F103" s="68">
        <v>43.5</v>
      </c>
      <c r="J103" s="69"/>
    </row>
    <row r="104" spans="1:76">
      <c r="A104" s="65"/>
      <c r="C104" s="67" t="s">
        <v>157</v>
      </c>
      <c r="D104" s="66" t="s">
        <v>158</v>
      </c>
      <c r="F104" s="68">
        <v>2.3199999999999998</v>
      </c>
      <c r="J104" s="69"/>
    </row>
    <row r="105" spans="1:76">
      <c r="A105" s="65"/>
      <c r="C105" s="67" t="s">
        <v>159</v>
      </c>
      <c r="D105" s="66" t="s">
        <v>160</v>
      </c>
      <c r="F105" s="68">
        <v>50.1</v>
      </c>
      <c r="J105" s="69"/>
    </row>
    <row r="106" spans="1:76">
      <c r="A106" s="65"/>
      <c r="C106" s="67" t="s">
        <v>161</v>
      </c>
      <c r="D106" s="66" t="s">
        <v>162</v>
      </c>
      <c r="F106" s="68">
        <v>67</v>
      </c>
      <c r="J106" s="69"/>
    </row>
    <row r="107" spans="1:76">
      <c r="A107" s="65"/>
      <c r="C107" s="67" t="s">
        <v>163</v>
      </c>
      <c r="D107" s="66" t="s">
        <v>158</v>
      </c>
      <c r="F107" s="68">
        <v>1.86</v>
      </c>
      <c r="J107" s="69"/>
    </row>
    <row r="108" spans="1:76">
      <c r="A108" s="65"/>
      <c r="C108" s="67" t="s">
        <v>294</v>
      </c>
      <c r="D108" s="66" t="s">
        <v>165</v>
      </c>
      <c r="F108" s="68">
        <v>104.4</v>
      </c>
      <c r="J108" s="69"/>
    </row>
    <row r="109" spans="1:76">
      <c r="A109" s="65"/>
      <c r="C109" s="67" t="s">
        <v>166</v>
      </c>
      <c r="D109" s="66" t="s">
        <v>167</v>
      </c>
      <c r="F109" s="68">
        <v>16.16</v>
      </c>
      <c r="J109" s="69"/>
    </row>
    <row r="110" spans="1:76" ht="25.5">
      <c r="A110" s="75" t="s">
        <v>295</v>
      </c>
      <c r="B110" s="76" t="s">
        <v>296</v>
      </c>
      <c r="C110" s="189" t="s">
        <v>297</v>
      </c>
      <c r="D110" s="190"/>
      <c r="E110" s="76" t="s">
        <v>149</v>
      </c>
      <c r="F110" s="78">
        <v>299.61</v>
      </c>
      <c r="G110" s="79">
        <v>0</v>
      </c>
      <c r="H110" s="78">
        <f>ROUND(F110*G110,0)</f>
        <v>0</v>
      </c>
      <c r="I110" s="78">
        <v>1.32E-3</v>
      </c>
      <c r="J110" s="80">
        <f>F110*I110</f>
        <v>0.39548520000000004</v>
      </c>
      <c r="Z110" s="14">
        <f>ROUND(IF(AQ110="5",BJ110,0),2)</f>
        <v>0</v>
      </c>
      <c r="AB110" s="14">
        <f>ROUND(IF(AQ110="1",BH110,0),2)</f>
        <v>0</v>
      </c>
      <c r="AC110" s="14">
        <f>ROUND(IF(AQ110="1",BI110,0),2)</f>
        <v>0</v>
      </c>
      <c r="AD110" s="14">
        <f>ROUND(IF(AQ110="7",BH110,0),2)</f>
        <v>0</v>
      </c>
      <c r="AE110" s="14">
        <f>ROUND(IF(AQ110="7",BI110,0),2)</f>
        <v>0</v>
      </c>
      <c r="AF110" s="14">
        <f>ROUND(IF(AQ110="2",BH110,0),2)</f>
        <v>0</v>
      </c>
      <c r="AG110" s="14">
        <f>ROUND(IF(AQ110="2",BI110,0),2)</f>
        <v>0</v>
      </c>
      <c r="AH110" s="14">
        <f>ROUND(IF(AQ110="0",BJ110,0),2)</f>
        <v>0</v>
      </c>
      <c r="AI110" s="48" t="s">
        <v>21</v>
      </c>
      <c r="AJ110" s="78">
        <f>IF(AN110=0,H110,0)</f>
        <v>0</v>
      </c>
      <c r="AK110" s="78">
        <f>IF(AN110=12,H110,0)</f>
        <v>0</v>
      </c>
      <c r="AL110" s="78">
        <f>IF(AN110=21,H110,0)</f>
        <v>0</v>
      </c>
      <c r="AN110" s="14">
        <v>21</v>
      </c>
      <c r="AO110" s="14">
        <f>G110*1</f>
        <v>0</v>
      </c>
      <c r="AP110" s="14">
        <f>G110*(1-1)</f>
        <v>0</v>
      </c>
      <c r="AQ110" s="81" t="s">
        <v>189</v>
      </c>
      <c r="AV110" s="14">
        <f>ROUND(AW110+AX110,2)</f>
        <v>0</v>
      </c>
      <c r="AW110" s="14">
        <f>ROUND(F110*AO110,2)</f>
        <v>0</v>
      </c>
      <c r="AX110" s="14">
        <f>ROUND(F110*AP110,2)</f>
        <v>0</v>
      </c>
      <c r="AY110" s="63" t="s">
        <v>278</v>
      </c>
      <c r="AZ110" s="63" t="s">
        <v>273</v>
      </c>
      <c r="BA110" s="48" t="s">
        <v>152</v>
      </c>
      <c r="BC110" s="14">
        <f>AW110+AX110</f>
        <v>0</v>
      </c>
      <c r="BD110" s="14">
        <f>G110/(100-BE110)*100</f>
        <v>0</v>
      </c>
      <c r="BE110" s="14">
        <v>0</v>
      </c>
      <c r="BF110" s="14">
        <f>J110</f>
        <v>0.39548520000000004</v>
      </c>
      <c r="BH110" s="78">
        <f>F110*AO110</f>
        <v>0</v>
      </c>
      <c r="BI110" s="78">
        <f>F110*AP110</f>
        <v>0</v>
      </c>
      <c r="BJ110" s="78">
        <f>F110*G110</f>
        <v>0</v>
      </c>
      <c r="BK110" s="81" t="s">
        <v>180</v>
      </c>
      <c r="BL110" s="14">
        <v>776</v>
      </c>
      <c r="BW110" s="14">
        <v>21</v>
      </c>
      <c r="BX110" s="77" t="s">
        <v>297</v>
      </c>
    </row>
    <row r="111" spans="1:76">
      <c r="A111" s="65"/>
      <c r="C111" s="67" t="s">
        <v>298</v>
      </c>
      <c r="D111" s="66" t="s">
        <v>21</v>
      </c>
      <c r="F111" s="68">
        <v>285.33999999999997</v>
      </c>
      <c r="J111" s="69"/>
    </row>
    <row r="112" spans="1:76">
      <c r="A112" s="65"/>
      <c r="C112" s="67" t="s">
        <v>299</v>
      </c>
      <c r="D112" s="66" t="s">
        <v>21</v>
      </c>
      <c r="F112" s="68">
        <v>14.27</v>
      </c>
      <c r="J112" s="69"/>
    </row>
    <row r="113" spans="1:76">
      <c r="A113" s="1" t="s">
        <v>300</v>
      </c>
      <c r="B113" s="2" t="s">
        <v>301</v>
      </c>
      <c r="C113" s="100" t="s">
        <v>302</v>
      </c>
      <c r="D113" s="93"/>
      <c r="E113" s="2" t="s">
        <v>303</v>
      </c>
      <c r="F113" s="14">
        <v>66.5</v>
      </c>
      <c r="G113" s="62">
        <v>0</v>
      </c>
      <c r="H113" s="14">
        <f>ROUND(F113*G113,0)</f>
        <v>0</v>
      </c>
      <c r="I113" s="14">
        <v>2.9999999999999997E-4</v>
      </c>
      <c r="J113" s="15">
        <f>F113*I113</f>
        <v>1.9949999999999999E-2</v>
      </c>
      <c r="Z113" s="14">
        <f>ROUND(IF(AQ113="5",BJ113,0),2)</f>
        <v>0</v>
      </c>
      <c r="AB113" s="14">
        <f>ROUND(IF(AQ113="1",BH113,0),2)</f>
        <v>0</v>
      </c>
      <c r="AC113" s="14">
        <f>ROUND(IF(AQ113="1",BI113,0),2)</f>
        <v>0</v>
      </c>
      <c r="AD113" s="14">
        <f>ROUND(IF(AQ113="7",BH113,0),2)</f>
        <v>0</v>
      </c>
      <c r="AE113" s="14">
        <f>ROUND(IF(AQ113="7",BI113,0),2)</f>
        <v>0</v>
      </c>
      <c r="AF113" s="14">
        <f>ROUND(IF(AQ113="2",BH113,0),2)</f>
        <v>0</v>
      </c>
      <c r="AG113" s="14">
        <f>ROUND(IF(AQ113="2",BI113,0),2)</f>
        <v>0</v>
      </c>
      <c r="AH113" s="14">
        <f>ROUND(IF(AQ113="0",BJ113,0),2)</f>
        <v>0</v>
      </c>
      <c r="AI113" s="48" t="s">
        <v>21</v>
      </c>
      <c r="AJ113" s="14">
        <f>IF(AN113=0,H113,0)</f>
        <v>0</v>
      </c>
      <c r="AK113" s="14">
        <f>IF(AN113=12,H113,0)</f>
        <v>0</v>
      </c>
      <c r="AL113" s="14">
        <f>IF(AN113=21,H113,0)</f>
        <v>0</v>
      </c>
      <c r="AN113" s="14">
        <v>21</v>
      </c>
      <c r="AO113" s="14">
        <f>G113*0.644636111</f>
        <v>0</v>
      </c>
      <c r="AP113" s="14">
        <f>G113*(1-0.644636111)</f>
        <v>0</v>
      </c>
      <c r="AQ113" s="63" t="s">
        <v>189</v>
      </c>
      <c r="AV113" s="14">
        <f>ROUND(AW113+AX113,2)</f>
        <v>0</v>
      </c>
      <c r="AW113" s="14">
        <f>ROUND(F113*AO113,2)</f>
        <v>0</v>
      </c>
      <c r="AX113" s="14">
        <f>ROUND(F113*AP113,2)</f>
        <v>0</v>
      </c>
      <c r="AY113" s="63" t="s">
        <v>278</v>
      </c>
      <c r="AZ113" s="63" t="s">
        <v>273</v>
      </c>
      <c r="BA113" s="48" t="s">
        <v>152</v>
      </c>
      <c r="BB113" s="64">
        <v>100002</v>
      </c>
      <c r="BC113" s="14">
        <f>AW113+AX113</f>
        <v>0</v>
      </c>
      <c r="BD113" s="14">
        <f>G113/(100-BE113)*100</f>
        <v>0</v>
      </c>
      <c r="BE113" s="14">
        <v>0</v>
      </c>
      <c r="BF113" s="14">
        <f>J113</f>
        <v>1.9949999999999999E-2</v>
      </c>
      <c r="BH113" s="14">
        <f>F113*AO113</f>
        <v>0</v>
      </c>
      <c r="BI113" s="14">
        <f>F113*AP113</f>
        <v>0</v>
      </c>
      <c r="BJ113" s="14">
        <f>F113*G113</f>
        <v>0</v>
      </c>
      <c r="BK113" s="63" t="s">
        <v>153</v>
      </c>
      <c r="BL113" s="14">
        <v>776</v>
      </c>
      <c r="BW113" s="14">
        <v>21</v>
      </c>
      <c r="BX113" s="3" t="s">
        <v>302</v>
      </c>
    </row>
    <row r="114" spans="1:76" ht="13.5" customHeight="1">
      <c r="A114" s="65"/>
      <c r="C114" s="183" t="s">
        <v>304</v>
      </c>
      <c r="D114" s="184"/>
      <c r="E114" s="184"/>
      <c r="F114" s="184"/>
      <c r="G114" s="185"/>
      <c r="H114" s="184"/>
      <c r="I114" s="184"/>
      <c r="J114" s="186"/>
    </row>
    <row r="115" spans="1:76">
      <c r="A115" s="65"/>
      <c r="C115" s="67" t="s">
        <v>305</v>
      </c>
      <c r="D115" s="66" t="s">
        <v>21</v>
      </c>
      <c r="F115" s="68">
        <v>66.5</v>
      </c>
      <c r="J115" s="69"/>
    </row>
    <row r="116" spans="1:76">
      <c r="A116" s="1" t="s">
        <v>306</v>
      </c>
      <c r="B116" s="2" t="s">
        <v>307</v>
      </c>
      <c r="C116" s="100" t="s">
        <v>308</v>
      </c>
      <c r="D116" s="93"/>
      <c r="E116" s="2" t="s">
        <v>303</v>
      </c>
      <c r="F116" s="14">
        <v>35.9</v>
      </c>
      <c r="G116" s="62">
        <v>0</v>
      </c>
      <c r="H116" s="14">
        <f>ROUND(F116*G116,0)</f>
        <v>0</v>
      </c>
      <c r="I116" s="14">
        <v>2.9999999999999997E-4</v>
      </c>
      <c r="J116" s="15">
        <f>F116*I116</f>
        <v>1.0769999999999998E-2</v>
      </c>
      <c r="Z116" s="14">
        <f>ROUND(IF(AQ116="5",BJ116,0),2)</f>
        <v>0</v>
      </c>
      <c r="AB116" s="14">
        <f>ROUND(IF(AQ116="1",BH116,0),2)</f>
        <v>0</v>
      </c>
      <c r="AC116" s="14">
        <f>ROUND(IF(AQ116="1",BI116,0),2)</f>
        <v>0</v>
      </c>
      <c r="AD116" s="14">
        <f>ROUND(IF(AQ116="7",BH116,0),2)</f>
        <v>0</v>
      </c>
      <c r="AE116" s="14">
        <f>ROUND(IF(AQ116="7",BI116,0),2)</f>
        <v>0</v>
      </c>
      <c r="AF116" s="14">
        <f>ROUND(IF(AQ116="2",BH116,0),2)</f>
        <v>0</v>
      </c>
      <c r="AG116" s="14">
        <f>ROUND(IF(AQ116="2",BI116,0),2)</f>
        <v>0</v>
      </c>
      <c r="AH116" s="14">
        <f>ROUND(IF(AQ116="0",BJ116,0),2)</f>
        <v>0</v>
      </c>
      <c r="AI116" s="48" t="s">
        <v>21</v>
      </c>
      <c r="AJ116" s="14">
        <f>IF(AN116=0,H116,0)</f>
        <v>0</v>
      </c>
      <c r="AK116" s="14">
        <f>IF(AN116=12,H116,0)</f>
        <v>0</v>
      </c>
      <c r="AL116" s="14">
        <f>IF(AN116=21,H116,0)</f>
        <v>0</v>
      </c>
      <c r="AN116" s="14">
        <v>21</v>
      </c>
      <c r="AO116" s="14">
        <f>G116*0.64583754</f>
        <v>0</v>
      </c>
      <c r="AP116" s="14">
        <f>G116*(1-0.64583754)</f>
        <v>0</v>
      </c>
      <c r="AQ116" s="63" t="s">
        <v>189</v>
      </c>
      <c r="AV116" s="14">
        <f>ROUND(AW116+AX116,2)</f>
        <v>0</v>
      </c>
      <c r="AW116" s="14">
        <f>ROUND(F116*AO116,2)</f>
        <v>0</v>
      </c>
      <c r="AX116" s="14">
        <f>ROUND(F116*AP116,2)</f>
        <v>0</v>
      </c>
      <c r="AY116" s="63" t="s">
        <v>278</v>
      </c>
      <c r="AZ116" s="63" t="s">
        <v>273</v>
      </c>
      <c r="BA116" s="48" t="s">
        <v>152</v>
      </c>
      <c r="BB116" s="64">
        <v>100002</v>
      </c>
      <c r="BC116" s="14">
        <f>AW116+AX116</f>
        <v>0</v>
      </c>
      <c r="BD116" s="14">
        <f>G116/(100-BE116)*100</f>
        <v>0</v>
      </c>
      <c r="BE116" s="14">
        <v>0</v>
      </c>
      <c r="BF116" s="14">
        <f>J116</f>
        <v>1.0769999999999998E-2</v>
      </c>
      <c r="BH116" s="14">
        <f>F116*AO116</f>
        <v>0</v>
      </c>
      <c r="BI116" s="14">
        <f>F116*AP116</f>
        <v>0</v>
      </c>
      <c r="BJ116" s="14">
        <f>F116*G116</f>
        <v>0</v>
      </c>
      <c r="BK116" s="63" t="s">
        <v>153</v>
      </c>
      <c r="BL116" s="14">
        <v>776</v>
      </c>
      <c r="BW116" s="14">
        <v>21</v>
      </c>
      <c r="BX116" s="3" t="s">
        <v>308</v>
      </c>
    </row>
    <row r="117" spans="1:76" ht="13.5" customHeight="1">
      <c r="A117" s="65"/>
      <c r="C117" s="183" t="s">
        <v>309</v>
      </c>
      <c r="D117" s="184"/>
      <c r="E117" s="184"/>
      <c r="F117" s="184"/>
      <c r="G117" s="185"/>
      <c r="H117" s="184"/>
      <c r="I117" s="184"/>
      <c r="J117" s="186"/>
    </row>
    <row r="118" spans="1:76">
      <c r="A118" s="65"/>
      <c r="C118" s="67" t="s">
        <v>310</v>
      </c>
      <c r="D118" s="66" t="s">
        <v>21</v>
      </c>
      <c r="F118" s="68">
        <v>35.9</v>
      </c>
      <c r="J118" s="69"/>
    </row>
    <row r="119" spans="1:76">
      <c r="A119" s="1" t="s">
        <v>311</v>
      </c>
      <c r="B119" s="2" t="s">
        <v>312</v>
      </c>
      <c r="C119" s="100" t="s">
        <v>313</v>
      </c>
      <c r="D119" s="93"/>
      <c r="E119" s="2" t="s">
        <v>303</v>
      </c>
      <c r="F119" s="14">
        <v>85.7</v>
      </c>
      <c r="G119" s="62">
        <v>0</v>
      </c>
      <c r="H119" s="14">
        <f>ROUND(F119*G119,0)</f>
        <v>0</v>
      </c>
      <c r="I119" s="14">
        <v>3.0000000000000001E-5</v>
      </c>
      <c r="J119" s="15">
        <f>F119*I119</f>
        <v>2.5709999999999999E-3</v>
      </c>
      <c r="Z119" s="14">
        <f>ROUND(IF(AQ119="5",BJ119,0),2)</f>
        <v>0</v>
      </c>
      <c r="AB119" s="14">
        <f>ROUND(IF(AQ119="1",BH119,0),2)</f>
        <v>0</v>
      </c>
      <c r="AC119" s="14">
        <f>ROUND(IF(AQ119="1",BI119,0),2)</f>
        <v>0</v>
      </c>
      <c r="AD119" s="14">
        <f>ROUND(IF(AQ119="7",BH119,0),2)</f>
        <v>0</v>
      </c>
      <c r="AE119" s="14">
        <f>ROUND(IF(AQ119="7",BI119,0),2)</f>
        <v>0</v>
      </c>
      <c r="AF119" s="14">
        <f>ROUND(IF(AQ119="2",BH119,0),2)</f>
        <v>0</v>
      </c>
      <c r="AG119" s="14">
        <f>ROUND(IF(AQ119="2",BI119,0),2)</f>
        <v>0</v>
      </c>
      <c r="AH119" s="14">
        <f>ROUND(IF(AQ119="0",BJ119,0),2)</f>
        <v>0</v>
      </c>
      <c r="AI119" s="48" t="s">
        <v>21</v>
      </c>
      <c r="AJ119" s="14">
        <f>IF(AN119=0,H119,0)</f>
        <v>0</v>
      </c>
      <c r="AK119" s="14">
        <f>IF(AN119=12,H119,0)</f>
        <v>0</v>
      </c>
      <c r="AL119" s="14">
        <f>IF(AN119=21,H119,0)</f>
        <v>0</v>
      </c>
      <c r="AN119" s="14">
        <v>21</v>
      </c>
      <c r="AO119" s="14">
        <f>G119*0.069247028</f>
        <v>0</v>
      </c>
      <c r="AP119" s="14">
        <f>G119*(1-0.069247028)</f>
        <v>0</v>
      </c>
      <c r="AQ119" s="63" t="s">
        <v>189</v>
      </c>
      <c r="AV119" s="14">
        <f>ROUND(AW119+AX119,2)</f>
        <v>0</v>
      </c>
      <c r="AW119" s="14">
        <f>ROUND(F119*AO119,2)</f>
        <v>0</v>
      </c>
      <c r="AX119" s="14">
        <f>ROUND(F119*AP119,2)</f>
        <v>0</v>
      </c>
      <c r="AY119" s="63" t="s">
        <v>278</v>
      </c>
      <c r="AZ119" s="63" t="s">
        <v>273</v>
      </c>
      <c r="BA119" s="48" t="s">
        <v>152</v>
      </c>
      <c r="BB119" s="64">
        <v>100002</v>
      </c>
      <c r="BC119" s="14">
        <f>AW119+AX119</f>
        <v>0</v>
      </c>
      <c r="BD119" s="14">
        <f>G119/(100-BE119)*100</f>
        <v>0</v>
      </c>
      <c r="BE119" s="14">
        <v>0</v>
      </c>
      <c r="BF119" s="14">
        <f>J119</f>
        <v>2.5709999999999999E-3</v>
      </c>
      <c r="BH119" s="14">
        <f>F119*AO119</f>
        <v>0</v>
      </c>
      <c r="BI119" s="14">
        <f>F119*AP119</f>
        <v>0</v>
      </c>
      <c r="BJ119" s="14">
        <f>F119*G119</f>
        <v>0</v>
      </c>
      <c r="BK119" s="63" t="s">
        <v>153</v>
      </c>
      <c r="BL119" s="14">
        <v>776</v>
      </c>
      <c r="BW119" s="14">
        <v>21</v>
      </c>
      <c r="BX119" s="3" t="s">
        <v>313</v>
      </c>
    </row>
    <row r="120" spans="1:76">
      <c r="A120" s="65"/>
      <c r="C120" s="67" t="s">
        <v>314</v>
      </c>
      <c r="D120" s="66" t="s">
        <v>315</v>
      </c>
      <c r="F120" s="68">
        <v>85.7</v>
      </c>
      <c r="J120" s="69"/>
    </row>
    <row r="121" spans="1:76">
      <c r="A121" s="75" t="s">
        <v>316</v>
      </c>
      <c r="B121" s="76" t="s">
        <v>317</v>
      </c>
      <c r="C121" s="189" t="s">
        <v>318</v>
      </c>
      <c r="D121" s="190"/>
      <c r="E121" s="76" t="s">
        <v>303</v>
      </c>
      <c r="F121" s="78">
        <v>89.99</v>
      </c>
      <c r="G121" s="79">
        <v>0</v>
      </c>
      <c r="H121" s="78">
        <f>ROUND(F121*G121,0)</f>
        <v>0</v>
      </c>
      <c r="I121" s="78">
        <v>2.0000000000000001E-4</v>
      </c>
      <c r="J121" s="80">
        <f>F121*I121</f>
        <v>1.7998E-2</v>
      </c>
      <c r="Z121" s="14">
        <f>ROUND(IF(AQ121="5",BJ121,0),2)</f>
        <v>0</v>
      </c>
      <c r="AB121" s="14">
        <f>ROUND(IF(AQ121="1",BH121,0),2)</f>
        <v>0</v>
      </c>
      <c r="AC121" s="14">
        <f>ROUND(IF(AQ121="1",BI121,0),2)</f>
        <v>0</v>
      </c>
      <c r="AD121" s="14">
        <f>ROUND(IF(AQ121="7",BH121,0),2)</f>
        <v>0</v>
      </c>
      <c r="AE121" s="14">
        <f>ROUND(IF(AQ121="7",BI121,0),2)</f>
        <v>0</v>
      </c>
      <c r="AF121" s="14">
        <f>ROUND(IF(AQ121="2",BH121,0),2)</f>
        <v>0</v>
      </c>
      <c r="AG121" s="14">
        <f>ROUND(IF(AQ121="2",BI121,0),2)</f>
        <v>0</v>
      </c>
      <c r="AH121" s="14">
        <f>ROUND(IF(AQ121="0",BJ121,0),2)</f>
        <v>0</v>
      </c>
      <c r="AI121" s="48" t="s">
        <v>21</v>
      </c>
      <c r="AJ121" s="78">
        <f>IF(AN121=0,H121,0)</f>
        <v>0</v>
      </c>
      <c r="AK121" s="78">
        <f>IF(AN121=12,H121,0)</f>
        <v>0</v>
      </c>
      <c r="AL121" s="78">
        <f>IF(AN121=21,H121,0)</f>
        <v>0</v>
      </c>
      <c r="AN121" s="14">
        <v>21</v>
      </c>
      <c r="AO121" s="14">
        <f>G121*1</f>
        <v>0</v>
      </c>
      <c r="AP121" s="14">
        <f>G121*(1-1)</f>
        <v>0</v>
      </c>
      <c r="AQ121" s="81" t="s">
        <v>189</v>
      </c>
      <c r="AV121" s="14">
        <f>ROUND(AW121+AX121,2)</f>
        <v>0</v>
      </c>
      <c r="AW121" s="14">
        <f>ROUND(F121*AO121,2)</f>
        <v>0</v>
      </c>
      <c r="AX121" s="14">
        <f>ROUND(F121*AP121,2)</f>
        <v>0</v>
      </c>
      <c r="AY121" s="63" t="s">
        <v>278</v>
      </c>
      <c r="AZ121" s="63" t="s">
        <v>273</v>
      </c>
      <c r="BA121" s="48" t="s">
        <v>152</v>
      </c>
      <c r="BC121" s="14">
        <f>AW121+AX121</f>
        <v>0</v>
      </c>
      <c r="BD121" s="14">
        <f>G121/(100-BE121)*100</f>
        <v>0</v>
      </c>
      <c r="BE121" s="14">
        <v>0</v>
      </c>
      <c r="BF121" s="14">
        <f>J121</f>
        <v>1.7998E-2</v>
      </c>
      <c r="BH121" s="78">
        <f>F121*AO121</f>
        <v>0</v>
      </c>
      <c r="BI121" s="78">
        <f>F121*AP121</f>
        <v>0</v>
      </c>
      <c r="BJ121" s="78">
        <f>F121*G121</f>
        <v>0</v>
      </c>
      <c r="BK121" s="81" t="s">
        <v>180</v>
      </c>
      <c r="BL121" s="14">
        <v>776</v>
      </c>
      <c r="BW121" s="14">
        <v>21</v>
      </c>
      <c r="BX121" s="77" t="s">
        <v>318</v>
      </c>
    </row>
    <row r="122" spans="1:76">
      <c r="A122" s="65"/>
      <c r="C122" s="67" t="s">
        <v>314</v>
      </c>
      <c r="D122" s="66" t="s">
        <v>21</v>
      </c>
      <c r="F122" s="68">
        <v>85.7</v>
      </c>
      <c r="J122" s="69"/>
    </row>
    <row r="123" spans="1:76">
      <c r="A123" s="65"/>
      <c r="C123" s="67" t="s">
        <v>319</v>
      </c>
      <c r="D123" s="66" t="s">
        <v>21</v>
      </c>
      <c r="F123" s="68">
        <v>4.29</v>
      </c>
      <c r="J123" s="69"/>
    </row>
    <row r="124" spans="1:76">
      <c r="A124" s="1" t="s">
        <v>320</v>
      </c>
      <c r="B124" s="2" t="s">
        <v>321</v>
      </c>
      <c r="C124" s="100" t="s">
        <v>322</v>
      </c>
      <c r="D124" s="93"/>
      <c r="E124" s="2" t="s">
        <v>149</v>
      </c>
      <c r="F124" s="14">
        <v>285.33999999999997</v>
      </c>
      <c r="G124" s="62">
        <v>0</v>
      </c>
      <c r="H124" s="14">
        <f>ROUND(F124*G124,0)</f>
        <v>0</v>
      </c>
      <c r="I124" s="14">
        <v>3.5000000000000001E-3</v>
      </c>
      <c r="J124" s="15">
        <f>F124*I124</f>
        <v>0.99868999999999997</v>
      </c>
      <c r="Z124" s="14">
        <f>ROUND(IF(AQ124="5",BJ124,0),2)</f>
        <v>0</v>
      </c>
      <c r="AB124" s="14">
        <f>ROUND(IF(AQ124="1",BH124,0),2)</f>
        <v>0</v>
      </c>
      <c r="AC124" s="14">
        <f>ROUND(IF(AQ124="1",BI124,0),2)</f>
        <v>0</v>
      </c>
      <c r="AD124" s="14">
        <f>ROUND(IF(AQ124="7",BH124,0),2)</f>
        <v>0</v>
      </c>
      <c r="AE124" s="14">
        <f>ROUND(IF(AQ124="7",BI124,0),2)</f>
        <v>0</v>
      </c>
      <c r="AF124" s="14">
        <f>ROUND(IF(AQ124="2",BH124,0),2)</f>
        <v>0</v>
      </c>
      <c r="AG124" s="14">
        <f>ROUND(IF(AQ124="2",BI124,0),2)</f>
        <v>0</v>
      </c>
      <c r="AH124" s="14">
        <f>ROUND(IF(AQ124="0",BJ124,0),2)</f>
        <v>0</v>
      </c>
      <c r="AI124" s="48" t="s">
        <v>224</v>
      </c>
      <c r="AJ124" s="14">
        <f>IF(AN124=0,H124,0)</f>
        <v>0</v>
      </c>
      <c r="AK124" s="14">
        <f>IF(AN124=12,H124,0)</f>
        <v>0</v>
      </c>
      <c r="AL124" s="14">
        <f>IF(AN124=21,H124,0)</f>
        <v>0</v>
      </c>
      <c r="AN124" s="14">
        <v>21</v>
      </c>
      <c r="AO124" s="14">
        <f>G124*0</f>
        <v>0</v>
      </c>
      <c r="AP124" s="14">
        <f>G124*(1-0)</f>
        <v>0</v>
      </c>
      <c r="AQ124" s="63" t="s">
        <v>189</v>
      </c>
      <c r="AV124" s="14">
        <f>ROUND(AW124+AX124,2)</f>
        <v>0</v>
      </c>
      <c r="AW124" s="14">
        <f>ROUND(F124*AO124,2)</f>
        <v>0</v>
      </c>
      <c r="AX124" s="14">
        <f>ROUND(F124*AP124,2)</f>
        <v>0</v>
      </c>
      <c r="AY124" s="63" t="s">
        <v>278</v>
      </c>
      <c r="AZ124" s="63" t="s">
        <v>273</v>
      </c>
      <c r="BA124" s="48" t="s">
        <v>225</v>
      </c>
      <c r="BB124" s="64">
        <v>100018</v>
      </c>
      <c r="BC124" s="14">
        <f>AW124+AX124</f>
        <v>0</v>
      </c>
      <c r="BD124" s="14">
        <f>G124/(100-BE124)*100</f>
        <v>0</v>
      </c>
      <c r="BE124" s="14">
        <v>0</v>
      </c>
      <c r="BF124" s="14">
        <f>J124</f>
        <v>0.99868999999999997</v>
      </c>
      <c r="BH124" s="14">
        <f>F124*AO124</f>
        <v>0</v>
      </c>
      <c r="BI124" s="14">
        <f>F124*AP124</f>
        <v>0</v>
      </c>
      <c r="BJ124" s="14">
        <f>F124*G124</f>
        <v>0</v>
      </c>
      <c r="BK124" s="63" t="s">
        <v>153</v>
      </c>
      <c r="BL124" s="14">
        <v>776</v>
      </c>
      <c r="BW124" s="14">
        <v>21</v>
      </c>
      <c r="BX124" s="3" t="s">
        <v>322</v>
      </c>
    </row>
    <row r="125" spans="1:76" ht="13.5" customHeight="1">
      <c r="A125" s="65"/>
      <c r="C125" s="183" t="s">
        <v>323</v>
      </c>
      <c r="D125" s="184"/>
      <c r="E125" s="184"/>
      <c r="F125" s="184"/>
      <c r="G125" s="185"/>
      <c r="H125" s="184"/>
      <c r="I125" s="184"/>
      <c r="J125" s="186"/>
    </row>
    <row r="126" spans="1:76">
      <c r="A126" s="65"/>
      <c r="C126" s="67" t="s">
        <v>155</v>
      </c>
      <c r="D126" s="66" t="s">
        <v>156</v>
      </c>
      <c r="F126" s="68">
        <v>43.5</v>
      </c>
      <c r="J126" s="69"/>
    </row>
    <row r="127" spans="1:76">
      <c r="A127" s="65"/>
      <c r="C127" s="67" t="s">
        <v>157</v>
      </c>
      <c r="D127" s="66" t="s">
        <v>158</v>
      </c>
      <c r="F127" s="68">
        <v>2.3199999999999998</v>
      </c>
      <c r="J127" s="69"/>
    </row>
    <row r="128" spans="1:76">
      <c r="A128" s="65"/>
      <c r="C128" s="67" t="s">
        <v>159</v>
      </c>
      <c r="D128" s="66" t="s">
        <v>160</v>
      </c>
      <c r="F128" s="68">
        <v>50.1</v>
      </c>
      <c r="J128" s="69"/>
    </row>
    <row r="129" spans="1:76">
      <c r="A129" s="65"/>
      <c r="C129" s="67" t="s">
        <v>161</v>
      </c>
      <c r="D129" s="66" t="s">
        <v>162</v>
      </c>
      <c r="F129" s="68">
        <v>67</v>
      </c>
      <c r="J129" s="69"/>
    </row>
    <row r="130" spans="1:76">
      <c r="A130" s="65"/>
      <c r="C130" s="67" t="s">
        <v>163</v>
      </c>
      <c r="D130" s="66" t="s">
        <v>158</v>
      </c>
      <c r="F130" s="68">
        <v>1.86</v>
      </c>
      <c r="J130" s="69"/>
    </row>
    <row r="131" spans="1:76">
      <c r="A131" s="65"/>
      <c r="C131" s="67" t="s">
        <v>294</v>
      </c>
      <c r="D131" s="66" t="s">
        <v>165</v>
      </c>
      <c r="F131" s="68">
        <v>104.4</v>
      </c>
      <c r="J131" s="69"/>
    </row>
    <row r="132" spans="1:76">
      <c r="A132" s="65"/>
      <c r="C132" s="67" t="s">
        <v>166</v>
      </c>
      <c r="D132" s="66" t="s">
        <v>167</v>
      </c>
      <c r="F132" s="68">
        <v>16.16</v>
      </c>
      <c r="J132" s="69"/>
    </row>
    <row r="133" spans="1:76">
      <c r="A133" s="70" t="s">
        <v>21</v>
      </c>
      <c r="B133" s="71" t="s">
        <v>36</v>
      </c>
      <c r="C133" s="187" t="s">
        <v>37</v>
      </c>
      <c r="D133" s="188"/>
      <c r="E133" s="72" t="s">
        <v>12</v>
      </c>
      <c r="F133" s="72" t="s">
        <v>12</v>
      </c>
      <c r="G133" s="73" t="s">
        <v>12</v>
      </c>
      <c r="H133" s="43">
        <f>ROUND(SUM(H134:H136),0)</f>
        <v>0</v>
      </c>
      <c r="I133" s="48" t="s">
        <v>21</v>
      </c>
      <c r="J133" s="74">
        <f>SUM(J134:J136)</f>
        <v>4.4841000000000006E-2</v>
      </c>
      <c r="AI133" s="48" t="s">
        <v>21</v>
      </c>
      <c r="AS133" s="43">
        <f>SUM(AJ134:AJ136)</f>
        <v>0</v>
      </c>
      <c r="AT133" s="43">
        <f>SUM(AK134:AK136)</f>
        <v>0</v>
      </c>
      <c r="AU133" s="43">
        <f>SUM(AL134:AL136)</f>
        <v>0</v>
      </c>
    </row>
    <row r="134" spans="1:76">
      <c r="A134" s="1" t="s">
        <v>324</v>
      </c>
      <c r="B134" s="2" t="s">
        <v>325</v>
      </c>
      <c r="C134" s="100" t="s">
        <v>326</v>
      </c>
      <c r="D134" s="93"/>
      <c r="E134" s="2" t="s">
        <v>149</v>
      </c>
      <c r="F134" s="14">
        <v>679.5</v>
      </c>
      <c r="G134" s="62">
        <v>0</v>
      </c>
      <c r="H134" s="14">
        <f>ROUND(F134*G134,0)</f>
        <v>0</v>
      </c>
      <c r="I134" s="14">
        <v>0</v>
      </c>
      <c r="J134" s="15">
        <f>F134*I134</f>
        <v>0</v>
      </c>
      <c r="Z134" s="14">
        <f>ROUND(IF(AQ134="5",BJ134,0),2)</f>
        <v>0</v>
      </c>
      <c r="AB134" s="14">
        <f>ROUND(IF(AQ134="1",BH134,0),2)</f>
        <v>0</v>
      </c>
      <c r="AC134" s="14">
        <f>ROUND(IF(AQ134="1",BI134,0),2)</f>
        <v>0</v>
      </c>
      <c r="AD134" s="14">
        <f>ROUND(IF(AQ134="7",BH134,0),2)</f>
        <v>0</v>
      </c>
      <c r="AE134" s="14">
        <f>ROUND(IF(AQ134="7",BI134,0),2)</f>
        <v>0</v>
      </c>
      <c r="AF134" s="14">
        <f>ROUND(IF(AQ134="2",BH134,0),2)</f>
        <v>0</v>
      </c>
      <c r="AG134" s="14">
        <f>ROUND(IF(AQ134="2",BI134,0),2)</f>
        <v>0</v>
      </c>
      <c r="AH134" s="14">
        <f>ROUND(IF(AQ134="0",BJ134,0),2)</f>
        <v>0</v>
      </c>
      <c r="AI134" s="48" t="s">
        <v>21</v>
      </c>
      <c r="AJ134" s="14">
        <f>IF(AN134=0,H134,0)</f>
        <v>0</v>
      </c>
      <c r="AK134" s="14">
        <f>IF(AN134=12,H134,0)</f>
        <v>0</v>
      </c>
      <c r="AL134" s="14">
        <f>IF(AN134=21,H134,0)</f>
        <v>0</v>
      </c>
      <c r="AN134" s="14">
        <v>21</v>
      </c>
      <c r="AO134" s="14">
        <f>G134*0</f>
        <v>0</v>
      </c>
      <c r="AP134" s="14">
        <f>G134*(1-0)</f>
        <v>0</v>
      </c>
      <c r="AQ134" s="63" t="s">
        <v>189</v>
      </c>
      <c r="AV134" s="14">
        <f>ROUND(AW134+AX134,2)</f>
        <v>0</v>
      </c>
      <c r="AW134" s="14">
        <f>ROUND(F134*AO134,2)</f>
        <v>0</v>
      </c>
      <c r="AX134" s="14">
        <f>ROUND(F134*AP134,2)</f>
        <v>0</v>
      </c>
      <c r="AY134" s="63" t="s">
        <v>327</v>
      </c>
      <c r="AZ134" s="63" t="s">
        <v>273</v>
      </c>
      <c r="BA134" s="48" t="s">
        <v>152</v>
      </c>
      <c r="BB134" s="64">
        <v>100001</v>
      </c>
      <c r="BC134" s="14">
        <f>AW134+AX134</f>
        <v>0</v>
      </c>
      <c r="BD134" s="14">
        <f>G134/(100-BE134)*100</f>
        <v>0</v>
      </c>
      <c r="BE134" s="14">
        <v>0</v>
      </c>
      <c r="BF134" s="14">
        <f>J134</f>
        <v>0</v>
      </c>
      <c r="BH134" s="14">
        <f>F134*AO134</f>
        <v>0</v>
      </c>
      <c r="BI134" s="14">
        <f>F134*AP134</f>
        <v>0</v>
      </c>
      <c r="BJ134" s="14">
        <f>F134*G134</f>
        <v>0</v>
      </c>
      <c r="BK134" s="63" t="s">
        <v>153</v>
      </c>
      <c r="BL134" s="14">
        <v>777</v>
      </c>
      <c r="BW134" s="14">
        <v>21</v>
      </c>
      <c r="BX134" s="3" t="s">
        <v>326</v>
      </c>
    </row>
    <row r="135" spans="1:76">
      <c r="A135" s="65"/>
      <c r="C135" s="67" t="s">
        <v>181</v>
      </c>
      <c r="D135" s="66" t="s">
        <v>21</v>
      </c>
      <c r="F135" s="68">
        <v>679.5</v>
      </c>
      <c r="J135" s="69"/>
    </row>
    <row r="136" spans="1:76">
      <c r="A136" s="1" t="s">
        <v>328</v>
      </c>
      <c r="B136" s="2" t="s">
        <v>329</v>
      </c>
      <c r="C136" s="100" t="s">
        <v>330</v>
      </c>
      <c r="D136" s="93"/>
      <c r="E136" s="2" t="s">
        <v>149</v>
      </c>
      <c r="F136" s="14">
        <v>1494.7</v>
      </c>
      <c r="G136" s="62">
        <v>0</v>
      </c>
      <c r="H136" s="14">
        <f>ROUND(F136*G136,0)</f>
        <v>0</v>
      </c>
      <c r="I136" s="14">
        <v>3.0000000000000001E-5</v>
      </c>
      <c r="J136" s="15">
        <f>F136*I136</f>
        <v>4.4841000000000006E-2</v>
      </c>
      <c r="Z136" s="14">
        <f>ROUND(IF(AQ136="5",BJ136,0),2)</f>
        <v>0</v>
      </c>
      <c r="AB136" s="14">
        <f>ROUND(IF(AQ136="1",BH136,0),2)</f>
        <v>0</v>
      </c>
      <c r="AC136" s="14">
        <f>ROUND(IF(AQ136="1",BI136,0),2)</f>
        <v>0</v>
      </c>
      <c r="AD136" s="14">
        <f>ROUND(IF(AQ136="7",BH136,0),2)</f>
        <v>0</v>
      </c>
      <c r="AE136" s="14">
        <f>ROUND(IF(AQ136="7",BI136,0),2)</f>
        <v>0</v>
      </c>
      <c r="AF136" s="14">
        <f>ROUND(IF(AQ136="2",BH136,0),2)</f>
        <v>0</v>
      </c>
      <c r="AG136" s="14">
        <f>ROUND(IF(AQ136="2",BI136,0),2)</f>
        <v>0</v>
      </c>
      <c r="AH136" s="14">
        <f>ROUND(IF(AQ136="0",BJ136,0),2)</f>
        <v>0</v>
      </c>
      <c r="AI136" s="48" t="s">
        <v>21</v>
      </c>
      <c r="AJ136" s="14">
        <f>IF(AN136=0,H136,0)</f>
        <v>0</v>
      </c>
      <c r="AK136" s="14">
        <f>IF(AN136=12,H136,0)</f>
        <v>0</v>
      </c>
      <c r="AL136" s="14">
        <f>IF(AN136=21,H136,0)</f>
        <v>0</v>
      </c>
      <c r="AN136" s="14">
        <v>21</v>
      </c>
      <c r="AO136" s="14">
        <f>G136*0.141538426</f>
        <v>0</v>
      </c>
      <c r="AP136" s="14">
        <f>G136*(1-0.141538426)</f>
        <v>0</v>
      </c>
      <c r="AQ136" s="63" t="s">
        <v>189</v>
      </c>
      <c r="AV136" s="14">
        <f>ROUND(AW136+AX136,2)</f>
        <v>0</v>
      </c>
      <c r="AW136" s="14">
        <f>ROUND(F136*AO136,2)</f>
        <v>0</v>
      </c>
      <c r="AX136" s="14">
        <f>ROUND(F136*AP136,2)</f>
        <v>0</v>
      </c>
      <c r="AY136" s="63" t="s">
        <v>327</v>
      </c>
      <c r="AZ136" s="63" t="s">
        <v>273</v>
      </c>
      <c r="BA136" s="48" t="s">
        <v>152</v>
      </c>
      <c r="BB136" s="64">
        <v>100001</v>
      </c>
      <c r="BC136" s="14">
        <f>AW136+AX136</f>
        <v>0</v>
      </c>
      <c r="BD136" s="14">
        <f>G136/(100-BE136)*100</f>
        <v>0</v>
      </c>
      <c r="BE136" s="14">
        <v>0</v>
      </c>
      <c r="BF136" s="14">
        <f>J136</f>
        <v>4.4841000000000006E-2</v>
      </c>
      <c r="BH136" s="14">
        <f>F136*AO136</f>
        <v>0</v>
      </c>
      <c r="BI136" s="14">
        <f>F136*AP136</f>
        <v>0</v>
      </c>
      <c r="BJ136" s="14">
        <f>F136*G136</f>
        <v>0</v>
      </c>
      <c r="BK136" s="63" t="s">
        <v>153</v>
      </c>
      <c r="BL136" s="14">
        <v>777</v>
      </c>
      <c r="BW136" s="14">
        <v>21</v>
      </c>
      <c r="BX136" s="3" t="s">
        <v>330</v>
      </c>
    </row>
    <row r="137" spans="1:76" ht="13.5" customHeight="1">
      <c r="A137" s="65"/>
      <c r="C137" s="183" t="s">
        <v>331</v>
      </c>
      <c r="D137" s="184"/>
      <c r="E137" s="184"/>
      <c r="F137" s="184"/>
      <c r="G137" s="185"/>
      <c r="H137" s="184"/>
      <c r="I137" s="184"/>
      <c r="J137" s="186"/>
    </row>
    <row r="138" spans="1:76">
      <c r="A138" s="65"/>
      <c r="C138" s="67" t="s">
        <v>181</v>
      </c>
      <c r="D138" s="66" t="s">
        <v>332</v>
      </c>
      <c r="F138" s="68">
        <v>679.5</v>
      </c>
      <c r="J138" s="69"/>
    </row>
    <row r="139" spans="1:76">
      <c r="A139" s="65"/>
      <c r="C139" s="67" t="s">
        <v>333</v>
      </c>
      <c r="D139" s="66" t="s">
        <v>334</v>
      </c>
      <c r="F139" s="68">
        <v>135.69999999999999</v>
      </c>
      <c r="J139" s="69"/>
    </row>
    <row r="140" spans="1:76">
      <c r="A140" s="65"/>
      <c r="C140" s="67" t="s">
        <v>181</v>
      </c>
      <c r="D140" s="66" t="s">
        <v>335</v>
      </c>
      <c r="F140" s="68">
        <v>679.5</v>
      </c>
      <c r="J140" s="69"/>
    </row>
    <row r="141" spans="1:76">
      <c r="A141" s="70" t="s">
        <v>21</v>
      </c>
      <c r="B141" s="71" t="s">
        <v>38</v>
      </c>
      <c r="C141" s="187" t="s">
        <v>39</v>
      </c>
      <c r="D141" s="188"/>
      <c r="E141" s="72" t="s">
        <v>12</v>
      </c>
      <c r="F141" s="72" t="s">
        <v>12</v>
      </c>
      <c r="G141" s="73" t="s">
        <v>12</v>
      </c>
      <c r="H141" s="43">
        <f>ROUND(SUM(H142:H142),0)</f>
        <v>0</v>
      </c>
      <c r="I141" s="48" t="s">
        <v>21</v>
      </c>
      <c r="J141" s="74">
        <f>SUM(J142:J142)</f>
        <v>0.4425</v>
      </c>
      <c r="AI141" s="48" t="s">
        <v>21</v>
      </c>
      <c r="AS141" s="43">
        <f>SUM(AJ142:AJ142)</f>
        <v>0</v>
      </c>
      <c r="AT141" s="43">
        <f>SUM(AK142:AK142)</f>
        <v>0</v>
      </c>
      <c r="AU141" s="43">
        <f>SUM(AL142:AL142)</f>
        <v>0</v>
      </c>
    </row>
    <row r="142" spans="1:76">
      <c r="A142" s="1" t="s">
        <v>336</v>
      </c>
      <c r="B142" s="2" t="s">
        <v>337</v>
      </c>
      <c r="C142" s="100" t="s">
        <v>338</v>
      </c>
      <c r="D142" s="93"/>
      <c r="E142" s="2" t="s">
        <v>303</v>
      </c>
      <c r="F142" s="14">
        <v>885</v>
      </c>
      <c r="G142" s="62">
        <v>0</v>
      </c>
      <c r="H142" s="14">
        <f>ROUND(F142*G142,0)</f>
        <v>0</v>
      </c>
      <c r="I142" s="14">
        <v>5.0000000000000001E-4</v>
      </c>
      <c r="J142" s="15">
        <f>F142*I142</f>
        <v>0.4425</v>
      </c>
      <c r="Z142" s="14">
        <f>ROUND(IF(AQ142="5",BJ142,0),2)</f>
        <v>0</v>
      </c>
      <c r="AB142" s="14">
        <f>ROUND(IF(AQ142="1",BH142,0),2)</f>
        <v>0</v>
      </c>
      <c r="AC142" s="14">
        <f>ROUND(IF(AQ142="1",BI142,0),2)</f>
        <v>0</v>
      </c>
      <c r="AD142" s="14">
        <f>ROUND(IF(AQ142="7",BH142,0),2)</f>
        <v>0</v>
      </c>
      <c r="AE142" s="14">
        <f>ROUND(IF(AQ142="7",BI142,0),2)</f>
        <v>0</v>
      </c>
      <c r="AF142" s="14">
        <f>ROUND(IF(AQ142="2",BH142,0),2)</f>
        <v>0</v>
      </c>
      <c r="AG142" s="14">
        <f>ROUND(IF(AQ142="2",BI142,0),2)</f>
        <v>0</v>
      </c>
      <c r="AH142" s="14">
        <f>ROUND(IF(AQ142="0",BJ142,0),2)</f>
        <v>0</v>
      </c>
      <c r="AI142" s="48" t="s">
        <v>21</v>
      </c>
      <c r="AJ142" s="14">
        <f>IF(AN142=0,H142,0)</f>
        <v>0</v>
      </c>
      <c r="AK142" s="14">
        <f>IF(AN142=12,H142,0)</f>
        <v>0</v>
      </c>
      <c r="AL142" s="14">
        <f>IF(AN142=21,H142,0)</f>
        <v>0</v>
      </c>
      <c r="AN142" s="14">
        <v>21</v>
      </c>
      <c r="AO142" s="14">
        <f>G142*0.416666667</f>
        <v>0</v>
      </c>
      <c r="AP142" s="14">
        <f>G142*(1-0.416666667)</f>
        <v>0</v>
      </c>
      <c r="AQ142" s="63" t="s">
        <v>189</v>
      </c>
      <c r="AV142" s="14">
        <f>ROUND(AW142+AX142,2)</f>
        <v>0</v>
      </c>
      <c r="AW142" s="14">
        <f>ROUND(F142*AO142,2)</f>
        <v>0</v>
      </c>
      <c r="AX142" s="14">
        <f>ROUND(F142*AP142,2)</f>
        <v>0</v>
      </c>
      <c r="AY142" s="63" t="s">
        <v>339</v>
      </c>
      <c r="AZ142" s="63" t="s">
        <v>340</v>
      </c>
      <c r="BA142" s="48" t="s">
        <v>152</v>
      </c>
      <c r="BB142" s="64">
        <v>100020</v>
      </c>
      <c r="BC142" s="14">
        <f>AW142+AX142</f>
        <v>0</v>
      </c>
      <c r="BD142" s="14">
        <f>G142/(100-BE142)*100</f>
        <v>0</v>
      </c>
      <c r="BE142" s="14">
        <v>0</v>
      </c>
      <c r="BF142" s="14">
        <f>J142</f>
        <v>0.4425</v>
      </c>
      <c r="BH142" s="14">
        <f>F142*AO142</f>
        <v>0</v>
      </c>
      <c r="BI142" s="14">
        <f>F142*AP142</f>
        <v>0</v>
      </c>
      <c r="BJ142" s="14">
        <f>F142*G142</f>
        <v>0</v>
      </c>
      <c r="BK142" s="63" t="s">
        <v>153</v>
      </c>
      <c r="BL142" s="14">
        <v>783</v>
      </c>
      <c r="BW142" s="14">
        <v>21</v>
      </c>
      <c r="BX142" s="3" t="s">
        <v>338</v>
      </c>
    </row>
    <row r="143" spans="1:76" ht="13.5" customHeight="1">
      <c r="A143" s="65"/>
      <c r="C143" s="183" t="s">
        <v>341</v>
      </c>
      <c r="D143" s="184"/>
      <c r="E143" s="184"/>
      <c r="F143" s="184"/>
      <c r="G143" s="185"/>
      <c r="H143" s="184"/>
      <c r="I143" s="184"/>
      <c r="J143" s="186"/>
    </row>
    <row r="144" spans="1:76">
      <c r="A144" s="65"/>
      <c r="C144" s="67" t="s">
        <v>342</v>
      </c>
      <c r="D144" s="66" t="s">
        <v>343</v>
      </c>
      <c r="F144" s="68">
        <v>224</v>
      </c>
      <c r="J144" s="69"/>
    </row>
    <row r="145" spans="1:76">
      <c r="A145" s="65"/>
      <c r="C145" s="67" t="s">
        <v>344</v>
      </c>
      <c r="D145" s="66" t="s">
        <v>345</v>
      </c>
      <c r="F145" s="68">
        <v>134</v>
      </c>
      <c r="J145" s="69"/>
    </row>
    <row r="146" spans="1:76">
      <c r="A146" s="65"/>
      <c r="C146" s="67" t="s">
        <v>346</v>
      </c>
      <c r="D146" s="66" t="s">
        <v>347</v>
      </c>
      <c r="F146" s="68">
        <v>399</v>
      </c>
      <c r="J146" s="69"/>
    </row>
    <row r="147" spans="1:76">
      <c r="A147" s="65"/>
      <c r="C147" s="67" t="s">
        <v>348</v>
      </c>
      <c r="D147" s="66" t="s">
        <v>349</v>
      </c>
      <c r="F147" s="68">
        <v>73</v>
      </c>
      <c r="J147" s="69"/>
    </row>
    <row r="148" spans="1:76">
      <c r="A148" s="65"/>
      <c r="C148" s="67" t="s">
        <v>350</v>
      </c>
      <c r="D148" s="66" t="s">
        <v>351</v>
      </c>
      <c r="F148" s="68">
        <v>55</v>
      </c>
      <c r="J148" s="69"/>
    </row>
    <row r="149" spans="1:76">
      <c r="A149" s="70" t="s">
        <v>21</v>
      </c>
      <c r="B149" s="71" t="s">
        <v>40</v>
      </c>
      <c r="C149" s="187" t="s">
        <v>41</v>
      </c>
      <c r="D149" s="188"/>
      <c r="E149" s="72" t="s">
        <v>12</v>
      </c>
      <c r="F149" s="72" t="s">
        <v>12</v>
      </c>
      <c r="G149" s="73" t="s">
        <v>12</v>
      </c>
      <c r="H149" s="43">
        <f>ROUND(SUM(H150:H150),0)</f>
        <v>0</v>
      </c>
      <c r="I149" s="48" t="s">
        <v>21</v>
      </c>
      <c r="J149" s="74">
        <f>SUM(J150:J150)</f>
        <v>0</v>
      </c>
      <c r="AI149" s="48" t="s">
        <v>21</v>
      </c>
      <c r="AS149" s="43">
        <f>SUM(AJ150:AJ150)</f>
        <v>0</v>
      </c>
      <c r="AT149" s="43">
        <f>SUM(AK150:AK150)</f>
        <v>0</v>
      </c>
      <c r="AU149" s="43">
        <f>SUM(AL150:AL150)</f>
        <v>0</v>
      </c>
    </row>
    <row r="150" spans="1:76">
      <c r="A150" s="1" t="s">
        <v>352</v>
      </c>
      <c r="B150" s="2" t="s">
        <v>353</v>
      </c>
      <c r="C150" s="100" t="s">
        <v>354</v>
      </c>
      <c r="D150" s="93"/>
      <c r="E150" s="2" t="s">
        <v>355</v>
      </c>
      <c r="F150" s="14">
        <v>60</v>
      </c>
      <c r="G150" s="62">
        <v>0</v>
      </c>
      <c r="H150" s="14">
        <f>ROUND(F150*G150,0)</f>
        <v>0</v>
      </c>
      <c r="I150" s="14">
        <v>0</v>
      </c>
      <c r="J150" s="15">
        <f>F150*I150</f>
        <v>0</v>
      </c>
      <c r="Z150" s="14">
        <f>ROUND(IF(AQ150="5",BJ150,0),2)</f>
        <v>0</v>
      </c>
      <c r="AB150" s="14">
        <f>ROUND(IF(AQ150="1",BH150,0),2)</f>
        <v>0</v>
      </c>
      <c r="AC150" s="14">
        <f>ROUND(IF(AQ150="1",BI150,0),2)</f>
        <v>0</v>
      </c>
      <c r="AD150" s="14">
        <f>ROUND(IF(AQ150="7",BH150,0),2)</f>
        <v>0</v>
      </c>
      <c r="AE150" s="14">
        <f>ROUND(IF(AQ150="7",BI150,0),2)</f>
        <v>0</v>
      </c>
      <c r="AF150" s="14">
        <f>ROUND(IF(AQ150="2",BH150,0),2)</f>
        <v>0</v>
      </c>
      <c r="AG150" s="14">
        <f>ROUND(IF(AQ150="2",BI150,0),2)</f>
        <v>0</v>
      </c>
      <c r="AH150" s="14">
        <f>ROUND(IF(AQ150="0",BJ150,0),2)</f>
        <v>0</v>
      </c>
      <c r="AI150" s="48" t="s">
        <v>21</v>
      </c>
      <c r="AJ150" s="14">
        <f>IF(AN150=0,H150,0)</f>
        <v>0</v>
      </c>
      <c r="AK150" s="14">
        <f>IF(AN150=12,H150,0)</f>
        <v>0</v>
      </c>
      <c r="AL150" s="14">
        <f>IF(AN150=21,H150,0)</f>
        <v>0</v>
      </c>
      <c r="AN150" s="14">
        <v>21</v>
      </c>
      <c r="AO150" s="14">
        <f>G150*0</f>
        <v>0</v>
      </c>
      <c r="AP150" s="14">
        <f>G150*(1-0)</f>
        <v>0</v>
      </c>
      <c r="AQ150" s="63" t="s">
        <v>146</v>
      </c>
      <c r="AV150" s="14">
        <f>ROUND(AW150+AX150,2)</f>
        <v>0</v>
      </c>
      <c r="AW150" s="14">
        <f>ROUND(F150*AO150,2)</f>
        <v>0</v>
      </c>
      <c r="AX150" s="14">
        <f>ROUND(F150*AP150,2)</f>
        <v>0</v>
      </c>
      <c r="AY150" s="63" t="s">
        <v>356</v>
      </c>
      <c r="AZ150" s="63" t="s">
        <v>357</v>
      </c>
      <c r="BA150" s="48" t="s">
        <v>152</v>
      </c>
      <c r="BB150" s="64">
        <v>100004</v>
      </c>
      <c r="BC150" s="14">
        <f>AW150+AX150</f>
        <v>0</v>
      </c>
      <c r="BD150" s="14">
        <f>G150/(100-BE150)*100</f>
        <v>0</v>
      </c>
      <c r="BE150" s="14">
        <v>0</v>
      </c>
      <c r="BF150" s="14">
        <f>J150</f>
        <v>0</v>
      </c>
      <c r="BH150" s="14">
        <f>F150*AO150</f>
        <v>0</v>
      </c>
      <c r="BI150" s="14">
        <f>F150*AP150</f>
        <v>0</v>
      </c>
      <c r="BJ150" s="14">
        <f>F150*G150</f>
        <v>0</v>
      </c>
      <c r="BK150" s="63" t="s">
        <v>153</v>
      </c>
      <c r="BL150" s="14">
        <v>90</v>
      </c>
      <c r="BW150" s="14">
        <v>21</v>
      </c>
      <c r="BX150" s="3" t="s">
        <v>354</v>
      </c>
    </row>
    <row r="151" spans="1:76" ht="13.5" customHeight="1">
      <c r="A151" s="65"/>
      <c r="C151" s="183" t="s">
        <v>358</v>
      </c>
      <c r="D151" s="184"/>
      <c r="E151" s="184"/>
      <c r="F151" s="184"/>
      <c r="G151" s="185"/>
      <c r="H151" s="184"/>
      <c r="I151" s="184"/>
      <c r="J151" s="186"/>
    </row>
    <row r="152" spans="1:76">
      <c r="A152" s="65"/>
      <c r="C152" s="67" t="s">
        <v>359</v>
      </c>
      <c r="D152" s="66" t="s">
        <v>21</v>
      </c>
      <c r="F152" s="68">
        <v>60</v>
      </c>
      <c r="J152" s="69"/>
    </row>
    <row r="153" spans="1:76">
      <c r="A153" s="70" t="s">
        <v>21</v>
      </c>
      <c r="B153" s="71" t="s">
        <v>42</v>
      </c>
      <c r="C153" s="187" t="s">
        <v>43</v>
      </c>
      <c r="D153" s="188"/>
      <c r="E153" s="72" t="s">
        <v>12</v>
      </c>
      <c r="F153" s="72" t="s">
        <v>12</v>
      </c>
      <c r="G153" s="73" t="s">
        <v>12</v>
      </c>
      <c r="H153" s="43">
        <f>ROUND(SUM(H154:H154),0)</f>
        <v>0</v>
      </c>
      <c r="I153" s="48" t="s">
        <v>21</v>
      </c>
      <c r="J153" s="74">
        <f>SUM(J154:J154)</f>
        <v>2.6136E-2</v>
      </c>
      <c r="AI153" s="48" t="s">
        <v>21</v>
      </c>
      <c r="AS153" s="43">
        <f>SUM(AJ154:AJ154)</f>
        <v>0</v>
      </c>
      <c r="AT153" s="43">
        <f>SUM(AK154:AK154)</f>
        <v>0</v>
      </c>
      <c r="AU153" s="43">
        <f>SUM(AL154:AL154)</f>
        <v>0</v>
      </c>
    </row>
    <row r="154" spans="1:76">
      <c r="A154" s="1" t="s">
        <v>360</v>
      </c>
      <c r="B154" s="2" t="s">
        <v>361</v>
      </c>
      <c r="C154" s="100" t="s">
        <v>362</v>
      </c>
      <c r="D154" s="93"/>
      <c r="E154" s="2" t="s">
        <v>149</v>
      </c>
      <c r="F154" s="14">
        <v>21.6</v>
      </c>
      <c r="G154" s="62">
        <v>0</v>
      </c>
      <c r="H154" s="14">
        <f>ROUND(F154*G154,0)</f>
        <v>0</v>
      </c>
      <c r="I154" s="14">
        <v>1.2099999999999999E-3</v>
      </c>
      <c r="J154" s="15">
        <f>F154*I154</f>
        <v>2.6136E-2</v>
      </c>
      <c r="Z154" s="14">
        <f>ROUND(IF(AQ154="5",BJ154,0),2)</f>
        <v>0</v>
      </c>
      <c r="AB154" s="14">
        <f>ROUND(IF(AQ154="1",BH154,0),2)</f>
        <v>0</v>
      </c>
      <c r="AC154" s="14">
        <f>ROUND(IF(AQ154="1",BI154,0),2)</f>
        <v>0</v>
      </c>
      <c r="AD154" s="14">
        <f>ROUND(IF(AQ154="7",BH154,0),2)</f>
        <v>0</v>
      </c>
      <c r="AE154" s="14">
        <f>ROUND(IF(AQ154="7",BI154,0),2)</f>
        <v>0</v>
      </c>
      <c r="AF154" s="14">
        <f>ROUND(IF(AQ154="2",BH154,0),2)</f>
        <v>0</v>
      </c>
      <c r="AG154" s="14">
        <f>ROUND(IF(AQ154="2",BI154,0),2)</f>
        <v>0</v>
      </c>
      <c r="AH154" s="14">
        <f>ROUND(IF(AQ154="0",BJ154,0),2)</f>
        <v>0</v>
      </c>
      <c r="AI154" s="48" t="s">
        <v>21</v>
      </c>
      <c r="AJ154" s="14">
        <f>IF(AN154=0,H154,0)</f>
        <v>0</v>
      </c>
      <c r="AK154" s="14">
        <f>IF(AN154=12,H154,0)</f>
        <v>0</v>
      </c>
      <c r="AL154" s="14">
        <f>IF(AN154=21,H154,0)</f>
        <v>0</v>
      </c>
      <c r="AN154" s="14">
        <v>21</v>
      </c>
      <c r="AO154" s="14">
        <f>G154*0.307311921</f>
        <v>0</v>
      </c>
      <c r="AP154" s="14">
        <f>G154*(1-0.307311921)</f>
        <v>0</v>
      </c>
      <c r="AQ154" s="63" t="s">
        <v>146</v>
      </c>
      <c r="AV154" s="14">
        <f>ROUND(AW154+AX154,2)</f>
        <v>0</v>
      </c>
      <c r="AW154" s="14">
        <f>ROUND(F154*AO154,2)</f>
        <v>0</v>
      </c>
      <c r="AX154" s="14">
        <f>ROUND(F154*AP154,2)</f>
        <v>0</v>
      </c>
      <c r="AY154" s="63" t="s">
        <v>363</v>
      </c>
      <c r="AZ154" s="63" t="s">
        <v>357</v>
      </c>
      <c r="BA154" s="48" t="s">
        <v>152</v>
      </c>
      <c r="BB154" s="64">
        <v>100011</v>
      </c>
      <c r="BC154" s="14">
        <f>AW154+AX154</f>
        <v>0</v>
      </c>
      <c r="BD154" s="14">
        <f>G154/(100-BE154)*100</f>
        <v>0</v>
      </c>
      <c r="BE154" s="14">
        <v>0</v>
      </c>
      <c r="BF154" s="14">
        <f>J154</f>
        <v>2.6136E-2</v>
      </c>
      <c r="BH154" s="14">
        <f>F154*AO154</f>
        <v>0</v>
      </c>
      <c r="BI154" s="14">
        <f>F154*AP154</f>
        <v>0</v>
      </c>
      <c r="BJ154" s="14">
        <f>F154*G154</f>
        <v>0</v>
      </c>
      <c r="BK154" s="63" t="s">
        <v>153</v>
      </c>
      <c r="BL154" s="14">
        <v>94</v>
      </c>
      <c r="BW154" s="14">
        <v>21</v>
      </c>
      <c r="BX154" s="3" t="s">
        <v>362</v>
      </c>
    </row>
    <row r="155" spans="1:76">
      <c r="A155" s="65"/>
      <c r="C155" s="67" t="s">
        <v>364</v>
      </c>
      <c r="D155" s="66" t="s">
        <v>21</v>
      </c>
      <c r="F155" s="68">
        <v>21.6</v>
      </c>
      <c r="J155" s="69"/>
    </row>
    <row r="156" spans="1:76">
      <c r="A156" s="70" t="s">
        <v>21</v>
      </c>
      <c r="B156" s="71" t="s">
        <v>44</v>
      </c>
      <c r="C156" s="187" t="s">
        <v>45</v>
      </c>
      <c r="D156" s="188"/>
      <c r="E156" s="72" t="s">
        <v>12</v>
      </c>
      <c r="F156" s="72" t="s">
        <v>12</v>
      </c>
      <c r="G156" s="73" t="s">
        <v>12</v>
      </c>
      <c r="H156" s="43">
        <f>ROUND(SUM(H157:H161),0)</f>
        <v>0</v>
      </c>
      <c r="I156" s="48" t="s">
        <v>21</v>
      </c>
      <c r="J156" s="74">
        <f>SUM(J157:J161)</f>
        <v>0</v>
      </c>
      <c r="AI156" s="48" t="s">
        <v>21</v>
      </c>
      <c r="AS156" s="43">
        <f>SUM(AJ157:AJ161)</f>
        <v>0</v>
      </c>
      <c r="AT156" s="43">
        <f>SUM(AK157:AK161)</f>
        <v>0</v>
      </c>
      <c r="AU156" s="43">
        <f>SUM(AL157:AL161)</f>
        <v>0</v>
      </c>
    </row>
    <row r="157" spans="1:76">
      <c r="A157" s="1" t="s">
        <v>365</v>
      </c>
      <c r="B157" s="2" t="s">
        <v>366</v>
      </c>
      <c r="C157" s="100" t="s">
        <v>367</v>
      </c>
      <c r="D157" s="93"/>
      <c r="E157" s="2" t="s">
        <v>220</v>
      </c>
      <c r="F157" s="14">
        <v>16</v>
      </c>
      <c r="G157" s="62">
        <v>0</v>
      </c>
      <c r="H157" s="14">
        <f>ROUND(F157*G157,0)</f>
        <v>0</v>
      </c>
      <c r="I157" s="14">
        <v>0</v>
      </c>
      <c r="J157" s="15">
        <f>F157*I157</f>
        <v>0</v>
      </c>
      <c r="Z157" s="14">
        <f>ROUND(IF(AQ157="5",BJ157,0),2)</f>
        <v>0</v>
      </c>
      <c r="AB157" s="14">
        <f>ROUND(IF(AQ157="1",BH157,0),2)</f>
        <v>0</v>
      </c>
      <c r="AC157" s="14">
        <f>ROUND(IF(AQ157="1",BI157,0),2)</f>
        <v>0</v>
      </c>
      <c r="AD157" s="14">
        <f>ROUND(IF(AQ157="7",BH157,0),2)</f>
        <v>0</v>
      </c>
      <c r="AE157" s="14">
        <f>ROUND(IF(AQ157="7",BI157,0),2)</f>
        <v>0</v>
      </c>
      <c r="AF157" s="14">
        <f>ROUND(IF(AQ157="2",BH157,0),2)</f>
        <v>0</v>
      </c>
      <c r="AG157" s="14">
        <f>ROUND(IF(AQ157="2",BI157,0),2)</f>
        <v>0</v>
      </c>
      <c r="AH157" s="14">
        <f>ROUND(IF(AQ157="0",BJ157,0),2)</f>
        <v>0</v>
      </c>
      <c r="AI157" s="48" t="s">
        <v>224</v>
      </c>
      <c r="AJ157" s="14">
        <f>IF(AN157=0,H157,0)</f>
        <v>0</v>
      </c>
      <c r="AK157" s="14">
        <f>IF(AN157=12,H157,0)</f>
        <v>0</v>
      </c>
      <c r="AL157" s="14">
        <f>IF(AN157=21,H157,0)</f>
        <v>0</v>
      </c>
      <c r="AN157" s="14">
        <v>21</v>
      </c>
      <c r="AO157" s="14">
        <f>G157*0</f>
        <v>0</v>
      </c>
      <c r="AP157" s="14">
        <f>G157*(1-0)</f>
        <v>0</v>
      </c>
      <c r="AQ157" s="63" t="s">
        <v>146</v>
      </c>
      <c r="AV157" s="14">
        <f>ROUND(AW157+AX157,2)</f>
        <v>0</v>
      </c>
      <c r="AW157" s="14">
        <f>ROUND(F157*AO157,2)</f>
        <v>0</v>
      </c>
      <c r="AX157" s="14">
        <f>ROUND(F157*AP157,2)</f>
        <v>0</v>
      </c>
      <c r="AY157" s="63" t="s">
        <v>368</v>
      </c>
      <c r="AZ157" s="63" t="s">
        <v>357</v>
      </c>
      <c r="BA157" s="48" t="s">
        <v>225</v>
      </c>
      <c r="BB157" s="64">
        <v>100003</v>
      </c>
      <c r="BC157" s="14">
        <f>AW157+AX157</f>
        <v>0</v>
      </c>
      <c r="BD157" s="14">
        <f>G157/(100-BE157)*100</f>
        <v>0</v>
      </c>
      <c r="BE157" s="14">
        <v>0</v>
      </c>
      <c r="BF157" s="14">
        <f>J157</f>
        <v>0</v>
      </c>
      <c r="BH157" s="14">
        <f>F157*AO157</f>
        <v>0</v>
      </c>
      <c r="BI157" s="14">
        <f>F157*AP157</f>
        <v>0</v>
      </c>
      <c r="BJ157" s="14">
        <f>F157*G157</f>
        <v>0</v>
      </c>
      <c r="BK157" s="63" t="s">
        <v>153</v>
      </c>
      <c r="BL157" s="14">
        <v>97</v>
      </c>
      <c r="BW157" s="14">
        <v>21</v>
      </c>
      <c r="BX157" s="3" t="s">
        <v>367</v>
      </c>
    </row>
    <row r="158" spans="1:76">
      <c r="A158" s="65"/>
      <c r="C158" s="67" t="s">
        <v>369</v>
      </c>
      <c r="D158" s="66" t="s">
        <v>21</v>
      </c>
      <c r="F158" s="68">
        <v>16</v>
      </c>
      <c r="J158" s="69"/>
    </row>
    <row r="159" spans="1:76">
      <c r="A159" s="1" t="s">
        <v>370</v>
      </c>
      <c r="B159" s="2" t="s">
        <v>371</v>
      </c>
      <c r="C159" s="100" t="s">
        <v>372</v>
      </c>
      <c r="D159" s="93"/>
      <c r="E159" s="2" t="s">
        <v>220</v>
      </c>
      <c r="F159" s="14">
        <v>1</v>
      </c>
      <c r="G159" s="62">
        <v>0</v>
      </c>
      <c r="H159" s="14">
        <f>ROUND(F159*G159,0)</f>
        <v>0</v>
      </c>
      <c r="I159" s="14">
        <v>0</v>
      </c>
      <c r="J159" s="15">
        <f>F159*I159</f>
        <v>0</v>
      </c>
      <c r="Z159" s="14">
        <f>ROUND(IF(AQ159="5",BJ159,0),2)</f>
        <v>0</v>
      </c>
      <c r="AB159" s="14">
        <f>ROUND(IF(AQ159="1",BH159,0),2)</f>
        <v>0</v>
      </c>
      <c r="AC159" s="14">
        <f>ROUND(IF(AQ159="1",BI159,0),2)</f>
        <v>0</v>
      </c>
      <c r="AD159" s="14">
        <f>ROUND(IF(AQ159="7",BH159,0),2)</f>
        <v>0</v>
      </c>
      <c r="AE159" s="14">
        <f>ROUND(IF(AQ159="7",BI159,0),2)</f>
        <v>0</v>
      </c>
      <c r="AF159" s="14">
        <f>ROUND(IF(AQ159="2",BH159,0),2)</f>
        <v>0</v>
      </c>
      <c r="AG159" s="14">
        <f>ROUND(IF(AQ159="2",BI159,0),2)</f>
        <v>0</v>
      </c>
      <c r="AH159" s="14">
        <f>ROUND(IF(AQ159="0",BJ159,0),2)</f>
        <v>0</v>
      </c>
      <c r="AI159" s="48" t="s">
        <v>224</v>
      </c>
      <c r="AJ159" s="14">
        <f>IF(AN159=0,H159,0)</f>
        <v>0</v>
      </c>
      <c r="AK159" s="14">
        <f>IF(AN159=12,H159,0)</f>
        <v>0</v>
      </c>
      <c r="AL159" s="14">
        <f>IF(AN159=21,H159,0)</f>
        <v>0</v>
      </c>
      <c r="AN159" s="14">
        <v>21</v>
      </c>
      <c r="AO159" s="14">
        <f>G159*0</f>
        <v>0</v>
      </c>
      <c r="AP159" s="14">
        <f>G159*(1-0)</f>
        <v>0</v>
      </c>
      <c r="AQ159" s="63" t="s">
        <v>146</v>
      </c>
      <c r="AV159" s="14">
        <f>ROUND(AW159+AX159,2)</f>
        <v>0</v>
      </c>
      <c r="AW159" s="14">
        <f>ROUND(F159*AO159,2)</f>
        <v>0</v>
      </c>
      <c r="AX159" s="14">
        <f>ROUND(F159*AP159,2)</f>
        <v>0</v>
      </c>
      <c r="AY159" s="63" t="s">
        <v>368</v>
      </c>
      <c r="AZ159" s="63" t="s">
        <v>357</v>
      </c>
      <c r="BA159" s="48" t="s">
        <v>225</v>
      </c>
      <c r="BB159" s="64">
        <v>100003</v>
      </c>
      <c r="BC159" s="14">
        <f>AW159+AX159</f>
        <v>0</v>
      </c>
      <c r="BD159" s="14">
        <f>G159/(100-BE159)*100</f>
        <v>0</v>
      </c>
      <c r="BE159" s="14">
        <v>0</v>
      </c>
      <c r="BF159" s="14">
        <f>J159</f>
        <v>0</v>
      </c>
      <c r="BH159" s="14">
        <f>F159*AO159</f>
        <v>0</v>
      </c>
      <c r="BI159" s="14">
        <f>F159*AP159</f>
        <v>0</v>
      </c>
      <c r="BJ159" s="14">
        <f>F159*G159</f>
        <v>0</v>
      </c>
      <c r="BK159" s="63" t="s">
        <v>153</v>
      </c>
      <c r="BL159" s="14">
        <v>97</v>
      </c>
      <c r="BW159" s="14">
        <v>21</v>
      </c>
      <c r="BX159" s="3" t="s">
        <v>372</v>
      </c>
    </row>
    <row r="160" spans="1:76">
      <c r="A160" s="65"/>
      <c r="C160" s="67" t="s">
        <v>146</v>
      </c>
      <c r="D160" s="66" t="s">
        <v>21</v>
      </c>
      <c r="F160" s="68">
        <v>1</v>
      </c>
      <c r="J160" s="69"/>
    </row>
    <row r="161" spans="1:76">
      <c r="A161" s="1" t="s">
        <v>373</v>
      </c>
      <c r="B161" s="2" t="s">
        <v>374</v>
      </c>
      <c r="C161" s="100" t="s">
        <v>375</v>
      </c>
      <c r="D161" s="93"/>
      <c r="E161" s="2" t="s">
        <v>220</v>
      </c>
      <c r="F161" s="14">
        <v>32</v>
      </c>
      <c r="G161" s="62">
        <v>0</v>
      </c>
      <c r="H161" s="14">
        <f>ROUND(F161*G161,0)</f>
        <v>0</v>
      </c>
      <c r="I161" s="14">
        <v>0</v>
      </c>
      <c r="J161" s="15">
        <f>F161*I161</f>
        <v>0</v>
      </c>
      <c r="Z161" s="14">
        <f>ROUND(IF(AQ161="5",BJ161,0),2)</f>
        <v>0</v>
      </c>
      <c r="AB161" s="14">
        <f>ROUND(IF(AQ161="1",BH161,0),2)</f>
        <v>0</v>
      </c>
      <c r="AC161" s="14">
        <f>ROUND(IF(AQ161="1",BI161,0),2)</f>
        <v>0</v>
      </c>
      <c r="AD161" s="14">
        <f>ROUND(IF(AQ161="7",BH161,0),2)</f>
        <v>0</v>
      </c>
      <c r="AE161" s="14">
        <f>ROUND(IF(AQ161="7",BI161,0),2)</f>
        <v>0</v>
      </c>
      <c r="AF161" s="14">
        <f>ROUND(IF(AQ161="2",BH161,0),2)</f>
        <v>0</v>
      </c>
      <c r="AG161" s="14">
        <f>ROUND(IF(AQ161="2",BI161,0),2)</f>
        <v>0</v>
      </c>
      <c r="AH161" s="14">
        <f>ROUND(IF(AQ161="0",BJ161,0),2)</f>
        <v>0</v>
      </c>
      <c r="AI161" s="48" t="s">
        <v>224</v>
      </c>
      <c r="AJ161" s="14">
        <f>IF(AN161=0,H161,0)</f>
        <v>0</v>
      </c>
      <c r="AK161" s="14">
        <f>IF(AN161=12,H161,0)</f>
        <v>0</v>
      </c>
      <c r="AL161" s="14">
        <f>IF(AN161=21,H161,0)</f>
        <v>0</v>
      </c>
      <c r="AN161" s="14">
        <v>21</v>
      </c>
      <c r="AO161" s="14">
        <f>G161*0</f>
        <v>0</v>
      </c>
      <c r="AP161" s="14">
        <f>G161*(1-0)</f>
        <v>0</v>
      </c>
      <c r="AQ161" s="63" t="s">
        <v>146</v>
      </c>
      <c r="AV161" s="14">
        <f>ROUND(AW161+AX161,2)</f>
        <v>0</v>
      </c>
      <c r="AW161" s="14">
        <f>ROUND(F161*AO161,2)</f>
        <v>0</v>
      </c>
      <c r="AX161" s="14">
        <f>ROUND(F161*AP161,2)</f>
        <v>0</v>
      </c>
      <c r="AY161" s="63" t="s">
        <v>368</v>
      </c>
      <c r="AZ161" s="63" t="s">
        <v>357</v>
      </c>
      <c r="BA161" s="48" t="s">
        <v>225</v>
      </c>
      <c r="BB161" s="64">
        <v>100003</v>
      </c>
      <c r="BC161" s="14">
        <f>AW161+AX161</f>
        <v>0</v>
      </c>
      <c r="BD161" s="14">
        <f>G161/(100-BE161)*100</f>
        <v>0</v>
      </c>
      <c r="BE161" s="14">
        <v>0</v>
      </c>
      <c r="BF161" s="14">
        <f>J161</f>
        <v>0</v>
      </c>
      <c r="BH161" s="14">
        <f>F161*AO161</f>
        <v>0</v>
      </c>
      <c r="BI161" s="14">
        <f>F161*AP161</f>
        <v>0</v>
      </c>
      <c r="BJ161" s="14">
        <f>F161*G161</f>
        <v>0</v>
      </c>
      <c r="BK161" s="63" t="s">
        <v>153</v>
      </c>
      <c r="BL161" s="14">
        <v>97</v>
      </c>
      <c r="BW161" s="14">
        <v>21</v>
      </c>
      <c r="BX161" s="3" t="s">
        <v>375</v>
      </c>
    </row>
    <row r="162" spans="1:76">
      <c r="A162" s="65"/>
      <c r="C162" s="67" t="s">
        <v>203</v>
      </c>
      <c r="D162" s="66" t="s">
        <v>264</v>
      </c>
      <c r="F162" s="68">
        <v>8</v>
      </c>
      <c r="J162" s="69"/>
    </row>
    <row r="163" spans="1:76">
      <c r="A163" s="65"/>
      <c r="C163" s="67" t="s">
        <v>183</v>
      </c>
      <c r="D163" s="66" t="s">
        <v>265</v>
      </c>
      <c r="F163" s="68">
        <v>4</v>
      </c>
      <c r="J163" s="69"/>
    </row>
    <row r="164" spans="1:76">
      <c r="A164" s="65"/>
      <c r="C164" s="67" t="s">
        <v>203</v>
      </c>
      <c r="D164" s="66" t="s">
        <v>266</v>
      </c>
      <c r="F164" s="68">
        <v>8</v>
      </c>
      <c r="J164" s="69"/>
    </row>
    <row r="165" spans="1:76">
      <c r="A165" s="65"/>
      <c r="C165" s="67" t="s">
        <v>203</v>
      </c>
      <c r="D165" s="66" t="s">
        <v>267</v>
      </c>
      <c r="F165" s="68">
        <v>8</v>
      </c>
      <c r="J165" s="69"/>
    </row>
    <row r="166" spans="1:76">
      <c r="A166" s="65"/>
      <c r="C166" s="67" t="s">
        <v>183</v>
      </c>
      <c r="D166" s="66" t="s">
        <v>268</v>
      </c>
      <c r="F166" s="68">
        <v>4</v>
      </c>
      <c r="J166" s="69"/>
    </row>
    <row r="167" spans="1:76">
      <c r="A167" s="70" t="s">
        <v>21</v>
      </c>
      <c r="B167" s="71" t="s">
        <v>46</v>
      </c>
      <c r="C167" s="187" t="s">
        <v>47</v>
      </c>
      <c r="D167" s="188"/>
      <c r="E167" s="72" t="s">
        <v>12</v>
      </c>
      <c r="F167" s="72" t="s">
        <v>12</v>
      </c>
      <c r="G167" s="73" t="s">
        <v>12</v>
      </c>
      <c r="H167" s="43">
        <f>ROUND(SUM(H168:H168),0)</f>
        <v>0</v>
      </c>
      <c r="I167" s="48" t="s">
        <v>21</v>
      </c>
      <c r="J167" s="74">
        <f>SUM(J168:J168)</f>
        <v>0</v>
      </c>
      <c r="AI167" s="48" t="s">
        <v>21</v>
      </c>
      <c r="AS167" s="43">
        <f>SUM(AJ168:AJ168)</f>
        <v>0</v>
      </c>
      <c r="AT167" s="43">
        <f>SUM(AK168:AK168)</f>
        <v>0</v>
      </c>
      <c r="AU167" s="43">
        <f>SUM(AL168:AL168)</f>
        <v>0</v>
      </c>
    </row>
    <row r="168" spans="1:76">
      <c r="A168" s="1" t="s">
        <v>376</v>
      </c>
      <c r="B168" s="2" t="s">
        <v>377</v>
      </c>
      <c r="C168" s="100" t="s">
        <v>378</v>
      </c>
      <c r="D168" s="93"/>
      <c r="E168" s="2" t="s">
        <v>379</v>
      </c>
      <c r="F168" s="14">
        <v>36.909999999999997</v>
      </c>
      <c r="G168" s="62">
        <v>0</v>
      </c>
      <c r="H168" s="14">
        <f>ROUND(F168*G168,0)</f>
        <v>0</v>
      </c>
      <c r="I168" s="14">
        <v>0</v>
      </c>
      <c r="J168" s="15">
        <f>F168*I168</f>
        <v>0</v>
      </c>
      <c r="Z168" s="14">
        <f>ROUND(IF(AQ168="5",BJ168,0),2)</f>
        <v>0</v>
      </c>
      <c r="AB168" s="14">
        <f>ROUND(IF(AQ168="1",BH168,0),2)</f>
        <v>0</v>
      </c>
      <c r="AC168" s="14">
        <f>ROUND(IF(AQ168="1",BI168,0),2)</f>
        <v>0</v>
      </c>
      <c r="AD168" s="14">
        <f>ROUND(IF(AQ168="7",BH168,0),2)</f>
        <v>0</v>
      </c>
      <c r="AE168" s="14">
        <f>ROUND(IF(AQ168="7",BI168,0),2)</f>
        <v>0</v>
      </c>
      <c r="AF168" s="14">
        <f>ROUND(IF(AQ168="2",BH168,0),2)</f>
        <v>0</v>
      </c>
      <c r="AG168" s="14">
        <f>ROUND(IF(AQ168="2",BI168,0),2)</f>
        <v>0</v>
      </c>
      <c r="AH168" s="14">
        <f>ROUND(IF(AQ168="0",BJ168,0),2)</f>
        <v>0</v>
      </c>
      <c r="AI168" s="48" t="s">
        <v>21</v>
      </c>
      <c r="AJ168" s="14">
        <f>IF(AN168=0,H168,0)</f>
        <v>0</v>
      </c>
      <c r="AK168" s="14">
        <f>IF(AN168=12,H168,0)</f>
        <v>0</v>
      </c>
      <c r="AL168" s="14">
        <f>IF(AN168=21,H168,0)</f>
        <v>0</v>
      </c>
      <c r="AN168" s="14">
        <v>21</v>
      </c>
      <c r="AO168" s="14">
        <f>G168*0</f>
        <v>0</v>
      </c>
      <c r="AP168" s="14">
        <f>G168*(1-0)</f>
        <v>0</v>
      </c>
      <c r="AQ168" s="63" t="s">
        <v>186</v>
      </c>
      <c r="AV168" s="14">
        <f>ROUND(AW168+AX168,2)</f>
        <v>0</v>
      </c>
      <c r="AW168" s="14">
        <f>ROUND(F168*AO168,2)</f>
        <v>0</v>
      </c>
      <c r="AX168" s="14">
        <f>ROUND(F168*AP168,2)</f>
        <v>0</v>
      </c>
      <c r="AY168" s="63" t="s">
        <v>380</v>
      </c>
      <c r="AZ168" s="63" t="s">
        <v>357</v>
      </c>
      <c r="BA168" s="48" t="s">
        <v>152</v>
      </c>
      <c r="BC168" s="14">
        <f>AW168+AX168</f>
        <v>0</v>
      </c>
      <c r="BD168" s="14">
        <f>G168/(100-BE168)*100</f>
        <v>0</v>
      </c>
      <c r="BE168" s="14">
        <v>0</v>
      </c>
      <c r="BF168" s="14">
        <f>J168</f>
        <v>0</v>
      </c>
      <c r="BH168" s="14">
        <f>F168*AO168</f>
        <v>0</v>
      </c>
      <c r="BI168" s="14">
        <f>F168*AP168</f>
        <v>0</v>
      </c>
      <c r="BJ168" s="14">
        <f>F168*G168</f>
        <v>0</v>
      </c>
      <c r="BK168" s="63" t="s">
        <v>153</v>
      </c>
      <c r="BL168" s="14"/>
      <c r="BW168" s="14">
        <v>21</v>
      </c>
      <c r="BX168" s="3" t="s">
        <v>378</v>
      </c>
    </row>
    <row r="169" spans="1:76">
      <c r="A169" s="65"/>
      <c r="C169" s="67" t="s">
        <v>381</v>
      </c>
      <c r="D169" s="66" t="s">
        <v>21</v>
      </c>
      <c r="F169" s="68">
        <v>36.909999999999997</v>
      </c>
      <c r="J169" s="69"/>
    </row>
    <row r="170" spans="1:76">
      <c r="A170" s="70" t="s">
        <v>21</v>
      </c>
      <c r="B170" s="71" t="s">
        <v>48</v>
      </c>
      <c r="C170" s="187" t="s">
        <v>49</v>
      </c>
      <c r="D170" s="188"/>
      <c r="E170" s="72" t="s">
        <v>12</v>
      </c>
      <c r="F170" s="72" t="s">
        <v>12</v>
      </c>
      <c r="G170" s="73" t="s">
        <v>12</v>
      </c>
      <c r="H170" s="43">
        <f>ROUND(SUM(H171:H183),0)</f>
        <v>0</v>
      </c>
      <c r="I170" s="48" t="s">
        <v>21</v>
      </c>
      <c r="J170" s="74">
        <f>SUM(J171:J183)</f>
        <v>0</v>
      </c>
      <c r="AI170" s="48" t="s">
        <v>21</v>
      </c>
      <c r="AS170" s="43">
        <f>SUM(AJ171:AJ183)</f>
        <v>0</v>
      </c>
      <c r="AT170" s="43">
        <f>SUM(AK171:AK183)</f>
        <v>0</v>
      </c>
      <c r="AU170" s="43">
        <f>SUM(AL171:AL183)</f>
        <v>0</v>
      </c>
    </row>
    <row r="171" spans="1:76">
      <c r="A171" s="1" t="s">
        <v>382</v>
      </c>
      <c r="B171" s="2" t="s">
        <v>383</v>
      </c>
      <c r="C171" s="100" t="s">
        <v>384</v>
      </c>
      <c r="D171" s="93"/>
      <c r="E171" s="2" t="s">
        <v>379</v>
      </c>
      <c r="F171" s="14">
        <v>28.15</v>
      </c>
      <c r="G171" s="62">
        <v>0</v>
      </c>
      <c r="H171" s="14">
        <f>ROUND(F171*G171,0)</f>
        <v>0</v>
      </c>
      <c r="I171" s="14">
        <v>0</v>
      </c>
      <c r="J171" s="15">
        <f>F171*I171</f>
        <v>0</v>
      </c>
      <c r="Z171" s="14">
        <f>ROUND(IF(AQ171="5",BJ171,0),2)</f>
        <v>0</v>
      </c>
      <c r="AB171" s="14">
        <f>ROUND(IF(AQ171="1",BH171,0),2)</f>
        <v>0</v>
      </c>
      <c r="AC171" s="14">
        <f>ROUND(IF(AQ171="1",BI171,0),2)</f>
        <v>0</v>
      </c>
      <c r="AD171" s="14">
        <f>ROUND(IF(AQ171="7",BH171,0),2)</f>
        <v>0</v>
      </c>
      <c r="AE171" s="14">
        <f>ROUND(IF(AQ171="7",BI171,0),2)</f>
        <v>0</v>
      </c>
      <c r="AF171" s="14">
        <f>ROUND(IF(AQ171="2",BH171,0),2)</f>
        <v>0</v>
      </c>
      <c r="AG171" s="14">
        <f>ROUND(IF(AQ171="2",BI171,0),2)</f>
        <v>0</v>
      </c>
      <c r="AH171" s="14">
        <f>ROUND(IF(AQ171="0",BJ171,0),2)</f>
        <v>0</v>
      </c>
      <c r="AI171" s="48" t="s">
        <v>224</v>
      </c>
      <c r="AJ171" s="14">
        <f>IF(AN171=0,H171,0)</f>
        <v>0</v>
      </c>
      <c r="AK171" s="14">
        <f>IF(AN171=12,H171,0)</f>
        <v>0</v>
      </c>
      <c r="AL171" s="14">
        <f>IF(AN171=21,H171,0)</f>
        <v>0</v>
      </c>
      <c r="AN171" s="14">
        <v>21</v>
      </c>
      <c r="AO171" s="14">
        <f>G171*0</f>
        <v>0</v>
      </c>
      <c r="AP171" s="14">
        <f>G171*(1-0)</f>
        <v>0</v>
      </c>
      <c r="AQ171" s="63" t="s">
        <v>186</v>
      </c>
      <c r="AV171" s="14">
        <f>ROUND(AW171+AX171,2)</f>
        <v>0</v>
      </c>
      <c r="AW171" s="14">
        <f>ROUND(F171*AO171,2)</f>
        <v>0</v>
      </c>
      <c r="AX171" s="14">
        <f>ROUND(F171*AP171,2)</f>
        <v>0</v>
      </c>
      <c r="AY171" s="63" t="s">
        <v>385</v>
      </c>
      <c r="AZ171" s="63" t="s">
        <v>357</v>
      </c>
      <c r="BA171" s="48" t="s">
        <v>225</v>
      </c>
      <c r="BB171" s="64">
        <v>100017</v>
      </c>
      <c r="BC171" s="14">
        <f>AW171+AX171</f>
        <v>0</v>
      </c>
      <c r="BD171" s="14">
        <f>G171/(100-BE171)*100</f>
        <v>0</v>
      </c>
      <c r="BE171" s="14">
        <v>0</v>
      </c>
      <c r="BF171" s="14">
        <f>J171</f>
        <v>0</v>
      </c>
      <c r="BH171" s="14">
        <f>F171*AO171</f>
        <v>0</v>
      </c>
      <c r="BI171" s="14">
        <f>F171*AP171</f>
        <v>0</v>
      </c>
      <c r="BJ171" s="14">
        <f>F171*G171</f>
        <v>0</v>
      </c>
      <c r="BK171" s="63" t="s">
        <v>153</v>
      </c>
      <c r="BL171" s="14"/>
      <c r="BW171" s="14">
        <v>21</v>
      </c>
      <c r="BX171" s="3" t="s">
        <v>384</v>
      </c>
    </row>
    <row r="172" spans="1:76" ht="13.5" customHeight="1">
      <c r="A172" s="65"/>
      <c r="C172" s="183" t="s">
        <v>386</v>
      </c>
      <c r="D172" s="184"/>
      <c r="E172" s="184"/>
      <c r="F172" s="184"/>
      <c r="G172" s="185"/>
      <c r="H172" s="184"/>
      <c r="I172" s="184"/>
      <c r="J172" s="186"/>
    </row>
    <row r="173" spans="1:76">
      <c r="A173" s="65"/>
      <c r="C173" s="67" t="s">
        <v>387</v>
      </c>
      <c r="D173" s="66" t="s">
        <v>21</v>
      </c>
      <c r="F173" s="68">
        <v>28.15</v>
      </c>
      <c r="J173" s="69"/>
    </row>
    <row r="174" spans="1:76">
      <c r="A174" s="1" t="s">
        <v>388</v>
      </c>
      <c r="B174" s="2" t="s">
        <v>389</v>
      </c>
      <c r="C174" s="100" t="s">
        <v>390</v>
      </c>
      <c r="D174" s="93"/>
      <c r="E174" s="2" t="s">
        <v>379</v>
      </c>
      <c r="F174" s="14">
        <v>675.6</v>
      </c>
      <c r="G174" s="62">
        <v>0</v>
      </c>
      <c r="H174" s="14">
        <f>ROUND(F174*G174,0)</f>
        <v>0</v>
      </c>
      <c r="I174" s="14">
        <v>0</v>
      </c>
      <c r="J174" s="15">
        <f>F174*I174</f>
        <v>0</v>
      </c>
      <c r="Z174" s="14">
        <f>ROUND(IF(AQ174="5",BJ174,0),2)</f>
        <v>0</v>
      </c>
      <c r="AB174" s="14">
        <f>ROUND(IF(AQ174="1",BH174,0),2)</f>
        <v>0</v>
      </c>
      <c r="AC174" s="14">
        <f>ROUND(IF(AQ174="1",BI174,0),2)</f>
        <v>0</v>
      </c>
      <c r="AD174" s="14">
        <f>ROUND(IF(AQ174="7",BH174,0),2)</f>
        <v>0</v>
      </c>
      <c r="AE174" s="14">
        <f>ROUND(IF(AQ174="7",BI174,0),2)</f>
        <v>0</v>
      </c>
      <c r="AF174" s="14">
        <f>ROUND(IF(AQ174="2",BH174,0),2)</f>
        <v>0</v>
      </c>
      <c r="AG174" s="14">
        <f>ROUND(IF(AQ174="2",BI174,0),2)</f>
        <v>0</v>
      </c>
      <c r="AH174" s="14">
        <f>ROUND(IF(AQ174="0",BJ174,0),2)</f>
        <v>0</v>
      </c>
      <c r="AI174" s="48" t="s">
        <v>224</v>
      </c>
      <c r="AJ174" s="14">
        <f>IF(AN174=0,H174,0)</f>
        <v>0</v>
      </c>
      <c r="AK174" s="14">
        <f>IF(AN174=12,H174,0)</f>
        <v>0</v>
      </c>
      <c r="AL174" s="14">
        <f>IF(AN174=21,H174,0)</f>
        <v>0</v>
      </c>
      <c r="AN174" s="14">
        <v>21</v>
      </c>
      <c r="AO174" s="14">
        <f>G174*0</f>
        <v>0</v>
      </c>
      <c r="AP174" s="14">
        <f>G174*(1-0)</f>
        <v>0</v>
      </c>
      <c r="AQ174" s="63" t="s">
        <v>186</v>
      </c>
      <c r="AV174" s="14">
        <f>ROUND(AW174+AX174,2)</f>
        <v>0</v>
      </c>
      <c r="AW174" s="14">
        <f>ROUND(F174*AO174,2)</f>
        <v>0</v>
      </c>
      <c r="AX174" s="14">
        <f>ROUND(F174*AP174,2)</f>
        <v>0</v>
      </c>
      <c r="AY174" s="63" t="s">
        <v>385</v>
      </c>
      <c r="AZ174" s="63" t="s">
        <v>357</v>
      </c>
      <c r="BA174" s="48" t="s">
        <v>225</v>
      </c>
      <c r="BB174" s="64">
        <v>100017</v>
      </c>
      <c r="BC174" s="14">
        <f>AW174+AX174</f>
        <v>0</v>
      </c>
      <c r="BD174" s="14">
        <f>G174/(100-BE174)*100</f>
        <v>0</v>
      </c>
      <c r="BE174" s="14">
        <v>0</v>
      </c>
      <c r="BF174" s="14">
        <f>J174</f>
        <v>0</v>
      </c>
      <c r="BH174" s="14">
        <f>F174*AO174</f>
        <v>0</v>
      </c>
      <c r="BI174" s="14">
        <f>F174*AP174</f>
        <v>0</v>
      </c>
      <c r="BJ174" s="14">
        <f>F174*G174</f>
        <v>0</v>
      </c>
      <c r="BK174" s="63" t="s">
        <v>153</v>
      </c>
      <c r="BL174" s="14"/>
      <c r="BW174" s="14">
        <v>21</v>
      </c>
      <c r="BX174" s="3" t="s">
        <v>390</v>
      </c>
    </row>
    <row r="175" spans="1:76">
      <c r="A175" s="65"/>
      <c r="C175" s="67" t="s">
        <v>391</v>
      </c>
      <c r="D175" s="66" t="s">
        <v>21</v>
      </c>
      <c r="F175" s="68">
        <v>675.6</v>
      </c>
      <c r="J175" s="69"/>
    </row>
    <row r="176" spans="1:76">
      <c r="A176" s="1" t="s">
        <v>392</v>
      </c>
      <c r="B176" s="2" t="s">
        <v>393</v>
      </c>
      <c r="C176" s="100" t="s">
        <v>394</v>
      </c>
      <c r="D176" s="93"/>
      <c r="E176" s="2" t="s">
        <v>379</v>
      </c>
      <c r="F176" s="14">
        <v>28.15</v>
      </c>
      <c r="G176" s="62">
        <v>0</v>
      </c>
      <c r="H176" s="14">
        <f>ROUND(F176*G176,0)</f>
        <v>0</v>
      </c>
      <c r="I176" s="14">
        <v>0</v>
      </c>
      <c r="J176" s="15">
        <f>F176*I176</f>
        <v>0</v>
      </c>
      <c r="Z176" s="14">
        <f>ROUND(IF(AQ176="5",BJ176,0),2)</f>
        <v>0</v>
      </c>
      <c r="AB176" s="14">
        <f>ROUND(IF(AQ176="1",BH176,0),2)</f>
        <v>0</v>
      </c>
      <c r="AC176" s="14">
        <f>ROUND(IF(AQ176="1",BI176,0),2)</f>
        <v>0</v>
      </c>
      <c r="AD176" s="14">
        <f>ROUND(IF(AQ176="7",BH176,0),2)</f>
        <v>0</v>
      </c>
      <c r="AE176" s="14">
        <f>ROUND(IF(AQ176="7",BI176,0),2)</f>
        <v>0</v>
      </c>
      <c r="AF176" s="14">
        <f>ROUND(IF(AQ176="2",BH176,0),2)</f>
        <v>0</v>
      </c>
      <c r="AG176" s="14">
        <f>ROUND(IF(AQ176="2",BI176,0),2)</f>
        <v>0</v>
      </c>
      <c r="AH176" s="14">
        <f>ROUND(IF(AQ176="0",BJ176,0),2)</f>
        <v>0</v>
      </c>
      <c r="AI176" s="48" t="s">
        <v>224</v>
      </c>
      <c r="AJ176" s="14">
        <f>IF(AN176=0,H176,0)</f>
        <v>0</v>
      </c>
      <c r="AK176" s="14">
        <f>IF(AN176=12,H176,0)</f>
        <v>0</v>
      </c>
      <c r="AL176" s="14">
        <f>IF(AN176=21,H176,0)</f>
        <v>0</v>
      </c>
      <c r="AN176" s="14">
        <v>21</v>
      </c>
      <c r="AO176" s="14">
        <f>G176*0</f>
        <v>0</v>
      </c>
      <c r="AP176" s="14">
        <f>G176*(1-0)</f>
        <v>0</v>
      </c>
      <c r="AQ176" s="63" t="s">
        <v>186</v>
      </c>
      <c r="AV176" s="14">
        <f>ROUND(AW176+AX176,2)</f>
        <v>0</v>
      </c>
      <c r="AW176" s="14">
        <f>ROUND(F176*AO176,2)</f>
        <v>0</v>
      </c>
      <c r="AX176" s="14">
        <f>ROUND(F176*AP176,2)</f>
        <v>0</v>
      </c>
      <c r="AY176" s="63" t="s">
        <v>385</v>
      </c>
      <c r="AZ176" s="63" t="s">
        <v>357</v>
      </c>
      <c r="BA176" s="48" t="s">
        <v>225</v>
      </c>
      <c r="BB176" s="64">
        <v>100017</v>
      </c>
      <c r="BC176" s="14">
        <f>AW176+AX176</f>
        <v>0</v>
      </c>
      <c r="BD176" s="14">
        <f>G176/(100-BE176)*100</f>
        <v>0</v>
      </c>
      <c r="BE176" s="14">
        <v>0</v>
      </c>
      <c r="BF176" s="14">
        <f>J176</f>
        <v>0</v>
      </c>
      <c r="BH176" s="14">
        <f>F176*AO176</f>
        <v>0</v>
      </c>
      <c r="BI176" s="14">
        <f>F176*AP176</f>
        <v>0</v>
      </c>
      <c r="BJ176" s="14">
        <f>F176*G176</f>
        <v>0</v>
      </c>
      <c r="BK176" s="63" t="s">
        <v>153</v>
      </c>
      <c r="BL176" s="14"/>
      <c r="BW176" s="14">
        <v>21</v>
      </c>
      <c r="BX176" s="3" t="s">
        <v>394</v>
      </c>
    </row>
    <row r="177" spans="1:76">
      <c r="A177" s="65"/>
      <c r="C177" s="67" t="s">
        <v>387</v>
      </c>
      <c r="D177" s="66" t="s">
        <v>21</v>
      </c>
      <c r="F177" s="68">
        <v>28.15</v>
      </c>
      <c r="J177" s="69"/>
    </row>
    <row r="178" spans="1:76">
      <c r="A178" s="1" t="s">
        <v>395</v>
      </c>
      <c r="B178" s="2" t="s">
        <v>396</v>
      </c>
      <c r="C178" s="100" t="s">
        <v>397</v>
      </c>
      <c r="D178" s="93"/>
      <c r="E178" s="2" t="s">
        <v>379</v>
      </c>
      <c r="F178" s="14">
        <v>168.9</v>
      </c>
      <c r="G178" s="62">
        <v>0</v>
      </c>
      <c r="H178" s="14">
        <f>ROUND(F178*G178,0)</f>
        <v>0</v>
      </c>
      <c r="I178" s="14">
        <v>0</v>
      </c>
      <c r="J178" s="15">
        <f>F178*I178</f>
        <v>0</v>
      </c>
      <c r="Z178" s="14">
        <f>ROUND(IF(AQ178="5",BJ178,0),2)</f>
        <v>0</v>
      </c>
      <c r="AB178" s="14">
        <f>ROUND(IF(AQ178="1",BH178,0),2)</f>
        <v>0</v>
      </c>
      <c r="AC178" s="14">
        <f>ROUND(IF(AQ178="1",BI178,0),2)</f>
        <v>0</v>
      </c>
      <c r="AD178" s="14">
        <f>ROUND(IF(AQ178="7",BH178,0),2)</f>
        <v>0</v>
      </c>
      <c r="AE178" s="14">
        <f>ROUND(IF(AQ178="7",BI178,0),2)</f>
        <v>0</v>
      </c>
      <c r="AF178" s="14">
        <f>ROUND(IF(AQ178="2",BH178,0),2)</f>
        <v>0</v>
      </c>
      <c r="AG178" s="14">
        <f>ROUND(IF(AQ178="2",BI178,0),2)</f>
        <v>0</v>
      </c>
      <c r="AH178" s="14">
        <f>ROUND(IF(AQ178="0",BJ178,0),2)</f>
        <v>0</v>
      </c>
      <c r="AI178" s="48" t="s">
        <v>224</v>
      </c>
      <c r="AJ178" s="14">
        <f>IF(AN178=0,H178,0)</f>
        <v>0</v>
      </c>
      <c r="AK178" s="14">
        <f>IF(AN178=12,H178,0)</f>
        <v>0</v>
      </c>
      <c r="AL178" s="14">
        <f>IF(AN178=21,H178,0)</f>
        <v>0</v>
      </c>
      <c r="AN178" s="14">
        <v>21</v>
      </c>
      <c r="AO178" s="14">
        <f>G178*0</f>
        <v>0</v>
      </c>
      <c r="AP178" s="14">
        <f>G178*(1-0)</f>
        <v>0</v>
      </c>
      <c r="AQ178" s="63" t="s">
        <v>186</v>
      </c>
      <c r="AV178" s="14">
        <f>ROUND(AW178+AX178,2)</f>
        <v>0</v>
      </c>
      <c r="AW178" s="14">
        <f>ROUND(F178*AO178,2)</f>
        <v>0</v>
      </c>
      <c r="AX178" s="14">
        <f>ROUND(F178*AP178,2)</f>
        <v>0</v>
      </c>
      <c r="AY178" s="63" t="s">
        <v>385</v>
      </c>
      <c r="AZ178" s="63" t="s">
        <v>357</v>
      </c>
      <c r="BA178" s="48" t="s">
        <v>225</v>
      </c>
      <c r="BB178" s="64">
        <v>100017</v>
      </c>
      <c r="BC178" s="14">
        <f>AW178+AX178</f>
        <v>0</v>
      </c>
      <c r="BD178" s="14">
        <f>G178/(100-BE178)*100</f>
        <v>0</v>
      </c>
      <c r="BE178" s="14">
        <v>0</v>
      </c>
      <c r="BF178" s="14">
        <f>J178</f>
        <v>0</v>
      </c>
      <c r="BH178" s="14">
        <f>F178*AO178</f>
        <v>0</v>
      </c>
      <c r="BI178" s="14">
        <f>F178*AP178</f>
        <v>0</v>
      </c>
      <c r="BJ178" s="14">
        <f>F178*G178</f>
        <v>0</v>
      </c>
      <c r="BK178" s="63" t="s">
        <v>153</v>
      </c>
      <c r="BL178" s="14"/>
      <c r="BW178" s="14">
        <v>21</v>
      </c>
      <c r="BX178" s="3" t="s">
        <v>397</v>
      </c>
    </row>
    <row r="179" spans="1:76" ht="13.5" customHeight="1">
      <c r="A179" s="65"/>
      <c r="C179" s="183" t="s">
        <v>398</v>
      </c>
      <c r="D179" s="184"/>
      <c r="E179" s="184"/>
      <c r="F179" s="184"/>
      <c r="G179" s="185"/>
      <c r="H179" s="184"/>
      <c r="I179" s="184"/>
      <c r="J179" s="186"/>
    </row>
    <row r="180" spans="1:76">
      <c r="A180" s="65"/>
      <c r="C180" s="67" t="s">
        <v>399</v>
      </c>
      <c r="D180" s="66" t="s">
        <v>21</v>
      </c>
      <c r="F180" s="68">
        <v>168.9</v>
      </c>
      <c r="J180" s="69"/>
    </row>
    <row r="181" spans="1:76">
      <c r="A181" s="1" t="s">
        <v>400</v>
      </c>
      <c r="B181" s="2" t="s">
        <v>401</v>
      </c>
      <c r="C181" s="100" t="s">
        <v>402</v>
      </c>
      <c r="D181" s="93"/>
      <c r="E181" s="2" t="s">
        <v>379</v>
      </c>
      <c r="F181" s="14">
        <v>27.15</v>
      </c>
      <c r="G181" s="62">
        <v>0</v>
      </c>
      <c r="H181" s="14">
        <f>ROUND(F181*G181,0)</f>
        <v>0</v>
      </c>
      <c r="I181" s="14">
        <v>0</v>
      </c>
      <c r="J181" s="15">
        <f>F181*I181</f>
        <v>0</v>
      </c>
      <c r="Z181" s="14">
        <f>ROUND(IF(AQ181="5",BJ181,0),2)</f>
        <v>0</v>
      </c>
      <c r="AB181" s="14">
        <f>ROUND(IF(AQ181="1",BH181,0),2)</f>
        <v>0</v>
      </c>
      <c r="AC181" s="14">
        <f>ROUND(IF(AQ181="1",BI181,0),2)</f>
        <v>0</v>
      </c>
      <c r="AD181" s="14">
        <f>ROUND(IF(AQ181="7",BH181,0),2)</f>
        <v>0</v>
      </c>
      <c r="AE181" s="14">
        <f>ROUND(IF(AQ181="7",BI181,0),2)</f>
        <v>0</v>
      </c>
      <c r="AF181" s="14">
        <f>ROUND(IF(AQ181="2",BH181,0),2)</f>
        <v>0</v>
      </c>
      <c r="AG181" s="14">
        <f>ROUND(IF(AQ181="2",BI181,0),2)</f>
        <v>0</v>
      </c>
      <c r="AH181" s="14">
        <f>ROUND(IF(AQ181="0",BJ181,0),2)</f>
        <v>0</v>
      </c>
      <c r="AI181" s="48" t="s">
        <v>224</v>
      </c>
      <c r="AJ181" s="14">
        <f>IF(AN181=0,H181,0)</f>
        <v>0</v>
      </c>
      <c r="AK181" s="14">
        <f>IF(AN181=12,H181,0)</f>
        <v>0</v>
      </c>
      <c r="AL181" s="14">
        <f>IF(AN181=21,H181,0)</f>
        <v>0</v>
      </c>
      <c r="AN181" s="14">
        <v>21</v>
      </c>
      <c r="AO181" s="14">
        <f>G181*0</f>
        <v>0</v>
      </c>
      <c r="AP181" s="14">
        <f>G181*(1-0)</f>
        <v>0</v>
      </c>
      <c r="AQ181" s="63" t="s">
        <v>186</v>
      </c>
      <c r="AV181" s="14">
        <f>ROUND(AW181+AX181,2)</f>
        <v>0</v>
      </c>
      <c r="AW181" s="14">
        <f>ROUND(F181*AO181,2)</f>
        <v>0</v>
      </c>
      <c r="AX181" s="14">
        <f>ROUND(F181*AP181,2)</f>
        <v>0</v>
      </c>
      <c r="AY181" s="63" t="s">
        <v>385</v>
      </c>
      <c r="AZ181" s="63" t="s">
        <v>357</v>
      </c>
      <c r="BA181" s="48" t="s">
        <v>225</v>
      </c>
      <c r="BB181" s="64">
        <v>100017</v>
      </c>
      <c r="BC181" s="14">
        <f>AW181+AX181</f>
        <v>0</v>
      </c>
      <c r="BD181" s="14">
        <f>G181/(100-BE181)*100</f>
        <v>0</v>
      </c>
      <c r="BE181" s="14">
        <v>0</v>
      </c>
      <c r="BF181" s="14">
        <f>J181</f>
        <v>0</v>
      </c>
      <c r="BH181" s="14">
        <f>F181*AO181</f>
        <v>0</v>
      </c>
      <c r="BI181" s="14">
        <f>F181*AP181</f>
        <v>0</v>
      </c>
      <c r="BJ181" s="14">
        <f>F181*G181</f>
        <v>0</v>
      </c>
      <c r="BK181" s="63" t="s">
        <v>153</v>
      </c>
      <c r="BL181" s="14"/>
      <c r="BW181" s="14">
        <v>21</v>
      </c>
      <c r="BX181" s="3" t="s">
        <v>402</v>
      </c>
    </row>
    <row r="182" spans="1:76">
      <c r="A182" s="65"/>
      <c r="C182" s="67" t="s">
        <v>403</v>
      </c>
      <c r="D182" s="66" t="s">
        <v>21</v>
      </c>
      <c r="F182" s="68">
        <v>27.15</v>
      </c>
      <c r="J182" s="69"/>
    </row>
    <row r="183" spans="1:76">
      <c r="A183" s="1" t="s">
        <v>404</v>
      </c>
      <c r="B183" s="2" t="s">
        <v>405</v>
      </c>
      <c r="C183" s="100" t="s">
        <v>406</v>
      </c>
      <c r="D183" s="93"/>
      <c r="E183" s="2" t="s">
        <v>379</v>
      </c>
      <c r="F183" s="14">
        <v>1</v>
      </c>
      <c r="G183" s="62">
        <v>0</v>
      </c>
      <c r="H183" s="14">
        <f>ROUND(F183*G183,0)</f>
        <v>0</v>
      </c>
      <c r="I183" s="14">
        <v>0</v>
      </c>
      <c r="J183" s="15">
        <f>F183*I183</f>
        <v>0</v>
      </c>
      <c r="Z183" s="14">
        <f>ROUND(IF(AQ183="5",BJ183,0),2)</f>
        <v>0</v>
      </c>
      <c r="AB183" s="14">
        <f>ROUND(IF(AQ183="1",BH183,0),2)</f>
        <v>0</v>
      </c>
      <c r="AC183" s="14">
        <f>ROUND(IF(AQ183="1",BI183,0),2)</f>
        <v>0</v>
      </c>
      <c r="AD183" s="14">
        <f>ROUND(IF(AQ183="7",BH183,0),2)</f>
        <v>0</v>
      </c>
      <c r="AE183" s="14">
        <f>ROUND(IF(AQ183="7",BI183,0),2)</f>
        <v>0</v>
      </c>
      <c r="AF183" s="14">
        <f>ROUND(IF(AQ183="2",BH183,0),2)</f>
        <v>0</v>
      </c>
      <c r="AG183" s="14">
        <f>ROUND(IF(AQ183="2",BI183,0),2)</f>
        <v>0</v>
      </c>
      <c r="AH183" s="14">
        <f>ROUND(IF(AQ183="0",BJ183,0),2)</f>
        <v>0</v>
      </c>
      <c r="AI183" s="48" t="s">
        <v>224</v>
      </c>
      <c r="AJ183" s="14">
        <f>IF(AN183=0,H183,0)</f>
        <v>0</v>
      </c>
      <c r="AK183" s="14">
        <f>IF(AN183=12,H183,0)</f>
        <v>0</v>
      </c>
      <c r="AL183" s="14">
        <f>IF(AN183=21,H183,0)</f>
        <v>0</v>
      </c>
      <c r="AN183" s="14">
        <v>21</v>
      </c>
      <c r="AO183" s="14">
        <f>G183*0</f>
        <v>0</v>
      </c>
      <c r="AP183" s="14">
        <f>G183*(1-0)</f>
        <v>0</v>
      </c>
      <c r="AQ183" s="63" t="s">
        <v>186</v>
      </c>
      <c r="AV183" s="14">
        <f>ROUND(AW183+AX183,2)</f>
        <v>0</v>
      </c>
      <c r="AW183" s="14">
        <f>ROUND(F183*AO183,2)</f>
        <v>0</v>
      </c>
      <c r="AX183" s="14">
        <f>ROUND(F183*AP183,2)</f>
        <v>0</v>
      </c>
      <c r="AY183" s="63" t="s">
        <v>385</v>
      </c>
      <c r="AZ183" s="63" t="s">
        <v>357</v>
      </c>
      <c r="BA183" s="48" t="s">
        <v>225</v>
      </c>
      <c r="BB183" s="64">
        <v>100017</v>
      </c>
      <c r="BC183" s="14">
        <f>AW183+AX183</f>
        <v>0</v>
      </c>
      <c r="BD183" s="14">
        <f>G183/(100-BE183)*100</f>
        <v>0</v>
      </c>
      <c r="BE183" s="14">
        <v>0</v>
      </c>
      <c r="BF183" s="14">
        <f>J183</f>
        <v>0</v>
      </c>
      <c r="BH183" s="14">
        <f>F183*AO183</f>
        <v>0</v>
      </c>
      <c r="BI183" s="14">
        <f>F183*AP183</f>
        <v>0</v>
      </c>
      <c r="BJ183" s="14">
        <f>F183*G183</f>
        <v>0</v>
      </c>
      <c r="BK183" s="63" t="s">
        <v>153</v>
      </c>
      <c r="BL183" s="14"/>
      <c r="BW183" s="14">
        <v>21</v>
      </c>
      <c r="BX183" s="3" t="s">
        <v>406</v>
      </c>
    </row>
    <row r="184" spans="1:76">
      <c r="A184" s="65"/>
      <c r="C184" s="67" t="s">
        <v>146</v>
      </c>
      <c r="D184" s="66" t="s">
        <v>21</v>
      </c>
      <c r="F184" s="68">
        <v>1</v>
      </c>
      <c r="J184" s="69"/>
    </row>
    <row r="185" spans="1:76">
      <c r="A185" s="70" t="s">
        <v>21</v>
      </c>
      <c r="B185" s="71" t="s">
        <v>407</v>
      </c>
      <c r="C185" s="187" t="s">
        <v>100</v>
      </c>
      <c r="D185" s="188"/>
      <c r="E185" s="72" t="s">
        <v>12</v>
      </c>
      <c r="F185" s="72" t="s">
        <v>12</v>
      </c>
      <c r="G185" s="73" t="s">
        <v>12</v>
      </c>
      <c r="H185" s="43">
        <f>H186+H190</f>
        <v>0</v>
      </c>
      <c r="I185" s="48" t="s">
        <v>21</v>
      </c>
      <c r="J185" s="74">
        <f>J186+J190</f>
        <v>0</v>
      </c>
      <c r="AI185" s="48" t="s">
        <v>21</v>
      </c>
    </row>
    <row r="186" spans="1:76">
      <c r="A186" s="70" t="s">
        <v>21</v>
      </c>
      <c r="B186" s="71" t="s">
        <v>50</v>
      </c>
      <c r="C186" s="187" t="s">
        <v>51</v>
      </c>
      <c r="D186" s="188"/>
      <c r="E186" s="72" t="s">
        <v>12</v>
      </c>
      <c r="F186" s="72" t="s">
        <v>12</v>
      </c>
      <c r="G186" s="73" t="s">
        <v>12</v>
      </c>
      <c r="H186" s="43">
        <f>ROUND(SUM(H187:H187),0)</f>
        <v>0</v>
      </c>
      <c r="I186" s="48" t="s">
        <v>21</v>
      </c>
      <c r="J186" s="74">
        <f>SUM(J187:J187)</f>
        <v>0</v>
      </c>
      <c r="AI186" s="48" t="s">
        <v>21</v>
      </c>
      <c r="AS186" s="43">
        <f>SUM(AJ187:AJ187)</f>
        <v>0</v>
      </c>
      <c r="AT186" s="43">
        <f>SUM(AK187:AK187)</f>
        <v>0</v>
      </c>
      <c r="AU186" s="43">
        <f>SUM(AL187:AL187)</f>
        <v>0</v>
      </c>
    </row>
    <row r="187" spans="1:76">
      <c r="A187" s="1" t="s">
        <v>408</v>
      </c>
      <c r="B187" s="2" t="s">
        <v>409</v>
      </c>
      <c r="C187" s="100" t="s">
        <v>51</v>
      </c>
      <c r="D187" s="93"/>
      <c r="E187" s="2" t="s">
        <v>410</v>
      </c>
      <c r="F187" s="14">
        <v>1</v>
      </c>
      <c r="G187" s="62">
        <v>0</v>
      </c>
      <c r="H187" s="14">
        <f>ROUND(F187*G187,0)</f>
        <v>0</v>
      </c>
      <c r="I187" s="14">
        <v>0</v>
      </c>
      <c r="J187" s="15">
        <f>F187*I187</f>
        <v>0</v>
      </c>
      <c r="Z187" s="14">
        <f>ROUND(IF(AQ187="5",BJ187,0),2)</f>
        <v>0</v>
      </c>
      <c r="AB187" s="14">
        <f>ROUND(IF(AQ187="1",BH187,0),2)</f>
        <v>0</v>
      </c>
      <c r="AC187" s="14">
        <f>ROUND(IF(AQ187="1",BI187,0),2)</f>
        <v>0</v>
      </c>
      <c r="AD187" s="14">
        <f>ROUND(IF(AQ187="7",BH187,0),2)</f>
        <v>0</v>
      </c>
      <c r="AE187" s="14">
        <f>ROUND(IF(AQ187="7",BI187,0),2)</f>
        <v>0</v>
      </c>
      <c r="AF187" s="14">
        <f>ROUND(IF(AQ187="2",BH187,0),2)</f>
        <v>0</v>
      </c>
      <c r="AG187" s="14">
        <f>ROUND(IF(AQ187="2",BI187,0),2)</f>
        <v>0</v>
      </c>
      <c r="AH187" s="14">
        <f>ROUND(IF(AQ187="0",BJ187,0),2)</f>
        <v>0</v>
      </c>
      <c r="AI187" s="48" t="s">
        <v>21</v>
      </c>
      <c r="AJ187" s="14">
        <f>IF(AN187=0,H187,0)</f>
        <v>0</v>
      </c>
      <c r="AK187" s="14">
        <f>IF(AN187=12,H187,0)</f>
        <v>0</v>
      </c>
      <c r="AL187" s="14">
        <f>IF(AN187=21,H187,0)</f>
        <v>0</v>
      </c>
      <c r="AN187" s="14">
        <v>21</v>
      </c>
      <c r="AO187" s="14">
        <f>G187*0</f>
        <v>0</v>
      </c>
      <c r="AP187" s="14">
        <f>G187*(1-0)</f>
        <v>0</v>
      </c>
      <c r="AQ187" s="63" t="s">
        <v>411</v>
      </c>
      <c r="AV187" s="14">
        <f>ROUND(AW187+AX187,2)</f>
        <v>0</v>
      </c>
      <c r="AW187" s="14">
        <f>ROUND(F187*AO187,2)</f>
        <v>0</v>
      </c>
      <c r="AX187" s="14">
        <f>ROUND(F187*AP187,2)</f>
        <v>0</v>
      </c>
      <c r="AY187" s="63" t="s">
        <v>412</v>
      </c>
      <c r="AZ187" s="63" t="s">
        <v>413</v>
      </c>
      <c r="BA187" s="48" t="s">
        <v>152</v>
      </c>
      <c r="BC187" s="14">
        <f>AW187+AX187</f>
        <v>0</v>
      </c>
      <c r="BD187" s="14">
        <f>G187/(100-BE187)*100</f>
        <v>0</v>
      </c>
      <c r="BE187" s="14">
        <v>0</v>
      </c>
      <c r="BF187" s="14">
        <f>J187</f>
        <v>0</v>
      </c>
      <c r="BH187" s="14">
        <f>F187*AO187</f>
        <v>0</v>
      </c>
      <c r="BI187" s="14">
        <f>F187*AP187</f>
        <v>0</v>
      </c>
      <c r="BJ187" s="14">
        <f>F187*G187</f>
        <v>0</v>
      </c>
      <c r="BK187" s="63" t="s">
        <v>153</v>
      </c>
      <c r="BL187" s="14"/>
      <c r="BO187" s="14">
        <f>F187*G187</f>
        <v>0</v>
      </c>
      <c r="BW187" s="14">
        <v>21</v>
      </c>
      <c r="BX187" s="3" t="s">
        <v>51</v>
      </c>
    </row>
    <row r="188" spans="1:76" ht="27" customHeight="1">
      <c r="A188" s="65"/>
      <c r="C188" s="183" t="s">
        <v>414</v>
      </c>
      <c r="D188" s="184"/>
      <c r="E188" s="184"/>
      <c r="F188" s="184"/>
      <c r="G188" s="185"/>
      <c r="H188" s="184"/>
      <c r="I188" s="184"/>
      <c r="J188" s="186"/>
    </row>
    <row r="189" spans="1:76">
      <c r="A189" s="65"/>
      <c r="C189" s="67" t="s">
        <v>146</v>
      </c>
      <c r="D189" s="66" t="s">
        <v>21</v>
      </c>
      <c r="F189" s="68">
        <v>1</v>
      </c>
      <c r="J189" s="69"/>
    </row>
    <row r="190" spans="1:76">
      <c r="A190" s="70" t="s">
        <v>21</v>
      </c>
      <c r="B190" s="71" t="s">
        <v>52</v>
      </c>
      <c r="C190" s="187" t="s">
        <v>53</v>
      </c>
      <c r="D190" s="188"/>
      <c r="E190" s="72" t="s">
        <v>12</v>
      </c>
      <c r="F190" s="72" t="s">
        <v>12</v>
      </c>
      <c r="G190" s="73" t="s">
        <v>12</v>
      </c>
      <c r="H190" s="43">
        <f>ROUND(SUM(H191:H191),0)</f>
        <v>0</v>
      </c>
      <c r="I190" s="48" t="s">
        <v>21</v>
      </c>
      <c r="J190" s="74">
        <f>SUM(J191:J191)</f>
        <v>0</v>
      </c>
      <c r="AI190" s="48" t="s">
        <v>21</v>
      </c>
      <c r="AS190" s="43">
        <f>SUM(AJ191:AJ191)</f>
        <v>0</v>
      </c>
      <c r="AT190" s="43">
        <f>SUM(AK191:AK191)</f>
        <v>0</v>
      </c>
      <c r="AU190" s="43">
        <f>SUM(AL191:AL191)</f>
        <v>0</v>
      </c>
    </row>
    <row r="191" spans="1:76">
      <c r="A191" s="1" t="s">
        <v>415</v>
      </c>
      <c r="B191" s="2" t="s">
        <v>416</v>
      </c>
      <c r="C191" s="100" t="s">
        <v>417</v>
      </c>
      <c r="D191" s="93"/>
      <c r="E191" s="2" t="s">
        <v>410</v>
      </c>
      <c r="F191" s="14">
        <v>1</v>
      </c>
      <c r="G191" s="62">
        <v>0</v>
      </c>
      <c r="H191" s="14">
        <f>ROUND(F191*G191,0)</f>
        <v>0</v>
      </c>
      <c r="I191" s="14">
        <v>0</v>
      </c>
      <c r="J191" s="15">
        <f>F191*I191</f>
        <v>0</v>
      </c>
      <c r="Z191" s="14">
        <f>ROUND(IF(AQ191="5",BJ191,0),2)</f>
        <v>0</v>
      </c>
      <c r="AB191" s="14">
        <f>ROUND(IF(AQ191="1",BH191,0),2)</f>
        <v>0</v>
      </c>
      <c r="AC191" s="14">
        <f>ROUND(IF(AQ191="1",BI191,0),2)</f>
        <v>0</v>
      </c>
      <c r="AD191" s="14">
        <f>ROUND(IF(AQ191="7",BH191,0),2)</f>
        <v>0</v>
      </c>
      <c r="AE191" s="14">
        <f>ROUND(IF(AQ191="7",BI191,0),2)</f>
        <v>0</v>
      </c>
      <c r="AF191" s="14">
        <f>ROUND(IF(AQ191="2",BH191,0),2)</f>
        <v>0</v>
      </c>
      <c r="AG191" s="14">
        <f>ROUND(IF(AQ191="2",BI191,0),2)</f>
        <v>0</v>
      </c>
      <c r="AH191" s="14">
        <f>ROUND(IF(AQ191="0",BJ191,0),2)</f>
        <v>0</v>
      </c>
      <c r="AI191" s="48" t="s">
        <v>21</v>
      </c>
      <c r="AJ191" s="14">
        <f>IF(AN191=0,H191,0)</f>
        <v>0</v>
      </c>
      <c r="AK191" s="14">
        <f>IF(AN191=12,H191,0)</f>
        <v>0</v>
      </c>
      <c r="AL191" s="14">
        <f>IF(AN191=21,H191,0)</f>
        <v>0</v>
      </c>
      <c r="AN191" s="14">
        <v>21</v>
      </c>
      <c r="AO191" s="14">
        <f>G191*0</f>
        <v>0</v>
      </c>
      <c r="AP191" s="14">
        <f>G191*(1-0)</f>
        <v>0</v>
      </c>
      <c r="AQ191" s="63" t="s">
        <v>411</v>
      </c>
      <c r="AV191" s="14">
        <f>ROUND(AW191+AX191,2)</f>
        <v>0</v>
      </c>
      <c r="AW191" s="14">
        <f>ROUND(F191*AO191,2)</f>
        <v>0</v>
      </c>
      <c r="AX191" s="14">
        <f>ROUND(F191*AP191,2)</f>
        <v>0</v>
      </c>
      <c r="AY191" s="63" t="s">
        <v>418</v>
      </c>
      <c r="AZ191" s="63" t="s">
        <v>413</v>
      </c>
      <c r="BA191" s="48" t="s">
        <v>152</v>
      </c>
      <c r="BC191" s="14">
        <f>AW191+AX191</f>
        <v>0</v>
      </c>
      <c r="BD191" s="14">
        <f>G191/(100-BE191)*100</f>
        <v>0</v>
      </c>
      <c r="BE191" s="14">
        <v>0</v>
      </c>
      <c r="BF191" s="14">
        <f>J191</f>
        <v>0</v>
      </c>
      <c r="BH191" s="14">
        <f>F191*AO191</f>
        <v>0</v>
      </c>
      <c r="BI191" s="14">
        <f>F191*AP191</f>
        <v>0</v>
      </c>
      <c r="BJ191" s="14">
        <f>F191*G191</f>
        <v>0</v>
      </c>
      <c r="BK191" s="63" t="s">
        <v>153</v>
      </c>
      <c r="BL191" s="14"/>
      <c r="BU191" s="14">
        <f>F191*G191</f>
        <v>0</v>
      </c>
      <c r="BW191" s="14">
        <v>21</v>
      </c>
      <c r="BX191" s="3" t="s">
        <v>417</v>
      </c>
    </row>
    <row r="192" spans="1:76" ht="13.5" customHeight="1">
      <c r="A192" s="65"/>
      <c r="C192" s="183" t="s">
        <v>419</v>
      </c>
      <c r="D192" s="184"/>
      <c r="E192" s="184"/>
      <c r="F192" s="184"/>
      <c r="G192" s="185"/>
      <c r="H192" s="184"/>
      <c r="I192" s="184"/>
      <c r="J192" s="186"/>
    </row>
    <row r="193" spans="1:10">
      <c r="A193" s="82"/>
      <c r="B193" s="83"/>
      <c r="C193" s="84" t="s">
        <v>146</v>
      </c>
      <c r="D193" s="85" t="s">
        <v>21</v>
      </c>
      <c r="E193" s="83"/>
      <c r="F193" s="86">
        <v>1</v>
      </c>
      <c r="G193" s="87"/>
      <c r="H193" s="83"/>
      <c r="I193" s="83"/>
      <c r="J193" s="88"/>
    </row>
    <row r="194" spans="1:10">
      <c r="H194" s="19">
        <f>ROUND(SUM(H12,H22,H33,H59,H69,H78,H85,H89,H133,H141,H149,H153,H156,H167,H170,H186,H190),0)</f>
        <v>0</v>
      </c>
    </row>
    <row r="195" spans="1:10">
      <c r="A195" s="20" t="s">
        <v>55</v>
      </c>
    </row>
    <row r="196" spans="1:10" ht="12.75" customHeight="1">
      <c r="A196" s="100" t="s">
        <v>21</v>
      </c>
      <c r="B196" s="93"/>
      <c r="C196" s="93"/>
      <c r="D196" s="93"/>
      <c r="E196" s="93"/>
      <c r="F196" s="93"/>
      <c r="G196" s="93"/>
      <c r="H196" s="93"/>
      <c r="I196" s="93"/>
      <c r="J196" s="93"/>
    </row>
  </sheetData>
  <sheetProtection password="F483" sheet="1"/>
  <mergeCells count="120">
    <mergeCell ref="C190:D190"/>
    <mergeCell ref="C191:D191"/>
    <mergeCell ref="C192:J192"/>
    <mergeCell ref="A196:J196"/>
    <mergeCell ref="C183:D183"/>
    <mergeCell ref="C185:D185"/>
    <mergeCell ref="C186:D186"/>
    <mergeCell ref="C187:D187"/>
    <mergeCell ref="C188:J188"/>
    <mergeCell ref="C174:D174"/>
    <mergeCell ref="C176:D176"/>
    <mergeCell ref="C178:D178"/>
    <mergeCell ref="C179:J179"/>
    <mergeCell ref="C181:D181"/>
    <mergeCell ref="C167:D167"/>
    <mergeCell ref="C168:D168"/>
    <mergeCell ref="C170:D170"/>
    <mergeCell ref="C171:D171"/>
    <mergeCell ref="C172:J172"/>
    <mergeCell ref="C154:D154"/>
    <mergeCell ref="C156:D156"/>
    <mergeCell ref="C157:D157"/>
    <mergeCell ref="C159:D159"/>
    <mergeCell ref="C161:D161"/>
    <mergeCell ref="C143:J143"/>
    <mergeCell ref="C149:D149"/>
    <mergeCell ref="C150:D150"/>
    <mergeCell ref="C151:J151"/>
    <mergeCell ref="C153:D153"/>
    <mergeCell ref="C134:D134"/>
    <mergeCell ref="C136:D136"/>
    <mergeCell ref="C137:J137"/>
    <mergeCell ref="C141:D141"/>
    <mergeCell ref="C142:D142"/>
    <mergeCell ref="C119:D119"/>
    <mergeCell ref="C121:D121"/>
    <mergeCell ref="C124:D124"/>
    <mergeCell ref="C125:J125"/>
    <mergeCell ref="C133:D133"/>
    <mergeCell ref="C110:D110"/>
    <mergeCell ref="C113:D113"/>
    <mergeCell ref="C114:J114"/>
    <mergeCell ref="C116:D116"/>
    <mergeCell ref="C117:J117"/>
    <mergeCell ref="C93:D93"/>
    <mergeCell ref="C95:D95"/>
    <mergeCell ref="C96:J96"/>
    <mergeCell ref="C99:D99"/>
    <mergeCell ref="C102:D102"/>
    <mergeCell ref="C86:D86"/>
    <mergeCell ref="C87:J87"/>
    <mergeCell ref="C89:D89"/>
    <mergeCell ref="C90:D90"/>
    <mergeCell ref="C91:J91"/>
    <mergeCell ref="C74:D74"/>
    <mergeCell ref="C76:D76"/>
    <mergeCell ref="C78:D78"/>
    <mergeCell ref="C79:D79"/>
    <mergeCell ref="C85:D85"/>
    <mergeCell ref="C66:D66"/>
    <mergeCell ref="C67:J67"/>
    <mergeCell ref="C69:D69"/>
    <mergeCell ref="C70:D70"/>
    <mergeCell ref="C72:D72"/>
    <mergeCell ref="C59:D59"/>
    <mergeCell ref="C60:D60"/>
    <mergeCell ref="C61:J61"/>
    <mergeCell ref="C63:D63"/>
    <mergeCell ref="C64:J64"/>
    <mergeCell ref="C51:D51"/>
    <mergeCell ref="C53:D53"/>
    <mergeCell ref="C54:J54"/>
    <mergeCell ref="C56:D56"/>
    <mergeCell ref="C57:J57"/>
    <mergeCell ref="C40:D40"/>
    <mergeCell ref="C44:D44"/>
    <mergeCell ref="C46:D46"/>
    <mergeCell ref="C48:D48"/>
    <mergeCell ref="C49:J49"/>
    <mergeCell ref="C33:D33"/>
    <mergeCell ref="C34:D34"/>
    <mergeCell ref="C35:J35"/>
    <mergeCell ref="C37:D37"/>
    <mergeCell ref="C38:J38"/>
    <mergeCell ref="C22:D22"/>
    <mergeCell ref="C23:D23"/>
    <mergeCell ref="C24:J24"/>
    <mergeCell ref="C27:D27"/>
    <mergeCell ref="C30:D30"/>
    <mergeCell ref="C11:D11"/>
    <mergeCell ref="I10:J10"/>
    <mergeCell ref="C12:D12"/>
    <mergeCell ref="C13:D13"/>
    <mergeCell ref="C14:J14"/>
    <mergeCell ref="I2:J3"/>
    <mergeCell ref="I4:J5"/>
    <mergeCell ref="I6:J7"/>
    <mergeCell ref="I8:J9"/>
    <mergeCell ref="C10:D10"/>
    <mergeCell ref="C8:D9"/>
    <mergeCell ref="G2:G3"/>
    <mergeCell ref="G4:G5"/>
    <mergeCell ref="G6:G7"/>
    <mergeCell ref="G8:G9"/>
    <mergeCell ref="A1:J1"/>
    <mergeCell ref="A2:B3"/>
    <mergeCell ref="A4:B5"/>
    <mergeCell ref="A6:B7"/>
    <mergeCell ref="A8:B9"/>
    <mergeCell ref="E2:F3"/>
    <mergeCell ref="E4:F5"/>
    <mergeCell ref="E6:F7"/>
    <mergeCell ref="E8:F9"/>
    <mergeCell ref="H2:H3"/>
    <mergeCell ref="H4:H5"/>
    <mergeCell ref="H6:H7"/>
    <mergeCell ref="H8:H9"/>
    <mergeCell ref="C2:D3"/>
    <mergeCell ref="C4:D5"/>
    <mergeCell ref="C6:D7"/>
  </mergeCells>
  <pageMargins left="0.393999993801117" right="0.393999993801117" top="0.59100002050399802" bottom="0.59100002050399802" header="0" footer="0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Rozpočet - rekapitulace</vt:lpstr>
      <vt:lpstr>Krycí list rozpočtu</vt:lpstr>
      <vt:lpstr>VORN</vt:lpstr>
      <vt:lpstr>Stavební rozpočet</vt:lpstr>
      <vt:lpstr>vorn_sum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uzivatel</cp:lastModifiedBy>
  <dcterms:created xsi:type="dcterms:W3CDTF">2021-06-10T20:06:38Z</dcterms:created>
  <dcterms:modified xsi:type="dcterms:W3CDTF">2026-04-20T07:36:25Z</dcterms:modified>
</cp:coreProperties>
</file>