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Q4CR2\Desktop\OB2 - dotazy\Soubory\"/>
    </mc:Choice>
  </mc:AlternateContent>
  <xr:revisionPtr revIDLastSave="0" documentId="13_ncr:1_{D3F7ECE5-5B10-45E4-B1E2-49785356036E}" xr6:coauthVersionLast="47" xr6:coauthVersionMax="47" xr10:uidLastSave="{00000000-0000-0000-0000-000000000000}"/>
  <bookViews>
    <workbookView xWindow="-120" yWindow="-120" windowWidth="29040" windowHeight="15840" xr2:uid="{B2264DE0-6FB8-4235-BFE3-9549B0DB3128}"/>
  </bookViews>
  <sheets>
    <sheet name="Evaluation criteria calculation" sheetId="1" r:id="rId1"/>
    <sheet name="List1" sheetId="4" state="hidden" r:id="rId2"/>
    <sheet name="Fuel and aditives defini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E17" i="1"/>
  <c r="F17" i="1"/>
  <c r="R24" i="2"/>
  <c r="P24" i="2"/>
  <c r="M19" i="2"/>
  <c r="N19" i="2"/>
  <c r="O19" i="2"/>
  <c r="P19" i="2"/>
  <c r="R19" i="2"/>
  <c r="Q32" i="2"/>
  <c r="N32" i="2"/>
  <c r="Q14" i="2"/>
  <c r="M14" i="2"/>
  <c r="M16" i="2"/>
  <c r="N16" i="2"/>
  <c r="M26" i="2"/>
  <c r="M28" i="2"/>
  <c r="N28" i="2"/>
  <c r="O28" i="2"/>
  <c r="Q28" i="2"/>
  <c r="R34" i="2"/>
  <c r="O34" i="2"/>
  <c r="N34" i="2"/>
  <c r="F23" i="2"/>
  <c r="F10" i="2"/>
  <c r="G17" i="2"/>
  <c r="G25" i="2"/>
  <c r="H25" i="2"/>
  <c r="H30" i="2"/>
  <c r="G30" i="2"/>
  <c r="F30" i="2"/>
  <c r="G32" i="2"/>
  <c r="H14" i="1" l="1"/>
  <c r="I14" i="1"/>
  <c r="G14" i="1"/>
  <c r="G8" i="1"/>
  <c r="H8" i="1"/>
  <c r="I8" i="1"/>
  <c r="H9" i="1"/>
  <c r="I9" i="1"/>
  <c r="G10" i="1"/>
  <c r="H13" i="4" l="1"/>
  <c r="G13" i="4"/>
  <c r="F13" i="4"/>
  <c r="H12" i="4"/>
  <c r="G12" i="4"/>
  <c r="F12" i="4"/>
  <c r="H11" i="4"/>
  <c r="G11" i="4"/>
  <c r="F11" i="4"/>
  <c r="F14" i="4" s="1"/>
  <c r="H10" i="4"/>
  <c r="G10" i="4"/>
  <c r="F10" i="4"/>
  <c r="H9" i="4"/>
  <c r="G9" i="4"/>
  <c r="F9" i="4"/>
  <c r="H8" i="4"/>
  <c r="G8" i="4"/>
  <c r="G14" i="4" s="1"/>
  <c r="F8" i="4"/>
  <c r="H7" i="4"/>
  <c r="G7" i="4"/>
  <c r="F7" i="4"/>
  <c r="H5" i="4"/>
  <c r="H14" i="4" s="1"/>
  <c r="G5" i="4"/>
  <c r="H4" i="4"/>
  <c r="G4" i="4"/>
  <c r="F4" i="4"/>
  <c r="E3" i="4"/>
  <c r="E6" i="4" s="1"/>
  <c r="D3" i="4"/>
  <c r="D6" i="4" s="1"/>
  <c r="C3" i="4"/>
  <c r="C6" i="4" s="1"/>
  <c r="F15" i="4" l="1"/>
  <c r="F7" i="1"/>
  <c r="E7" i="1"/>
  <c r="D7" i="1"/>
  <c r="G13" i="1" l="1"/>
  <c r="H16" i="1"/>
  <c r="H15" i="1"/>
  <c r="I12" i="1"/>
  <c r="H11" i="1"/>
  <c r="H12" i="1"/>
  <c r="G12" i="1"/>
  <c r="G11" i="1"/>
  <c r="G16" i="1"/>
  <c r="H13" i="1"/>
  <c r="I13" i="1"/>
  <c r="H10" i="1"/>
  <c r="I10" i="1"/>
  <c r="I18" i="1" l="1"/>
  <c r="H18" i="1"/>
  <c r="I16" i="1"/>
  <c r="I15" i="1"/>
  <c r="G15" i="1"/>
  <c r="I11" i="1"/>
  <c r="G17" i="1"/>
  <c r="G18" i="1" l="1"/>
  <c r="G19" i="1" l="1"/>
</calcChain>
</file>

<file path=xl/sharedStrings.xml><?xml version="1.0" encoding="utf-8"?>
<sst xmlns="http://schemas.openxmlformats.org/spreadsheetml/2006/main" count="386" uniqueCount="200">
  <si>
    <t>jmenovitý výkon</t>
  </si>
  <si>
    <t>MW</t>
  </si>
  <si>
    <t>K20</t>
  </si>
  <si>
    <t>K80</t>
  </si>
  <si>
    <t>K90</t>
  </si>
  <si>
    <t>příkon paliva</t>
  </si>
  <si>
    <t>spotřeba dřevní štěpky</t>
  </si>
  <si>
    <r>
      <t>t·h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</si>
  <si>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fytopeletek</t>
  </si>
  <si>
    <t>tepelná účinnost</t>
  </si>
  <si>
    <t>%</t>
  </si>
  <si>
    <t>spotřeba močoviny</t>
  </si>
  <si>
    <t>spotřeba síranu amonného</t>
  </si>
  <si>
    <t>spotřeba vápence</t>
  </si>
  <si>
    <t>spotřeba uhličitanu sodného</t>
  </si>
  <si>
    <t>spotřeba hydroxidu vápenatého</t>
  </si>
  <si>
    <t>kW</t>
  </si>
  <si>
    <t>dřevní štepky</t>
  </si>
  <si>
    <t>fytopelety</t>
  </si>
  <si>
    <t>elektřina</t>
  </si>
  <si>
    <t>vápenec</t>
  </si>
  <si>
    <t>uhličitan sodný</t>
  </si>
  <si>
    <t>močovina</t>
  </si>
  <si>
    <t>síran amonný</t>
  </si>
  <si>
    <t>ceny komodit</t>
  </si>
  <si>
    <t>hydroxid vápenatý</t>
  </si>
  <si>
    <r>
      <t>MJ·kg</t>
    </r>
    <r>
      <rPr>
        <vertAlign val="superscript"/>
        <sz val="10"/>
        <color theme="1"/>
        <rFont val="Arial"/>
        <family val="2"/>
        <charset val="238"/>
      </rPr>
      <t>-1</t>
    </r>
  </si>
  <si>
    <r>
      <t>kg·h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</si>
  <si>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a,b</t>
    </r>
  </si>
  <si>
    <t>a</t>
  </si>
  <si>
    <t>b</t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</si>
  <si>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</si>
  <si>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spotřeba vodného roztoku čpavku</t>
  </si>
  <si>
    <t>vodný roztok čpavku</t>
  </si>
  <si>
    <t>c</t>
  </si>
  <si>
    <t>min.</t>
  </si>
  <si>
    <t>ref.</t>
  </si>
  <si>
    <t>max.</t>
  </si>
  <si>
    <t>%hm.</t>
  </si>
  <si>
    <t>MJ/kg</t>
  </si>
  <si>
    <t>As</t>
  </si>
  <si>
    <t>Cd</t>
  </si>
  <si>
    <t>Co</t>
  </si>
  <si>
    <t>Cr</t>
  </si>
  <si>
    <t>Cu</t>
  </si>
  <si>
    <t>Hg</t>
  </si>
  <si>
    <t>Mn</t>
  </si>
  <si>
    <t>Ni</t>
  </si>
  <si>
    <t>Pb</t>
  </si>
  <si>
    <t>Sb</t>
  </si>
  <si>
    <t>Tl</t>
  </si>
  <si>
    <t>V</t>
  </si>
  <si>
    <t>Zn</t>
  </si>
  <si>
    <r>
      <t>CaCO</t>
    </r>
    <r>
      <rPr>
        <vertAlign val="subscript"/>
        <sz val="10"/>
        <color theme="1"/>
        <rFont val="Arial"/>
        <family val="2"/>
        <charset val="238"/>
      </rPr>
      <t>3</t>
    </r>
  </si>
  <si>
    <r>
      <t>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</si>
  <si>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NaHCO</t>
    </r>
    <r>
      <rPr>
        <vertAlign val="subscript"/>
        <sz val="10"/>
        <color theme="1"/>
        <rFont val="Arial"/>
        <family val="2"/>
        <charset val="238"/>
      </rPr>
      <t>3</t>
    </r>
  </si>
  <si>
    <r>
      <t>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OH</t>
    </r>
  </si>
  <si>
    <r>
      <t>(NH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SO</t>
    </r>
    <r>
      <rPr>
        <vertAlign val="subscript"/>
        <sz val="10"/>
        <color theme="1"/>
        <rFont val="Arial"/>
        <family val="2"/>
        <charset val="238"/>
      </rPr>
      <t>4</t>
    </r>
  </si>
  <si>
    <r>
      <t>CO(NH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</si>
  <si>
    <t>soda</t>
  </si>
  <si>
    <r>
      <t>100% CaCO</t>
    </r>
    <r>
      <rPr>
        <vertAlign val="subscript"/>
        <sz val="10"/>
        <color theme="1"/>
        <rFont val="Arial"/>
        <family val="2"/>
        <charset val="238"/>
      </rPr>
      <t>3</t>
    </r>
  </si>
  <si>
    <r>
      <t>100% 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</si>
  <si>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25% 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OH</t>
    </r>
  </si>
  <si>
    <r>
      <t>100% NaHCO</t>
    </r>
    <r>
      <rPr>
        <vertAlign val="subscript"/>
        <sz val="10"/>
        <color theme="1"/>
        <rFont val="Arial"/>
        <family val="2"/>
        <charset val="238"/>
      </rPr>
      <t>3</t>
    </r>
  </si>
  <si>
    <r>
      <t>75%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</si>
  <si>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70%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</si>
  <si>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60%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</si>
  <si>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30% (NH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SO</t>
    </r>
    <r>
      <rPr>
        <vertAlign val="subscript"/>
        <sz val="10"/>
        <color theme="1"/>
        <rFont val="Arial"/>
        <family val="2"/>
        <charset val="238"/>
      </rPr>
      <t>4</t>
    </r>
  </si>
  <si>
    <r>
      <t>40% CO(NH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</si>
  <si>
    <r>
      <t>W</t>
    </r>
    <r>
      <rPr>
        <vertAlign val="superscript"/>
        <sz val="10"/>
        <color theme="1"/>
        <rFont val="Arial"/>
        <family val="2"/>
        <charset val="238"/>
      </rPr>
      <t>(ar)</t>
    </r>
  </si>
  <si>
    <r>
      <t>kg/m</t>
    </r>
    <r>
      <rPr>
        <vertAlign val="superscript"/>
        <sz val="10"/>
        <color theme="1"/>
        <rFont val="Arial"/>
        <family val="2"/>
        <charset val="238"/>
      </rPr>
      <t>3</t>
    </r>
  </si>
  <si>
    <r>
      <t>S</t>
    </r>
    <r>
      <rPr>
        <vertAlign val="superscript"/>
        <sz val="10"/>
        <color theme="1"/>
        <rFont val="Arial"/>
        <family val="2"/>
        <charset val="238"/>
      </rPr>
      <t>(ar)</t>
    </r>
  </si>
  <si>
    <r>
      <t>Cl</t>
    </r>
    <r>
      <rPr>
        <vertAlign val="superscript"/>
        <sz val="10"/>
        <color theme="1"/>
        <rFont val="Arial"/>
        <family val="2"/>
        <charset val="238"/>
      </rPr>
      <t>(ar)</t>
    </r>
  </si>
  <si>
    <t>CZK</t>
  </si>
  <si>
    <r>
      <t>EUR·t</t>
    </r>
    <r>
      <rPr>
        <vertAlign val="superscript"/>
        <sz val="10"/>
        <color theme="1"/>
        <rFont val="Arial"/>
        <family val="2"/>
        <charset val="238"/>
      </rPr>
      <t>-1</t>
    </r>
  </si>
  <si>
    <r>
      <t>EUR·kWh</t>
    </r>
    <r>
      <rPr>
        <vertAlign val="superscript"/>
        <sz val="10"/>
        <color theme="1"/>
        <rFont val="Arial"/>
        <family val="2"/>
        <charset val="238"/>
      </rPr>
      <t>-1</t>
    </r>
  </si>
  <si>
    <r>
      <t>Kč·t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</si>
  <si>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Kč·kWh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</si>
  <si>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celkem EUR·h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</si>
  <si>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kg·m</t>
    </r>
    <r>
      <rPr>
        <b/>
        <vertAlign val="superscript"/>
        <sz val="10"/>
        <color theme="1"/>
        <rFont val="Arial"/>
        <family val="2"/>
        <charset val="238"/>
      </rPr>
      <t>-3</t>
    </r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</si>
  <si>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·g</t>
    </r>
    <r>
      <rPr>
        <b/>
        <vertAlign val="superscript"/>
        <sz val="10"/>
        <color theme="1"/>
        <rFont val="Arial"/>
        <family val="2"/>
        <charset val="238"/>
      </rPr>
      <t>-1</t>
    </r>
  </si>
  <si>
    <t>-</t>
  </si>
  <si>
    <t>including the compressor station</t>
  </si>
  <si>
    <t>the composition of fuels and additives is described on the following sheets of this document</t>
  </si>
  <si>
    <t>wood chip</t>
  </si>
  <si>
    <t>electric power</t>
  </si>
  <si>
    <t>plant pellets</t>
  </si>
  <si>
    <t>limestone</t>
  </si>
  <si>
    <t>calcium hydroxide</t>
  </si>
  <si>
    <t>sodium carbonate</t>
  </si>
  <si>
    <t>urea</t>
  </si>
  <si>
    <t>aqueous ammonia solution</t>
  </si>
  <si>
    <t>ammonium sulphate</t>
  </si>
  <si>
    <t>Commodity prices</t>
  </si>
  <si>
    <t>phyto pellets</t>
  </si>
  <si>
    <t>Calculated item prices</t>
  </si>
  <si>
    <t>Data to be filled in</t>
  </si>
  <si>
    <t>Item</t>
  </si>
  <si>
    <t>Unit</t>
  </si>
  <si>
    <t>Calorific value of fuels</t>
  </si>
  <si>
    <t>Annex J to the Tender Documentation - operating expenses for the purpose of evaluating tenders</t>
  </si>
  <si>
    <r>
      <t>Own electricity consumption</t>
    </r>
    <r>
      <rPr>
        <vertAlign val="superscript"/>
        <sz val="10"/>
        <color theme="1"/>
        <rFont val="Arial"/>
        <family val="2"/>
        <charset val="238"/>
      </rPr>
      <t>b</t>
    </r>
  </si>
  <si>
    <t>Calcium hydroxide consumption</t>
  </si>
  <si>
    <t>Sodium carbonate consumption</t>
  </si>
  <si>
    <t>Limestone consumption</t>
  </si>
  <si>
    <t>Consumption of aqueous ammonia solution</t>
  </si>
  <si>
    <t>Ammonium sulphate consumption</t>
  </si>
  <si>
    <t>Urea consumption</t>
  </si>
  <si>
    <t>Phyto pellets consumption</t>
  </si>
  <si>
    <t>Wood chip consumption</t>
  </si>
  <si>
    <t>Fuel input</t>
  </si>
  <si>
    <t>Value</t>
  </si>
  <si>
    <t>ADDITIVES</t>
  </si>
  <si>
    <t>PLANT PHYTO PELLETS</t>
  </si>
  <si>
    <t>Parameter</t>
  </si>
  <si>
    <t>Wood chip</t>
  </si>
  <si>
    <t>Plant pellets</t>
  </si>
  <si>
    <t>Element</t>
  </si>
  <si>
    <t>TRACE ELEMENTS</t>
  </si>
  <si>
    <t>BET specific surface</t>
  </si>
  <si>
    <t>Bulk weight/density</t>
  </si>
  <si>
    <t>Composition</t>
  </si>
  <si>
    <t>Trivial name</t>
  </si>
  <si>
    <t>Formula</t>
  </si>
  <si>
    <t>All water</t>
  </si>
  <si>
    <t>Ash</t>
  </si>
  <si>
    <t>Bulk weight</t>
  </si>
  <si>
    <t>Chlorine</t>
  </si>
  <si>
    <t>Sulphur</t>
  </si>
  <si>
    <t>Calorific value</t>
  </si>
  <si>
    <t>Name</t>
  </si>
  <si>
    <t>calcium carbonate</t>
  </si>
  <si>
    <t>sodium bicarbonate</t>
  </si>
  <si>
    <t>ammonium hydroxide</t>
  </si>
  <si>
    <t>ammonium suphate</t>
  </si>
  <si>
    <t>lime hydrate</t>
  </si>
  <si>
    <t>ammonia water</t>
  </si>
  <si>
    <t>Notes: Only the white / non-coloured cells are to be filled in</t>
  </si>
  <si>
    <r>
      <t>Total price EUR·h</t>
    </r>
    <r>
      <rPr>
        <vertAlign val="superscript"/>
        <sz val="10"/>
        <color theme="1"/>
        <rFont val="Arial"/>
        <family val="2"/>
        <charset val="238"/>
      </rPr>
      <t>-1</t>
    </r>
  </si>
  <si>
    <t>self-consumption of the devices within OB 2, except for the compressor station appliances</t>
  </si>
  <si>
    <t>sand</t>
  </si>
  <si>
    <r>
      <t>mg/kg</t>
    </r>
    <r>
      <rPr>
        <vertAlign val="superscript"/>
        <sz val="10"/>
        <color theme="1"/>
        <rFont val="Arial"/>
        <family val="2"/>
        <charset val="238"/>
      </rPr>
      <t>d</t>
    </r>
  </si>
  <si>
    <t>Na</t>
  </si>
  <si>
    <t>K</t>
  </si>
  <si>
    <r>
      <t>N</t>
    </r>
    <r>
      <rPr>
        <vertAlign val="superscript"/>
        <sz val="10"/>
        <color theme="1"/>
        <rFont val="Arial"/>
        <family val="2"/>
        <charset val="238"/>
      </rPr>
      <t>(ar)</t>
    </r>
  </si>
  <si>
    <r>
      <t>C</t>
    </r>
    <r>
      <rPr>
        <vertAlign val="superscript"/>
        <sz val="10"/>
        <color theme="1"/>
        <rFont val="Arial"/>
        <family val="2"/>
        <charset val="238"/>
      </rPr>
      <t>(ar)</t>
    </r>
  </si>
  <si>
    <r>
      <t>H</t>
    </r>
    <r>
      <rPr>
        <vertAlign val="superscript"/>
        <sz val="10"/>
        <color theme="1"/>
        <rFont val="Arial"/>
        <family val="2"/>
        <charset val="238"/>
      </rPr>
      <t>(ar)</t>
    </r>
  </si>
  <si>
    <t>Nitrogen</t>
  </si>
  <si>
    <t>Carbon</t>
  </si>
  <si>
    <t>Hydrogen</t>
  </si>
  <si>
    <t>Fluorine</t>
  </si>
  <si>
    <r>
      <t>F</t>
    </r>
    <r>
      <rPr>
        <vertAlign val="superscript"/>
        <sz val="10"/>
        <color theme="1"/>
        <rFont val="Arial"/>
        <family val="2"/>
        <charset val="238"/>
      </rPr>
      <t>(ar)</t>
    </r>
  </si>
  <si>
    <t>&lt;0.5</t>
  </si>
  <si>
    <t>0.7</t>
  </si>
  <si>
    <t>0.3</t>
  </si>
  <si>
    <t>&lt;0.4</t>
  </si>
  <si>
    <t>0.01</t>
  </si>
  <si>
    <t>0.05</t>
  </si>
  <si>
    <t>0.1</t>
  </si>
  <si>
    <t>0.015</t>
  </si>
  <si>
    <t>0.02</t>
  </si>
  <si>
    <t>&lt;0.2</t>
  </si>
  <si>
    <t>0.002</t>
  </si>
  <si>
    <t>0.003</t>
  </si>
  <si>
    <t>0.6</t>
  </si>
  <si>
    <t>0.2</t>
  </si>
  <si>
    <t>0.9</t>
  </si>
  <si>
    <t>0.15</t>
  </si>
  <si>
    <t>0.25</t>
  </si>
  <si>
    <t>0.07</t>
  </si>
  <si>
    <t>0.005</t>
  </si>
  <si>
    <t>WOOD CHIPS</t>
  </si>
  <si>
    <r>
      <t>A</t>
    </r>
    <r>
      <rPr>
        <vertAlign val="superscript"/>
        <sz val="10"/>
        <color theme="1"/>
        <rFont val="Arial"/>
        <family val="2"/>
        <charset val="238"/>
      </rPr>
      <t>(ar)</t>
    </r>
  </si>
  <si>
    <r>
      <t>Q</t>
    </r>
    <r>
      <rPr>
        <vertAlign val="superscript"/>
        <sz val="10"/>
        <color theme="1"/>
        <rFont val="Arial"/>
        <family val="2"/>
        <charset val="238"/>
      </rPr>
      <t>(ar)</t>
    </r>
  </si>
  <si>
    <r>
      <t>ρ</t>
    </r>
    <r>
      <rPr>
        <vertAlign val="superscript"/>
        <sz val="10"/>
        <color theme="1"/>
        <rFont val="Arial"/>
        <family val="2"/>
        <charset val="238"/>
      </rPr>
      <t>(ar)</t>
    </r>
  </si>
  <si>
    <t>Al</t>
  </si>
  <si>
    <r>
      <t>mg/kg</t>
    </r>
    <r>
      <rPr>
        <vertAlign val="superscript"/>
        <sz val="10"/>
        <color theme="1"/>
        <rFont val="Arial"/>
        <family val="2"/>
        <charset val="238"/>
      </rPr>
      <t>(d)</t>
    </r>
  </si>
  <si>
    <t>Ca</t>
  </si>
  <si>
    <t>Fe</t>
  </si>
  <si>
    <t>Mg</t>
  </si>
  <si>
    <t>P</t>
  </si>
  <si>
    <t>Si</t>
  </si>
  <si>
    <t>Ti</t>
  </si>
  <si>
    <t>C</t>
  </si>
  <si>
    <r>
      <t>%</t>
    </r>
    <r>
      <rPr>
        <vertAlign val="superscript"/>
        <sz val="10"/>
        <color theme="1"/>
        <rFont val="Arial"/>
        <family val="2"/>
        <charset val="238"/>
      </rPr>
      <t>(d)</t>
    </r>
  </si>
  <si>
    <t>H</t>
  </si>
  <si>
    <t>N</t>
  </si>
  <si>
    <t>Cl</t>
  </si>
  <si>
    <t>S</t>
  </si>
  <si>
    <t>F</t>
  </si>
  <si>
    <t>0.007</t>
  </si>
  <si>
    <t>0.23</t>
  </si>
  <si>
    <t>0.13</t>
  </si>
  <si>
    <t>0.08</t>
  </si>
  <si>
    <t>0.03</t>
  </si>
  <si>
    <t>0.27</t>
  </si>
  <si>
    <r>
      <t>54% SiO</t>
    </r>
    <r>
      <rPr>
        <vertAlign val="subscript"/>
        <sz val="10"/>
        <color theme="1"/>
        <rFont val="Arial"/>
        <family val="2"/>
        <charset val="238"/>
      </rPr>
      <t>2</t>
    </r>
  </si>
  <si>
    <t>Sand consumption</t>
  </si>
  <si>
    <t>Rated power</t>
  </si>
  <si>
    <r>
      <t xml:space="preserve">CALCULATION OF OPERATING EXPENSES </t>
    </r>
    <r>
      <rPr>
        <b/>
        <vertAlign val="superscript"/>
        <sz val="10"/>
        <color theme="1"/>
        <rFont val="Arial"/>
        <family val="2"/>
        <charset val="238"/>
      </rPr>
      <t>a,b,c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</si>
</sst>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165" fontId="0" fillId="0" borderId="8" xfId="0" applyNumberFormat="1" applyFill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3" fontId="0" fillId="3" borderId="9" xfId="0" applyNumberFormat="1" applyFill="1" applyBorder="1"/>
    <xf numFmtId="3" fontId="0" fillId="3" borderId="8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2" fillId="2" borderId="0" xfId="0" applyFont="1" applyFill="1"/>
    <xf numFmtId="3" fontId="0" fillId="3" borderId="12" xfId="0" applyNumberFormat="1" applyFill="1" applyBorder="1"/>
    <xf numFmtId="3" fontId="0" fillId="3" borderId="7" xfId="0" applyNumberFormat="1" applyFill="1" applyBorder="1"/>
    <xf numFmtId="0" fontId="0" fillId="0" borderId="0" xfId="0" applyFont="1"/>
    <xf numFmtId="3" fontId="7" fillId="2" borderId="0" xfId="0" applyNumberFormat="1" applyFont="1" applyFill="1" applyBorder="1"/>
    <xf numFmtId="164" fontId="7" fillId="2" borderId="0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 applyAlignment="1"/>
    <xf numFmtId="0" fontId="9" fillId="2" borderId="0" xfId="0" applyFont="1" applyFill="1"/>
    <xf numFmtId="3" fontId="0" fillId="0" borderId="12" xfId="0" applyNumberFormat="1" applyFill="1" applyBorder="1"/>
    <xf numFmtId="165" fontId="0" fillId="0" borderId="14" xfId="0" applyNumberFormat="1" applyFill="1" applyBorder="1"/>
    <xf numFmtId="165" fontId="0" fillId="3" borderId="14" xfId="0" applyNumberFormat="1" applyFill="1" applyBorder="1"/>
    <xf numFmtId="3" fontId="0" fillId="0" borderId="13" xfId="0" applyNumberFormat="1" applyFill="1" applyBorder="1"/>
    <xf numFmtId="0" fontId="0" fillId="3" borderId="1" xfId="0" applyFill="1" applyBorder="1" applyAlignment="1">
      <alignment horizont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0" fillId="3" borderId="20" xfId="0" applyNumberFormat="1" applyFill="1" applyBorder="1"/>
    <xf numFmtId="3" fontId="0" fillId="3" borderId="17" xfId="0" applyNumberForma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/>
    <xf numFmtId="0" fontId="1" fillId="5" borderId="24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3" fontId="0" fillId="0" borderId="8" xfId="0" applyNumberFormat="1" applyFill="1" applyBorder="1"/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/>
    <xf numFmtId="164" fontId="0" fillId="4" borderId="8" xfId="0" applyNumberFormat="1" applyFill="1" applyBorder="1"/>
    <xf numFmtId="0" fontId="0" fillId="4" borderId="19" xfId="0" applyFill="1" applyBorder="1"/>
    <xf numFmtId="164" fontId="0" fillId="4" borderId="19" xfId="0" applyNumberFormat="1" applyFill="1" applyBorder="1"/>
    <xf numFmtId="0" fontId="0" fillId="4" borderId="8" xfId="0" applyFill="1" applyBorder="1" applyAlignment="1">
      <alignment horizontal="left" wrapText="1"/>
    </xf>
    <xf numFmtId="3" fontId="0" fillId="4" borderId="8" xfId="0" applyNumberFormat="1" applyFill="1" applyBorder="1"/>
    <xf numFmtId="0" fontId="0" fillId="5" borderId="19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165" fontId="0" fillId="0" borderId="19" xfId="0" applyNumberFormat="1" applyFill="1" applyBorder="1"/>
    <xf numFmtId="0" fontId="0" fillId="4" borderId="19" xfId="0" applyFill="1" applyBorder="1" applyAlignment="1">
      <alignment horizontal="left" wrapText="1"/>
    </xf>
    <xf numFmtId="3" fontId="0" fillId="4" borderId="19" xfId="0" applyNumberFormat="1" applyFill="1" applyBorder="1"/>
    <xf numFmtId="0" fontId="0" fillId="2" borderId="0" xfId="0" applyFill="1" applyAlignment="1">
      <alignment vertical="center"/>
    </xf>
    <xf numFmtId="0" fontId="0" fillId="4" borderId="8" xfId="0" applyFill="1" applyBorder="1" applyAlignment="1">
      <alignment horizontal="left" vertical="center" wrapText="1"/>
    </xf>
    <xf numFmtId="3" fontId="0" fillId="4" borderId="8" xfId="0" applyNumberForma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3" fontId="0" fillId="3" borderId="8" xfId="0" applyNumberFormat="1" applyFill="1" applyBorder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/>
    <xf numFmtId="0" fontId="0" fillId="0" borderId="8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/>
    </xf>
    <xf numFmtId="0" fontId="0" fillId="0" borderId="8" xfId="0" applyNumberForma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/>
    <xf numFmtId="0" fontId="4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5" borderId="24" xfId="0" applyNumberFormat="1" applyFont="1" applyFill="1" applyBorder="1" applyAlignment="1">
      <alignment horizontal="center" vertical="center" wrapText="1"/>
    </xf>
    <xf numFmtId="0" fontId="1" fillId="5" borderId="24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1" fillId="5" borderId="8" xfId="0" applyNumberFormat="1" applyFont="1" applyFill="1" applyBorder="1" applyAlignment="1">
      <alignment horizontal="center"/>
    </xf>
    <xf numFmtId="0" fontId="1" fillId="5" borderId="24" xfId="0" applyNumberFormat="1" applyFont="1" applyFill="1" applyBorder="1" applyAlignment="1">
      <alignment horizontal="center"/>
    </xf>
    <xf numFmtId="0" fontId="0" fillId="0" borderId="19" xfId="0" applyNumberFormat="1" applyBorder="1"/>
    <xf numFmtId="0" fontId="0" fillId="0" borderId="19" xfId="0" applyNumberFormat="1" applyBorder="1" applyAlignment="1">
      <alignment horizontal="center"/>
    </xf>
    <xf numFmtId="0" fontId="0" fillId="0" borderId="8" xfId="0" applyNumberFormat="1" applyBorder="1"/>
    <xf numFmtId="165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/>
    </xf>
    <xf numFmtId="16" fontId="0" fillId="0" borderId="8" xfId="0" applyNumberFormat="1" applyFon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center"/>
    </xf>
    <xf numFmtId="0" fontId="4" fillId="5" borderId="8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0" fillId="0" borderId="19" xfId="0" applyNumberFormat="1" applyFont="1" applyBorder="1" applyAlignment="1">
      <alignment horizontal="left" vertical="center"/>
    </xf>
    <xf numFmtId="0" fontId="0" fillId="0" borderId="8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1" fillId="5" borderId="8" xfId="0" applyNumberFormat="1" applyFont="1" applyFill="1" applyBorder="1" applyAlignment="1">
      <alignment horizontal="center" vertical="center"/>
    </xf>
    <xf numFmtId="0" fontId="1" fillId="5" borderId="24" xfId="0" applyNumberFormat="1" applyFont="1" applyFill="1" applyBorder="1" applyAlignment="1">
      <alignment horizontal="center" vertical="center"/>
    </xf>
    <xf numFmtId="0" fontId="1" fillId="5" borderId="8" xfId="0" applyNumberFormat="1" applyFont="1" applyFill="1" applyBorder="1" applyAlignment="1">
      <alignment horizontal="center" vertical="center" wrapText="1"/>
    </xf>
    <xf numFmtId="0" fontId="1" fillId="5" borderId="24" xfId="0" applyNumberFormat="1" applyFont="1" applyFill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center"/>
    </xf>
    <xf numFmtId="0" fontId="11" fillId="5" borderId="24" xfId="0" applyNumberFormat="1" applyFont="1" applyFill="1" applyBorder="1" applyAlignment="1">
      <alignment horizontal="center" vertical="center"/>
    </xf>
    <xf numFmtId="0" fontId="0" fillId="0" borderId="14" xfId="0" applyNumberFormat="1" applyFont="1" applyBorder="1" applyAlignment="1">
      <alignment horizontal="left" vertical="center"/>
    </xf>
    <xf numFmtId="0" fontId="0" fillId="0" borderId="3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730-3C80-440D-9C3A-56E4770B286A}">
  <dimension ref="A2:R24"/>
  <sheetViews>
    <sheetView showGridLines="0" tabSelected="1" workbookViewId="0">
      <selection activeCell="H26" sqref="H26"/>
    </sheetView>
  </sheetViews>
  <sheetFormatPr defaultColWidth="9.140625" defaultRowHeight="12.75" x14ac:dyDescent="0.2"/>
  <cols>
    <col min="1" max="1" width="2.85546875" style="1" customWidth="1"/>
    <col min="2" max="2" width="25.7109375" style="1" customWidth="1"/>
    <col min="3" max="3" width="19.140625" style="2" customWidth="1"/>
    <col min="4" max="4" width="11.140625" style="1" customWidth="1"/>
    <col min="5" max="6" width="9.140625" style="1"/>
    <col min="7" max="7" width="11.85546875" style="1" customWidth="1"/>
    <col min="8" max="8" width="11.42578125" style="1" customWidth="1"/>
    <col min="9" max="9" width="11.7109375" style="1" customWidth="1"/>
    <col min="10" max="10" width="3.5703125" style="1" customWidth="1"/>
    <col min="11" max="11" width="14.7109375" style="1" customWidth="1"/>
    <col min="12" max="12" width="4.7109375" style="1" customWidth="1"/>
    <col min="13" max="13" width="10.42578125" style="3" bestFit="1" customWidth="1"/>
    <col min="14" max="14" width="10.28515625" style="1" bestFit="1" customWidth="1"/>
    <col min="15" max="15" width="17.7109375" style="1" bestFit="1" customWidth="1"/>
    <col min="16" max="16384" width="9.140625" style="1"/>
  </cols>
  <sheetData>
    <row r="2" spans="2:18" ht="20.25" x14ac:dyDescent="0.3">
      <c r="B2" s="110" t="s">
        <v>100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2:18" ht="20.25" x14ac:dyDescent="0.3">
      <c r="B3" s="41"/>
      <c r="C3" s="41"/>
      <c r="D3" s="41"/>
      <c r="E3" s="41"/>
      <c r="F3" s="41"/>
      <c r="G3" s="41"/>
      <c r="H3" s="41"/>
      <c r="I3" s="41"/>
      <c r="J3" s="41"/>
    </row>
    <row r="4" spans="2:18" ht="14.25" x14ac:dyDescent="0.2">
      <c r="B4" s="108" t="s">
        <v>199</v>
      </c>
      <c r="C4" s="108"/>
      <c r="D4" s="108" t="s">
        <v>96</v>
      </c>
      <c r="E4" s="108"/>
      <c r="F4" s="108"/>
      <c r="G4" s="108" t="s">
        <v>95</v>
      </c>
      <c r="H4" s="108"/>
      <c r="I4" s="108"/>
      <c r="K4" s="114" t="s">
        <v>93</v>
      </c>
      <c r="L4" s="114"/>
      <c r="M4" s="114"/>
      <c r="N4" s="24"/>
      <c r="O4" s="111" t="s">
        <v>73</v>
      </c>
      <c r="P4" s="111"/>
      <c r="Q4" s="111"/>
    </row>
    <row r="5" spans="2:18" s="2" customFormat="1" ht="13.5" thickBot="1" x14ac:dyDescent="0.25">
      <c r="B5" s="46" t="s">
        <v>97</v>
      </c>
      <c r="C5" s="46" t="s">
        <v>98</v>
      </c>
      <c r="D5" s="46" t="s">
        <v>2</v>
      </c>
      <c r="E5" s="46" t="s">
        <v>3</v>
      </c>
      <c r="F5" s="46" t="s">
        <v>4</v>
      </c>
      <c r="G5" s="46" t="s">
        <v>2</v>
      </c>
      <c r="H5" s="46" t="s">
        <v>3</v>
      </c>
      <c r="I5" s="46" t="s">
        <v>4</v>
      </c>
      <c r="K5" s="113"/>
      <c r="L5" s="113"/>
      <c r="M5" s="113"/>
      <c r="N5" s="111" t="s">
        <v>24</v>
      </c>
      <c r="O5" s="111"/>
      <c r="P5" s="111"/>
    </row>
    <row r="6" spans="2:18" ht="15" thickTop="1" x14ac:dyDescent="0.2">
      <c r="B6" s="57" t="s">
        <v>198</v>
      </c>
      <c r="C6" s="58" t="s">
        <v>1</v>
      </c>
      <c r="D6" s="59"/>
      <c r="E6" s="59"/>
      <c r="F6" s="59"/>
      <c r="G6" s="47" t="s">
        <v>81</v>
      </c>
      <c r="H6" s="47" t="s">
        <v>81</v>
      </c>
      <c r="I6" s="47" t="s">
        <v>81</v>
      </c>
      <c r="K6" s="60" t="s">
        <v>84</v>
      </c>
      <c r="L6" s="61">
        <v>88</v>
      </c>
      <c r="M6" s="53" t="s">
        <v>74</v>
      </c>
      <c r="N6" s="23" t="s">
        <v>17</v>
      </c>
      <c r="O6" s="21">
        <v>2300</v>
      </c>
      <c r="P6" s="23" t="s">
        <v>76</v>
      </c>
    </row>
    <row r="7" spans="2:18" ht="14.25" x14ac:dyDescent="0.2">
      <c r="B7" s="49" t="s">
        <v>110</v>
      </c>
      <c r="C7" s="50" t="s">
        <v>1</v>
      </c>
      <c r="D7" s="11">
        <f>D8*$L$18/3.6</f>
        <v>0</v>
      </c>
      <c r="E7" s="11">
        <f>(E8*$L$18/3.6)+(E9*$L$19/3.6)</f>
        <v>29.708333333333332</v>
      </c>
      <c r="F7" s="11">
        <f>(F8*$L$18/3.6)+(F9*$L$19/3.6)</f>
        <v>29.708333333333332</v>
      </c>
      <c r="G7" s="47" t="s">
        <v>81</v>
      </c>
      <c r="H7" s="47" t="s">
        <v>81</v>
      </c>
      <c r="I7" s="47" t="s">
        <v>81</v>
      </c>
      <c r="K7" s="55" t="s">
        <v>86</v>
      </c>
      <c r="L7" s="56">
        <v>146</v>
      </c>
      <c r="M7" s="51" t="s">
        <v>74</v>
      </c>
      <c r="N7" s="23" t="s">
        <v>18</v>
      </c>
      <c r="O7" s="21">
        <v>3800</v>
      </c>
      <c r="P7" s="23" t="s">
        <v>76</v>
      </c>
      <c r="R7" s="25">
        <v>26</v>
      </c>
    </row>
    <row r="8" spans="2:18" ht="14.25" x14ac:dyDescent="0.2">
      <c r="B8" s="49" t="s">
        <v>109</v>
      </c>
      <c r="C8" s="50" t="s">
        <v>7</v>
      </c>
      <c r="D8" s="69"/>
      <c r="E8" s="69"/>
      <c r="F8" s="69"/>
      <c r="G8" s="70">
        <f>D8*$L$6</f>
        <v>0</v>
      </c>
      <c r="H8" s="70">
        <f>E8*$L$6</f>
        <v>0</v>
      </c>
      <c r="I8" s="70">
        <f>F8*$L$6</f>
        <v>0</v>
      </c>
      <c r="K8" s="55" t="s">
        <v>85</v>
      </c>
      <c r="L8" s="68">
        <v>0.1</v>
      </c>
      <c r="M8" s="65" t="s">
        <v>75</v>
      </c>
      <c r="N8" s="23" t="s">
        <v>19</v>
      </c>
      <c r="O8" s="22">
        <v>2.5</v>
      </c>
      <c r="P8" s="23" t="s">
        <v>77</v>
      </c>
    </row>
    <row r="9" spans="2:18" ht="14.25" x14ac:dyDescent="0.2">
      <c r="B9" s="49" t="s">
        <v>108</v>
      </c>
      <c r="C9" s="50" t="s">
        <v>7</v>
      </c>
      <c r="D9" s="47" t="s">
        <v>81</v>
      </c>
      <c r="E9" s="11">
        <v>6.9</v>
      </c>
      <c r="F9" s="11">
        <v>6.9</v>
      </c>
      <c r="G9" s="47" t="s">
        <v>81</v>
      </c>
      <c r="H9" s="14">
        <f>E9*$L$7</f>
        <v>1007.4000000000001</v>
      </c>
      <c r="I9" s="14">
        <f>F9*$L$7</f>
        <v>1007.4000000000001</v>
      </c>
      <c r="K9" s="55" t="s">
        <v>87</v>
      </c>
      <c r="L9" s="56">
        <v>46</v>
      </c>
      <c r="M9" s="51" t="s">
        <v>74</v>
      </c>
      <c r="N9" s="23" t="s">
        <v>20</v>
      </c>
      <c r="O9" s="21">
        <v>1200</v>
      </c>
      <c r="P9" s="23" t="s">
        <v>76</v>
      </c>
    </row>
    <row r="10" spans="2:18" s="62" customFormat="1" ht="25.5" x14ac:dyDescent="0.2">
      <c r="B10" s="49" t="s">
        <v>107</v>
      </c>
      <c r="C10" s="50" t="s">
        <v>27</v>
      </c>
      <c r="D10" s="10"/>
      <c r="E10" s="10"/>
      <c r="F10" s="10"/>
      <c r="G10" s="14">
        <f>(D10/1000)*$L$12</f>
        <v>0</v>
      </c>
      <c r="H10" s="14">
        <f>(E10/1000)*$L$12</f>
        <v>0</v>
      </c>
      <c r="I10" s="14">
        <f>(F10/1000)*$L$12</f>
        <v>0</v>
      </c>
      <c r="K10" s="63" t="s">
        <v>88</v>
      </c>
      <c r="L10" s="64">
        <v>315</v>
      </c>
      <c r="M10" s="65" t="s">
        <v>74</v>
      </c>
      <c r="N10" s="66" t="s">
        <v>25</v>
      </c>
      <c r="O10" s="67">
        <v>8200</v>
      </c>
      <c r="P10" s="66" t="s">
        <v>76</v>
      </c>
    </row>
    <row r="11" spans="2:18" ht="25.5" x14ac:dyDescent="0.2">
      <c r="B11" s="49" t="s">
        <v>106</v>
      </c>
      <c r="C11" s="50" t="s">
        <v>27</v>
      </c>
      <c r="D11" s="10"/>
      <c r="E11" s="10"/>
      <c r="F11" s="10"/>
      <c r="G11" s="14">
        <f>(D11/1000)*$L$14</f>
        <v>0</v>
      </c>
      <c r="H11" s="14">
        <f>(E11/1000)*$L$14</f>
        <v>0</v>
      </c>
      <c r="I11" s="14">
        <f>(F11/1000)*$L$14</f>
        <v>0</v>
      </c>
      <c r="K11" s="55" t="s">
        <v>89</v>
      </c>
      <c r="L11" s="56">
        <v>520</v>
      </c>
      <c r="M11" s="51" t="s">
        <v>74</v>
      </c>
      <c r="N11" s="23" t="s">
        <v>21</v>
      </c>
      <c r="O11" s="21">
        <v>13500</v>
      </c>
      <c r="P11" s="23" t="s">
        <v>76</v>
      </c>
    </row>
    <row r="12" spans="2:18" ht="25.5" x14ac:dyDescent="0.2">
      <c r="B12" s="49" t="s">
        <v>105</v>
      </c>
      <c r="C12" s="50" t="s">
        <v>27</v>
      </c>
      <c r="D12" s="69"/>
      <c r="E12" s="69"/>
      <c r="F12" s="69"/>
      <c r="G12" s="70">
        <f>(D12/1000)*$L$13</f>
        <v>0</v>
      </c>
      <c r="H12" s="70">
        <f>(E12/1000)*$L$13</f>
        <v>0</v>
      </c>
      <c r="I12" s="70">
        <f>(F12/1000)*$L$13</f>
        <v>0</v>
      </c>
      <c r="K12" s="55" t="s">
        <v>90</v>
      </c>
      <c r="L12" s="56">
        <v>343</v>
      </c>
      <c r="M12" s="51" t="s">
        <v>74</v>
      </c>
      <c r="N12" s="23" t="s">
        <v>22</v>
      </c>
      <c r="O12" s="21">
        <v>8920</v>
      </c>
      <c r="P12" s="23" t="s">
        <v>76</v>
      </c>
    </row>
    <row r="13" spans="2:18" ht="38.25" x14ac:dyDescent="0.2">
      <c r="B13" s="49" t="s">
        <v>104</v>
      </c>
      <c r="C13" s="50" t="s">
        <v>27</v>
      </c>
      <c r="D13" s="10"/>
      <c r="E13" s="10"/>
      <c r="F13" s="10"/>
      <c r="G13" s="14">
        <f>(D13/1000)*$L$9</f>
        <v>0</v>
      </c>
      <c r="H13" s="14">
        <f>(E13/1000)*$L$9</f>
        <v>0</v>
      </c>
      <c r="I13" s="14">
        <f>(F13/1000)*$L$9</f>
        <v>0</v>
      </c>
      <c r="K13" s="55" t="s">
        <v>91</v>
      </c>
      <c r="L13" s="64">
        <v>215</v>
      </c>
      <c r="M13" s="65" t="s">
        <v>74</v>
      </c>
      <c r="N13" s="23" t="s">
        <v>33</v>
      </c>
      <c r="O13" s="21">
        <v>5600</v>
      </c>
      <c r="P13" s="23" t="s">
        <v>76</v>
      </c>
    </row>
    <row r="14" spans="2:18" ht="25.5" x14ac:dyDescent="0.2">
      <c r="B14" s="49" t="s">
        <v>197</v>
      </c>
      <c r="C14" s="50" t="s">
        <v>27</v>
      </c>
      <c r="D14" s="10"/>
      <c r="E14" s="10"/>
      <c r="F14" s="10"/>
      <c r="G14" s="14">
        <f>(D14/1000)*$L$15</f>
        <v>0</v>
      </c>
      <c r="H14" s="14">
        <f t="shared" ref="H14:I14" si="0">(E14/1000)*$L$15</f>
        <v>0</v>
      </c>
      <c r="I14" s="14">
        <f t="shared" si="0"/>
        <v>0</v>
      </c>
      <c r="K14" s="55" t="s">
        <v>92</v>
      </c>
      <c r="L14" s="56">
        <v>334</v>
      </c>
      <c r="M14" s="51" t="s">
        <v>74</v>
      </c>
      <c r="N14" s="23" t="s">
        <v>23</v>
      </c>
      <c r="O14" s="21">
        <v>8670</v>
      </c>
      <c r="P14" s="23" t="s">
        <v>76</v>
      </c>
    </row>
    <row r="15" spans="2:18" ht="25.5" x14ac:dyDescent="0.2">
      <c r="B15" s="49" t="s">
        <v>103</v>
      </c>
      <c r="C15" s="50" t="s">
        <v>27</v>
      </c>
      <c r="D15" s="69"/>
      <c r="E15" s="69"/>
      <c r="F15" s="69"/>
      <c r="G15" s="70">
        <f>(D15/1000)*$L$11</f>
        <v>0</v>
      </c>
      <c r="H15" s="70">
        <f>(E15/1000)*$L$11</f>
        <v>0</v>
      </c>
      <c r="I15" s="70">
        <f>(F15/1000)*$L$11</f>
        <v>0</v>
      </c>
      <c r="K15" s="55" t="s">
        <v>140</v>
      </c>
      <c r="L15" s="56">
        <v>13</v>
      </c>
      <c r="M15" s="51" t="s">
        <v>74</v>
      </c>
      <c r="N15" s="23"/>
      <c r="O15" s="21"/>
      <c r="P15" s="23"/>
    </row>
    <row r="16" spans="2:18" ht="25.5" x14ac:dyDescent="0.2">
      <c r="B16" s="49" t="s">
        <v>102</v>
      </c>
      <c r="C16" s="50" t="s">
        <v>27</v>
      </c>
      <c r="D16" s="69"/>
      <c r="E16" s="69"/>
      <c r="F16" s="69"/>
      <c r="G16" s="70">
        <f>(D16/1000)*$L$10</f>
        <v>0</v>
      </c>
      <c r="H16" s="70">
        <f>(E16/1000)*$L$10</f>
        <v>0</v>
      </c>
      <c r="I16" s="70">
        <f>(F16/1000)*$L$10</f>
        <v>0</v>
      </c>
      <c r="L16" s="3"/>
      <c r="M16" s="1"/>
      <c r="N16" s="23"/>
      <c r="O16" s="23"/>
      <c r="P16" s="23"/>
    </row>
    <row r="17" spans="1:13" ht="15" thickBot="1" x14ac:dyDescent="0.25">
      <c r="B17" s="49" t="s">
        <v>101</v>
      </c>
      <c r="C17" s="50" t="s">
        <v>16</v>
      </c>
      <c r="D17" s="48"/>
      <c r="E17" s="107" t="str">
        <f>"-"</f>
        <v>-</v>
      </c>
      <c r="F17" s="107" t="str">
        <f>"-"</f>
        <v>-</v>
      </c>
      <c r="G17" s="14">
        <f>D17*$L$8</f>
        <v>0</v>
      </c>
      <c r="H17" s="107" t="str">
        <f>"-"</f>
        <v>-</v>
      </c>
      <c r="I17" s="107" t="str">
        <f>"-"</f>
        <v>-</v>
      </c>
      <c r="K17" s="113" t="s">
        <v>99</v>
      </c>
      <c r="L17" s="113"/>
      <c r="M17" s="113"/>
    </row>
    <row r="18" spans="1:13" ht="15" thickTop="1" x14ac:dyDescent="0.2">
      <c r="E18" s="109" t="s">
        <v>138</v>
      </c>
      <c r="F18" s="109"/>
      <c r="G18" s="14">
        <f>SUM(G8:G17)</f>
        <v>0</v>
      </c>
      <c r="H18" s="14">
        <f>SUM(H8:H16)</f>
        <v>1007.4000000000001</v>
      </c>
      <c r="I18" s="14">
        <f>SUM(I8:I16)</f>
        <v>1007.4000000000001</v>
      </c>
      <c r="K18" s="53" t="s">
        <v>84</v>
      </c>
      <c r="L18" s="54">
        <v>10</v>
      </c>
      <c r="M18" s="53" t="s">
        <v>26</v>
      </c>
    </row>
    <row r="19" spans="1:13" ht="15" customHeight="1" x14ac:dyDescent="0.2">
      <c r="E19" s="109"/>
      <c r="F19" s="109"/>
      <c r="G19" s="112">
        <f>G18+H18+I18</f>
        <v>2014.8000000000002</v>
      </c>
      <c r="H19" s="112"/>
      <c r="I19" s="112"/>
      <c r="K19" s="51" t="s">
        <v>94</v>
      </c>
      <c r="L19" s="52">
        <v>15.5</v>
      </c>
      <c r="M19" s="51" t="s">
        <v>26</v>
      </c>
    </row>
    <row r="20" spans="1:13" x14ac:dyDescent="0.2">
      <c r="B20" s="1" t="s">
        <v>83</v>
      </c>
      <c r="L20" s="3"/>
      <c r="M20" s="1"/>
    </row>
    <row r="21" spans="1:13" ht="14.25" x14ac:dyDescent="0.2">
      <c r="A21" s="17" t="s">
        <v>29</v>
      </c>
      <c r="B21" s="1" t="s">
        <v>139</v>
      </c>
    </row>
    <row r="22" spans="1:13" ht="14.25" x14ac:dyDescent="0.2">
      <c r="A22" s="17" t="s">
        <v>30</v>
      </c>
      <c r="B22" s="1" t="s">
        <v>82</v>
      </c>
    </row>
    <row r="23" spans="1:13" ht="14.25" x14ac:dyDescent="0.2">
      <c r="A23" s="17" t="s">
        <v>34</v>
      </c>
      <c r="B23" s="1" t="s">
        <v>137</v>
      </c>
      <c r="C23"/>
      <c r="D23"/>
      <c r="E23"/>
      <c r="F23"/>
      <c r="G23"/>
    </row>
    <row r="24" spans="1:13" x14ac:dyDescent="0.2">
      <c r="B24"/>
      <c r="C24"/>
      <c r="D24"/>
      <c r="E24"/>
      <c r="F24"/>
      <c r="G24"/>
    </row>
  </sheetData>
  <mergeCells count="10">
    <mergeCell ref="D4:F4"/>
    <mergeCell ref="B4:C4"/>
    <mergeCell ref="E18:F19"/>
    <mergeCell ref="B2:M2"/>
    <mergeCell ref="N5:P5"/>
    <mergeCell ref="O4:Q4"/>
    <mergeCell ref="G19:I19"/>
    <mergeCell ref="K17:M17"/>
    <mergeCell ref="K4:M5"/>
    <mergeCell ref="G4:I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451-26FC-4776-BF76-7C847820E2BE}">
  <dimension ref="A1:H15"/>
  <sheetViews>
    <sheetView workbookViewId="0">
      <selection sqref="A1:H15"/>
    </sheetView>
  </sheetViews>
  <sheetFormatPr defaultRowHeight="12.75" x14ac:dyDescent="0.2"/>
  <sheetData>
    <row r="1" spans="1:8" ht="14.25" x14ac:dyDescent="0.2">
      <c r="A1" s="115" t="s">
        <v>28</v>
      </c>
      <c r="B1" s="116"/>
      <c r="C1" s="4" t="s">
        <v>2</v>
      </c>
      <c r="D1" s="4" t="s">
        <v>3</v>
      </c>
      <c r="E1" s="4" t="s">
        <v>4</v>
      </c>
      <c r="F1" s="30" t="s">
        <v>2</v>
      </c>
      <c r="G1" s="4" t="s">
        <v>3</v>
      </c>
      <c r="H1" s="5" t="s">
        <v>4</v>
      </c>
    </row>
    <row r="2" spans="1:8" x14ac:dyDescent="0.2">
      <c r="A2" s="6" t="s">
        <v>0</v>
      </c>
      <c r="B2" s="7" t="s">
        <v>1</v>
      </c>
      <c r="C2" s="10">
        <v>56.7</v>
      </c>
      <c r="D2" s="10">
        <v>70.900000000000006</v>
      </c>
      <c r="E2" s="27">
        <v>70.900000000000006</v>
      </c>
      <c r="F2" s="31"/>
      <c r="G2" s="13"/>
      <c r="H2" s="15"/>
    </row>
    <row r="3" spans="1:8" x14ac:dyDescent="0.2">
      <c r="A3" s="6" t="s">
        <v>5</v>
      </c>
      <c r="B3" s="7" t="s">
        <v>1</v>
      </c>
      <c r="C3" s="11">
        <f>C4*$L$17/3.6</f>
        <v>0</v>
      </c>
      <c r="D3" s="11">
        <f>(D4*$L$17/3.6)+(D5*$L$18/3.6)</f>
        <v>0</v>
      </c>
      <c r="E3" s="28">
        <f>(E4*$L$17/3.6)+(E5*$L$18/3.6)</f>
        <v>0</v>
      </c>
      <c r="F3" s="31"/>
      <c r="G3" s="13"/>
      <c r="H3" s="15"/>
    </row>
    <row r="4" spans="1:8" ht="14.25" x14ac:dyDescent="0.2">
      <c r="A4" s="6" t="s">
        <v>6</v>
      </c>
      <c r="B4" s="7" t="s">
        <v>7</v>
      </c>
      <c r="C4" s="10">
        <v>22.4</v>
      </c>
      <c r="D4" s="10">
        <v>17.2</v>
      </c>
      <c r="E4" s="27">
        <v>17.2</v>
      </c>
      <c r="F4" s="32">
        <f>C4*$L$6</f>
        <v>0</v>
      </c>
      <c r="G4" s="14">
        <f>D4*$L$6</f>
        <v>0</v>
      </c>
      <c r="H4" s="16">
        <f>E4*$L$6</f>
        <v>0</v>
      </c>
    </row>
    <row r="5" spans="1:8" ht="14.25" x14ac:dyDescent="0.2">
      <c r="A5" s="6" t="s">
        <v>8</v>
      </c>
      <c r="B5" s="7" t="s">
        <v>7</v>
      </c>
      <c r="C5" s="12"/>
      <c r="D5" s="11">
        <v>6.9</v>
      </c>
      <c r="E5" s="28">
        <v>6.9</v>
      </c>
      <c r="F5" s="31"/>
      <c r="G5" s="14">
        <f>D5*$L$7</f>
        <v>0</v>
      </c>
      <c r="H5" s="16">
        <f>E5*$L$7</f>
        <v>0</v>
      </c>
    </row>
    <row r="6" spans="1:8" x14ac:dyDescent="0.2">
      <c r="A6" s="6" t="s">
        <v>9</v>
      </c>
      <c r="B6" s="7" t="s">
        <v>10</v>
      </c>
      <c r="C6" s="11" t="e">
        <f>(C2/C3)*100</f>
        <v>#DIV/0!</v>
      </c>
      <c r="D6" s="11" t="e">
        <f>(D2/D3)*100</f>
        <v>#DIV/0!</v>
      </c>
      <c r="E6" s="28" t="e">
        <f>(E2/E3)*100</f>
        <v>#DIV/0!</v>
      </c>
      <c r="F6" s="31"/>
      <c r="G6" s="13"/>
      <c r="H6" s="15"/>
    </row>
    <row r="7" spans="1:8" ht="14.25" x14ac:dyDescent="0.2">
      <c r="A7" s="6" t="s">
        <v>11</v>
      </c>
      <c r="B7" s="7" t="s">
        <v>27</v>
      </c>
      <c r="C7" s="10">
        <v>1.6</v>
      </c>
      <c r="D7" s="10">
        <v>0</v>
      </c>
      <c r="E7" s="27">
        <v>2.1</v>
      </c>
      <c r="F7" s="32">
        <f>(C7/1000)*$L$12</f>
        <v>0</v>
      </c>
      <c r="G7" s="14">
        <f>(D7/1000)*$L$12</f>
        <v>0</v>
      </c>
      <c r="H7" s="16">
        <f>(E7/1000)*$L$12</f>
        <v>0</v>
      </c>
    </row>
    <row r="8" spans="1:8" ht="14.25" x14ac:dyDescent="0.2">
      <c r="A8" s="6" t="s">
        <v>12</v>
      </c>
      <c r="B8" s="7" t="s">
        <v>27</v>
      </c>
      <c r="C8" s="10">
        <v>0</v>
      </c>
      <c r="D8" s="10">
        <v>0.8</v>
      </c>
      <c r="E8" s="27">
        <v>0</v>
      </c>
      <c r="F8" s="32">
        <f>(C8/1000)*$L$14</f>
        <v>0</v>
      </c>
      <c r="G8" s="14">
        <f>(D8/1000)*$L$14</f>
        <v>0</v>
      </c>
      <c r="H8" s="16">
        <f>(E8/1000)*$L$14</f>
        <v>0</v>
      </c>
    </row>
    <row r="9" spans="1:8" ht="14.25" x14ac:dyDescent="0.2">
      <c r="A9" s="6" t="s">
        <v>32</v>
      </c>
      <c r="B9" s="7" t="s">
        <v>27</v>
      </c>
      <c r="C9" s="10">
        <v>0</v>
      </c>
      <c r="D9" s="10">
        <v>0</v>
      </c>
      <c r="E9" s="27">
        <v>0</v>
      </c>
      <c r="F9" s="32">
        <f>(C9/1000)*$L$13</f>
        <v>0</v>
      </c>
      <c r="G9" s="14">
        <f>(D9/1000)*$L$13</f>
        <v>0</v>
      </c>
      <c r="H9" s="16">
        <f>(E9/1000)*$L$13</f>
        <v>0</v>
      </c>
    </row>
    <row r="10" spans="1:8" ht="14.25" x14ac:dyDescent="0.2">
      <c r="A10" s="6" t="s">
        <v>13</v>
      </c>
      <c r="B10" s="7" t="s">
        <v>27</v>
      </c>
      <c r="C10" s="10">
        <v>0</v>
      </c>
      <c r="D10" s="10">
        <v>0</v>
      </c>
      <c r="E10" s="27">
        <v>0</v>
      </c>
      <c r="F10" s="32">
        <f>(C10/1000)*$L$9</f>
        <v>0</v>
      </c>
      <c r="G10" s="14">
        <f>(D10/1000)*$L$9</f>
        <v>0</v>
      </c>
      <c r="H10" s="16">
        <f>(E10/1000)*$L$9</f>
        <v>0</v>
      </c>
    </row>
    <row r="11" spans="1:8" ht="14.25" x14ac:dyDescent="0.2">
      <c r="A11" s="6" t="s">
        <v>14</v>
      </c>
      <c r="B11" s="7" t="s">
        <v>27</v>
      </c>
      <c r="C11" s="10">
        <v>7.5</v>
      </c>
      <c r="D11" s="10">
        <v>0</v>
      </c>
      <c r="E11" s="27">
        <v>0</v>
      </c>
      <c r="F11" s="32">
        <f>(C11/1000)*$L$11</f>
        <v>0</v>
      </c>
      <c r="G11" s="14">
        <f>(D11/1000)*$L$11</f>
        <v>0</v>
      </c>
      <c r="H11" s="16">
        <f>(E11/1000)*$L$11</f>
        <v>0</v>
      </c>
    </row>
    <row r="12" spans="1:8" ht="14.25" x14ac:dyDescent="0.2">
      <c r="A12" s="6" t="s">
        <v>15</v>
      </c>
      <c r="B12" s="7" t="s">
        <v>27</v>
      </c>
      <c r="C12" s="10">
        <v>0</v>
      </c>
      <c r="D12" s="10">
        <v>11</v>
      </c>
      <c r="E12" s="27">
        <v>11</v>
      </c>
      <c r="F12" s="32">
        <f>(C12/1000)*$L$10</f>
        <v>0</v>
      </c>
      <c r="G12" s="14">
        <f>(D12/1000)*$L$10</f>
        <v>0</v>
      </c>
      <c r="H12" s="16">
        <f>(E12/1000)*$L$10</f>
        <v>0</v>
      </c>
    </row>
    <row r="13" spans="1:8" ht="15" thickBot="1" x14ac:dyDescent="0.25">
      <c r="A13" s="8" t="s">
        <v>31</v>
      </c>
      <c r="B13" s="9" t="s">
        <v>16</v>
      </c>
      <c r="C13" s="26">
        <v>990</v>
      </c>
      <c r="D13" s="26">
        <v>1150</v>
      </c>
      <c r="E13" s="29">
        <v>1150</v>
      </c>
      <c r="F13" s="36">
        <f>C13*$L$8</f>
        <v>0</v>
      </c>
      <c r="G13" s="18">
        <f>D13*$L$8</f>
        <v>0</v>
      </c>
      <c r="H13" s="19">
        <f>E13*$L$8</f>
        <v>0</v>
      </c>
    </row>
    <row r="14" spans="1:8" x14ac:dyDescent="0.2">
      <c r="A14" s="1"/>
      <c r="B14" s="2"/>
      <c r="C14" s="1"/>
      <c r="D14" s="1"/>
      <c r="E14" s="117" t="s">
        <v>78</v>
      </c>
      <c r="F14" s="33">
        <f>SUM(F4:F13)</f>
        <v>0</v>
      </c>
      <c r="G14" s="34">
        <f t="shared" ref="G14:H14" si="0">SUM(G4:G13)</f>
        <v>0</v>
      </c>
      <c r="H14" s="35">
        <f t="shared" si="0"/>
        <v>0</v>
      </c>
    </row>
    <row r="15" spans="1:8" ht="13.5" thickBot="1" x14ac:dyDescent="0.25">
      <c r="A15" s="1"/>
      <c r="B15" s="2"/>
      <c r="C15" s="1"/>
      <c r="D15" s="1"/>
      <c r="E15" s="118"/>
      <c r="F15" s="119">
        <f>F14+G14+H14</f>
        <v>0</v>
      </c>
      <c r="G15" s="120"/>
      <c r="H15" s="121"/>
    </row>
  </sheetData>
  <mergeCells count="3">
    <mergeCell ref="A1:B1"/>
    <mergeCell ref="E14:E15"/>
    <mergeCell ref="F15:H1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3F30-C33C-4943-B03D-10E8B48E4C0D}">
  <dimension ref="A2:S49"/>
  <sheetViews>
    <sheetView topLeftCell="A9" workbookViewId="0">
      <selection activeCell="F42" sqref="F42"/>
    </sheetView>
  </sheetViews>
  <sheetFormatPr defaultRowHeight="12.75" x14ac:dyDescent="0.2"/>
  <cols>
    <col min="1" max="2" width="9.85546875" customWidth="1"/>
    <col min="3" max="3" width="20.7109375" customWidth="1"/>
    <col min="4" max="4" width="13.5703125" bestFit="1" customWidth="1"/>
    <col min="5" max="5" width="14" bestFit="1" customWidth="1"/>
    <col min="6" max="6" width="9" bestFit="1" customWidth="1"/>
    <col min="7" max="7" width="24.5703125" customWidth="1"/>
    <col min="8" max="8" width="21.5703125" customWidth="1"/>
    <col min="9" max="9" width="9.85546875" customWidth="1"/>
    <col min="10" max="10" width="14.5703125" customWidth="1"/>
    <col min="11" max="11" width="12.42578125" customWidth="1"/>
    <col min="12" max="12" width="17" customWidth="1"/>
    <col min="13" max="13" width="13" customWidth="1"/>
    <col min="14" max="16" width="12.85546875" customWidth="1"/>
    <col min="18" max="18" width="12.85546875" customWidth="1"/>
    <col min="19" max="19" width="14.5703125" customWidth="1"/>
  </cols>
  <sheetData>
    <row r="2" spans="1:19" ht="20.25" x14ac:dyDescent="0.3">
      <c r="A2" s="145" t="s">
        <v>100</v>
      </c>
      <c r="B2" s="145"/>
      <c r="C2" s="145"/>
      <c r="D2" s="145"/>
      <c r="E2" s="145"/>
      <c r="F2" s="145"/>
      <c r="G2" s="145"/>
      <c r="H2" s="145"/>
      <c r="I2" s="145"/>
      <c r="J2" s="145" t="s">
        <v>100</v>
      </c>
      <c r="K2" s="145"/>
      <c r="L2" s="145"/>
      <c r="M2" s="145"/>
      <c r="N2" s="145"/>
      <c r="O2" s="145"/>
      <c r="P2" s="145"/>
      <c r="Q2" s="145"/>
      <c r="R2" s="145"/>
      <c r="S2" s="145"/>
    </row>
    <row r="4" spans="1:19" ht="13.5" customHeight="1" x14ac:dyDescent="0.2">
      <c r="B4" s="123" t="s">
        <v>171</v>
      </c>
      <c r="C4" s="123"/>
      <c r="D4" s="123"/>
      <c r="E4" s="123"/>
      <c r="F4" s="123"/>
      <c r="G4" s="123"/>
      <c r="H4" s="123"/>
      <c r="I4" s="37"/>
      <c r="K4" s="123" t="s">
        <v>118</v>
      </c>
      <c r="L4" s="124"/>
      <c r="M4" s="124"/>
      <c r="N4" s="124"/>
      <c r="O4" s="124"/>
      <c r="P4" s="124"/>
      <c r="Q4" s="124"/>
      <c r="R4" s="124"/>
    </row>
    <row r="5" spans="1:19" ht="11.25" customHeight="1" x14ac:dyDescent="0.2">
      <c r="B5" s="123"/>
      <c r="C5" s="123"/>
      <c r="D5" s="123"/>
      <c r="E5" s="123"/>
      <c r="F5" s="123"/>
      <c r="G5" s="123"/>
      <c r="H5" s="123"/>
      <c r="I5" s="38"/>
      <c r="K5" s="124"/>
      <c r="L5" s="124"/>
      <c r="M5" s="124"/>
      <c r="N5" s="124"/>
      <c r="O5" s="124"/>
      <c r="P5" s="124"/>
      <c r="Q5" s="124"/>
      <c r="R5" s="124"/>
    </row>
    <row r="6" spans="1:19" s="20" customFormat="1" ht="12.75" customHeight="1" x14ac:dyDescent="0.2">
      <c r="B6" s="127" t="s">
        <v>114</v>
      </c>
      <c r="C6" s="128"/>
      <c r="D6" s="128"/>
      <c r="E6" s="129"/>
      <c r="F6" s="146" t="s">
        <v>111</v>
      </c>
      <c r="G6" s="146"/>
      <c r="H6" s="146"/>
      <c r="I6" s="39"/>
      <c r="K6" s="147" t="s">
        <v>117</v>
      </c>
      <c r="L6" s="147" t="s">
        <v>98</v>
      </c>
      <c r="M6" s="149" t="s">
        <v>115</v>
      </c>
      <c r="N6" s="150"/>
      <c r="O6" s="151"/>
      <c r="P6" s="149" t="s">
        <v>116</v>
      </c>
      <c r="Q6" s="150"/>
      <c r="R6" s="151"/>
    </row>
    <row r="7" spans="1:19" s="20" customFormat="1" ht="13.5" thickBot="1" x14ac:dyDescent="0.25">
      <c r="B7" s="130"/>
      <c r="C7" s="131"/>
      <c r="D7" s="131"/>
      <c r="E7" s="132"/>
      <c r="F7" s="42" t="s">
        <v>35</v>
      </c>
      <c r="G7" s="42" t="s">
        <v>36</v>
      </c>
      <c r="H7" s="43" t="s">
        <v>37</v>
      </c>
      <c r="I7" s="40"/>
      <c r="K7" s="148"/>
      <c r="L7" s="148"/>
      <c r="M7" s="95" t="s">
        <v>35</v>
      </c>
      <c r="N7" s="95" t="s">
        <v>36</v>
      </c>
      <c r="O7" s="95" t="s">
        <v>37</v>
      </c>
      <c r="P7" s="95" t="s">
        <v>35</v>
      </c>
      <c r="Q7" s="95" t="s">
        <v>36</v>
      </c>
      <c r="R7" s="95" t="s">
        <v>37</v>
      </c>
    </row>
    <row r="8" spans="1:19" s="20" customFormat="1" ht="15" thickTop="1" x14ac:dyDescent="0.2">
      <c r="B8" s="133" t="s">
        <v>124</v>
      </c>
      <c r="C8" s="133"/>
      <c r="D8" s="93" t="s">
        <v>69</v>
      </c>
      <c r="E8" s="71" t="s">
        <v>38</v>
      </c>
      <c r="F8" s="71">
        <v>25</v>
      </c>
      <c r="G8" s="71">
        <v>40</v>
      </c>
      <c r="H8" s="71">
        <v>55</v>
      </c>
      <c r="I8" s="72"/>
      <c r="J8" s="73"/>
      <c r="K8" s="96" t="s">
        <v>40</v>
      </c>
      <c r="L8" s="97" t="s">
        <v>141</v>
      </c>
      <c r="M8" s="98" t="s">
        <v>152</v>
      </c>
      <c r="N8" s="98" t="s">
        <v>152</v>
      </c>
      <c r="O8" s="98">
        <v>0.7</v>
      </c>
      <c r="P8" s="98" t="s">
        <v>152</v>
      </c>
      <c r="Q8" s="98" t="s">
        <v>152</v>
      </c>
      <c r="R8" s="98" t="s">
        <v>153</v>
      </c>
    </row>
    <row r="9" spans="1:19" s="20" customFormat="1" ht="14.25" x14ac:dyDescent="0.2">
      <c r="B9" s="125" t="s">
        <v>125</v>
      </c>
      <c r="C9" s="125"/>
      <c r="D9" s="94" t="s">
        <v>172</v>
      </c>
      <c r="E9" s="74" t="s">
        <v>38</v>
      </c>
      <c r="F9" s="74" t="s">
        <v>154</v>
      </c>
      <c r="G9" s="74">
        <v>4</v>
      </c>
      <c r="H9" s="74">
        <v>11</v>
      </c>
      <c r="I9" s="72"/>
      <c r="J9" s="73"/>
      <c r="K9" s="99" t="s">
        <v>175</v>
      </c>
      <c r="L9" s="100" t="s">
        <v>176</v>
      </c>
      <c r="M9" s="100">
        <v>250</v>
      </c>
      <c r="N9" s="100">
        <v>540</v>
      </c>
      <c r="O9" s="101">
        <v>2250</v>
      </c>
      <c r="P9" s="100">
        <v>280</v>
      </c>
      <c r="Q9" s="100">
        <v>360</v>
      </c>
      <c r="R9" s="100">
        <v>510</v>
      </c>
    </row>
    <row r="10" spans="1:19" s="20" customFormat="1" ht="14.25" x14ac:dyDescent="0.2">
      <c r="B10" s="125" t="s">
        <v>129</v>
      </c>
      <c r="C10" s="125"/>
      <c r="D10" s="94" t="s">
        <v>173</v>
      </c>
      <c r="E10" s="74" t="s">
        <v>39</v>
      </c>
      <c r="F10" s="74" t="str">
        <f>"7.8"</f>
        <v>7.8</v>
      </c>
      <c r="G10" s="74">
        <v>10</v>
      </c>
      <c r="H10" s="74">
        <v>12</v>
      </c>
      <c r="I10" s="72"/>
      <c r="J10" s="73"/>
      <c r="K10" s="96" t="s">
        <v>183</v>
      </c>
      <c r="L10" s="97" t="s">
        <v>184</v>
      </c>
      <c r="M10" s="98">
        <v>47</v>
      </c>
      <c r="N10" s="98">
        <v>49</v>
      </c>
      <c r="O10" s="98">
        <v>51</v>
      </c>
      <c r="P10" s="98">
        <v>44</v>
      </c>
      <c r="Q10" s="98">
        <v>47</v>
      </c>
      <c r="R10" s="98">
        <v>50</v>
      </c>
    </row>
    <row r="11" spans="1:19" s="20" customFormat="1" ht="14.25" x14ac:dyDescent="0.2">
      <c r="B11" s="125" t="s">
        <v>126</v>
      </c>
      <c r="C11" s="125"/>
      <c r="D11" s="94" t="s">
        <v>174</v>
      </c>
      <c r="E11" s="74" t="s">
        <v>70</v>
      </c>
      <c r="F11" s="74">
        <v>200</v>
      </c>
      <c r="G11" s="74">
        <v>250</v>
      </c>
      <c r="H11" s="74">
        <v>380</v>
      </c>
      <c r="I11" s="72"/>
      <c r="J11" s="73"/>
      <c r="K11" s="99" t="s">
        <v>177</v>
      </c>
      <c r="L11" s="100" t="s">
        <v>176</v>
      </c>
      <c r="M11" s="102">
        <v>2000</v>
      </c>
      <c r="N11" s="102">
        <v>2300</v>
      </c>
      <c r="O11" s="102">
        <v>4200</v>
      </c>
      <c r="P11" s="102">
        <v>5500</v>
      </c>
      <c r="Q11" s="102">
        <v>6500</v>
      </c>
      <c r="R11" s="102">
        <v>7900</v>
      </c>
    </row>
    <row r="12" spans="1:19" s="20" customFormat="1" ht="14.25" x14ac:dyDescent="0.2">
      <c r="B12" s="125" t="s">
        <v>128</v>
      </c>
      <c r="C12" s="125"/>
      <c r="D12" s="94" t="s">
        <v>71</v>
      </c>
      <c r="E12" s="74" t="s">
        <v>38</v>
      </c>
      <c r="F12" s="75" t="s">
        <v>156</v>
      </c>
      <c r="G12" s="74" t="s">
        <v>157</v>
      </c>
      <c r="H12" s="75" t="s">
        <v>158</v>
      </c>
      <c r="I12" s="72"/>
      <c r="J12" s="73"/>
      <c r="K12" s="96" t="s">
        <v>41</v>
      </c>
      <c r="L12" s="100" t="s">
        <v>176</v>
      </c>
      <c r="M12" s="98" t="s">
        <v>155</v>
      </c>
      <c r="N12" s="98" t="s">
        <v>155</v>
      </c>
      <c r="O12" s="98" t="s">
        <v>155</v>
      </c>
      <c r="P12" s="98" t="s">
        <v>155</v>
      </c>
      <c r="Q12" s="98" t="s">
        <v>155</v>
      </c>
      <c r="R12" s="98" t="s">
        <v>155</v>
      </c>
    </row>
    <row r="13" spans="1:19" s="20" customFormat="1" ht="14.25" x14ac:dyDescent="0.2">
      <c r="B13" s="125" t="s">
        <v>127</v>
      </c>
      <c r="C13" s="125"/>
      <c r="D13" s="94" t="s">
        <v>72</v>
      </c>
      <c r="E13" s="74" t="s">
        <v>38</v>
      </c>
      <c r="F13" s="74" t="s">
        <v>156</v>
      </c>
      <c r="G13" s="74" t="s">
        <v>159</v>
      </c>
      <c r="H13" s="74" t="s">
        <v>160</v>
      </c>
      <c r="I13" s="72"/>
      <c r="J13" s="73"/>
      <c r="K13" s="96" t="s">
        <v>187</v>
      </c>
      <c r="L13" s="97" t="s">
        <v>184</v>
      </c>
      <c r="M13" s="98" t="s">
        <v>156</v>
      </c>
      <c r="N13" s="98" t="s">
        <v>160</v>
      </c>
      <c r="O13" s="98" t="s">
        <v>194</v>
      </c>
      <c r="P13" s="98" t="s">
        <v>193</v>
      </c>
      <c r="Q13" s="98" t="s">
        <v>192</v>
      </c>
      <c r="R13" s="98" t="s">
        <v>167</v>
      </c>
    </row>
    <row r="14" spans="1:19" s="20" customFormat="1" ht="14.25" x14ac:dyDescent="0.2">
      <c r="B14" s="143" t="s">
        <v>150</v>
      </c>
      <c r="C14" s="144"/>
      <c r="D14" s="94" t="s">
        <v>151</v>
      </c>
      <c r="E14" s="76" t="s">
        <v>38</v>
      </c>
      <c r="F14" s="74" t="s">
        <v>162</v>
      </c>
      <c r="G14" s="74" t="s">
        <v>163</v>
      </c>
      <c r="H14" s="74" t="s">
        <v>156</v>
      </c>
      <c r="I14" s="73"/>
      <c r="J14" s="73"/>
      <c r="K14" s="96" t="s">
        <v>42</v>
      </c>
      <c r="L14" s="100" t="s">
        <v>176</v>
      </c>
      <c r="M14" s="98" t="str">
        <f>"1.2"</f>
        <v>1.2</v>
      </c>
      <c r="N14" s="98">
        <v>16</v>
      </c>
      <c r="O14" s="98">
        <v>55</v>
      </c>
      <c r="P14" s="98" t="s">
        <v>153</v>
      </c>
      <c r="Q14" s="98" t="str">
        <f>"3.4"</f>
        <v>3.4</v>
      </c>
      <c r="R14" s="98">
        <v>10</v>
      </c>
    </row>
    <row r="15" spans="1:19" ht="13.5" customHeight="1" x14ac:dyDescent="0.2">
      <c r="B15" s="134" t="s">
        <v>147</v>
      </c>
      <c r="C15" s="134"/>
      <c r="D15" s="94" t="s">
        <v>144</v>
      </c>
      <c r="E15" s="76" t="s">
        <v>38</v>
      </c>
      <c r="F15" s="76" t="s">
        <v>158</v>
      </c>
      <c r="G15" s="76" t="s">
        <v>154</v>
      </c>
      <c r="H15" s="76" t="s">
        <v>164</v>
      </c>
      <c r="I15" s="77"/>
      <c r="J15" s="78"/>
      <c r="K15" s="96" t="s">
        <v>43</v>
      </c>
      <c r="L15" s="100" t="s">
        <v>176</v>
      </c>
      <c r="M15" s="98">
        <v>4</v>
      </c>
      <c r="N15" s="98">
        <v>12</v>
      </c>
      <c r="O15" s="98">
        <v>74</v>
      </c>
      <c r="P15" s="98">
        <v>10</v>
      </c>
      <c r="Q15" s="98">
        <v>22</v>
      </c>
      <c r="R15" s="98">
        <v>29</v>
      </c>
    </row>
    <row r="16" spans="1:19" ht="14.25" customHeight="1" x14ac:dyDescent="0.2">
      <c r="B16" s="134" t="s">
        <v>148</v>
      </c>
      <c r="C16" s="134"/>
      <c r="D16" s="94" t="s">
        <v>145</v>
      </c>
      <c r="E16" s="76" t="s">
        <v>38</v>
      </c>
      <c r="F16" s="76">
        <v>23</v>
      </c>
      <c r="G16" s="76">
        <v>30</v>
      </c>
      <c r="H16" s="76">
        <v>36</v>
      </c>
      <c r="I16" s="79"/>
      <c r="J16" s="78"/>
      <c r="K16" s="96" t="s">
        <v>44</v>
      </c>
      <c r="L16" s="100" t="s">
        <v>176</v>
      </c>
      <c r="M16" s="98" t="str">
        <f>"2.5"</f>
        <v>2.5</v>
      </c>
      <c r="N16" s="98" t="str">
        <f>"6.7"</f>
        <v>6.7</v>
      </c>
      <c r="O16" s="98">
        <v>15</v>
      </c>
      <c r="P16" s="98">
        <v>7</v>
      </c>
      <c r="Q16" s="98">
        <v>11</v>
      </c>
      <c r="R16" s="98">
        <v>15</v>
      </c>
    </row>
    <row r="17" spans="2:18" s="20" customFormat="1" ht="14.25" x14ac:dyDescent="0.2">
      <c r="B17" s="134" t="s">
        <v>149</v>
      </c>
      <c r="C17" s="134"/>
      <c r="D17" s="94" t="s">
        <v>146</v>
      </c>
      <c r="E17" s="76" t="s">
        <v>38</v>
      </c>
      <c r="F17" s="76">
        <v>3</v>
      </c>
      <c r="G17" s="76" t="str">
        <f>"3.7"</f>
        <v>3.7</v>
      </c>
      <c r="H17" s="76">
        <v>5</v>
      </c>
      <c r="I17" s="80"/>
      <c r="J17" s="73"/>
      <c r="K17" s="96" t="s">
        <v>189</v>
      </c>
      <c r="L17" s="97" t="s">
        <v>184</v>
      </c>
      <c r="M17" s="74" t="s">
        <v>162</v>
      </c>
      <c r="N17" s="74" t="s">
        <v>170</v>
      </c>
      <c r="O17" s="74" t="s">
        <v>156</v>
      </c>
      <c r="P17" s="74" t="s">
        <v>162</v>
      </c>
      <c r="Q17" s="74" t="s">
        <v>190</v>
      </c>
      <c r="R17" s="74" t="s">
        <v>159</v>
      </c>
    </row>
    <row r="18" spans="2:18" s="20" customFormat="1" ht="14.25" x14ac:dyDescent="0.2">
      <c r="B18" s="73"/>
      <c r="C18" s="73"/>
      <c r="D18" s="73"/>
      <c r="E18" s="73"/>
      <c r="F18" s="73"/>
      <c r="G18" s="73"/>
      <c r="H18" s="73"/>
      <c r="I18" s="81"/>
      <c r="J18" s="73"/>
      <c r="K18" s="99" t="s">
        <v>178</v>
      </c>
      <c r="L18" s="100" t="s">
        <v>176</v>
      </c>
      <c r="M18" s="102">
        <v>320</v>
      </c>
      <c r="N18" s="102">
        <v>900</v>
      </c>
      <c r="O18" s="102">
        <v>2400</v>
      </c>
      <c r="P18" s="102">
        <v>400</v>
      </c>
      <c r="Q18" s="102">
        <v>600</v>
      </c>
      <c r="R18" s="102">
        <v>810</v>
      </c>
    </row>
    <row r="19" spans="2:18" s="20" customFormat="1" ht="14.25" x14ac:dyDescent="0.2">
      <c r="B19" s="126" t="s">
        <v>113</v>
      </c>
      <c r="C19" s="126"/>
      <c r="D19" s="126"/>
      <c r="E19" s="126"/>
      <c r="F19" s="126"/>
      <c r="G19" s="126"/>
      <c r="H19" s="126"/>
      <c r="I19" s="72"/>
      <c r="J19" s="73"/>
      <c r="K19" s="96" t="s">
        <v>185</v>
      </c>
      <c r="L19" s="97" t="s">
        <v>184</v>
      </c>
      <c r="M19" s="98" t="str">
        <f>"5.6"</f>
        <v>5.6</v>
      </c>
      <c r="N19" s="98" t="str">
        <f>"5.9"</f>
        <v>5.9</v>
      </c>
      <c r="O19" s="98" t="str">
        <f>"6.3"</f>
        <v>6.3</v>
      </c>
      <c r="P19" s="98" t="str">
        <f>"5.6"</f>
        <v>5.6</v>
      </c>
      <c r="Q19" s="98">
        <v>6</v>
      </c>
      <c r="R19" s="98" t="str">
        <f>"6.6"</f>
        <v>6.6</v>
      </c>
    </row>
    <row r="20" spans="2:18" s="20" customFormat="1" ht="14.25" x14ac:dyDescent="0.2">
      <c r="B20" s="126"/>
      <c r="C20" s="126"/>
      <c r="D20" s="126"/>
      <c r="E20" s="126"/>
      <c r="F20" s="126"/>
      <c r="G20" s="126"/>
      <c r="H20" s="126"/>
      <c r="I20" s="72"/>
      <c r="J20" s="73"/>
      <c r="K20" s="96" t="s">
        <v>45</v>
      </c>
      <c r="L20" s="100" t="s">
        <v>176</v>
      </c>
      <c r="M20" s="98" t="s">
        <v>161</v>
      </c>
      <c r="N20" s="98" t="s">
        <v>161</v>
      </c>
      <c r="O20" s="98" t="s">
        <v>161</v>
      </c>
      <c r="P20" s="98" t="s">
        <v>161</v>
      </c>
      <c r="Q20" s="98" t="s">
        <v>161</v>
      </c>
      <c r="R20" s="98" t="s">
        <v>161</v>
      </c>
    </row>
    <row r="21" spans="2:18" s="20" customFormat="1" ht="14.25" x14ac:dyDescent="0.2">
      <c r="B21" s="137" t="s">
        <v>114</v>
      </c>
      <c r="C21" s="137"/>
      <c r="D21" s="137"/>
      <c r="E21" s="137"/>
      <c r="F21" s="139" t="s">
        <v>111</v>
      </c>
      <c r="G21" s="139"/>
      <c r="H21" s="139"/>
      <c r="I21" s="72"/>
      <c r="J21" s="73"/>
      <c r="K21" s="96" t="s">
        <v>143</v>
      </c>
      <c r="L21" s="100" t="s">
        <v>176</v>
      </c>
      <c r="M21" s="102">
        <v>670</v>
      </c>
      <c r="N21" s="102">
        <v>1300</v>
      </c>
      <c r="O21" s="102">
        <v>2900</v>
      </c>
      <c r="P21" s="102">
        <v>7400</v>
      </c>
      <c r="Q21" s="102">
        <v>9200</v>
      </c>
      <c r="R21" s="102">
        <v>11000</v>
      </c>
    </row>
    <row r="22" spans="2:18" s="20" customFormat="1" ht="15" thickBot="1" x14ac:dyDescent="0.25">
      <c r="B22" s="138"/>
      <c r="C22" s="138"/>
      <c r="D22" s="138"/>
      <c r="E22" s="138"/>
      <c r="F22" s="82" t="s">
        <v>35</v>
      </c>
      <c r="G22" s="82" t="s">
        <v>36</v>
      </c>
      <c r="H22" s="83" t="s">
        <v>37</v>
      </c>
      <c r="I22" s="72"/>
      <c r="J22" s="73"/>
      <c r="K22" s="99" t="s">
        <v>179</v>
      </c>
      <c r="L22" s="100" t="s">
        <v>176</v>
      </c>
      <c r="M22" s="102">
        <v>280</v>
      </c>
      <c r="N22" s="102">
        <v>600</v>
      </c>
      <c r="O22" s="102">
        <v>1350</v>
      </c>
      <c r="P22" s="102">
        <v>1500</v>
      </c>
      <c r="Q22" s="102">
        <v>1700</v>
      </c>
      <c r="R22" s="102">
        <v>1900</v>
      </c>
    </row>
    <row r="23" spans="2:18" s="20" customFormat="1" ht="15" thickTop="1" x14ac:dyDescent="0.2">
      <c r="B23" s="133" t="s">
        <v>124</v>
      </c>
      <c r="C23" s="133"/>
      <c r="D23" s="93" t="s">
        <v>69</v>
      </c>
      <c r="E23" s="71" t="s">
        <v>38</v>
      </c>
      <c r="F23" s="71" t="str">
        <f>"8.5"</f>
        <v>8.5</v>
      </c>
      <c r="G23" s="71">
        <v>12</v>
      </c>
      <c r="H23" s="71">
        <v>16</v>
      </c>
      <c r="I23" s="72"/>
      <c r="J23" s="73"/>
      <c r="K23" s="96" t="s">
        <v>46</v>
      </c>
      <c r="L23" s="100" t="s">
        <v>176</v>
      </c>
      <c r="M23" s="98">
        <v>120</v>
      </c>
      <c r="N23" s="98">
        <v>380</v>
      </c>
      <c r="O23" s="98">
        <v>640</v>
      </c>
      <c r="P23" s="98">
        <v>75</v>
      </c>
      <c r="Q23" s="98">
        <v>95</v>
      </c>
      <c r="R23" s="98">
        <v>120</v>
      </c>
    </row>
    <row r="24" spans="2:18" s="20" customFormat="1" ht="14.25" x14ac:dyDescent="0.2">
      <c r="B24" s="125" t="s">
        <v>125</v>
      </c>
      <c r="C24" s="125"/>
      <c r="D24" s="94" t="s">
        <v>172</v>
      </c>
      <c r="E24" s="74" t="s">
        <v>38</v>
      </c>
      <c r="F24" s="74">
        <v>3</v>
      </c>
      <c r="G24" s="74">
        <v>6</v>
      </c>
      <c r="H24" s="74">
        <v>10</v>
      </c>
      <c r="I24" s="72"/>
      <c r="J24" s="73"/>
      <c r="K24" s="96" t="s">
        <v>186</v>
      </c>
      <c r="L24" s="97" t="s">
        <v>184</v>
      </c>
      <c r="M24" s="98" t="s">
        <v>158</v>
      </c>
      <c r="N24" s="98" t="s">
        <v>195</v>
      </c>
      <c r="O24" s="98" t="s">
        <v>153</v>
      </c>
      <c r="P24" s="106" t="str">
        <f>"1.6"</f>
        <v>1.6</v>
      </c>
      <c r="Q24" s="98">
        <v>2</v>
      </c>
      <c r="R24" s="98" t="str">
        <f>"2.6"</f>
        <v>2.6</v>
      </c>
    </row>
    <row r="25" spans="2:18" ht="14.25" x14ac:dyDescent="0.2">
      <c r="B25" s="125" t="s">
        <v>129</v>
      </c>
      <c r="C25" s="125"/>
      <c r="D25" s="94" t="s">
        <v>173</v>
      </c>
      <c r="E25" s="74" t="s">
        <v>39</v>
      </c>
      <c r="F25" s="74">
        <v>12</v>
      </c>
      <c r="G25" s="74" t="str">
        <f>"15.5"</f>
        <v>15.5</v>
      </c>
      <c r="H25" s="74" t="str">
        <f>"17.5"</f>
        <v>17.5</v>
      </c>
      <c r="I25" s="78"/>
      <c r="J25" s="78"/>
      <c r="K25" s="96" t="s">
        <v>142</v>
      </c>
      <c r="L25" s="100" t="s">
        <v>176</v>
      </c>
      <c r="M25" s="103">
        <v>17</v>
      </c>
      <c r="N25" s="103">
        <v>30</v>
      </c>
      <c r="O25" s="103">
        <v>60</v>
      </c>
      <c r="P25" s="103">
        <v>85</v>
      </c>
      <c r="Q25" s="103">
        <v>145</v>
      </c>
      <c r="R25" s="103">
        <v>260</v>
      </c>
    </row>
    <row r="26" spans="2:18" ht="14.25" customHeight="1" x14ac:dyDescent="0.2">
      <c r="B26" s="125" t="s">
        <v>126</v>
      </c>
      <c r="C26" s="125"/>
      <c r="D26" s="94" t="s">
        <v>174</v>
      </c>
      <c r="E26" s="74" t="s">
        <v>70</v>
      </c>
      <c r="F26" s="74">
        <v>300</v>
      </c>
      <c r="G26" s="74">
        <v>450</v>
      </c>
      <c r="H26" s="74">
        <v>700</v>
      </c>
      <c r="I26" s="77"/>
      <c r="J26" s="78"/>
      <c r="K26" s="96" t="s">
        <v>47</v>
      </c>
      <c r="L26" s="100" t="s">
        <v>176</v>
      </c>
      <c r="M26" s="98" t="str">
        <f>"2.5"</f>
        <v>2.5</v>
      </c>
      <c r="N26" s="98">
        <v>8</v>
      </c>
      <c r="O26" s="98">
        <v>36</v>
      </c>
      <c r="P26" s="98">
        <v>2</v>
      </c>
      <c r="Q26" s="98">
        <v>8</v>
      </c>
      <c r="R26" s="98">
        <v>16</v>
      </c>
    </row>
    <row r="27" spans="2:18" ht="12" customHeight="1" x14ac:dyDescent="0.2">
      <c r="B27" s="125" t="s">
        <v>128</v>
      </c>
      <c r="C27" s="125"/>
      <c r="D27" s="94" t="s">
        <v>71</v>
      </c>
      <c r="E27" s="74" t="s">
        <v>38</v>
      </c>
      <c r="F27" s="74" t="s">
        <v>167</v>
      </c>
      <c r="G27" s="74" t="s">
        <v>165</v>
      </c>
      <c r="H27" s="74" t="s">
        <v>168</v>
      </c>
      <c r="I27" s="77"/>
      <c r="J27" s="78"/>
      <c r="K27" s="99" t="s">
        <v>180</v>
      </c>
      <c r="L27" s="100" t="s">
        <v>176</v>
      </c>
      <c r="M27" s="102">
        <v>150</v>
      </c>
      <c r="N27" s="102">
        <v>250</v>
      </c>
      <c r="O27" s="102">
        <v>950</v>
      </c>
      <c r="P27" s="102">
        <v>1700</v>
      </c>
      <c r="Q27" s="102">
        <v>2360</v>
      </c>
      <c r="R27" s="102">
        <v>3100</v>
      </c>
    </row>
    <row r="28" spans="2:18" ht="14.25" x14ac:dyDescent="0.2">
      <c r="B28" s="125" t="s">
        <v>127</v>
      </c>
      <c r="C28" s="125"/>
      <c r="D28" s="94" t="s">
        <v>72</v>
      </c>
      <c r="E28" s="74" t="s">
        <v>38</v>
      </c>
      <c r="F28" s="74" t="s">
        <v>169</v>
      </c>
      <c r="G28" s="74">
        <v>0.1</v>
      </c>
      <c r="H28" s="74">
        <v>0.15</v>
      </c>
      <c r="I28" s="84"/>
      <c r="J28" s="78"/>
      <c r="K28" s="96" t="s">
        <v>48</v>
      </c>
      <c r="L28" s="100" t="s">
        <v>176</v>
      </c>
      <c r="M28" s="98" t="str">
        <f>"2.2"</f>
        <v>2.2</v>
      </c>
      <c r="N28" s="98" t="str">
        <f>"3.4"</f>
        <v>3.4</v>
      </c>
      <c r="O28" s="98" t="str">
        <f>"4.8"</f>
        <v>4.8</v>
      </c>
      <c r="P28" s="98">
        <v>1</v>
      </c>
      <c r="Q28" s="98" t="str">
        <f>"3.3"</f>
        <v>3.3</v>
      </c>
      <c r="R28" s="98">
        <v>5</v>
      </c>
    </row>
    <row r="29" spans="2:18" ht="14.25" x14ac:dyDescent="0.2">
      <c r="B29" s="143" t="s">
        <v>150</v>
      </c>
      <c r="C29" s="144"/>
      <c r="D29" s="94" t="s">
        <v>151</v>
      </c>
      <c r="E29" s="76" t="s">
        <v>38</v>
      </c>
      <c r="F29" s="74" t="s">
        <v>162</v>
      </c>
      <c r="G29" s="74" t="s">
        <v>170</v>
      </c>
      <c r="H29" s="74" t="s">
        <v>156</v>
      </c>
      <c r="I29" s="85"/>
      <c r="J29" s="78"/>
      <c r="K29" s="96" t="s">
        <v>188</v>
      </c>
      <c r="L29" s="97" t="s">
        <v>184</v>
      </c>
      <c r="M29" s="98" t="s">
        <v>170</v>
      </c>
      <c r="N29" s="98" t="s">
        <v>156</v>
      </c>
      <c r="O29" s="98" t="s">
        <v>158</v>
      </c>
      <c r="P29" s="98" t="s">
        <v>165</v>
      </c>
      <c r="Q29" s="98" t="s">
        <v>191</v>
      </c>
      <c r="R29" s="98" t="s">
        <v>154</v>
      </c>
    </row>
    <row r="30" spans="2:18" ht="14.25" x14ac:dyDescent="0.2">
      <c r="B30" s="134" t="s">
        <v>147</v>
      </c>
      <c r="C30" s="134"/>
      <c r="D30" s="94" t="s">
        <v>144</v>
      </c>
      <c r="E30" s="76" t="s">
        <v>38</v>
      </c>
      <c r="F30" s="76" t="str">
        <f>"1.4"</f>
        <v>1.4</v>
      </c>
      <c r="G30" s="76" t="str">
        <f>"1.7"</f>
        <v>1.7</v>
      </c>
      <c r="H30" s="76" t="str">
        <f>"2.2"</f>
        <v>2.2</v>
      </c>
      <c r="I30" s="86"/>
      <c r="J30" s="78"/>
      <c r="K30" s="96" t="s">
        <v>49</v>
      </c>
      <c r="L30" s="100" t="s">
        <v>176</v>
      </c>
      <c r="M30" s="98" t="s">
        <v>152</v>
      </c>
      <c r="N30" s="98" t="s">
        <v>152</v>
      </c>
      <c r="O30" s="98" t="s">
        <v>152</v>
      </c>
      <c r="P30" s="98" t="s">
        <v>152</v>
      </c>
      <c r="Q30" s="98" t="s">
        <v>152</v>
      </c>
      <c r="R30" s="98" t="s">
        <v>152</v>
      </c>
    </row>
    <row r="31" spans="2:18" ht="14.25" x14ac:dyDescent="0.2">
      <c r="B31" s="134" t="s">
        <v>148</v>
      </c>
      <c r="C31" s="134"/>
      <c r="D31" s="94" t="s">
        <v>145</v>
      </c>
      <c r="E31" s="76" t="s">
        <v>38</v>
      </c>
      <c r="F31" s="76">
        <v>39</v>
      </c>
      <c r="G31" s="76">
        <v>43</v>
      </c>
      <c r="H31" s="76">
        <v>48</v>
      </c>
      <c r="I31" s="86"/>
      <c r="J31" s="78"/>
      <c r="K31" s="99" t="s">
        <v>181</v>
      </c>
      <c r="L31" s="100" t="s">
        <v>176</v>
      </c>
      <c r="M31" s="100">
        <v>290</v>
      </c>
      <c r="N31" s="100">
        <v>350</v>
      </c>
      <c r="O31" s="101">
        <v>450</v>
      </c>
      <c r="P31" s="100">
        <v>250</v>
      </c>
      <c r="Q31" s="100">
        <v>310</v>
      </c>
      <c r="R31" s="100">
        <v>410</v>
      </c>
    </row>
    <row r="32" spans="2:18" ht="14.25" x14ac:dyDescent="0.2">
      <c r="B32" s="134" t="s">
        <v>149</v>
      </c>
      <c r="C32" s="134"/>
      <c r="D32" s="94" t="s">
        <v>146</v>
      </c>
      <c r="E32" s="76" t="s">
        <v>38</v>
      </c>
      <c r="F32" s="76">
        <v>5</v>
      </c>
      <c r="G32" s="92" t="str">
        <f>"5.5"</f>
        <v>5.5</v>
      </c>
      <c r="H32" s="76">
        <v>6</v>
      </c>
      <c r="I32" s="86"/>
      <c r="J32" s="78"/>
      <c r="K32" s="99" t="s">
        <v>182</v>
      </c>
      <c r="L32" s="100" t="s">
        <v>176</v>
      </c>
      <c r="M32" s="100">
        <v>9</v>
      </c>
      <c r="N32" s="100" t="str">
        <f>"13.5"</f>
        <v>13.5</v>
      </c>
      <c r="O32" s="101">
        <v>23</v>
      </c>
      <c r="P32" s="100">
        <v>9</v>
      </c>
      <c r="Q32" s="100" t="str">
        <f>"11.5"</f>
        <v>11.5</v>
      </c>
      <c r="R32" s="100">
        <v>15</v>
      </c>
    </row>
    <row r="33" spans="2:18" ht="14.25" x14ac:dyDescent="0.2">
      <c r="B33" s="78"/>
      <c r="C33" s="78"/>
      <c r="D33" s="78"/>
      <c r="E33" s="78"/>
      <c r="F33" s="78"/>
      <c r="G33" s="78"/>
      <c r="H33" s="78"/>
      <c r="I33" s="86"/>
      <c r="J33" s="78"/>
      <c r="K33" s="96" t="s">
        <v>50</v>
      </c>
      <c r="L33" s="100" t="s">
        <v>176</v>
      </c>
      <c r="M33" s="98" t="s">
        <v>152</v>
      </c>
      <c r="N33" s="98" t="s">
        <v>152</v>
      </c>
      <c r="O33" s="98" t="s">
        <v>152</v>
      </c>
      <c r="P33" s="98" t="s">
        <v>152</v>
      </c>
      <c r="Q33" s="98" t="s">
        <v>152</v>
      </c>
      <c r="R33" s="98" t="s">
        <v>152</v>
      </c>
    </row>
    <row r="34" spans="2:18" ht="14.25" x14ac:dyDescent="0.2">
      <c r="B34" s="126" t="s">
        <v>112</v>
      </c>
      <c r="C34" s="126"/>
      <c r="D34" s="126"/>
      <c r="E34" s="126"/>
      <c r="F34" s="126"/>
      <c r="G34" s="126"/>
      <c r="H34" s="126"/>
      <c r="I34" s="86"/>
      <c r="J34" s="78"/>
      <c r="K34" s="96" t="s">
        <v>51</v>
      </c>
      <c r="L34" s="100" t="s">
        <v>176</v>
      </c>
      <c r="M34" s="104" t="s">
        <v>165</v>
      </c>
      <c r="N34" s="104" t="str">
        <f>"1.6"</f>
        <v>1.6</v>
      </c>
      <c r="O34" s="104" t="str">
        <f>"3.5"</f>
        <v>3.5</v>
      </c>
      <c r="P34" s="104" t="s">
        <v>164</v>
      </c>
      <c r="Q34" s="104" t="s">
        <v>166</v>
      </c>
      <c r="R34" s="104" t="str">
        <f>"3.7"</f>
        <v>3.7</v>
      </c>
    </row>
    <row r="35" spans="2:18" ht="14.25" x14ac:dyDescent="0.2">
      <c r="B35" s="126"/>
      <c r="C35" s="126"/>
      <c r="D35" s="126"/>
      <c r="E35" s="126"/>
      <c r="F35" s="126"/>
      <c r="G35" s="126"/>
      <c r="H35" s="126"/>
      <c r="I35" s="86"/>
      <c r="J35" s="78"/>
      <c r="K35" s="96" t="s">
        <v>52</v>
      </c>
      <c r="L35" s="100" t="s">
        <v>176</v>
      </c>
      <c r="M35" s="98">
        <v>20</v>
      </c>
      <c r="N35" s="98">
        <v>43</v>
      </c>
      <c r="O35" s="98">
        <v>80</v>
      </c>
      <c r="P35" s="98">
        <v>30</v>
      </c>
      <c r="Q35" s="98">
        <v>55</v>
      </c>
      <c r="R35" s="98">
        <v>80</v>
      </c>
    </row>
    <row r="36" spans="2:18" x14ac:dyDescent="0.2">
      <c r="B36" s="137" t="s">
        <v>123</v>
      </c>
      <c r="C36" s="137" t="s">
        <v>130</v>
      </c>
      <c r="D36" s="139" t="s">
        <v>122</v>
      </c>
      <c r="E36" s="141" t="s">
        <v>121</v>
      </c>
      <c r="F36" s="141"/>
      <c r="G36" s="87" t="s">
        <v>120</v>
      </c>
      <c r="H36" s="87" t="s">
        <v>119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2:18" ht="15" thickBot="1" x14ac:dyDescent="0.25">
      <c r="B37" s="138"/>
      <c r="C37" s="138"/>
      <c r="D37" s="140"/>
      <c r="E37" s="142"/>
      <c r="F37" s="142"/>
      <c r="G37" s="88" t="s">
        <v>79</v>
      </c>
      <c r="H37" s="88" t="s">
        <v>80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2:18" ht="16.5" thickTop="1" x14ac:dyDescent="0.3">
      <c r="B38" s="89" t="s">
        <v>53</v>
      </c>
      <c r="C38" s="89" t="s">
        <v>131</v>
      </c>
      <c r="D38" s="90" t="s">
        <v>87</v>
      </c>
      <c r="E38" s="136" t="s">
        <v>60</v>
      </c>
      <c r="F38" s="136"/>
      <c r="G38" s="45">
        <v>1500</v>
      </c>
      <c r="H38" s="90">
        <v>0.8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2:18" ht="15.75" x14ac:dyDescent="0.3">
      <c r="B39" s="91" t="s">
        <v>54</v>
      </c>
      <c r="C39" s="91" t="s">
        <v>88</v>
      </c>
      <c r="D39" s="75" t="s">
        <v>135</v>
      </c>
      <c r="E39" s="135" t="s">
        <v>61</v>
      </c>
      <c r="F39" s="135"/>
      <c r="G39" s="44">
        <v>390</v>
      </c>
      <c r="H39" s="75">
        <v>40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2:18" ht="15.75" x14ac:dyDescent="0.3">
      <c r="B40" s="91" t="s">
        <v>55</v>
      </c>
      <c r="C40" s="91" t="s">
        <v>132</v>
      </c>
      <c r="D40" s="75" t="s">
        <v>59</v>
      </c>
      <c r="E40" s="135" t="s">
        <v>63</v>
      </c>
      <c r="F40" s="135"/>
      <c r="G40" s="44">
        <v>700</v>
      </c>
      <c r="H40" s="75">
        <v>2.5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2:18" ht="15.75" x14ac:dyDescent="0.3">
      <c r="B41" s="91" t="s">
        <v>56</v>
      </c>
      <c r="C41" s="91" t="s">
        <v>133</v>
      </c>
      <c r="D41" s="75" t="s">
        <v>136</v>
      </c>
      <c r="E41" s="91" t="s">
        <v>62</v>
      </c>
      <c r="F41" s="91" t="s">
        <v>64</v>
      </c>
      <c r="G41" s="44">
        <v>1140</v>
      </c>
      <c r="H41" s="75" t="s">
        <v>81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2:18" ht="15.75" x14ac:dyDescent="0.3">
      <c r="B42" s="91" t="s">
        <v>57</v>
      </c>
      <c r="C42" s="135" t="s">
        <v>134</v>
      </c>
      <c r="D42" s="135"/>
      <c r="E42" s="91" t="s">
        <v>67</v>
      </c>
      <c r="F42" s="91" t="s">
        <v>65</v>
      </c>
      <c r="G42" s="44">
        <v>1220</v>
      </c>
      <c r="H42" s="75" t="s">
        <v>81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2:18" ht="15.75" x14ac:dyDescent="0.3">
      <c r="B43" s="91" t="s">
        <v>58</v>
      </c>
      <c r="C43" s="135" t="s">
        <v>90</v>
      </c>
      <c r="D43" s="135"/>
      <c r="E43" s="91" t="s">
        <v>68</v>
      </c>
      <c r="F43" s="91" t="s">
        <v>66</v>
      </c>
      <c r="G43" s="44">
        <v>900</v>
      </c>
      <c r="H43" s="75" t="s">
        <v>81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2:18" ht="15.75" x14ac:dyDescent="0.3">
      <c r="B44" s="105" t="s">
        <v>81</v>
      </c>
      <c r="C44" s="122" t="s">
        <v>140</v>
      </c>
      <c r="D44" s="122"/>
      <c r="E44" s="122" t="s">
        <v>196</v>
      </c>
      <c r="F44" s="122"/>
      <c r="G44" s="44">
        <v>1400</v>
      </c>
      <c r="H44" s="105" t="s">
        <v>81</v>
      </c>
      <c r="K44" s="78"/>
      <c r="L44" s="78"/>
      <c r="M44" s="78"/>
      <c r="N44" s="78"/>
      <c r="O44" s="78"/>
      <c r="P44" s="78"/>
      <c r="Q44" s="78"/>
      <c r="R44" s="78"/>
    </row>
    <row r="45" spans="2:18" x14ac:dyDescent="0.2">
      <c r="K45" s="78"/>
      <c r="L45" s="78"/>
      <c r="M45" s="78"/>
      <c r="N45" s="78"/>
      <c r="O45" s="78"/>
      <c r="P45" s="78"/>
      <c r="Q45" s="78"/>
      <c r="R45" s="78"/>
    </row>
    <row r="46" spans="2:18" x14ac:dyDescent="0.2">
      <c r="K46" s="78"/>
      <c r="L46" s="78"/>
      <c r="M46" s="78"/>
      <c r="N46" s="78"/>
      <c r="O46" s="78"/>
      <c r="P46" s="78"/>
      <c r="Q46" s="78"/>
      <c r="R46" s="78"/>
    </row>
    <row r="47" spans="2:18" x14ac:dyDescent="0.2">
      <c r="K47" s="78"/>
      <c r="L47" s="78"/>
      <c r="M47" s="78"/>
      <c r="N47" s="78"/>
      <c r="O47" s="78"/>
      <c r="P47" s="78"/>
      <c r="Q47" s="78"/>
      <c r="R47" s="78"/>
    </row>
    <row r="48" spans="2:18" x14ac:dyDescent="0.2">
      <c r="K48" s="78"/>
      <c r="L48" s="78"/>
      <c r="M48" s="78"/>
      <c r="N48" s="78"/>
      <c r="O48" s="78"/>
      <c r="P48" s="78"/>
      <c r="Q48" s="78"/>
      <c r="R48" s="78"/>
    </row>
    <row r="49" spans="11:18" x14ac:dyDescent="0.2">
      <c r="K49" s="78"/>
      <c r="L49" s="78"/>
      <c r="M49" s="78"/>
      <c r="N49" s="78"/>
      <c r="O49" s="78"/>
      <c r="P49" s="78"/>
      <c r="Q49" s="78"/>
      <c r="R49" s="78"/>
    </row>
  </sheetData>
  <sortState xmlns:xlrd2="http://schemas.microsoft.com/office/spreadsheetml/2017/richdata2" ref="K9:R35">
    <sortCondition ref="K8:K35"/>
  </sortState>
  <mergeCells count="45">
    <mergeCell ref="J2:S2"/>
    <mergeCell ref="K6:K7"/>
    <mergeCell ref="L6:L7"/>
    <mergeCell ref="P6:R6"/>
    <mergeCell ref="M6:O6"/>
    <mergeCell ref="B14:C14"/>
    <mergeCell ref="B29:C29"/>
    <mergeCell ref="A2:I2"/>
    <mergeCell ref="B34:H35"/>
    <mergeCell ref="B23:C23"/>
    <mergeCell ref="B24:C24"/>
    <mergeCell ref="B25:C25"/>
    <mergeCell ref="B26:C26"/>
    <mergeCell ref="B27:C27"/>
    <mergeCell ref="B13:C13"/>
    <mergeCell ref="B10:C10"/>
    <mergeCell ref="B4:H5"/>
    <mergeCell ref="B21:E22"/>
    <mergeCell ref="F6:H6"/>
    <mergeCell ref="F21:H21"/>
    <mergeCell ref="B28:C28"/>
    <mergeCell ref="B30:C30"/>
    <mergeCell ref="B31:C31"/>
    <mergeCell ref="E40:F40"/>
    <mergeCell ref="B36:B37"/>
    <mergeCell ref="C36:C37"/>
    <mergeCell ref="D36:D37"/>
    <mergeCell ref="E36:F37"/>
    <mergeCell ref="B32:C32"/>
    <mergeCell ref="C44:D44"/>
    <mergeCell ref="E44:F44"/>
    <mergeCell ref="K4:R5"/>
    <mergeCell ref="B9:C9"/>
    <mergeCell ref="B11:C11"/>
    <mergeCell ref="B12:C12"/>
    <mergeCell ref="B19:H20"/>
    <mergeCell ref="B6:E7"/>
    <mergeCell ref="B8:C8"/>
    <mergeCell ref="B15:C15"/>
    <mergeCell ref="B16:C16"/>
    <mergeCell ref="B17:C17"/>
    <mergeCell ref="C43:D43"/>
    <mergeCell ref="C42:D42"/>
    <mergeCell ref="E38:F38"/>
    <mergeCell ref="E39:F39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Evaluation criteria calculation</vt:lpstr>
      <vt:lpstr>List1</vt:lpstr>
      <vt:lpstr>Fuel and aditives definition</vt:lpstr>
    </vt:vector>
  </TitlesOfParts>
  <Company>SKODA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Hlavacek, Ondrej 2 (SE TP)</dc:creator>
  <cp:lastModifiedBy>Hlavacek, Ondrej 2 (SE TP)</cp:lastModifiedBy>
  <cp:lastPrinted>2023-10-18T11:42:50Z</cp:lastPrinted>
  <dcterms:created xsi:type="dcterms:W3CDTF">2023-06-30T10:25:23Z</dcterms:created>
  <dcterms:modified xsi:type="dcterms:W3CDTF">2024-01-29T13:18:18Z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2023-06-30T10:25:28Z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b97cdc3d-3ae6-45e6-b7cf-fbb7efb8a7af</vt:lpwstr>
  </property>
  <property fmtid="{D5CDD505-2E9C-101B-9397-08002B2CF9AE}" pid="8" name="MSIP_Label_a6b84135-ab90-4b03-a415-784f8f15a7f1_ContentBits">
    <vt:lpwstr>0</vt:lpwstr>
  </property>
</Properties>
</file>