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\DALSI\201716_JILEMNICE_NOUZOV\04_AD\UPRAVY\DPS II_01_2021\"/>
    </mc:Choice>
  </mc:AlternateContent>
  <bookViews>
    <workbookView xWindow="0" yWindow="0" windowWidth="28800" windowHeight="12450" activeTab="1"/>
  </bookViews>
  <sheets>
    <sheet name="rekapitulace stavby" sheetId="5" r:id="rId1"/>
    <sheet name="rozpocet realizace" sheetId="1" r:id="rId2"/>
    <sheet name="rozpocet nasledna pece" sheetId="4" r:id="rId3"/>
  </sheets>
  <definedNames>
    <definedName name="_xlnm.Print_Area" localSheetId="0">'rekapitulace stavby'!$B$3:$AP$80</definedName>
  </definedNames>
  <calcPr calcId="162913"/>
</workbook>
</file>

<file path=xl/calcChain.xml><?xml version="1.0" encoding="utf-8"?>
<calcChain xmlns="http://schemas.openxmlformats.org/spreadsheetml/2006/main">
  <c r="D44" i="4" l="1"/>
  <c r="D16" i="4" l="1"/>
  <c r="D16" i="1"/>
  <c r="D199" i="1" l="1"/>
  <c r="D161" i="1"/>
  <c r="D162" i="1" s="1"/>
  <c r="D127" i="1"/>
  <c r="BD78" i="5"/>
  <c r="W33" i="5" s="1"/>
  <c r="BC78" i="5"/>
  <c r="AU78" i="5"/>
  <c r="BB78" i="5"/>
  <c r="AX78" i="5" s="1"/>
  <c r="BA78" i="5"/>
  <c r="AW78" i="5" s="1"/>
  <c r="AZ78" i="5"/>
  <c r="AS78" i="5"/>
  <c r="AM73" i="5"/>
  <c r="AM72" i="5"/>
  <c r="AM70" i="5"/>
  <c r="L70" i="5"/>
  <c r="L68" i="5"/>
  <c r="L67" i="5"/>
  <c r="AV78" i="5" l="1"/>
  <c r="AY78" i="5"/>
  <c r="W32" i="5"/>
  <c r="W31" i="5"/>
  <c r="AT78" i="5" l="1"/>
  <c r="D126" i="1"/>
  <c r="F129" i="1"/>
  <c r="D124" i="1" l="1"/>
  <c r="D125" i="1" s="1"/>
  <c r="F125" i="1" s="1"/>
  <c r="D49" i="1"/>
  <c r="D50" i="1" s="1"/>
  <c r="D41" i="1"/>
  <c r="D46" i="1" s="1"/>
  <c r="D138" i="1" l="1"/>
  <c r="D47" i="1"/>
  <c r="D12" i="4"/>
  <c r="D153" i="1"/>
  <c r="D32" i="1"/>
  <c r="F32" i="1" s="1"/>
  <c r="D23" i="1"/>
  <c r="D78" i="1" l="1"/>
  <c r="F78" i="1" s="1"/>
  <c r="D76" i="1"/>
  <c r="F76" i="1" s="1"/>
  <c r="F44" i="4"/>
  <c r="D41" i="4"/>
  <c r="D45" i="4"/>
  <c r="F45" i="4" s="1"/>
  <c r="D43" i="4"/>
  <c r="F43" i="4" s="1"/>
  <c r="D37" i="4"/>
  <c r="D38" i="4" s="1"/>
  <c r="F38" i="4" s="1"/>
  <c r="D27" i="4"/>
  <c r="D19" i="4"/>
  <c r="D13" i="4"/>
  <c r="D14" i="4"/>
  <c r="D55" i="1"/>
  <c r="D20" i="4"/>
  <c r="F20" i="4" s="1"/>
  <c r="D195" i="1"/>
  <c r="D208" i="1"/>
  <c r="D209" i="1" s="1"/>
  <c r="D206" i="1"/>
  <c r="D207" i="1" s="1"/>
  <c r="F207" i="1" s="1"/>
  <c r="F213" i="1"/>
  <c r="D202" i="1"/>
  <c r="F202" i="1" s="1"/>
  <c r="D205" i="1"/>
  <c r="D204" i="1"/>
  <c r="F204" i="1" s="1"/>
  <c r="F199" i="1"/>
  <c r="D198" i="1"/>
  <c r="D197" i="1"/>
  <c r="D201" i="1" s="1"/>
  <c r="F201" i="1" s="1"/>
  <c r="D154" i="1"/>
  <c r="D155" i="1" s="1"/>
  <c r="D214" i="1" l="1"/>
  <c r="F214" i="1" s="1"/>
  <c r="D203" i="1"/>
  <c r="F203" i="1" s="1"/>
  <c r="F41" i="4"/>
  <c r="D42" i="4"/>
  <c r="F42" i="4" s="1"/>
  <c r="D200" i="1"/>
  <c r="F200" i="1" s="1"/>
  <c r="F40" i="4" l="1"/>
  <c r="F121" i="1"/>
  <c r="D109" i="1"/>
  <c r="F109" i="1" s="1"/>
  <c r="F86" i="1"/>
  <c r="F84" i="1"/>
  <c r="F85" i="1"/>
  <c r="F87" i="1"/>
  <c r="F88" i="1"/>
  <c r="F56" i="1"/>
  <c r="D54" i="1"/>
  <c r="F54" i="1" s="1"/>
  <c r="F50" i="1"/>
  <c r="F49" i="1"/>
  <c r="F42" i="1"/>
  <c r="F209" i="1"/>
  <c r="F208" i="1"/>
  <c r="F206" i="1"/>
  <c r="F205" i="1"/>
  <c r="F212" i="1"/>
  <c r="F211" i="1"/>
  <c r="F210" i="1"/>
  <c r="F55" i="1" l="1"/>
  <c r="F195" i="1" l="1"/>
  <c r="F105" i="1"/>
  <c r="D172" i="1"/>
  <c r="F100" i="1"/>
  <c r="F97" i="1"/>
  <c r="D93" i="1"/>
  <c r="D68" i="1"/>
  <c r="D67" i="1"/>
  <c r="F57" i="1"/>
  <c r="D39" i="1"/>
  <c r="F47" i="1" l="1"/>
  <c r="F46" i="1"/>
  <c r="D48" i="1"/>
  <c r="F48" i="1" s="1"/>
  <c r="D173" i="1"/>
  <c r="D166" i="1"/>
  <c r="D163" i="1"/>
  <c r="D156" i="1"/>
  <c r="F156" i="1" s="1"/>
  <c r="D158" i="1"/>
  <c r="F158" i="1" s="1"/>
  <c r="D157" i="1"/>
  <c r="F157" i="1" s="1"/>
  <c r="F155" i="1"/>
  <c r="D150" i="1"/>
  <c r="D144" i="1"/>
  <c r="F144" i="1" s="1"/>
  <c r="D149" i="1"/>
  <c r="F149" i="1" s="1"/>
  <c r="D148" i="1"/>
  <c r="D145" i="1"/>
  <c r="D137" i="1"/>
  <c r="F137" i="1" s="1"/>
  <c r="D135" i="1"/>
  <c r="D133" i="1"/>
  <c r="D134" i="1"/>
  <c r="D130" i="1"/>
  <c r="F130" i="1" s="1"/>
  <c r="F126" i="1"/>
  <c r="F128" i="1"/>
  <c r="D132" i="1"/>
  <c r="F132" i="1" s="1"/>
  <c r="D106" i="1"/>
  <c r="D96" i="1"/>
  <c r="D94" i="1"/>
  <c r="F127" i="1" l="1"/>
  <c r="F138" i="1"/>
  <c r="F135" i="1"/>
  <c r="D136" i="1"/>
  <c r="F136" i="1" s="1"/>
  <c r="F134" i="1"/>
  <c r="F133" i="1"/>
  <c r="D74" i="1"/>
  <c r="D77" i="1" s="1"/>
  <c r="F77" i="1" s="1"/>
  <c r="D73" i="1"/>
  <c r="F64" i="1"/>
  <c r="F63" i="1"/>
  <c r="F62" i="1"/>
  <c r="F61" i="1"/>
  <c r="D53" i="1"/>
  <c r="D43" i="1"/>
  <c r="D33" i="1"/>
  <c r="D34" i="1"/>
  <c r="F20" i="1"/>
  <c r="F19" i="1" s="1"/>
  <c r="D15" i="1"/>
  <c r="F124" i="1" l="1"/>
  <c r="F32" i="4" l="1"/>
  <c r="F27" i="4"/>
  <c r="D26" i="4"/>
  <c r="F26" i="4" s="1"/>
  <c r="F25" i="4"/>
  <c r="D24" i="4"/>
  <c r="F24" i="4" s="1"/>
  <c r="F23" i="4"/>
  <c r="F16" i="4"/>
  <c r="D30" i="4"/>
  <c r="D22" i="4"/>
  <c r="F19" i="4"/>
  <c r="D18" i="4"/>
  <c r="F18" i="4" s="1"/>
  <c r="D17" i="4"/>
  <c r="F17" i="4" s="1"/>
  <c r="F13" i="4"/>
  <c r="F12" i="4"/>
  <c r="D39" i="4" l="1"/>
  <c r="F39" i="4" s="1"/>
  <c r="D36" i="4"/>
  <c r="F36" i="4" s="1"/>
  <c r="D33" i="4"/>
  <c r="F33" i="4" s="1"/>
  <c r="D34" i="4"/>
  <c r="D35" i="4" s="1"/>
  <c r="F35" i="4" s="1"/>
  <c r="D15" i="4"/>
  <c r="D28" i="4"/>
  <c r="F28" i="4" s="1"/>
  <c r="F14" i="4"/>
  <c r="F60" i="1"/>
  <c r="F30" i="1"/>
  <c r="D24" i="1"/>
  <c r="D111" i="1"/>
  <c r="F111" i="1" s="1"/>
  <c r="D147" i="1"/>
  <c r="D140" i="1"/>
  <c r="F108" i="1"/>
  <c r="D110" i="1"/>
  <c r="D112" i="1"/>
  <c r="F112" i="1" s="1"/>
  <c r="D113" i="1"/>
  <c r="F113" i="1" s="1"/>
  <c r="D114" i="1"/>
  <c r="F114" i="1" s="1"/>
  <c r="D115" i="1"/>
  <c r="F115" i="1" s="1"/>
  <c r="D116" i="1"/>
  <c r="F116" i="1" s="1"/>
  <c r="D117" i="1"/>
  <c r="F117" i="1" s="1"/>
  <c r="D118" i="1"/>
  <c r="D119" i="1" s="1"/>
  <c r="F119" i="1" s="1"/>
  <c r="D120" i="1"/>
  <c r="D169" i="1"/>
  <c r="D170" i="1" s="1"/>
  <c r="F170" i="1" s="1"/>
  <c r="F22" i="4" l="1"/>
  <c r="F110" i="1"/>
  <c r="D122" i="1"/>
  <c r="F122" i="1" s="1"/>
  <c r="D141" i="1"/>
  <c r="F141" i="1" s="1"/>
  <c r="F120" i="1"/>
  <c r="D131" i="1"/>
  <c r="F131" i="1" s="1"/>
  <c r="F123" i="1" s="1"/>
  <c r="F34" i="4"/>
  <c r="F15" i="4"/>
  <c r="F11" i="4" s="1"/>
  <c r="F37" i="4"/>
  <c r="F31" i="4"/>
  <c r="F118" i="1"/>
  <c r="F107" i="1" l="1"/>
  <c r="F30" i="4"/>
  <c r="F47" i="4" s="1"/>
  <c r="D142" i="1"/>
  <c r="D159" i="1" s="1"/>
  <c r="F159" i="1" s="1"/>
  <c r="F143" i="1"/>
  <c r="D40" i="1"/>
  <c r="F51" i="4" l="1"/>
  <c r="F154" i="1"/>
  <c r="F52" i="4" l="1"/>
  <c r="F53" i="4" s="1"/>
  <c r="AK26" i="5"/>
  <c r="F48" i="4"/>
  <c r="F49" i="4" s="1"/>
  <c r="F18" i="1"/>
  <c r="D171" i="1" l="1"/>
  <c r="D151" i="1"/>
  <c r="D152" i="1" s="1"/>
  <c r="F152" i="1" s="1"/>
  <c r="F150" i="1"/>
  <c r="F148" i="1"/>
  <c r="D146" i="1"/>
  <c r="F140" i="1"/>
  <c r="F153" i="1"/>
  <c r="F96" i="1"/>
  <c r="D101" i="1"/>
  <c r="F106" i="1"/>
  <c r="F104" i="1"/>
  <c r="D99" i="1"/>
  <c r="F99" i="1" s="1"/>
  <c r="D95" i="1"/>
  <c r="F95" i="1" s="1"/>
  <c r="F94" i="1"/>
  <c r="F93" i="1"/>
  <c r="D92" i="1"/>
  <c r="D98" i="1" s="1"/>
  <c r="F98" i="1" s="1"/>
  <c r="F71" i="1"/>
  <c r="F70" i="1"/>
  <c r="F69" i="1"/>
  <c r="D66" i="1"/>
  <c r="F182" i="1"/>
  <c r="D176" i="1"/>
  <c r="F189" i="1"/>
  <c r="D184" i="1"/>
  <c r="D185" i="1" s="1"/>
  <c r="F185" i="1" s="1"/>
  <c r="F183" i="1"/>
  <c r="F181" i="1"/>
  <c r="F164" i="1"/>
  <c r="F168" i="1"/>
  <c r="F166" i="1"/>
  <c r="F174" i="1"/>
  <c r="F90" i="1"/>
  <c r="F89" i="1"/>
  <c r="D81" i="1"/>
  <c r="F81" i="1" s="1"/>
  <c r="D80" i="1"/>
  <c r="F80" i="1" s="1"/>
  <c r="D79" i="1"/>
  <c r="F79" i="1" s="1"/>
  <c r="F74" i="1"/>
  <c r="F73" i="1"/>
  <c r="D72" i="1"/>
  <c r="F72" i="1" s="1"/>
  <c r="F68" i="1"/>
  <c r="F67" i="1"/>
  <c r="D180" i="1" l="1"/>
  <c r="F180" i="1" s="1"/>
  <c r="D177" i="1"/>
  <c r="F177" i="1" s="1"/>
  <c r="F162" i="1"/>
  <c r="D175" i="1"/>
  <c r="F175" i="1" s="1"/>
  <c r="D178" i="1"/>
  <c r="F178" i="1" s="1"/>
  <c r="D186" i="1"/>
  <c r="F145" i="1"/>
  <c r="F147" i="1"/>
  <c r="F151" i="1"/>
  <c r="F146" i="1"/>
  <c r="F101" i="1"/>
  <c r="D102" i="1"/>
  <c r="F92" i="1"/>
  <c r="F66" i="1"/>
  <c r="D179" i="1"/>
  <c r="D188" i="1"/>
  <c r="F188" i="1" s="1"/>
  <c r="F184" i="1"/>
  <c r="F163" i="1"/>
  <c r="F161" i="1"/>
  <c r="F165" i="1"/>
  <c r="F167" i="1"/>
  <c r="F169" i="1"/>
  <c r="D82" i="1"/>
  <c r="F179" i="1" l="1"/>
  <c r="F186" i="1"/>
  <c r="D187" i="1"/>
  <c r="D190" i="1" s="1"/>
  <c r="F190" i="1" s="1"/>
  <c r="F102" i="1"/>
  <c r="D103" i="1"/>
  <c r="F103" i="1" s="1"/>
  <c r="F82" i="1"/>
  <c r="D83" i="1"/>
  <c r="F83" i="1" s="1"/>
  <c r="F142" i="1"/>
  <c r="F139" i="1" s="1"/>
  <c r="F171" i="1"/>
  <c r="F173" i="1"/>
  <c r="F172" i="1"/>
  <c r="F65" i="1" l="1"/>
  <c r="F91" i="1"/>
  <c r="F160" i="1"/>
  <c r="F187" i="1"/>
  <c r="F176" i="1" s="1"/>
  <c r="D194" i="1" l="1"/>
  <c r="D193" i="1"/>
  <c r="F193" i="1" s="1"/>
  <c r="D192" i="1"/>
  <c r="F192" i="1" s="1"/>
  <c r="F59" i="1"/>
  <c r="F58" i="1"/>
  <c r="D52" i="1"/>
  <c r="F52" i="1" s="1"/>
  <c r="D51" i="1"/>
  <c r="F51" i="1" s="1"/>
  <c r="D44" i="1"/>
  <c r="F44" i="1" s="1"/>
  <c r="F43" i="1"/>
  <c r="F41" i="1"/>
  <c r="F40" i="1"/>
  <c r="F39" i="1"/>
  <c r="D38" i="1"/>
  <c r="F38" i="1" s="1"/>
  <c r="F35" i="1"/>
  <c r="F34" i="1"/>
  <c r="F29" i="1"/>
  <c r="F28" i="1"/>
  <c r="F27" i="1"/>
  <c r="F23" i="1"/>
  <c r="F194" i="1" l="1"/>
  <c r="F191" i="1" s="1"/>
  <c r="F45" i="1"/>
  <c r="F53" i="1"/>
  <c r="F33" i="1"/>
  <c r="F31" i="1" s="1"/>
  <c r="F15" i="1"/>
  <c r="F16" i="1"/>
  <c r="D17" i="1"/>
  <c r="F17" i="1" s="1"/>
  <c r="F14" i="1" l="1"/>
  <c r="F197" i="1"/>
  <c r="F198" i="1"/>
  <c r="F196" i="1" l="1"/>
  <c r="F37" i="1"/>
  <c r="D25" i="1"/>
  <c r="F24" i="1"/>
  <c r="F36" i="1" l="1"/>
  <c r="F25" i="1"/>
  <c r="D26" i="1"/>
  <c r="F26" i="1" s="1"/>
  <c r="F22" i="1" l="1"/>
  <c r="F21" i="1" s="1"/>
  <c r="F13" i="1" l="1"/>
  <c r="F218" i="1" s="1"/>
  <c r="AG78" i="5" l="1"/>
  <c r="AK25" i="5"/>
  <c r="W29" i="5"/>
  <c r="F219" i="1"/>
  <c r="AK29" i="5" s="1"/>
  <c r="F220" i="1" l="1"/>
  <c r="AN78" i="5" s="1"/>
  <c r="AK35" i="5" l="1"/>
</calcChain>
</file>

<file path=xl/sharedStrings.xml><?xml version="1.0" encoding="utf-8"?>
<sst xmlns="http://schemas.openxmlformats.org/spreadsheetml/2006/main" count="920" uniqueCount="352">
  <si>
    <t>Ceníková položka</t>
  </si>
  <si>
    <t>Popis</t>
  </si>
  <si>
    <t>MJ</t>
  </si>
  <si>
    <t>Množství</t>
  </si>
  <si>
    <t>J.cena [CZK]</t>
  </si>
  <si>
    <t>Cena celkem [CZK]</t>
  </si>
  <si>
    <t>m2</t>
  </si>
  <si>
    <t>ks</t>
  </si>
  <si>
    <t>R</t>
  </si>
  <si>
    <t>122 91-111</t>
  </si>
  <si>
    <t>Hloubení rýh pro instalaci protikořenových bariér do 600mm v rovině</t>
  </si>
  <si>
    <t>183 11-7111</t>
  </si>
  <si>
    <t>m</t>
  </si>
  <si>
    <t>Instalace protikořenových bariér včetně zásypu v rovině do hloubky 500mm</t>
  </si>
  <si>
    <t>183 10-6611</t>
  </si>
  <si>
    <t>použitá zemina musí splňovat nároky ČSN 83 9011. Půdní struktura, obsah živin, obsah vzduchu a humusu bude v souladu s ČSN 83 9011</t>
  </si>
  <si>
    <t>M</t>
  </si>
  <si>
    <t>m3</t>
  </si>
  <si>
    <t>kg</t>
  </si>
  <si>
    <t>Doprava</t>
  </si>
  <si>
    <t>soubor</t>
  </si>
  <si>
    <t>Voda na zálivku (cca 100l/strom)</t>
  </si>
  <si>
    <t>184000R</t>
  </si>
  <si>
    <t>Ošetření kořenů řezem</t>
  </si>
  <si>
    <t xml:space="preserve">    ks</t>
  </si>
  <si>
    <t>Hloubení jamek s 50% výměnou, s případným s případným naložením přebytečných výkopků na dopravní prostředek, odvozem na vzdálenost do 20 km a se složením v rovině</t>
  </si>
  <si>
    <t>Úvazky</t>
  </si>
  <si>
    <t>kus</t>
  </si>
  <si>
    <t>Náklady na dopravu</t>
  </si>
  <si>
    <t>Ochranný nátěr kmene stromu, např. Arboflexem, včetně dodávky materiálu</t>
  </si>
  <si>
    <t>183 10-1221</t>
  </si>
  <si>
    <t>185 80-4312</t>
  </si>
  <si>
    <t>Kořenová bariéra, např. Root control</t>
  </si>
  <si>
    <t>183 40-3153</t>
  </si>
  <si>
    <t>Obdělání půdy hrabáním (2x)</t>
  </si>
  <si>
    <t>Obdělání půdy válením</t>
  </si>
  <si>
    <t>183 40-3161</t>
  </si>
  <si>
    <t>185 80-3111</t>
  </si>
  <si>
    <t>Založení lučního trávníku výsevem plochy do 1000 m2 v rovině nebo na svahu do 1:5 Založení trávníku na půdě předem připravené výsevem</t>
  </si>
  <si>
    <t>181 41-1121</t>
  </si>
  <si>
    <t>Výsadba cibulí do připravené půdy se zalitím</t>
  </si>
  <si>
    <t>Hloubení jamek bez výměny v rovině, do 0,000 m3</t>
  </si>
  <si>
    <t>183 10-1111</t>
  </si>
  <si>
    <t>183 21-1313</t>
  </si>
  <si>
    <t>Trávníkový substrát: kvalitní trávníkový substrát ze světlé a tmavé rašeliny, zeleného kompostu a písku pro vylepšení drenážních vlastností a provzdušnění vegetační vrstvy. Substrát nesmí obsahovat žádná chemická hnojiva a obsahu</t>
  </si>
  <si>
    <t>CELKEM CENA BEZ DPH</t>
  </si>
  <si>
    <t xml:space="preserve">specifikace velikosti rostlin a jejich kvality v TZ nutné respektovat! Rostliny musí odpovídat druhové a odrůdové specifikaci. Jakékoliv změny, popř. alternativy,  je zhotovitel povinen konzultovat předem s AD. </t>
  </si>
  <si>
    <t xml:space="preserve">typy výrobků, výrobce a dodavatelé uvádění v této PD (TZ, výkresy, rozpočet a výkaz výměr) jsou uváděny jako referenční.  Dokumentují požadované vlastnosti, kvalitu, estetický standard a technické parametry.  Jiný obdobný výrobek musí splňovat minimálně ty hodnoty, které má referenční výrobek.  Neznamená to, že musí být dodán výhradně popisovaný výrobek od uvedeného výrobce. </t>
  </si>
  <si>
    <t>185 85-1121</t>
  </si>
  <si>
    <t>Dovoz vody na zálivku na vzdálenost do 1000m</t>
  </si>
  <si>
    <t>zálivka v rámci realizace bude účtována dle skutečné potřeby v závislosti na termínu realizace</t>
  </si>
  <si>
    <t>Voda na zálivku</t>
  </si>
  <si>
    <t>Zalití rostlin vodou plocha přes 20 m2, zalití dřevin na začátku a v průběhu stavby (dle potřeby v závislosti na počasí)</t>
  </si>
  <si>
    <t>185 85-1129</t>
  </si>
  <si>
    <t>Příplatek k ceně za každých napočatých 1000m, předpokládaná vzdálenost 5000m</t>
  </si>
  <si>
    <t>Doprava, odvoz a likvidace odpadu</t>
  </si>
  <si>
    <t>Zalití rostlin vodou (100l/strom), dle potřeby v závislosti na počasí, dle potřeby v závislosti na počasí), počítáno 10x do předání stavby</t>
  </si>
  <si>
    <t>Zalití rostlin vodou plocha přes 20 m2, dle potřeby v závislosti na počasí, 10x do předání stavby</t>
  </si>
  <si>
    <t>Ošetření trávníku v rovině a na svahu do 1:5, 3x do předání stavby</t>
  </si>
  <si>
    <t xml:space="preserve">IB / VÝSADBA STROMU S VÝSADBOU TRVALEK </t>
  </si>
  <si>
    <t xml:space="preserve">IC / VÝSADBA STROMU V POVRCHU Z EPDM </t>
  </si>
  <si>
    <t xml:space="preserve">IIA / ZALOŽENÍ TRÁVNÍKU V MÍSTĚ PRŮLEHU </t>
  </si>
  <si>
    <t>III / ZALOŽENÍ ZÁHONU PŮDOPOKRYVNÝCH ROSTLIN</t>
  </si>
  <si>
    <t>IV / VÝSADBA POPÍNAVÝCH ROSTLIN</t>
  </si>
  <si>
    <t>V / VÝSADBA CIBULOVIN V TRÁVNÍKU</t>
  </si>
  <si>
    <t>Doplnění trávníkového substrátu tl. 100mm</t>
  </si>
  <si>
    <t xml:space="preserve">Obdělání půdy hrabáním </t>
  </si>
  <si>
    <t>Substrát typ A (štěrk ostrohranný frakce 4/8 mm   20%, štěrk ostrohranný frakce 8/16 mm 40%, organický kompost (min. 10% humusu) 10%, hlinito-písčitá půda 20%, písek říční praný 10%
hydrogel 1 kg/m3)</t>
  </si>
  <si>
    <t>Mulčování součástí III - založení záhonu půdopokryvných rostlin</t>
  </si>
  <si>
    <t>Acer pseudoplatanus Vk, 2xp, v koruny 280, ok14-16</t>
  </si>
  <si>
    <t>Prunus avium ´Plena´ Vk, 3xp, v koruny 280, ok16-18</t>
  </si>
  <si>
    <t xml:space="preserve">Voda na zálivku </t>
  </si>
  <si>
    <t xml:space="preserve">    </t>
  </si>
  <si>
    <t>Hnojivo Silvamix forte 60</t>
  </si>
  <si>
    <t>Doplnění substrátu ve výšce 200mm / počítáno 300mm pro slehnutí</t>
  </si>
  <si>
    <t>Doplnění substrátu do výsadbové jamky</t>
  </si>
  <si>
    <t>Lonicera henryi, 80-100, ko 2 l</t>
  </si>
  <si>
    <t>Vinca minor´Alba´, K9</t>
  </si>
  <si>
    <t>Pohození směsí písku (typ PR 31) a trávníkového substrátu ve vrstvě 5 mm včetně materiálu</t>
  </si>
  <si>
    <t>Vinca minor, K9</t>
  </si>
  <si>
    <t>Dodání materiálu na strukturní substrát :
štěrkodrť fr. 32/63 (optimálně žula)   85%
organický kompost      7,5 %
biouhel fr. 0/10 mm     7,5 %
hydrogel      1 kg/m3</t>
  </si>
  <si>
    <t>Substrát:
- ve svrchní části jámy substrát složený z 40% ornice, 30% písek 0-2mm, 30% zahradnického kompostu
- v dolní části provzdušněná ornice</t>
  </si>
  <si>
    <t xml:space="preserve">Založení lučního trávníku výsevem plochy do 1000 m2 v rovině nebo na svahu do 1:5 </t>
  </si>
  <si>
    <t>Pohnojení minerálním hnojivem se stabilizátorem amonné formy dusíku (např. Entec perfekt) 30g/m2 včetně materiálu</t>
  </si>
  <si>
    <t>Ornice: musí splňovat ČSN 83 9011, musí splňovat nároky na propustnost dle SO 303. V případě kladného posouzení bude použita ornice ze skrývky. Tl. 200mm</t>
  </si>
  <si>
    <t>TD bude přítomen při převzetí výpěstků dřevin na místě před vysazením</t>
  </si>
  <si>
    <t>Řez výchovný alejový strom do 6m výšky</t>
  </si>
  <si>
    <t>184 85-2312</t>
  </si>
  <si>
    <t>Prvky podzemního kotvení, viz TZ</t>
  </si>
  <si>
    <t>Obdělání půdy válením (2x)</t>
  </si>
  <si>
    <t>Akebia quinata, 80-100, ko 2 l</t>
  </si>
  <si>
    <t>Lonicera caprifolia, 80-100, ko 2 l</t>
  </si>
  <si>
    <t>štěpka vzniklá zpracováním pokácených dřevin bude využita při realizaci či předána zadavateli</t>
  </si>
  <si>
    <t>Ruční výkop / hlouvení rýhy v kořenové zóně stromů do  šíře 300mm, hl. 200mm  (počítáno 3x300mm šířky), rozsah bude určen na místě arboristou</t>
  </si>
  <si>
    <t>Tilia x europeaea Vk, 2xp, v koruny 280, ok14-16</t>
  </si>
  <si>
    <t>Quercus petrea Vk, 3xp, v koruny 280, ok16-18</t>
  </si>
  <si>
    <t>Tilia x europeaea Vk, 2xp, v koruny 280, ok16-18</t>
  </si>
  <si>
    <t>KOMUNIKACE A INŽENÝRSKÉ SÍTĚ OS JILEMNICE NOUZOV</t>
  </si>
  <si>
    <t>SO 801 VEGETAČNÍ ÚPRAVY</t>
  </si>
  <si>
    <t>Odstraňování výmladků, planých výhonů</t>
  </si>
  <si>
    <t>t</t>
  </si>
  <si>
    <t>Kontrola kotvení, příp. oprava vč.materiálu</t>
  </si>
  <si>
    <t>1849210R</t>
  </si>
  <si>
    <t>Mulčování výsadby, tl. mulče 70mm- doplnění mulče</t>
  </si>
  <si>
    <t>3 – 10</t>
  </si>
  <si>
    <t>SO 801 VEGETAČNÍ ÚPRAVY / NÁSLEDNÁ PÉČE NA 2 ROKY</t>
  </si>
  <si>
    <t>Četnost / rok</t>
  </si>
  <si>
    <t>Dosadby rostlin se zalitím</t>
  </si>
  <si>
    <t>1 – 4</t>
  </si>
  <si>
    <t>6-8 týdnů po odkvětu nechat zatáhnout cibuloviny</t>
  </si>
  <si>
    <t>Navádění rostlin na podporu a dočasné upevnění</t>
  </si>
  <si>
    <t>Udržovací řez</t>
  </si>
  <si>
    <t>CELKEM CENA ZA 1 ROK BEZ DPH</t>
  </si>
  <si>
    <t>CELKEM ZA 1 ROK DPH</t>
  </si>
  <si>
    <t>CELKEM CENA ZA 1 ROK S DPH</t>
  </si>
  <si>
    <t>CELKEM CENA ZA 2 ROKY BEZ DPH</t>
  </si>
  <si>
    <t>CELKEM ZA 2 ROKY DPH</t>
  </si>
  <si>
    <t>Poznámka</t>
  </si>
  <si>
    <t>IV / POPÍNAVÉ ROSTLINY</t>
  </si>
  <si>
    <t>III / ZÁHON PŮDOPOKRYVNÝCH ROSTLIN</t>
  </si>
  <si>
    <t>Znovuvyvázání dřeviny jedním úvazkem ke stávajícímu kůlu</t>
  </si>
  <si>
    <t xml:space="preserve"> 3-7</t>
  </si>
  <si>
    <t xml:space="preserve">zálivka v rámci následné péče bude účtována dle skutečné potřeby </t>
  </si>
  <si>
    <t xml:space="preserve">Zalití rostlin vodou (100l/strom), dle potřeby v závislosti na počasí, dle potřeby v závislosti na počasí), počítáno 7x </t>
  </si>
  <si>
    <t>počítáno 10%, účtováno dle reálně vysazených rostlin</t>
  </si>
  <si>
    <t>Zalití rostlin vodou plocha přes 20 m2,20l/m2, počítáno 10x</t>
  </si>
  <si>
    <t>Rostliny k dosadbě</t>
  </si>
  <si>
    <t>počítáno 4x</t>
  </si>
  <si>
    <t>Kompost</t>
  </si>
  <si>
    <t>dle potřeby</t>
  </si>
  <si>
    <t>Zalití dřeviny vodou přes 20m2, 20 l / popínavka</t>
  </si>
  <si>
    <t>počítáno 10x, účtováno dle skutečné potřeby</t>
  </si>
  <si>
    <t>počítáno 7x, účtováno dle skutečné potřeby</t>
  </si>
  <si>
    <t>AKTUALIZACE 01/2021</t>
  </si>
  <si>
    <t>Odstranění vyfrézované dřevní hmoty do hloubky 200 mm</t>
  </si>
  <si>
    <t>B.2.1  ODSTRANĚNÍ DŘEVIN</t>
  </si>
  <si>
    <t>B.2 PŘÍPRAVA ÚZEMÍ</t>
  </si>
  <si>
    <t>B.3 OCHRANA DŘEVIN NA STAVENIŠTI</t>
  </si>
  <si>
    <t>B.3.2 RUČNÍ VÝKOP</t>
  </si>
  <si>
    <t>Půdní kondicionér</t>
  </si>
  <si>
    <t>B.4 REALIZACE STRUKTURNÍHO SUBSTRÁTU</t>
  </si>
  <si>
    <t>Realizace strukturního substrátu viz TZ B.4 za kontroly arboristy, rozsah může být změněn po odborném úsudku arboristy</t>
  </si>
  <si>
    <t>B.6 TECHNOLOGIE ZALOŽENÍ VEGETAČNÍCH PRVKŮ</t>
  </si>
  <si>
    <t xml:space="preserve">IA / VÝSADBA STROMU V TRÁVNÍKU </t>
  </si>
  <si>
    <t>Sorbus aucuparia Vk, 2xp, v koruny 280, ok12-14</t>
  </si>
  <si>
    <t>Prunus avium ´Plena´ Vk, 2xp, v koruny 280, ok12-14</t>
  </si>
  <si>
    <t>Amelanchier lamarckii ´Ballerina´ Vk, 2xp, v koruny 280, ok 12-14</t>
  </si>
  <si>
    <t>Sorbus aucuparia var. Edulis polokmen, ok12-14</t>
  </si>
  <si>
    <t>Prunus domestica polokmen, ok12-14</t>
  </si>
  <si>
    <t>Malus Rokytnická polokmen, ok12-14</t>
  </si>
  <si>
    <t>Substrát typ A (štěrk ostrohranný frakce 4/8 mm   20%, štěrk ostrohranný frakce 8/16 mm 40%, organický kompost (min. 10% humusu) 10%, hlinito-písčitá půda 20%, písek říční praný 10%, hydrogel 1 kg/m3)</t>
  </si>
  <si>
    <r>
      <t xml:space="preserve">Travní osivo (30 g/m2):
</t>
    </r>
    <r>
      <rPr>
        <sz val="6"/>
        <color rgb="FF0070C0"/>
        <rFont val="Arial Narrow"/>
        <family val="2"/>
        <charset val="238"/>
      </rPr>
      <t>Lolium perenne 40%, Festuca rubra rubra 15%, Festuca rubra trichophylla 13%, Poa pratensis 30%,  Achillea millefolium 2% 
+ přimíchat do směsi před osetím 0,5-1g /m2 Trifolium repens</t>
    </r>
  </si>
  <si>
    <t>Test ornice dle požadavků projektu, část SO 303</t>
  </si>
  <si>
    <t>IIC / ZALOŽENÍ ZÁTĚŽOVÉHO ŠTĚRKOVÉHO TRÁVNÍKU</t>
  </si>
  <si>
    <t>IIB / ZALOŽENÍ TRÁVNÍKU</t>
  </si>
  <si>
    <t>Obdělání půdy hrabáním (1x)</t>
  </si>
  <si>
    <t>Drcené kamenivo fr. 4-8 mm</t>
  </si>
  <si>
    <t>Navezení drceného kameniva fr. 4-8 mm ve vrstvě tl.60mm, lokální zapravení kultivací, statické uválení ( v průchodu)</t>
  </si>
  <si>
    <t>kladecí vrstva pod nášlapy / písek fr. 4-8mm, 50mm</t>
  </si>
  <si>
    <t xml:space="preserve">kamenná drť fr. 2-4mm mezi nášlapy, tl. 80 mm                                     </t>
  </si>
  <si>
    <t>betonové nášlapy (300x600x80mm), 3ks / m délky</t>
  </si>
  <si>
    <t>Substrát složený z ornice a kompostu (1m3 / 100m2), upřednostněno je využití ornice z místa</t>
  </si>
  <si>
    <t>Trvalkový substrát složený z ornice a kompostu (1m3 / 100m2), upřednostněno je využití ornice z místa</t>
  </si>
  <si>
    <t>Anemone blanda směs C5+</t>
  </si>
  <si>
    <t>184102116</t>
  </si>
  <si>
    <t>Výsadba dřeviny s balem do předem vyhloubené jamky se zalitím  v rovině nebo na svahu do 1:5, při průměru balu přes 600 do 800 mm</t>
  </si>
  <si>
    <t>184816111</t>
  </si>
  <si>
    <t>Hnojení sazenic  průmyslovými hnojivy v množství do 0,25 kg k jedné sazenici, 7 ks k 1 rostlině</t>
  </si>
  <si>
    <t>CS ÚRS 2020 02</t>
  </si>
  <si>
    <t>CS ÚRS 2017</t>
  </si>
  <si>
    <t>184215413</t>
  </si>
  <si>
    <t>Zhotovení závlahové mísy u solitérních dřevin v rovině nebo na svahu do 1:5, o průměru mísy přes 1 m</t>
  </si>
  <si>
    <t>184801121</t>
  </si>
  <si>
    <t>Ošetření vysazených dřevin  solitérních v rovině nebo na svahu do 1:5</t>
  </si>
  <si>
    <t>K</t>
  </si>
  <si>
    <t>183101321</t>
  </si>
  <si>
    <t>Hloubení jamek pro vysazování rostlin v zemině tř.1 až 4 s výměnou půdy z 100% v rovině nebo na svahu do 1:5, objemu přes 0,40 do 1,00 m3</t>
  </si>
  <si>
    <t>hnojivo postupně rozpustné k rostlinám - tablety  10g 
Pomalu rozpustné tabletové minerální hnojivo s vysokým obsahem živin s dlouhodobým uvolňováním, ve formě tablet 7ks x 10g/strom (např. Silvamix)</t>
  </si>
  <si>
    <t>184215412</t>
  </si>
  <si>
    <t>Zhotovení závlahové mísy u solitérních dřevin v rovině nebo na svahu do 1:5, o průměru mísy přes 0,5 do 1 m</t>
  </si>
  <si>
    <t>184215212</t>
  </si>
  <si>
    <t>Ukotvení dřeviny podzemním kotvením do volné zeminy tř. 1 až 4, obvodu kmene přes 250 do 400 mm</t>
  </si>
  <si>
    <t>69311080</t>
  </si>
  <si>
    <t>geotextilie netkaná separační, ochranná, filtrační, drenážní PES 200g/m2</t>
  </si>
  <si>
    <t>183403153</t>
  </si>
  <si>
    <t>183205111</t>
  </si>
  <si>
    <t>Založení záhonu pro výsadbu rostlin v rovině nebo na svahu do 1:5 v zemině tř. 1 až 2</t>
  </si>
  <si>
    <t>183111111</t>
  </si>
  <si>
    <t>Hloubení jamek pro vysazování rostlin v zemině tř.1 až 4 bez výměny půdy  v rovině nebo na svahu do 1:5, objemu do 0,002 m3</t>
  </si>
  <si>
    <t>183211312</t>
  </si>
  <si>
    <t>Výsadba květin do připravené půdy se zalitím do připravené půdy, se zalitím trvalek</t>
  </si>
  <si>
    <t>185804311</t>
  </si>
  <si>
    <t>Zalití rostlin vodou plochy záhonů jednotlivě do 20 m2</t>
  </si>
  <si>
    <t>Zalití rostlin vodou plochy záhonů jednotlivě do 20 m2, 8x</t>
  </si>
  <si>
    <t>184911421</t>
  </si>
  <si>
    <t>Mulčování vysazených rostlin mulčovací kůrou, tl. do 100 mm v rovině nebo na svahu do 1:5</t>
  </si>
  <si>
    <t>kůra mulčovací VL
Trvalkový mulč, 100mm</t>
  </si>
  <si>
    <r>
      <t xml:space="preserve">kůra mulčovací VL
Trvalkový mulč, 100mm
</t>
    </r>
    <r>
      <rPr>
        <i/>
        <sz val="9"/>
        <color theme="0" tint="-0.499984740745262"/>
        <rFont val="Arial Narrow"/>
        <family val="2"/>
        <charset val="238"/>
      </rPr>
      <t>73*0,1 'Přepočtené koeficientem množství</t>
    </r>
  </si>
  <si>
    <t>kamenivo těžené hrubé frakce 8/16</t>
  </si>
  <si>
    <t>58333651</t>
  </si>
  <si>
    <t>CS ÚRS 2020 01</t>
  </si>
  <si>
    <t>181411131</t>
  </si>
  <si>
    <t>Založení parkového trávníku výsevem plochy do 1000 m2 v rovině a ve svahu do 1:5</t>
  </si>
  <si>
    <t>181351003</t>
  </si>
  <si>
    <t>Rozprostření ornice tl vrstvy do 200 mm pl do 100 m2 v rovině nebo ve svahu do 1:5 strojně</t>
  </si>
  <si>
    <t>185804312</t>
  </si>
  <si>
    <t>VI / VÝSADBA KEŘE</t>
  </si>
  <si>
    <t>184911422</t>
  </si>
  <si>
    <t>Mulčování vysazených rostlin mulčovací kůrou, tl. do 100 mm na svahu přes 1:5 do 1:2</t>
  </si>
  <si>
    <t>184851413</t>
  </si>
  <si>
    <t>185851121</t>
  </si>
  <si>
    <t>Dovoz vody pro zálivku rostlin  na vzdálenost do 1000 m</t>
  </si>
  <si>
    <t>112251212</t>
  </si>
  <si>
    <t>174111112</t>
  </si>
  <si>
    <t>Zásyp jam po vyfrézovaných pařezech hloubky do 200 mm na svahu přes 1:5 do 1:2</t>
  </si>
  <si>
    <t>184215133</t>
  </si>
  <si>
    <t>Ukotvení dřeviny kůly třemi kůly, délky přes 2 do 3 m</t>
  </si>
  <si>
    <t>60591255</t>
  </si>
  <si>
    <t>kůl vyvazovací dřevěný impregnovaný D 8cm dl 2,5m</t>
  </si>
  <si>
    <t>kůl vyvazovací dřevěný impregnovaný D 6cm dl 2m</t>
  </si>
  <si>
    <t>605912X1</t>
  </si>
  <si>
    <t>spojovací příčky dřevěné impregnované (dle PD)</t>
  </si>
  <si>
    <t>184201111</t>
  </si>
  <si>
    <t>Výsadba stromů bez balu do předem vyhloubené jamky se zalitím  v rovině nebo na svahu do 1:5, při výšce kmene do 1,8 m</t>
  </si>
  <si>
    <t>184215113</t>
  </si>
  <si>
    <t>Ukotvení dřeviny kůly jedním kůlem, délky přes 2 do 3 m</t>
  </si>
  <si>
    <t>Zalití rostlin vodou plochy záhonů jednotlivě do 20 m2 (100l/strom, 50l ovocný strom), dle potřeby v závislosti na počasí, dle potřeby v závislosti na počasí), počítáno 10x do předání stavby</t>
  </si>
  <si>
    <t>kůra mulčovací VL, (cca 0,2m3/1strom)</t>
  </si>
  <si>
    <t>Hnojivo postupně rozpustné k rostlinám - tablety  10g 
Pomalu rozpustné tabletové minerální hnojivo s vysokým obsahem živin s dlouhodobým uvolňováním, ve formě tablet 7ks x 10g/strom (např. Silvamix)</t>
  </si>
  <si>
    <t>Odstranění pařezu odfrézováním nebo odvrtáním hloubky do 200 mm na svahu přes 1:5 do 1:2 (počítáno 8 nadprůměrných dřevin)</t>
  </si>
  <si>
    <t>popis cenových položek se řídí Katalogem popisů směrných cen stavebních prací 823-1, 823-2, 2017, 2020</t>
  </si>
  <si>
    <r>
      <t xml:space="preserve">Travní osivo (8 g/m2)
</t>
    </r>
    <r>
      <rPr>
        <i/>
        <sz val="6"/>
        <color rgb="FF0070C0"/>
        <rFont val="Arial Narrow"/>
        <family val="2"/>
        <charset val="238"/>
      </rPr>
      <t>Trávy 90%: Psineček obecný (Agrostis capillaris) 3%, Psineček veliký (Agrostis gigantea) 5%, Psárka luční (Alopecurus pratensis) 7%, Poháňka hřebenitá (Cynosurus cristatus) 4%, Metlice trsnatá (Deschampsia caespitosa) 1%, Kostřava luční (Festuca pratensis) 8%, Kostřava červená trsnatá (Festuca rubra commutata) 12%, Kostřava červená pravá (Festuca rubra rubra) 18%, Kostřava krátce výběžkatá (Festuca rubra trichophylla) 10%, Medyněk vlnatý (Holcus lanatus) 2%, Jílek vytrvalý (Lolium perenne) 2%, Bojínek luční (Phleum pratense) 3%, Lipnice hajní (Poa nemoralis) 5%, Lipnice bahenní (Poa palustris) 7%, Lipnice luční (Poa pratensis) 3%
Byliny 7,3%: Bukvice lékařská (Betonica officinalis) 0,3%, Kmín kořenný (Carum carvi) 1%, Chrpa luční (Centaurea jacea) 0,5%, Škarda dvouletá (Crepis biennis) 0,4%, Mrkev obecná (Daucus carota) 0,2%, Tužebník jilmový ( Filipendula ulmaria) 0,2%, Svízel bílý (Galium album) 0,6%, Kuklík městský (Geum urbanum) 0,3%, Chrastvec rolní (Knautia arvensis) 0,7%, Kopretina bílá (Leucanthemum vulgare) 0,8%, Kohoutek luční (Lychnis flos-cuculi) 0,7%, Kyprej vrbice (Lythrum salicaria) 0,4%, Máta dlouholistá (Mentha longifolia) 0,2%, Jitrocel kopinatý (Plantago lanceolata) 0,2%, Černohlávek obecný (Prunella vulgaris) 0,3%, Pryskyřník prudký (Ranunculus acris) 0,3%, Krvavec toten (Sanguisorba officinalis) 0,2%
Jeteloviny 2,7%: Hrachor černý (Lathyrus pratensis) 0,5%, Štírovník růžkatý (Lotus corniculatus) 1,8%, Jetel ladní (Trifolium campestre) 0,3%, Jetel luční (Trifolium pratense) 0,4%</t>
    </r>
    <r>
      <rPr>
        <i/>
        <sz val="9"/>
        <color rgb="FF0070C0"/>
        <rFont val="Arial Narrow"/>
        <family val="2"/>
        <charset val="238"/>
      </rPr>
      <t xml:space="preserve">
</t>
    </r>
  </si>
  <si>
    <r>
      <t xml:space="preserve">Travní osivo (30 g/m2):
</t>
    </r>
    <r>
      <rPr>
        <i/>
        <sz val="6"/>
        <color rgb="FF0070C0"/>
        <rFont val="Arial Narrow"/>
        <family val="2"/>
        <charset val="238"/>
      </rPr>
      <t>Lolium perenne 70%, Festuca rubra rubra 10%, Festuca rubra communata 10%,  Poa pratensis 10%</t>
    </r>
  </si>
  <si>
    <r>
      <t xml:space="preserve">kůra mulčovací VL
Trvalkový mulč, 100mm
</t>
    </r>
    <r>
      <rPr>
        <i/>
        <sz val="9"/>
        <color theme="0" tint="-0.499984740745262"/>
        <rFont val="Arial Narrow"/>
        <family val="2"/>
        <charset val="238"/>
      </rPr>
      <t>21,5*0,1 'Přepočtené koeficientem množství</t>
    </r>
  </si>
  <si>
    <t>Hnojení sazenic  průmyslovými hnojivy v množství do 0,25 kg k jedné sazenici, 3 ks k 1 rostlině</t>
  </si>
  <si>
    <t>Výsadba dřeviny s balem do předem vyhloubené jamky se zalitím v rovině, při průměru balu přes 100 do 200 mm</t>
  </si>
  <si>
    <t>184102111</t>
  </si>
  <si>
    <t>Zpětný řez keřů po výsadbě netrnitých, výšky přes 1 m</t>
  </si>
  <si>
    <t>Kůl vyvazovací dřevěný impregnovaný D 8cm dl 2,5m</t>
  </si>
  <si>
    <t>kůra mulčovací VL, (cca 0,1m3 / 1 keř)</t>
  </si>
  <si>
    <t>Zalití rostlin vodou plochy záhonů jednotlivě do 20 m2, 8x, 30l / keř</t>
  </si>
  <si>
    <t>Cenová soustava</t>
  </si>
  <si>
    <t>I/ STROMY NOVĚ VYSAZENÉ</t>
  </si>
  <si>
    <t>Mulčování výsadby, tl. mulče 70mm- doplnění mulče (1,5m2 / strom)</t>
  </si>
  <si>
    <t>1849210K</t>
  </si>
  <si>
    <t>jen stromy v trávníku (16 ks), doplnění mulče u ostatních ploch bude v rámci údržby půdoopkyrvných rostlin</t>
  </si>
  <si>
    <t xml:space="preserve">jen stromy v trávníku (16 ks), stromy vysazené 
v záhonu v rámci pletí záhonu, 1m 2 </t>
  </si>
  <si>
    <t>VI/ NOVĚ VYSAZENÉ KEŘE</t>
  </si>
  <si>
    <t>B.2.2  ODSTRANĚNÍ TRÁVNÍHO POROSTU</t>
  </si>
  <si>
    <t>Vypletí dřevin v rovině (0,5m2 / rostlina), dle roku po výsadbě</t>
  </si>
  <si>
    <t>Hnojení půdy v rovině kompostem (0,0005 t / rostlina)</t>
  </si>
  <si>
    <t xml:space="preserve">Zalití rostlin vodou (50l/keř), dle potřeby v závislosti na počasí, dle potřeby v závislosti na počasí), počítáno 7x </t>
  </si>
  <si>
    <t>Voda na zálivku (cca 50l/keř)</t>
  </si>
  <si>
    <t>Mulčování výsadby, tl. mulče 70mm- doplnění mulče (1 m2 / strom)</t>
  </si>
  <si>
    <t>kůra mulčovací VL, (cca 0,2m3/1 keř)</t>
  </si>
  <si>
    <t>184802111</t>
  </si>
  <si>
    <t>Chemické odplevelení půdy před založením kultury, trávníku nebo zpevněných ploch o výměře přes 20 m 2 v rovině nebo na svahu do 1:5</t>
  </si>
  <si>
    <t xml:space="preserve">Realizace betonových nášlapů ve středu cesty k poli v šíři 600 mm, povrch mezi dlaždicemi uhutněn a oset. Betonové nášlapy ve svahu budou v případě nutnosti kotveny roxorovými tyčemi </t>
  </si>
  <si>
    <t>Hloubení jamek s 50% výměnou do 400mm, do hl.500 mm, s případným s případným naložením přebytečných výkopků na dopravní prostředek, odvozem na vzdálenost do 20 km a se složením v rovině</t>
  </si>
  <si>
    <t>Amelanchier lamarckii  v 80-100, ko či dtbal</t>
  </si>
  <si>
    <t>Viburnum bodnatense  v 80-100, ko či dtbal</t>
  </si>
  <si>
    <t>Viburnum ´Pragense´  v 80-100, ko či dtbal</t>
  </si>
  <si>
    <r>
      <t>Vypletí d</t>
    </r>
    <r>
      <rPr>
        <sz val="9"/>
        <rFont val="Arial Narrow"/>
        <family val="2"/>
        <charset val="238"/>
      </rPr>
      <t>řevin solitérních v rovině nebo na svahu do 1:5
16*4</t>
    </r>
  </si>
  <si>
    <t xml:space="preserve">Doprava </t>
  </si>
  <si>
    <t>veškerá práce v kořenovém prostoru stromů budou provedeny arboristou s certifikací ISA, European Tree worker či Český certifikovaný arborista, viz TZ</t>
  </si>
  <si>
    <t>Rozprostření ornice tl vrstvy do 200 mm pl do 100 m2 v rovině nebo ve svahu do 1:5 strojně 
mimo plochu trávníku u MŠ</t>
  </si>
  <si>
    <t>Ornice: musí splňovat ČSN 83 9011, musí splňovat nároky na propustnost dle SO 303. V případě kladného posouzení bude použita ornice ze skrývky. Tl. 100mm
mimo plochu trávníku u MŠ</t>
  </si>
  <si>
    <t>Přesun hmot - strojně dopravní vzdálenost do 5000 m</t>
  </si>
  <si>
    <t>Narušení podkladu do hloubky 100mm (předpokládá se původní ornice)</t>
  </si>
  <si>
    <t>Narušení podkladu do hloubky 100mm (předpokládá se původní ornice na ploše trávníku u MŠ)</t>
  </si>
  <si>
    <t>Doplnění substrátu (viz níže, na všech plochách trávníku) 50 mm</t>
  </si>
  <si>
    <t>CELKEM DPH 21%</t>
  </si>
  <si>
    <t>CELKEM S DPH 21%</t>
  </si>
  <si>
    <t>REKAPITULACE STAVBY</t>
  </si>
  <si>
    <t>v ---  níže se nacházejí doplnkové a pomocné údaje k sestavám  --- v</t>
  </si>
  <si>
    <t>Kód:</t>
  </si>
  <si>
    <t>Stavba:</t>
  </si>
  <si>
    <t>KSO:</t>
  </si>
  <si>
    <t/>
  </si>
  <si>
    <t>Místo:</t>
  </si>
  <si>
    <t xml:space="preserve"> </t>
  </si>
  <si>
    <t>Datum:</t>
  </si>
  <si>
    <t>Zadavatel:</t>
  </si>
  <si>
    <t>Poznámka: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</si>
  <si>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</si>
  <si>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</si>
  <si>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</si>
  <si>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</si>
  <si>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</si>
  <si>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</si>
  <si>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</si>
  <si>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</si>
  <si>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</si>
  <si>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</si>
  <si>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</si>
  <si>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</si>
  <si>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</si>
  <si>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</si>
  <si>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</si>
  <si>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</si>
  <si>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</si>
  <si>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</si>
  <si>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</si>
  <si>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</si>
  <si>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</si>
  <si>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</si>
  <si>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</si>
  <si>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</si>
  <si>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</si>
  <si>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</si>
  <si>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</si>
  <si>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</si>
  <si>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</si>
  <si>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</si>
  <si>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</si>
  <si>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</si>
  <si>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</si>
  <si>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</si>
  <si>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</si>
  <si>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</si>
  <si>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</si>
  <si>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Export Komplet</t>
  </si>
  <si>
    <t>2.0</t>
  </si>
  <si>
    <t>ZAMOK</t>
  </si>
  <si>
    <t>False</t>
  </si>
  <si>
    <t>{fa9ddf96-f534-4f7c-bace-c02d3b9ed76d}</t>
  </si>
  <si>
    <t>0,01</t>
  </si>
  <si>
    <t>21</t>
  </si>
  <si>
    <t>15</t>
  </si>
  <si>
    <t>0,001</t>
  </si>
  <si>
    <t>True</t>
  </si>
  <si>
    <t>D</t>
  </si>
  <si>
    <t>0</t>
  </si>
  <si>
    <t>IMPORT</t>
  </si>
  <si>
    <t>{00000000-0000-0000-0000-000000000000}</t>
  </si>
  <si>
    <t>Komunikace a inženýrské sítě OS Jilemnice Nouzov
Vegetační úpravy</t>
  </si>
  <si>
    <t xml:space="preserve">Město Jilemnice </t>
  </si>
  <si>
    <t>Zpracovatel VÚ:</t>
  </si>
  <si>
    <t>Ing. Marie Gelová</t>
  </si>
  <si>
    <t xml:space="preserve">specifikace velikosti rostlin a jejich kvality v TZ nutné respektovat! Rostliny musí odpovídat druhové a odrůdové specifikaci. Jakékoliv změny, popř. alternativy,  je zhotovitel povinen konzultovat předem s AD
odstranění dřevin a další položky vyplývající z TZ a neuvedené v rozpočtu jsou řešeny investorem
</t>
  </si>
  <si>
    <t xml:space="preserve">Substrát externě míchaný : kvalitní trávníkový substrát ze světlé a tmavé rašeliny, zeleného kompostu a písku pro vylepšení drenážních vlastností a provzdušnění vegetační vrstvy. </t>
  </si>
  <si>
    <t>položky vyplývající z TZ a neuvedené v rozpočtu jsou řešeny investorem</t>
  </si>
  <si>
    <t>Obdělání půdy hrabáním v rovině nebo na svahu do 1:5 (2x)</t>
  </si>
  <si>
    <t>Substrát typ A 50% (štěrk ostrohranný frakce 4/8 mm   20%, štěrk ostrohranný frakce 8/16 mm 40%, organický kompost (min. 10% humusu) 10%, hlinito-písčitá půda 20%, písek říční praný 10%, hydrogel 1 kg/m3), 0,1m3 / rostlinu, 50% stávající zemina</t>
  </si>
  <si>
    <t>Cena realizace bez DPH</t>
  </si>
  <si>
    <t>Cena následné péče na 2 roky bez DPH</t>
  </si>
  <si>
    <t>CELKEM CENA ZA 2 ROKY S DPH</t>
  </si>
  <si>
    <t>Jilemnice</t>
  </si>
  <si>
    <t>Generální projektant:</t>
  </si>
  <si>
    <t>Město Jilemnice</t>
  </si>
  <si>
    <t>včetně stromů ovocných</t>
  </si>
  <si>
    <t>UNIT architekti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</si>
</sst>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Kč&quot;_-;\-* #,##0.00\ &quot;Kč&quot;_-;_-* &quot;-&quot;??\ &quot;Kč&quot;_-;_-@_-"/>
    <numFmt numFmtId="164" formatCode="#,##0.00&quot; Kč&quot;"/>
    <numFmt numFmtId="165" formatCode="#,##0.00\ &quot;Kč&quot;"/>
    <numFmt numFmtId="166" formatCode="#,##0.0\ &quot;Kč&quot;"/>
    <numFmt numFmtId="167" formatCode="0.0"/>
    <numFmt numFmtId="168" formatCode="#,##0.0&quot; Kč&quot;"/>
    <numFmt numFmtId="169" formatCode="#,##0.00;\-#,##0.00"/>
    <numFmt numFmtId="170" formatCode="_-* #,##0.00&quot; Kč&quot;_-;\-* #,##0.00&quot; Kč&quot;_-;_-* \-??&quot; Kč&quot;_-;_-@_-"/>
    <numFmt numFmtId="171" formatCode="#,##0.00\ _K_č"/>
    <numFmt numFmtId="172" formatCode="#,##0.00%"/>
    <numFmt numFmtId="173" formatCode="dd\.mm\.yyyy"/>
    <numFmt numFmtId="174" formatCode="#,##0.00000"/>
  </numFmts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10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color indexed="51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u/>
      <sz val="9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9"/>
      <color indexed="55"/>
      <name val="Arial Narrow"/>
      <family val="2"/>
      <charset val="238"/>
    </font>
    <font>
      <sz val="10"/>
      <name val="Arial CE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color theme="9" tint="-0.249977111117893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"/>
      <family val="2"/>
      <charset val="1"/>
    </font>
    <font>
      <sz val="8"/>
      <color indexed="8"/>
      <name val="Arial"/>
      <family val="2"/>
      <charset val="1"/>
    </font>
    <font>
      <b/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rgb="FF0070C0"/>
      <name val="Arial Narrow"/>
      <family val="2"/>
      <charset val="238"/>
    </font>
    <font>
      <i/>
      <sz val="9"/>
      <color rgb="FF0070C0"/>
      <name val="Arial Narrow"/>
      <family val="2"/>
      <charset val="238"/>
    </font>
    <font>
      <sz val="6"/>
      <color rgb="FF0070C0"/>
      <name val="Arial Narrow"/>
      <family val="2"/>
      <charset val="238"/>
    </font>
    <font>
      <sz val="10"/>
      <color rgb="FF0070C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i/>
      <sz val="9"/>
      <color rgb="FF0070C0"/>
      <name val="Arial Narrow"/>
      <family val="2"/>
      <charset val="238"/>
    </font>
    <font>
      <b/>
      <i/>
      <sz val="9"/>
      <color theme="0"/>
      <name val="Arial Narrow"/>
      <family val="2"/>
      <charset val="238"/>
    </font>
    <font>
      <i/>
      <sz val="6"/>
      <color rgb="FF0070C0"/>
      <name val="Arial Narrow"/>
      <family val="2"/>
      <charset val="238"/>
    </font>
    <font>
      <i/>
      <sz val="10"/>
      <color rgb="FF0070C0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i/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14"/>
      <name val="Arial CE"/>
    </font>
    <font>
      <sz val="8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FFFFFF"/>
      <name val="Arial CE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4" fillId="0" borderId="0"/>
  </cellStyleXfs>
  <cellXfs count="578">
    <xf numFmtId="0" fontId="0" fillId="0" borderId="0" xfId="0"/>
    <xf numFmtId="0" fontId="5" fillId="0" borderId="0" xfId="0" applyFont="1"/>
    <xf numFmtId="49" fontId="5" fillId="0" borderId="0" xfId="0" applyNumberFormat="1" applyFont="1" applyFill="1" applyAlignment="1">
      <alignment wrapText="1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1" applyFont="1" applyFill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4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/>
    <xf numFmtId="0" fontId="13" fillId="0" borderId="0" xfId="0" applyFont="1"/>
    <xf numFmtId="3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top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7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6" fillId="5" borderId="0" xfId="0" applyFont="1" applyFill="1"/>
    <xf numFmtId="0" fontId="6" fillId="3" borderId="0" xfId="0" applyFont="1" applyFill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/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wrapText="1"/>
    </xf>
    <xf numFmtId="49" fontId="18" fillId="0" borderId="0" xfId="0" applyNumberFormat="1" applyFont="1" applyFill="1" applyBorder="1" applyAlignment="1">
      <alignment wrapText="1"/>
    </xf>
    <xf numFmtId="0" fontId="18" fillId="0" borderId="0" xfId="0" applyFont="1"/>
    <xf numFmtId="0" fontId="18" fillId="0" borderId="0" xfId="0" applyFont="1" applyBorder="1" applyAlignment="1">
      <alignment wrapText="1"/>
    </xf>
    <xf numFmtId="0" fontId="18" fillId="5" borderId="0" xfId="0" applyFont="1" applyFill="1" applyBorder="1"/>
    <xf numFmtId="0" fontId="5" fillId="5" borderId="1" xfId="4" applyFont="1" applyFill="1" applyBorder="1" applyAlignment="1" applyProtection="1">
      <alignment horizontal="left" vertical="center" wrapText="1"/>
      <protection locked="0"/>
    </xf>
    <xf numFmtId="164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0" fontId="5" fillId="5" borderId="0" xfId="0" applyFont="1" applyFill="1" applyBorder="1"/>
    <xf numFmtId="0" fontId="7" fillId="5" borderId="0" xfId="0" applyFont="1" applyFill="1" applyBorder="1"/>
    <xf numFmtId="0" fontId="19" fillId="5" borderId="0" xfId="0" applyFont="1" applyFill="1" applyBorder="1"/>
    <xf numFmtId="0" fontId="6" fillId="5" borderId="0" xfId="0" applyFont="1" applyFill="1" applyBorder="1"/>
    <xf numFmtId="0" fontId="10" fillId="5" borderId="0" xfId="0" applyFont="1" applyFill="1" applyBorder="1"/>
    <xf numFmtId="0" fontId="19" fillId="0" borderId="0" xfId="0" applyFont="1" applyBorder="1" applyAlignment="1">
      <alignment wrapText="1"/>
    </xf>
    <xf numFmtId="0" fontId="6" fillId="0" borderId="0" xfId="0" applyFont="1" applyBorder="1"/>
    <xf numFmtId="49" fontId="5" fillId="0" borderId="0" xfId="0" applyNumberFormat="1" applyFont="1" applyFill="1" applyAlignment="1"/>
    <xf numFmtId="0" fontId="15" fillId="0" borderId="0" xfId="0" applyFont="1" applyFill="1" applyBorder="1"/>
    <xf numFmtId="0" fontId="5" fillId="5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indent="1"/>
    </xf>
    <xf numFmtId="0" fontId="8" fillId="5" borderId="0" xfId="1" applyFont="1" applyFill="1" applyBorder="1" applyAlignment="1">
      <alignment wrapText="1"/>
    </xf>
    <xf numFmtId="0" fontId="8" fillId="5" borderId="0" xfId="1" applyFont="1" applyFill="1" applyAlignment="1">
      <alignment wrapText="1"/>
    </xf>
    <xf numFmtId="0" fontId="9" fillId="5" borderId="0" xfId="0" applyFont="1" applyFill="1" applyBorder="1"/>
    <xf numFmtId="16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 applyBorder="1"/>
    <xf numFmtId="0" fontId="22" fillId="0" borderId="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6" fillId="0" borderId="4" xfId="4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4" fillId="0" borderId="0" xfId="1" applyFont="1" applyFill="1" applyAlignment="1">
      <alignment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16" fontId="8" fillId="5" borderId="1" xfId="0" applyNumberFormat="1" applyFont="1" applyFill="1" applyBorder="1" applyAlignment="1">
      <alignment horizontal="center"/>
    </xf>
    <xf numFmtId="167" fontId="5" fillId="5" borderId="1" xfId="0" applyNumberFormat="1" applyFont="1" applyFill="1" applyBorder="1" applyAlignment="1">
      <alignment horizontal="left" vertical="center"/>
    </xf>
    <xf numFmtId="0" fontId="17" fillId="5" borderId="0" xfId="0" applyFont="1" applyFill="1" applyBorder="1"/>
    <xf numFmtId="0" fontId="17" fillId="5" borderId="0" xfId="0" applyFont="1" applyFill="1"/>
    <xf numFmtId="165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25" fillId="0" borderId="0" xfId="0" applyFont="1" applyFill="1" applyBorder="1"/>
    <xf numFmtId="0" fontId="25" fillId="0" borderId="0" xfId="0" applyFont="1" applyBorder="1"/>
    <xf numFmtId="0" fontId="25" fillId="5" borderId="1" xfId="0" applyFont="1" applyFill="1" applyBorder="1" applyAlignment="1">
      <alignment wrapText="1"/>
    </xf>
    <xf numFmtId="0" fontId="25" fillId="5" borderId="0" xfId="0" applyFont="1" applyFill="1"/>
    <xf numFmtId="0" fontId="25" fillId="5" borderId="0" xfId="0" applyFont="1" applyFill="1" applyBorder="1"/>
    <xf numFmtId="0" fontId="26" fillId="0" borderId="1" xfId="0" applyFont="1" applyBorder="1" applyAlignment="1">
      <alignment wrapText="1"/>
    </xf>
    <xf numFmtId="0" fontId="5" fillId="3" borderId="0" xfId="0" applyFont="1" applyFill="1" applyBorder="1"/>
    <xf numFmtId="0" fontId="25" fillId="5" borderId="1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left" vertical="center" indent="2"/>
    </xf>
    <xf numFmtId="0" fontId="5" fillId="5" borderId="1" xfId="5" applyFont="1" applyFill="1" applyBorder="1" applyAlignment="1">
      <alignment wrapText="1"/>
    </xf>
    <xf numFmtId="49" fontId="5" fillId="5" borderId="1" xfId="5" applyNumberFormat="1" applyFont="1" applyFill="1" applyBorder="1" applyAlignment="1">
      <alignment horizontal="center" vertical="center" shrinkToFit="1"/>
    </xf>
    <xf numFmtId="44" fontId="25" fillId="5" borderId="0" xfId="0" applyNumberFormat="1" applyFont="1" applyFill="1" applyBorder="1" applyAlignment="1" applyProtection="1"/>
    <xf numFmtId="3" fontId="5" fillId="5" borderId="1" xfId="0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 wrapText="1"/>
    </xf>
    <xf numFmtId="3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167" fontId="5" fillId="5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1" fillId="5" borderId="0" xfId="0" applyFont="1" applyFill="1" applyAlignment="1">
      <alignment wrapText="1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/>
    <xf numFmtId="0" fontId="31" fillId="5" borderId="0" xfId="0" applyFont="1" applyFill="1" applyBorder="1"/>
    <xf numFmtId="0" fontId="26" fillId="5" borderId="1" xfId="0" applyFont="1" applyFill="1" applyBorder="1" applyAlignment="1">
      <alignment horizontal="left" vertical="center" wrapText="1"/>
    </xf>
    <xf numFmtId="0" fontId="25" fillId="5" borderId="0" xfId="0" applyNumberFormat="1" applyFont="1" applyFill="1" applyBorder="1" applyAlignment="1">
      <alignment horizontal="center" vertical="center"/>
    </xf>
    <xf numFmtId="49" fontId="25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/>
    </xf>
    <xf numFmtId="3" fontId="25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167" fontId="26" fillId="5" borderId="1" xfId="0" applyNumberFormat="1" applyFont="1" applyFill="1" applyBorder="1" applyAlignment="1">
      <alignment horizontal="center" vertical="center"/>
    </xf>
    <xf numFmtId="166" fontId="26" fillId="5" borderId="1" xfId="0" applyNumberFormat="1" applyFont="1" applyFill="1" applyBorder="1" applyAlignment="1">
      <alignment horizontal="right" vertical="center"/>
    </xf>
    <xf numFmtId="0" fontId="26" fillId="5" borderId="0" xfId="0" applyFont="1" applyFill="1"/>
    <xf numFmtId="44" fontId="26" fillId="5" borderId="0" xfId="0" applyNumberFormat="1" applyFont="1" applyFill="1" applyBorder="1" applyAlignment="1" applyProtection="1"/>
    <xf numFmtId="0" fontId="26" fillId="5" borderId="0" xfId="0" applyNumberFormat="1" applyFont="1" applyFill="1" applyBorder="1" applyAlignment="1">
      <alignment horizontal="center" vertical="center"/>
    </xf>
    <xf numFmtId="0" fontId="26" fillId="5" borderId="0" xfId="0" applyFont="1" applyFill="1" applyBorder="1"/>
    <xf numFmtId="49" fontId="26" fillId="5" borderId="0" xfId="0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/>
    </xf>
    <xf numFmtId="3" fontId="26" fillId="5" borderId="0" xfId="0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vertical="center" wrapText="1"/>
    </xf>
    <xf numFmtId="0" fontId="33" fillId="5" borderId="0" xfId="0" applyFont="1" applyFill="1"/>
    <xf numFmtId="0" fontId="33" fillId="5" borderId="0" xfId="0" applyFont="1" applyFill="1" applyBorder="1"/>
    <xf numFmtId="0" fontId="20" fillId="0" borderId="0" xfId="0" applyFont="1" applyAlignment="1">
      <alignment horizontal="left" vertical="top"/>
    </xf>
    <xf numFmtId="0" fontId="31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Border="1"/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/>
    <xf numFmtId="2" fontId="5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26" fillId="0" borderId="1" xfId="4" applyFont="1" applyFill="1" applyBorder="1" applyAlignment="1" applyProtection="1">
      <alignment horizontal="left" vertical="center" wrapText="1"/>
      <protection locked="0"/>
    </xf>
    <xf numFmtId="0" fontId="26" fillId="0" borderId="0" xfId="1" applyFont="1" applyFill="1" applyAlignment="1">
      <alignment wrapText="1"/>
    </xf>
    <xf numFmtId="0" fontId="26" fillId="5" borderId="1" xfId="0" applyFont="1" applyFill="1" applyBorder="1" applyAlignment="1">
      <alignment wrapText="1"/>
    </xf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5" fillId="5" borderId="0" xfId="0" applyFont="1" applyFill="1" applyAlignment="1">
      <alignment vertical="top"/>
    </xf>
    <xf numFmtId="49" fontId="5" fillId="5" borderId="0" xfId="0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25" fillId="5" borderId="1" xfId="0" applyFont="1" applyFill="1" applyBorder="1" applyAlignment="1" applyProtection="1">
      <alignment horizontal="left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26" fillId="5" borderId="1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/>
    </xf>
    <xf numFmtId="0" fontId="26" fillId="5" borderId="1" xfId="4" applyFont="1" applyFill="1" applyBorder="1" applyAlignment="1" applyProtection="1">
      <alignment horizontal="center" vertical="center" wrapText="1"/>
      <protection locked="0"/>
    </xf>
    <xf numFmtId="0" fontId="26" fillId="5" borderId="1" xfId="4" applyFont="1" applyFill="1" applyBorder="1" applyAlignment="1" applyProtection="1">
      <alignment horizontal="left" vertical="center" wrapText="1"/>
      <protection locked="0"/>
    </xf>
    <xf numFmtId="0" fontId="2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6" fillId="5" borderId="1" xfId="4" applyFont="1" applyFill="1" applyBorder="1" applyAlignment="1">
      <alignment horizontal="center" vertical="center" wrapText="1"/>
    </xf>
    <xf numFmtId="0" fontId="26" fillId="5" borderId="0" xfId="4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44" fontId="5" fillId="5" borderId="0" xfId="0" applyNumberFormat="1" applyFont="1" applyFill="1" applyBorder="1" applyAlignment="1" applyProtection="1"/>
    <xf numFmtId="0" fontId="5" fillId="5" borderId="0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32" fillId="5" borderId="0" xfId="0" applyFont="1" applyFill="1" applyBorder="1"/>
    <xf numFmtId="0" fontId="35" fillId="5" borderId="0" xfId="0" applyFont="1" applyFill="1" applyBorder="1" applyAlignment="1">
      <alignment horizontal="left" vertical="center" indent="2"/>
    </xf>
    <xf numFmtId="0" fontId="26" fillId="5" borderId="1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 vertical="center" indent="2"/>
    </xf>
    <xf numFmtId="0" fontId="35" fillId="0" borderId="0" xfId="0" applyFont="1" applyBorder="1" applyAlignment="1">
      <alignment horizontal="left" vertical="center" indent="1"/>
    </xf>
    <xf numFmtId="49" fontId="25" fillId="5" borderId="1" xfId="0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170" fontId="5" fillId="5" borderId="0" xfId="0" applyNumberFormat="1" applyFont="1" applyFill="1" applyBorder="1" applyAlignment="1" applyProtection="1"/>
    <xf numFmtId="0" fontId="19" fillId="5" borderId="0" xfId="0" applyFont="1" applyFill="1" applyAlignment="1">
      <alignment vertical="top"/>
    </xf>
    <xf numFmtId="0" fontId="15" fillId="5" borderId="0" xfId="0" applyFont="1" applyFill="1" applyBorder="1"/>
    <xf numFmtId="0" fontId="16" fillId="5" borderId="0" xfId="0" applyFont="1" applyFill="1" applyBorder="1"/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169" fontId="7" fillId="5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center"/>
    </xf>
    <xf numFmtId="0" fontId="11" fillId="5" borderId="0" xfId="2" applyNumberFormat="1" applyFont="1" applyFill="1" applyBorder="1" applyAlignment="1" applyProtection="1"/>
    <xf numFmtId="0" fontId="26" fillId="5" borderId="0" xfId="4" applyFont="1" applyFill="1" applyBorder="1" applyAlignment="1">
      <alignment vertical="center" wrapText="1"/>
    </xf>
    <xf numFmtId="0" fontId="26" fillId="5" borderId="0" xfId="1" applyFont="1" applyFill="1" applyBorder="1" applyAlignment="1">
      <alignment wrapText="1"/>
    </xf>
    <xf numFmtId="0" fontId="26" fillId="5" borderId="0" xfId="1" applyFont="1" applyFill="1" applyAlignment="1">
      <alignment wrapText="1"/>
    </xf>
    <xf numFmtId="0" fontId="13" fillId="5" borderId="0" xfId="0" applyFont="1" applyFill="1" applyBorder="1"/>
    <xf numFmtId="0" fontId="13" fillId="5" borderId="0" xfId="0" applyFont="1" applyFill="1"/>
    <xf numFmtId="1" fontId="5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>
      <alignment vertical="center"/>
    </xf>
    <xf numFmtId="170" fontId="26" fillId="5" borderId="0" xfId="0" applyNumberFormat="1" applyFont="1" applyFill="1" applyBorder="1" applyAlignment="1" applyProtection="1"/>
    <xf numFmtId="0" fontId="7" fillId="5" borderId="0" xfId="0" applyFont="1" applyFill="1"/>
    <xf numFmtId="0" fontId="19" fillId="5" borderId="0" xfId="0" applyFont="1" applyFill="1" applyBorder="1" applyAlignment="1">
      <alignment horizontal="left" wrapText="1"/>
    </xf>
    <xf numFmtId="168" fontId="5" fillId="5" borderId="0" xfId="0" applyNumberFormat="1" applyFont="1" applyFill="1" applyBorder="1" applyAlignment="1">
      <alignment horizontal="right" vertical="center"/>
    </xf>
    <xf numFmtId="0" fontId="28" fillId="5" borderId="0" xfId="0" applyFont="1" applyFill="1" applyBorder="1" applyAlignment="1">
      <alignment horizontal="left" vertical="center" indent="1"/>
    </xf>
    <xf numFmtId="2" fontId="2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5" fillId="5" borderId="0" xfId="0" applyFont="1" applyFill="1" applyAlignment="1">
      <alignment horizontal="right" vertical="top"/>
    </xf>
    <xf numFmtId="49" fontId="5" fillId="5" borderId="0" xfId="0" applyNumberFormat="1" applyFont="1" applyFill="1" applyAlignment="1">
      <alignment horizontal="right" wrapText="1"/>
    </xf>
    <xf numFmtId="49" fontId="5" fillId="5" borderId="0" xfId="0" applyNumberFormat="1" applyFont="1" applyFill="1" applyAlignment="1">
      <alignment horizontal="right"/>
    </xf>
    <xf numFmtId="0" fontId="5" fillId="5" borderId="1" xfId="0" applyFont="1" applyFill="1" applyBorder="1" applyAlignment="1" applyProtection="1">
      <alignment horizontal="right" vertical="center" wrapText="1"/>
    </xf>
    <xf numFmtId="166" fontId="26" fillId="5" borderId="1" xfId="0" applyNumberFormat="1" applyFont="1" applyFill="1" applyBorder="1" applyAlignment="1" applyProtection="1">
      <alignment horizontal="right" vertical="center" wrapText="1"/>
    </xf>
    <xf numFmtId="0" fontId="26" fillId="5" borderId="1" xfId="0" applyFont="1" applyFill="1" applyBorder="1" applyAlignment="1">
      <alignment horizontal="right" wrapText="1"/>
    </xf>
    <xf numFmtId="0" fontId="25" fillId="5" borderId="1" xfId="0" applyFont="1" applyFill="1" applyBorder="1" applyAlignment="1" applyProtection="1">
      <alignment horizontal="right" vertical="center" wrapText="1"/>
    </xf>
    <xf numFmtId="0" fontId="5" fillId="5" borderId="1" xfId="0" applyFont="1" applyFill="1" applyBorder="1" applyAlignment="1">
      <alignment horizontal="right"/>
    </xf>
    <xf numFmtId="2" fontId="5" fillId="5" borderId="1" xfId="0" applyNumberFormat="1" applyFont="1" applyFill="1" applyBorder="1" applyAlignment="1">
      <alignment horizontal="right" vertical="center"/>
    </xf>
    <xf numFmtId="1" fontId="5" fillId="5" borderId="1" xfId="0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 applyAlignment="1">
      <alignment horizontal="right" vertical="center"/>
    </xf>
    <xf numFmtId="0" fontId="30" fillId="5" borderId="1" xfId="0" applyFont="1" applyFill="1" applyBorder="1" applyAlignment="1" applyProtection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26" fillId="5" borderId="1" xfId="0" applyFont="1" applyFill="1" applyBorder="1" applyAlignment="1" applyProtection="1">
      <alignment horizontal="right" vertical="center" wrapText="1"/>
    </xf>
    <xf numFmtId="0" fontId="5" fillId="5" borderId="1" xfId="0" applyFont="1" applyFill="1" applyBorder="1" applyAlignment="1">
      <alignment horizontal="right" wrapText="1"/>
    </xf>
    <xf numFmtId="0" fontId="26" fillId="5" borderId="1" xfId="0" applyFont="1" applyFill="1" applyBorder="1" applyAlignment="1">
      <alignment horizontal="right"/>
    </xf>
    <xf numFmtId="0" fontId="17" fillId="5" borderId="1" xfId="0" applyFont="1" applyFill="1" applyBorder="1" applyAlignment="1">
      <alignment horizontal="right" wrapText="1"/>
    </xf>
    <xf numFmtId="0" fontId="26" fillId="5" borderId="1" xfId="4" applyFont="1" applyFill="1" applyBorder="1" applyAlignment="1" applyProtection="1">
      <alignment horizontal="right" vertical="center" wrapText="1"/>
      <protection locked="0"/>
    </xf>
    <xf numFmtId="0" fontId="6" fillId="5" borderId="1" xfId="0" applyFont="1" applyFill="1" applyBorder="1" applyAlignment="1">
      <alignment horizontal="right"/>
    </xf>
    <xf numFmtId="0" fontId="26" fillId="5" borderId="1" xfId="4" applyFont="1" applyFill="1" applyBorder="1" applyAlignment="1">
      <alignment horizontal="right" vertical="center" wrapText="1"/>
    </xf>
    <xf numFmtId="0" fontId="5" fillId="5" borderId="1" xfId="4" applyFont="1" applyFill="1" applyBorder="1" applyAlignment="1">
      <alignment horizontal="right" vertical="center" wrapText="1"/>
    </xf>
    <xf numFmtId="0" fontId="25" fillId="5" borderId="1" xfId="0" applyFont="1" applyFill="1" applyBorder="1" applyAlignment="1">
      <alignment horizontal="right"/>
    </xf>
    <xf numFmtId="166" fontId="5" fillId="5" borderId="1" xfId="0" applyNumberFormat="1" applyFont="1" applyFill="1" applyBorder="1" applyAlignment="1" applyProtection="1">
      <alignment horizontal="right" vertical="center"/>
    </xf>
    <xf numFmtId="0" fontId="31" fillId="5" borderId="1" xfId="0" applyFont="1" applyFill="1" applyBorder="1" applyAlignment="1">
      <alignment horizontal="right"/>
    </xf>
    <xf numFmtId="0" fontId="33" fillId="5" borderId="1" xfId="0" applyFont="1" applyFill="1" applyBorder="1" applyAlignment="1">
      <alignment horizontal="right"/>
    </xf>
    <xf numFmtId="0" fontId="31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 wrapText="1"/>
    </xf>
    <xf numFmtId="0" fontId="7" fillId="5" borderId="0" xfId="0" applyFont="1" applyFill="1" applyBorder="1" applyAlignment="1">
      <alignment horizontal="right" wrapText="1"/>
    </xf>
    <xf numFmtId="171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right" vertical="center"/>
    </xf>
    <xf numFmtId="171" fontId="5" fillId="5" borderId="1" xfId="0" applyNumberFormat="1" applyFont="1" applyFill="1" applyBorder="1" applyAlignment="1">
      <alignment horizontal="right" vertical="center"/>
    </xf>
    <xf numFmtId="171" fontId="5" fillId="5" borderId="1" xfId="0" applyNumberFormat="1" applyFont="1" applyFill="1" applyBorder="1" applyAlignment="1">
      <alignment horizontal="center" vertical="center" wrapText="1"/>
    </xf>
    <xf numFmtId="171" fontId="5" fillId="5" borderId="1" xfId="0" applyNumberFormat="1" applyFont="1" applyFill="1" applyBorder="1" applyAlignment="1">
      <alignment horizontal="center" vertical="center"/>
    </xf>
    <xf numFmtId="171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171" fontId="26" fillId="5" borderId="1" xfId="0" applyNumberFormat="1" applyFont="1" applyFill="1" applyBorder="1" applyAlignment="1">
      <alignment horizontal="center"/>
    </xf>
    <xf numFmtId="171" fontId="26" fillId="5" borderId="1" xfId="0" applyNumberFormat="1" applyFont="1" applyFill="1" applyBorder="1" applyAlignment="1">
      <alignment horizontal="center" vertical="center"/>
    </xf>
    <xf numFmtId="171" fontId="26" fillId="5" borderId="1" xfId="0" applyNumberFormat="1" applyFont="1" applyFill="1" applyBorder="1" applyAlignment="1">
      <alignment vertical="center"/>
    </xf>
    <xf numFmtId="171" fontId="5" fillId="5" borderId="1" xfId="4" applyNumberFormat="1" applyFont="1" applyFill="1" applyBorder="1" applyAlignment="1">
      <alignment horizontal="center" vertical="center" wrapText="1"/>
    </xf>
    <xf numFmtId="171" fontId="5" fillId="5" borderId="1" xfId="0" applyNumberFormat="1" applyFont="1" applyFill="1" applyBorder="1" applyAlignment="1" applyProtection="1">
      <alignment horizontal="center" vertical="center"/>
    </xf>
    <xf numFmtId="171" fontId="26" fillId="5" borderId="1" xfId="4" applyNumberFormat="1" applyFont="1" applyFill="1" applyBorder="1" applyAlignment="1">
      <alignment horizontal="center" vertical="center" wrapText="1"/>
    </xf>
    <xf numFmtId="171" fontId="26" fillId="5" borderId="1" xfId="0" applyNumberFormat="1" applyFont="1" applyFill="1" applyBorder="1" applyAlignment="1">
      <alignment horizontal="right" vertical="center"/>
    </xf>
    <xf numFmtId="171" fontId="5" fillId="7" borderId="1" xfId="0" applyNumberFormat="1" applyFont="1" applyFill="1" applyBorder="1" applyAlignment="1">
      <alignment horizontal="right" vertical="center"/>
    </xf>
    <xf numFmtId="171" fontId="5" fillId="5" borderId="1" xfId="3" applyNumberFormat="1" applyFont="1" applyFill="1" applyBorder="1" applyAlignment="1">
      <alignment horizontal="center" vertical="center"/>
    </xf>
    <xf numFmtId="171" fontId="25" fillId="5" borderId="1" xfId="0" applyNumberFormat="1" applyFont="1" applyFill="1" applyBorder="1" applyAlignment="1">
      <alignment horizontal="center" vertical="center"/>
    </xf>
    <xf numFmtId="171" fontId="25" fillId="5" borderId="1" xfId="0" applyNumberFormat="1" applyFont="1" applyFill="1" applyBorder="1" applyAlignment="1">
      <alignment horizontal="right" vertical="center"/>
    </xf>
    <xf numFmtId="171" fontId="25" fillId="5" borderId="1" xfId="0" applyNumberFormat="1" applyFont="1" applyFill="1" applyBorder="1" applyAlignment="1" applyProtection="1">
      <alignment horizontal="center" vertical="center"/>
    </xf>
    <xf numFmtId="171" fontId="5" fillId="5" borderId="1" xfId="0" applyNumberFormat="1" applyFont="1" applyFill="1" applyBorder="1" applyAlignment="1">
      <alignment horizontal="center"/>
    </xf>
    <xf numFmtId="171" fontId="31" fillId="5" borderId="0" xfId="0" applyNumberFormat="1" applyFont="1" applyFill="1" applyAlignment="1">
      <alignment horizontal="center" vertical="center"/>
    </xf>
    <xf numFmtId="171" fontId="31" fillId="5" borderId="0" xfId="0" applyNumberFormat="1" applyFont="1" applyFill="1" applyAlignment="1">
      <alignment horizontal="right" vertical="center"/>
    </xf>
    <xf numFmtId="171" fontId="5" fillId="5" borderId="0" xfId="0" applyNumberFormat="1" applyFont="1" applyFill="1" applyAlignment="1">
      <alignment horizontal="center" vertical="center"/>
    </xf>
    <xf numFmtId="171" fontId="6" fillId="0" borderId="0" xfId="0" applyNumberFormat="1" applyFont="1" applyAlignment="1">
      <alignment horizontal="right" vertical="center"/>
    </xf>
    <xf numFmtId="171" fontId="6" fillId="0" borderId="0" xfId="0" applyNumberFormat="1" applyFont="1" applyAlignment="1">
      <alignment horizontal="center" vertical="center"/>
    </xf>
    <xf numFmtId="171" fontId="5" fillId="0" borderId="0" xfId="0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right" vertical="center"/>
    </xf>
    <xf numFmtId="171" fontId="5" fillId="0" borderId="0" xfId="0" applyNumberFormat="1" applyFont="1" applyFill="1" applyBorder="1" applyAlignment="1">
      <alignment horizontal="right" vertical="center"/>
    </xf>
    <xf numFmtId="171" fontId="5" fillId="0" borderId="0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top"/>
    </xf>
    <xf numFmtId="2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2" fontId="26" fillId="0" borderId="1" xfId="0" applyNumberFormat="1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26" fillId="5" borderId="1" xfId="0" applyNumberFormat="1" applyFont="1" applyFill="1" applyBorder="1" applyAlignment="1">
      <alignment horizontal="center"/>
    </xf>
    <xf numFmtId="2" fontId="26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2" fontId="26" fillId="5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 applyProtection="1">
      <alignment vertical="center"/>
    </xf>
    <xf numFmtId="2" fontId="31" fillId="5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top" wrapText="1"/>
    </xf>
    <xf numFmtId="167" fontId="26" fillId="5" borderId="1" xfId="0" applyNumberFormat="1" applyFont="1" applyFill="1" applyBorder="1" applyAlignment="1">
      <alignment horizontal="left" vertical="center"/>
    </xf>
    <xf numFmtId="0" fontId="32" fillId="5" borderId="0" xfId="0" applyFont="1" applyFill="1"/>
    <xf numFmtId="0" fontId="32" fillId="4" borderId="0" xfId="0" applyFont="1" applyFill="1"/>
    <xf numFmtId="165" fontId="26" fillId="0" borderId="5" xfId="0" applyNumberFormat="1" applyFont="1" applyFill="1" applyBorder="1" applyAlignment="1">
      <alignment horizontal="right" vertical="center"/>
    </xf>
    <xf numFmtId="166" fontId="26" fillId="0" borderId="1" xfId="0" applyNumberFormat="1" applyFont="1" applyFill="1" applyBorder="1" applyAlignment="1" applyProtection="1">
      <alignment vertical="center"/>
    </xf>
    <xf numFmtId="44" fontId="26" fillId="0" borderId="1" xfId="0" applyNumberFormat="1" applyFont="1" applyFill="1" applyBorder="1" applyAlignment="1" applyProtection="1"/>
    <xf numFmtId="0" fontId="6" fillId="5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9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10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/>
    </xf>
    <xf numFmtId="0" fontId="5" fillId="5" borderId="0" xfId="0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/>
    </xf>
    <xf numFmtId="171" fontId="5" fillId="5" borderId="0" xfId="0" applyNumberFormat="1" applyFont="1" applyFill="1" applyAlignment="1">
      <alignment horizontal="right" vertical="center"/>
    </xf>
    <xf numFmtId="0" fontId="20" fillId="5" borderId="0" xfId="0" applyFont="1" applyFill="1" applyAlignment="1">
      <alignment horizontal="left" vertical="top"/>
    </xf>
    <xf numFmtId="0" fontId="5" fillId="5" borderId="0" xfId="0" applyFont="1" applyFill="1" applyAlignment="1">
      <alignment vertical="top" wrapText="1"/>
    </xf>
    <xf numFmtId="0" fontId="5" fillId="5" borderId="0" xfId="0" applyFont="1" applyFill="1" applyAlignment="1">
      <alignment horizontal="center" vertical="top"/>
    </xf>
    <xf numFmtId="2" fontId="5" fillId="5" borderId="0" xfId="0" applyNumberFormat="1" applyFont="1" applyFill="1" applyAlignment="1">
      <alignment horizontal="center" vertical="top"/>
    </xf>
    <xf numFmtId="171" fontId="5" fillId="5" borderId="0" xfId="0" applyNumberFormat="1" applyFont="1" applyFill="1" applyAlignment="1">
      <alignment horizontal="center" vertical="top"/>
    </xf>
    <xf numFmtId="171" fontId="5" fillId="5" borderId="0" xfId="0" applyNumberFormat="1" applyFont="1" applyFill="1" applyAlignment="1">
      <alignment horizontal="right" vertical="top"/>
    </xf>
    <xf numFmtId="0" fontId="5" fillId="5" borderId="2" xfId="4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171" fontId="5" fillId="5" borderId="2" xfId="4" applyNumberFormat="1" applyFont="1" applyFill="1" applyBorder="1" applyAlignment="1">
      <alignment horizontal="center" vertical="center" wrapText="1"/>
    </xf>
    <xf numFmtId="171" fontId="5" fillId="5" borderId="2" xfId="4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vertical="center" wrapText="1"/>
    </xf>
    <xf numFmtId="2" fontId="6" fillId="5" borderId="0" xfId="0" applyNumberFormat="1" applyFont="1" applyFill="1" applyAlignment="1">
      <alignment horizontal="center" vertical="center"/>
    </xf>
    <xf numFmtId="171" fontId="6" fillId="5" borderId="0" xfId="0" applyNumberFormat="1" applyFont="1" applyFill="1" applyAlignment="1">
      <alignment horizontal="center" vertical="center"/>
    </xf>
    <xf numFmtId="171" fontId="6" fillId="5" borderId="0" xfId="0" applyNumberFormat="1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right" vertical="center"/>
    </xf>
    <xf numFmtId="171" fontId="6" fillId="5" borderId="0" xfId="0" applyNumberFormat="1" applyFont="1" applyFill="1" applyAlignment="1">
      <alignment horizontal="right" vertical="center"/>
    </xf>
    <xf numFmtId="0" fontId="5" fillId="5" borderId="1" xfId="4" applyFont="1" applyFill="1" applyBorder="1" applyAlignment="1" applyProtection="1">
      <alignment horizontal="center" vertical="center" wrapText="1"/>
      <protection locked="0"/>
    </xf>
    <xf numFmtId="3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left" wrapText="1"/>
    </xf>
    <xf numFmtId="49" fontId="26" fillId="5" borderId="1" xfId="0" applyNumberFormat="1" applyFont="1" applyFill="1" applyBorder="1" applyAlignment="1" applyProtection="1">
      <alignment horizontal="center" vertical="center" wrapText="1"/>
    </xf>
    <xf numFmtId="171" fontId="26" fillId="5" borderId="1" xfId="0" applyNumberFormat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1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2" fontId="26" fillId="7" borderId="1" xfId="0" applyNumberFormat="1" applyFont="1" applyFill="1" applyBorder="1" applyAlignment="1">
      <alignment horizontal="center" vertical="center" wrapText="1"/>
    </xf>
    <xf numFmtId="171" fontId="26" fillId="7" borderId="1" xfId="0" applyNumberFormat="1" applyFont="1" applyFill="1" applyBorder="1" applyAlignment="1">
      <alignment horizontal="center" vertical="center" wrapText="1"/>
    </xf>
    <xf numFmtId="171" fontId="26" fillId="7" borderId="1" xfId="0" applyNumberFormat="1" applyFont="1" applyFill="1" applyBorder="1" applyAlignment="1">
      <alignment horizontal="right" vertical="center"/>
    </xf>
    <xf numFmtId="171" fontId="5" fillId="5" borderId="1" xfId="0" applyNumberFormat="1" applyFont="1" applyFill="1" applyBorder="1" applyAlignment="1" applyProtection="1">
      <alignment vertical="center"/>
    </xf>
    <xf numFmtId="171" fontId="26" fillId="7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 applyProtection="1">
      <alignment horizontal="center" vertical="center" wrapText="1"/>
    </xf>
    <xf numFmtId="2" fontId="26" fillId="5" borderId="1" xfId="0" applyNumberFormat="1" applyFont="1" applyFill="1" applyBorder="1" applyAlignment="1" applyProtection="1">
      <alignment vertical="center"/>
    </xf>
    <xf numFmtId="171" fontId="26" fillId="5" borderId="1" xfId="0" applyNumberFormat="1" applyFont="1" applyFill="1" applyBorder="1" applyAlignment="1" applyProtection="1">
      <alignment vertical="center"/>
    </xf>
    <xf numFmtId="2" fontId="26" fillId="7" borderId="1" xfId="0" applyNumberFormat="1" applyFont="1" applyFill="1" applyBorder="1" applyAlignment="1">
      <alignment horizontal="center" vertical="center"/>
    </xf>
    <xf numFmtId="171" fontId="5" fillId="7" borderId="1" xfId="0" applyNumberFormat="1" applyFont="1" applyFill="1" applyBorder="1" applyAlignment="1">
      <alignment vertical="center"/>
    </xf>
    <xf numFmtId="171" fontId="26" fillId="7" borderId="1" xfId="0" applyNumberFormat="1" applyFont="1" applyFill="1" applyBorder="1" applyAlignment="1">
      <alignment vertical="center"/>
    </xf>
    <xf numFmtId="171" fontId="5" fillId="5" borderId="1" xfId="0" applyNumberFormat="1" applyFont="1" applyFill="1" applyBorder="1" applyAlignment="1">
      <alignment vertical="center"/>
    </xf>
    <xf numFmtId="2" fontId="26" fillId="5" borderId="1" xfId="4" applyNumberFormat="1" applyFont="1" applyFill="1" applyBorder="1" applyAlignment="1" applyProtection="1">
      <alignment horizontal="center" vertical="center" wrapText="1"/>
      <protection locked="0"/>
    </xf>
    <xf numFmtId="171" fontId="6" fillId="5" borderId="3" xfId="0" applyNumberFormat="1" applyFont="1" applyFill="1" applyBorder="1" applyAlignment="1">
      <alignment horizontal="right" vertical="center"/>
    </xf>
    <xf numFmtId="171" fontId="5" fillId="7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vertical="center"/>
    </xf>
    <xf numFmtId="3" fontId="25" fillId="5" borderId="1" xfId="0" applyNumberFormat="1" applyFont="1" applyFill="1" applyBorder="1" applyAlignment="1">
      <alignment horizontal="center" vertical="center"/>
    </xf>
    <xf numFmtId="0" fontId="25" fillId="5" borderId="1" xfId="5" applyFont="1" applyFill="1" applyBorder="1" applyAlignment="1">
      <alignment wrapText="1"/>
    </xf>
    <xf numFmtId="49" fontId="25" fillId="5" borderId="1" xfId="5" applyNumberFormat="1" applyFont="1" applyFill="1" applyBorder="1" applyAlignment="1">
      <alignment horizontal="center" vertical="center" shrinkToFit="1"/>
    </xf>
    <xf numFmtId="171" fontId="25" fillId="5" borderId="1" xfId="3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2" fontId="26" fillId="5" borderId="1" xfId="4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2" fontId="6" fillId="5" borderId="0" xfId="0" applyNumberFormat="1" applyFont="1" applyFill="1" applyAlignment="1">
      <alignment horizontal="left" vertical="center"/>
    </xf>
    <xf numFmtId="171" fontId="6" fillId="5" borderId="0" xfId="0" applyNumberFormat="1" applyFont="1" applyFill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Fill="1" applyBorder="1" applyAlignment="1">
      <alignment horizontal="left" wrapText="1"/>
    </xf>
    <xf numFmtId="2" fontId="6" fillId="0" borderId="4" xfId="4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/>
    </xf>
    <xf numFmtId="0" fontId="32" fillId="5" borderId="1" xfId="0" applyFont="1" applyFill="1" applyBorder="1"/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wrapText="1"/>
    </xf>
    <xf numFmtId="2" fontId="26" fillId="0" borderId="0" xfId="0" applyNumberFormat="1" applyFont="1" applyBorder="1" applyAlignment="1">
      <alignment horizontal="center"/>
    </xf>
    <xf numFmtId="0" fontId="26" fillId="5" borderId="0" xfId="0" applyFont="1" applyFill="1" applyBorder="1" applyAlignment="1">
      <alignment horizontal="right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right" vertical="top"/>
    </xf>
    <xf numFmtId="165" fontId="6" fillId="0" borderId="0" xfId="0" applyNumberFormat="1" applyFont="1" applyFill="1" applyBorder="1" applyAlignment="1">
      <alignment horizontal="left" wrapText="1"/>
    </xf>
    <xf numFmtId="165" fontId="6" fillId="0" borderId="4" xfId="4" applyNumberFormat="1" applyFont="1" applyFill="1" applyBorder="1" applyAlignment="1">
      <alignment horizontal="center" vertical="center" wrapText="1"/>
    </xf>
    <xf numFmtId="165" fontId="6" fillId="0" borderId="4" xfId="4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26" fillId="5" borderId="1" xfId="0" applyNumberFormat="1" applyFont="1" applyFill="1" applyBorder="1" applyAlignment="1">
      <alignment horizontal="center"/>
    </xf>
    <xf numFmtId="165" fontId="26" fillId="2" borderId="1" xfId="0" applyNumberFormat="1" applyFont="1" applyFill="1" applyBorder="1" applyAlignment="1">
      <alignment vertical="center"/>
    </xf>
    <xf numFmtId="165" fontId="22" fillId="0" borderId="0" xfId="0" applyNumberFormat="1" applyFont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26" fillId="2" borderId="5" xfId="0" applyNumberFormat="1" applyFont="1" applyFill="1" applyBorder="1" applyAlignment="1">
      <alignment vertical="center"/>
    </xf>
    <xf numFmtId="165" fontId="26" fillId="5" borderId="0" xfId="0" applyNumberFormat="1" applyFont="1" applyFill="1" applyBorder="1" applyAlignment="1">
      <alignment horizontal="center"/>
    </xf>
    <xf numFmtId="165" fontId="26" fillId="2" borderId="0" xfId="0" applyNumberFormat="1" applyFont="1" applyFill="1" applyBorder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6" fillId="5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right" vertical="center"/>
    </xf>
    <xf numFmtId="0" fontId="36" fillId="5" borderId="0" xfId="0" applyFont="1" applyFill="1" applyBorder="1" applyAlignment="1">
      <alignment horizontal="left" vertical="center"/>
    </xf>
    <xf numFmtId="0" fontId="38" fillId="5" borderId="6" xfId="0" applyFont="1" applyFill="1" applyBorder="1" applyAlignment="1" applyProtection="1">
      <alignment horizontal="left"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left" vertical="top"/>
    </xf>
    <xf numFmtId="49" fontId="19" fillId="5" borderId="0" xfId="0" applyNumberFormat="1" applyFont="1" applyFill="1" applyAlignment="1">
      <alignment horizontal="left" wrapText="1"/>
    </xf>
    <xf numFmtId="49" fontId="19" fillId="5" borderId="0" xfId="0" applyNumberFormat="1" applyFont="1" applyFill="1" applyBorder="1" applyAlignment="1">
      <alignment horizontal="left" wrapText="1"/>
    </xf>
    <xf numFmtId="0" fontId="19" fillId="5" borderId="0" xfId="0" applyFont="1" applyFill="1" applyBorder="1" applyAlignment="1">
      <alignment horizontal="left"/>
    </xf>
    <xf numFmtId="0" fontId="19" fillId="5" borderId="0" xfId="4" applyFont="1" applyFill="1" applyBorder="1" applyAlignment="1">
      <alignment horizontal="left" vertical="center" wrapText="1"/>
    </xf>
    <xf numFmtId="9" fontId="19" fillId="5" borderId="0" xfId="0" applyNumberFormat="1" applyFont="1" applyFill="1" applyBorder="1" applyAlignment="1">
      <alignment horizontal="left" vertical="center"/>
    </xf>
    <xf numFmtId="167" fontId="19" fillId="5" borderId="0" xfId="0" applyNumberFormat="1" applyFont="1" applyFill="1" applyBorder="1" applyAlignment="1">
      <alignment horizontal="left" vertical="center"/>
    </xf>
    <xf numFmtId="167" fontId="37" fillId="5" borderId="0" xfId="0" applyNumberFormat="1" applyFont="1" applyFill="1" applyBorder="1" applyAlignment="1">
      <alignment horizontal="left" vertical="center"/>
    </xf>
    <xf numFmtId="2" fontId="19" fillId="7" borderId="0" xfId="0" applyNumberFormat="1" applyFont="1" applyFill="1" applyBorder="1" applyAlignment="1">
      <alignment horizontal="left" vertical="center"/>
    </xf>
    <xf numFmtId="0" fontId="19" fillId="7" borderId="0" xfId="0" applyFont="1" applyFill="1" applyBorder="1" applyAlignment="1">
      <alignment horizontal="left" vertical="center" wrapText="1"/>
    </xf>
    <xf numFmtId="0" fontId="37" fillId="5" borderId="0" xfId="4" applyFont="1" applyFill="1" applyBorder="1" applyAlignment="1" applyProtection="1">
      <alignment horizontal="left" vertical="center" wrapText="1"/>
      <protection locked="0"/>
    </xf>
    <xf numFmtId="2" fontId="37" fillId="5" borderId="0" xfId="0" applyNumberFormat="1" applyFont="1" applyFill="1" applyBorder="1" applyAlignment="1">
      <alignment horizontal="left" vertical="center"/>
    </xf>
    <xf numFmtId="2" fontId="19" fillId="7" borderId="0" xfId="0" applyNumberFormat="1" applyFont="1" applyFill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/>
    </xf>
    <xf numFmtId="0" fontId="37" fillId="5" borderId="0" xfId="0" applyFont="1" applyFill="1" applyBorder="1" applyAlignment="1">
      <alignment horizontal="left" vertical="center"/>
    </xf>
    <xf numFmtId="2" fontId="19" fillId="5" borderId="0" xfId="0" applyNumberFormat="1" applyFont="1" applyFill="1" applyBorder="1" applyAlignment="1">
      <alignment horizontal="left" vertical="center"/>
    </xf>
    <xf numFmtId="0" fontId="19" fillId="5" borderId="0" xfId="0" applyNumberFormat="1" applyFont="1" applyFill="1" applyBorder="1" applyAlignment="1">
      <alignment horizontal="left" vertical="center" wrapText="1"/>
    </xf>
    <xf numFmtId="0" fontId="37" fillId="5" borderId="0" xfId="4" applyFont="1" applyFill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wrapText="1"/>
    </xf>
    <xf numFmtId="44" fontId="19" fillId="5" borderId="0" xfId="0" applyNumberFormat="1" applyFont="1" applyFill="1" applyBorder="1" applyAlignment="1" applyProtection="1">
      <alignment horizontal="left"/>
    </xf>
    <xf numFmtId="0" fontId="19" fillId="5" borderId="0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/>
    </xf>
    <xf numFmtId="0" fontId="0" fillId="0" borderId="7" xfId="0" applyBorder="1" applyProtection="1"/>
    <xf numFmtId="0" fontId="0" fillId="0" borderId="8" xfId="0" applyBorder="1"/>
    <xf numFmtId="0" fontId="0" fillId="0" borderId="0" xfId="0" applyProtection="1"/>
    <xf numFmtId="0" fontId="40" fillId="0" borderId="0" xfId="0" applyFont="1" applyAlignment="1">
      <alignment horizontal="left" vertical="center"/>
    </xf>
    <xf numFmtId="0" fontId="0" fillId="0" borderId="9" xfId="0" applyBorder="1" applyProtection="1"/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0" fontId="43" fillId="0" borderId="10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 applyProtection="1">
      <alignment vertical="center"/>
    </xf>
    <xf numFmtId="0" fontId="41" fillId="0" borderId="8" xfId="0" applyFont="1" applyBorder="1" applyAlignment="1">
      <alignment vertical="center"/>
    </xf>
    <xf numFmtId="0" fontId="0" fillId="8" borderId="0" xfId="0" applyFont="1" applyFill="1" applyAlignment="1" applyProtection="1">
      <alignment vertical="center"/>
    </xf>
    <xf numFmtId="0" fontId="45" fillId="8" borderId="11" xfId="0" applyFont="1" applyFill="1" applyBorder="1" applyAlignment="1" applyProtection="1">
      <alignment horizontal="left" vertical="center"/>
    </xf>
    <xf numFmtId="0" fontId="0" fillId="8" borderId="12" xfId="0" applyFont="1" applyFill="1" applyBorder="1" applyAlignment="1" applyProtection="1">
      <alignment vertical="center"/>
    </xf>
    <xf numFmtId="0" fontId="45" fillId="8" borderId="1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6" fillId="0" borderId="9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41" fillId="0" borderId="10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vertical="center"/>
    </xf>
    <xf numFmtId="0" fontId="14" fillId="0" borderId="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 applyProtection="1">
      <alignment vertical="center"/>
    </xf>
    <xf numFmtId="0" fontId="42" fillId="0" borderId="8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9" borderId="12" xfId="0" applyFont="1" applyFill="1" applyBorder="1" applyAlignment="1" applyProtection="1">
      <alignment vertical="center"/>
    </xf>
    <xf numFmtId="0" fontId="49" fillId="9" borderId="0" xfId="0" applyFont="1" applyFill="1" applyAlignment="1" applyProtection="1">
      <alignment horizontal="center" vertical="center"/>
    </xf>
    <xf numFmtId="0" fontId="50" fillId="0" borderId="20" xfId="0" applyFont="1" applyBorder="1" applyAlignment="1" applyProtection="1">
      <alignment horizontal="center" vertical="center" wrapText="1"/>
    </xf>
    <xf numFmtId="0" fontId="50" fillId="0" borderId="21" xfId="0" applyFont="1" applyBorder="1" applyAlignment="1" applyProtection="1">
      <alignment horizontal="center" vertical="center" wrapText="1"/>
    </xf>
    <xf numFmtId="0" fontId="50" fillId="0" borderId="6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45" fillId="0" borderId="0" xfId="0" applyFont="1" applyAlignment="1">
      <alignment vertical="center"/>
    </xf>
    <xf numFmtId="0" fontId="45" fillId="0" borderId="0" xfId="0" applyFont="1" applyAlignment="1" applyProtection="1">
      <alignment horizontal="center" vertical="center"/>
    </xf>
    <xf numFmtId="0" fontId="45" fillId="0" borderId="8" xfId="0" applyFont="1" applyBorder="1" applyAlignment="1">
      <alignment vertical="center"/>
    </xf>
    <xf numFmtId="4" fontId="47" fillId="0" borderId="18" xfId="0" applyNumberFormat="1" applyFont="1" applyBorder="1" applyAlignment="1" applyProtection="1">
      <alignment vertical="center"/>
    </xf>
    <xf numFmtId="4" fontId="47" fillId="0" borderId="0" xfId="0" applyNumberFormat="1" applyFont="1" applyBorder="1" applyAlignment="1" applyProtection="1">
      <alignment vertical="center"/>
    </xf>
    <xf numFmtId="174" fontId="47" fillId="0" borderId="0" xfId="0" applyNumberFormat="1" applyFont="1" applyBorder="1" applyAlignment="1" applyProtection="1">
      <alignment vertical="center"/>
    </xf>
    <xf numFmtId="4" fontId="47" fillId="0" borderId="19" xfId="0" applyNumberFormat="1" applyFont="1" applyBorder="1" applyAlignment="1" applyProtection="1">
      <alignment vertical="center"/>
    </xf>
    <xf numFmtId="0" fontId="5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0" fillId="0" borderId="2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0" xfId="0" applyBorder="1" applyProtection="1"/>
    <xf numFmtId="0" fontId="39" fillId="0" borderId="0" xfId="0" applyFont="1" applyBorder="1" applyAlignment="1" applyProtection="1">
      <alignment horizontal="left" vertical="center"/>
    </xf>
    <xf numFmtId="0" fontId="0" fillId="0" borderId="3" xfId="0" applyBorder="1" applyProtection="1"/>
    <xf numFmtId="0" fontId="41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0" fontId="42" fillId="0" borderId="0" xfId="0" applyFont="1" applyBorder="1" applyAlignment="1" applyProtection="1">
      <alignment horizontal="left" vertical="top"/>
    </xf>
    <xf numFmtId="0" fontId="41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14" fontId="14" fillId="0" borderId="0" xfId="0" applyNumberFormat="1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41" fillId="0" borderId="25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/>
    </xf>
    <xf numFmtId="0" fontId="41" fillId="0" borderId="3" xfId="0" applyFont="1" applyBorder="1" applyAlignment="1" applyProtection="1">
      <alignment vertical="center"/>
    </xf>
    <xf numFmtId="0" fontId="0" fillId="8" borderId="0" xfId="0" applyFont="1" applyFill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vertical="center"/>
    </xf>
    <xf numFmtId="0" fontId="0" fillId="0" borderId="25" xfId="0" applyBorder="1"/>
    <xf numFmtId="0" fontId="0" fillId="0" borderId="0" xfId="0" applyBorder="1"/>
    <xf numFmtId="0" fontId="0" fillId="0" borderId="3" xfId="0" applyBorder="1"/>
    <xf numFmtId="0" fontId="0" fillId="0" borderId="28" xfId="0" applyFont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14" fillId="0" borderId="25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42" fillId="0" borderId="25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vertical="center"/>
    </xf>
    <xf numFmtId="0" fontId="42" fillId="0" borderId="3" xfId="0" applyFont="1" applyBorder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45" fillId="0" borderId="25" xfId="0" applyFont="1" applyBorder="1" applyAlignment="1" applyProtection="1">
      <alignment vertical="center"/>
    </xf>
    <xf numFmtId="0" fontId="51" fillId="0" borderId="0" xfId="0" applyFont="1" applyBorder="1" applyAlignment="1" applyProtection="1">
      <alignment horizontal="left" vertical="center"/>
    </xf>
    <xf numFmtId="0" fontId="51" fillId="0" borderId="0" xfId="0" applyFont="1" applyBorder="1" applyAlignment="1" applyProtection="1">
      <alignment vertical="center"/>
    </xf>
    <xf numFmtId="0" fontId="0" fillId="0" borderId="31" xfId="0" applyFont="1" applyBorder="1" applyAlignment="1" applyProtection="1">
      <alignment vertical="center"/>
    </xf>
    <xf numFmtId="0" fontId="0" fillId="0" borderId="32" xfId="0" applyFont="1" applyBorder="1" applyAlignment="1" applyProtection="1">
      <alignment vertical="center"/>
    </xf>
    <xf numFmtId="0" fontId="0" fillId="0" borderId="33" xfId="0" applyFont="1" applyBorder="1" applyAlignment="1" applyProtection="1">
      <alignment vertical="center"/>
    </xf>
    <xf numFmtId="0" fontId="0" fillId="0" borderId="0" xfId="0" applyBorder="1" applyProtection="1"/>
    <xf numFmtId="0" fontId="0" fillId="5" borderId="3" xfId="0" applyFont="1" applyFill="1" applyBorder="1" applyAlignment="1" applyProtection="1">
      <alignment vertical="center"/>
    </xf>
    <xf numFmtId="0" fontId="49" fillId="9" borderId="0" xfId="0" applyFont="1" applyFill="1" applyBorder="1" applyAlignment="1" applyProtection="1">
      <alignment horizontal="center" vertical="center"/>
    </xf>
    <xf numFmtId="0" fontId="49" fillId="9" borderId="0" xfId="0" applyFont="1" applyFill="1" applyBorder="1" applyAlignment="1" applyProtection="1">
      <alignment horizontal="left" vertical="center"/>
    </xf>
    <xf numFmtId="0" fontId="0" fillId="9" borderId="0" xfId="0" applyFont="1" applyFill="1" applyBorder="1" applyAlignment="1" applyProtection="1">
      <alignment vertical="center"/>
    </xf>
    <xf numFmtId="0" fontId="49" fillId="9" borderId="0" xfId="0" applyFont="1" applyFill="1" applyBorder="1" applyAlignment="1" applyProtection="1">
      <alignment horizontal="right" vertical="center"/>
    </xf>
    <xf numFmtId="0" fontId="49" fillId="9" borderId="3" xfId="0" applyFont="1" applyFill="1" applyBorder="1" applyAlignment="1" applyProtection="1">
      <alignment horizontal="left" vertical="center"/>
    </xf>
    <xf numFmtId="0" fontId="50" fillId="0" borderId="15" xfId="0" applyFont="1" applyBorder="1" applyAlignment="1" applyProtection="1">
      <alignment horizontal="center" vertical="center" wrapText="1"/>
    </xf>
    <xf numFmtId="0" fontId="50" fillId="0" borderId="16" xfId="0" applyFont="1" applyBorder="1" applyAlignment="1" applyProtection="1">
      <alignment horizontal="center" vertical="center" wrapText="1"/>
    </xf>
    <xf numFmtId="0" fontId="50" fillId="0" borderId="17" xfId="0" applyFont="1" applyBorder="1" applyAlignment="1" applyProtection="1">
      <alignment horizontal="center" vertical="center" wrapText="1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18" xfId="0" applyFont="1" applyBorder="1" applyAlignment="1" applyProtection="1">
      <alignment horizontal="left" vertical="center"/>
    </xf>
    <xf numFmtId="0" fontId="48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49" fillId="9" borderId="11" xfId="0" applyFont="1" applyFill="1" applyBorder="1" applyAlignment="1" applyProtection="1">
      <alignment horizontal="center" vertical="center"/>
    </xf>
    <xf numFmtId="0" fontId="49" fillId="9" borderId="12" xfId="0" applyFont="1" applyFill="1" applyBorder="1" applyAlignment="1" applyProtection="1">
      <alignment horizontal="left" vertical="center"/>
    </xf>
    <xf numFmtId="0" fontId="49" fillId="9" borderId="12" xfId="0" applyFont="1" applyFill="1" applyBorder="1" applyAlignment="1" applyProtection="1">
      <alignment horizontal="center" vertical="center"/>
    </xf>
    <xf numFmtId="0" fontId="49" fillId="9" borderId="12" xfId="0" applyFont="1" applyFill="1" applyBorder="1" applyAlignment="1" applyProtection="1">
      <alignment horizontal="right" vertical="center"/>
    </xf>
    <xf numFmtId="0" fontId="49" fillId="9" borderId="30" xfId="0" applyFont="1" applyFill="1" applyBorder="1" applyAlignment="1" applyProtection="1">
      <alignment horizontal="left" vertical="center"/>
    </xf>
    <xf numFmtId="172" fontId="41" fillId="0" borderId="0" xfId="0" applyNumberFormat="1" applyFont="1" applyBorder="1" applyAlignment="1" applyProtection="1">
      <alignment horizontal="left" vertical="center"/>
    </xf>
    <xf numFmtId="0" fontId="41" fillId="0" borderId="0" xfId="0" applyFont="1" applyBorder="1" applyAlignment="1" applyProtection="1">
      <alignment vertical="center"/>
    </xf>
    <xf numFmtId="4" fontId="44" fillId="0" borderId="0" xfId="0" applyNumberFormat="1" applyFont="1" applyBorder="1" applyAlignment="1" applyProtection="1">
      <alignment vertical="center"/>
    </xf>
    <xf numFmtId="0" fontId="45" fillId="8" borderId="12" xfId="0" applyFont="1" applyFill="1" applyBorder="1" applyAlignment="1" applyProtection="1">
      <alignment horizontal="left" vertical="center"/>
    </xf>
    <xf numFmtId="0" fontId="0" fillId="8" borderId="12" xfId="0" applyFont="1" applyFill="1" applyBorder="1" applyAlignment="1" applyProtection="1">
      <alignment vertical="center"/>
    </xf>
    <xf numFmtId="4" fontId="45" fillId="8" borderId="12" xfId="0" applyNumberFormat="1" applyFont="1" applyFill="1" applyBorder="1" applyAlignment="1" applyProtection="1">
      <alignment vertical="center"/>
    </xf>
    <xf numFmtId="0" fontId="0" fillId="8" borderId="13" xfId="0" applyFont="1" applyFill="1" applyBorder="1" applyAlignment="1" applyProtection="1">
      <alignment vertical="center"/>
    </xf>
    <xf numFmtId="4" fontId="51" fillId="0" borderId="0" xfId="0" applyNumberFormat="1" applyFont="1" applyBorder="1" applyAlignment="1" applyProtection="1">
      <alignment horizontal="right" vertical="center"/>
    </xf>
    <xf numFmtId="4" fontId="51" fillId="0" borderId="0" xfId="0" applyNumberFormat="1" applyFont="1" applyBorder="1" applyAlignment="1" applyProtection="1">
      <alignment vertical="center"/>
    </xf>
    <xf numFmtId="4" fontId="51" fillId="0" borderId="3" xfId="0" applyNumberFormat="1" applyFont="1" applyBorder="1" applyAlignment="1" applyProtection="1">
      <alignment vertical="center"/>
    </xf>
    <xf numFmtId="0" fontId="42" fillId="0" borderId="0" xfId="0" applyFont="1" applyBorder="1" applyAlignment="1" applyProtection="1">
      <alignment horizontal="left" vertical="center" wrapText="1"/>
    </xf>
    <xf numFmtId="0" fontId="42" fillId="0" borderId="0" xfId="0" applyFont="1" applyBorder="1" applyAlignment="1" applyProtection="1">
      <alignment vertical="center"/>
    </xf>
    <xf numFmtId="173" fontId="14" fillId="0" borderId="0" xfId="0" applyNumberFormat="1" applyFont="1" applyBorder="1" applyAlignment="1" applyProtection="1">
      <alignment horizontal="left" vertical="center"/>
    </xf>
    <xf numFmtId="0" fontId="0" fillId="0" borderId="0" xfId="0"/>
    <xf numFmtId="0" fontId="42" fillId="0" borderId="0" xfId="0" applyFont="1" applyBorder="1" applyAlignment="1" applyProtection="1">
      <alignment horizontal="left" vertical="top" wrapText="1"/>
    </xf>
    <xf numFmtId="0" fontId="0" fillId="0" borderId="0" xfId="0" applyBorder="1" applyProtection="1"/>
    <xf numFmtId="4" fontId="43" fillId="0" borderId="1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 wrapText="1"/>
    </xf>
    <xf numFmtId="169" fontId="25" fillId="5" borderId="0" xfId="0" applyNumberFormat="1" applyFont="1" applyFill="1" applyBorder="1" applyAlignment="1">
      <alignment horizontal="right" vertical="center"/>
    </xf>
    <xf numFmtId="0" fontId="26" fillId="5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6" fillId="5" borderId="0" xfId="0" applyFont="1" applyFill="1" applyBorder="1" applyAlignment="1">
      <alignment horizontal="left" wrapText="1"/>
    </xf>
    <xf numFmtId="49" fontId="6" fillId="5" borderId="0" xfId="0" applyNumberFormat="1" applyFont="1" applyFill="1" applyAlignment="1">
      <alignment wrapText="1"/>
    </xf>
    <xf numFmtId="49" fontId="5" fillId="5" borderId="0" xfId="0" applyNumberFormat="1" applyFont="1" applyFill="1" applyBorder="1" applyAlignment="1">
      <alignment wrapText="1"/>
    </xf>
    <xf numFmtId="0" fontId="0" fillId="5" borderId="0" xfId="0" applyFill="1" applyAlignment="1">
      <alignment wrapText="1"/>
    </xf>
    <xf numFmtId="0" fontId="25" fillId="5" borderId="0" xfId="0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horizontal="left" wrapText="1"/>
    </xf>
  </cellXfs>
  <cellStyles count="6">
    <cellStyle name="Excel Built-in Normal" xfId="1"/>
    <cellStyle name="Hypertextový odkaz" xfId="2" builtinId="8"/>
    <cellStyle name="Měna" xfId="3" builtinId="4"/>
    <cellStyle name="Normální" xfId="0" builtinId="0"/>
    <cellStyle name="Normální 2" xfId="4"/>
    <cellStyle name="normální_POL.XL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80"/>
  <sheetViews>
    <sheetView topLeftCell="A52" workbookViewId="0">
      <selection activeCell="AN79" sqref="AN79"/>
    </sheetView>
  </sheetViews>
  <sheetFormatPr defaultRowHeight="12.75" x14ac:dyDescent="0.2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32.710937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0" hidden="1" customWidth="1"/>
    <col min="44" max="44" width="11.7109375" customWidth="1"/>
    <col min="45" max="56" width="0" hidden="1" customWidth="1"/>
    <col min="57" max="57" width="57" customWidth="1"/>
  </cols>
  <sheetData>
    <row r="1" spans="1:74" x14ac:dyDescent="0.2">
      <c r="A1" s="473" t="s">
        <v>321</v>
      </c>
      <c r="AZ1" s="473" t="s">
        <v>278</v>
      </c>
      <c r="BA1" s="473" t="s">
        <v>322</v>
      </c>
      <c r="BB1" s="473" t="s">
        <v>323</v>
      </c>
      <c r="BT1" s="473" t="s">
        <v>324</v>
      </c>
      <c r="BU1" s="473" t="s">
        <v>324</v>
      </c>
      <c r="BV1" s="473" t="s">
        <v>325</v>
      </c>
    </row>
    <row r="2" spans="1:74" ht="36.950000000000003" customHeight="1" x14ac:dyDescent="0.2">
      <c r="AR2" s="556"/>
      <c r="AS2" s="556"/>
      <c r="AT2" s="556"/>
      <c r="AU2" s="556"/>
      <c r="AV2" s="556"/>
      <c r="AW2" s="556"/>
      <c r="AX2" s="556"/>
      <c r="AY2" s="556"/>
      <c r="AZ2" s="556"/>
      <c r="BA2" s="556"/>
      <c r="BB2" s="556"/>
      <c r="BC2" s="556"/>
      <c r="BD2" s="556"/>
      <c r="BE2" s="556"/>
      <c r="BS2" s="474" t="s">
        <v>326</v>
      </c>
      <c r="BT2" s="474" t="s">
        <v>327</v>
      </c>
    </row>
    <row r="3" spans="1:74" ht="6.95" customHeight="1" x14ac:dyDescent="0.2">
      <c r="B3" s="476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8"/>
      <c r="AQ3" s="419"/>
      <c r="AR3" s="420"/>
      <c r="BS3" s="474" t="s">
        <v>326</v>
      </c>
      <c r="BT3" s="474" t="s">
        <v>328</v>
      </c>
    </row>
    <row r="4" spans="1:74" ht="24.95" customHeight="1" x14ac:dyDescent="0.2">
      <c r="B4" s="479"/>
      <c r="C4" s="480"/>
      <c r="D4" s="481" t="s">
        <v>273</v>
      </c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480"/>
      <c r="AE4" s="480"/>
      <c r="AF4" s="480"/>
      <c r="AG4" s="480"/>
      <c r="AH4" s="480"/>
      <c r="AI4" s="480"/>
      <c r="AJ4" s="480"/>
      <c r="AK4" s="480"/>
      <c r="AL4" s="480"/>
      <c r="AM4" s="480"/>
      <c r="AN4" s="480"/>
      <c r="AO4" s="480"/>
      <c r="AP4" s="482"/>
      <c r="AQ4" s="421"/>
      <c r="AR4" s="420"/>
      <c r="AS4" s="422" t="s">
        <v>274</v>
      </c>
      <c r="BS4" s="474" t="s">
        <v>329</v>
      </c>
    </row>
    <row r="5" spans="1:74" ht="12" customHeight="1" x14ac:dyDescent="0.2">
      <c r="B5" s="479"/>
      <c r="C5" s="480"/>
      <c r="D5" s="483"/>
      <c r="E5" s="480"/>
      <c r="F5" s="480"/>
      <c r="G5" s="480"/>
      <c r="H5" s="480"/>
      <c r="I5" s="480"/>
      <c r="J5" s="480"/>
      <c r="K5" s="562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58"/>
      <c r="Y5" s="558"/>
      <c r="Z5" s="558"/>
      <c r="AA5" s="558"/>
      <c r="AB5" s="558"/>
      <c r="AC5" s="558"/>
      <c r="AD5" s="558"/>
      <c r="AE5" s="558"/>
      <c r="AF5" s="558"/>
      <c r="AG5" s="558"/>
      <c r="AH5" s="558"/>
      <c r="AI5" s="558"/>
      <c r="AJ5" s="558"/>
      <c r="AK5" s="558"/>
      <c r="AL5" s="558"/>
      <c r="AM5" s="558"/>
      <c r="AN5" s="558"/>
      <c r="AO5" s="558"/>
      <c r="AP5" s="482"/>
      <c r="AQ5" s="421"/>
      <c r="AR5" s="420"/>
      <c r="BS5" s="474" t="s">
        <v>326</v>
      </c>
    </row>
    <row r="6" spans="1:74" ht="49.5" customHeight="1" x14ac:dyDescent="0.2">
      <c r="B6" s="479"/>
      <c r="C6" s="480"/>
      <c r="D6" s="485" t="s">
        <v>276</v>
      </c>
      <c r="E6" s="480"/>
      <c r="F6" s="480"/>
      <c r="G6" s="480"/>
      <c r="H6" s="480"/>
      <c r="I6" s="480"/>
      <c r="J6" s="480"/>
      <c r="K6" s="557" t="s">
        <v>335</v>
      </c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8"/>
      <c r="AM6" s="558"/>
      <c r="AN6" s="558"/>
      <c r="AO6" s="558"/>
      <c r="AP6" s="482"/>
      <c r="AQ6" s="421"/>
      <c r="AR6" s="420"/>
      <c r="BS6" s="474" t="s">
        <v>326</v>
      </c>
    </row>
    <row r="7" spans="1:74" ht="12" customHeight="1" x14ac:dyDescent="0.2">
      <c r="B7" s="479"/>
      <c r="C7" s="480"/>
      <c r="D7" s="486" t="s">
        <v>277</v>
      </c>
      <c r="E7" s="480"/>
      <c r="F7" s="480"/>
      <c r="G7" s="480"/>
      <c r="H7" s="480"/>
      <c r="I7" s="480"/>
      <c r="J7" s="480"/>
      <c r="K7" s="487" t="s">
        <v>278</v>
      </c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6"/>
      <c r="AL7" s="480"/>
      <c r="AM7" s="480"/>
      <c r="AN7" s="487" t="s">
        <v>278</v>
      </c>
      <c r="AO7" s="480"/>
      <c r="AP7" s="482"/>
      <c r="AQ7" s="421"/>
      <c r="AR7" s="420"/>
      <c r="BS7" s="474" t="s">
        <v>326</v>
      </c>
    </row>
    <row r="8" spans="1:74" ht="12" customHeight="1" x14ac:dyDescent="0.2">
      <c r="B8" s="479"/>
      <c r="C8" s="480"/>
      <c r="D8" s="486" t="s">
        <v>279</v>
      </c>
      <c r="E8" s="480"/>
      <c r="F8" s="480"/>
      <c r="G8" s="480"/>
      <c r="H8" s="480"/>
      <c r="I8" s="480"/>
      <c r="J8" s="480"/>
      <c r="K8" s="487" t="s">
        <v>347</v>
      </c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  <c r="AK8" s="486" t="s">
        <v>281</v>
      </c>
      <c r="AL8" s="480"/>
      <c r="AM8" s="480"/>
      <c r="AN8" s="488">
        <v>44225</v>
      </c>
      <c r="AO8" s="480"/>
      <c r="AP8" s="482"/>
      <c r="AQ8" s="421"/>
      <c r="AR8" s="420"/>
      <c r="BS8" s="474" t="s">
        <v>326</v>
      </c>
    </row>
    <row r="9" spans="1:74" ht="14.45" customHeight="1" x14ac:dyDescent="0.2">
      <c r="B9" s="479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2"/>
      <c r="AQ9" s="421"/>
      <c r="AR9" s="420"/>
      <c r="BS9" s="474" t="s">
        <v>326</v>
      </c>
    </row>
    <row r="10" spans="1:74" ht="12" customHeight="1" x14ac:dyDescent="0.2">
      <c r="B10" s="479"/>
      <c r="C10" s="480"/>
      <c r="D10" s="486" t="s">
        <v>282</v>
      </c>
      <c r="E10" s="480"/>
      <c r="F10" s="480"/>
      <c r="G10" s="480"/>
      <c r="H10" s="480"/>
      <c r="I10" s="480"/>
      <c r="J10" s="480"/>
      <c r="K10" s="480" t="s">
        <v>336</v>
      </c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6"/>
      <c r="AL10" s="480"/>
      <c r="AM10" s="480"/>
      <c r="AN10" s="487" t="s">
        <v>278</v>
      </c>
      <c r="AO10" s="480"/>
      <c r="AP10" s="482"/>
      <c r="AQ10" s="421"/>
      <c r="AR10" s="420"/>
      <c r="BS10" s="474" t="s">
        <v>326</v>
      </c>
    </row>
    <row r="11" spans="1:74" ht="18.399999999999999" customHeight="1" x14ac:dyDescent="0.2">
      <c r="B11" s="479"/>
      <c r="C11" s="480"/>
      <c r="D11" s="480"/>
      <c r="E11" s="487" t="s">
        <v>280</v>
      </c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6"/>
      <c r="AL11" s="480"/>
      <c r="AM11" s="480"/>
      <c r="AN11" s="487" t="s">
        <v>278</v>
      </c>
      <c r="AO11" s="480"/>
      <c r="AP11" s="482"/>
      <c r="AQ11" s="421"/>
      <c r="AR11" s="420"/>
      <c r="BS11" s="474" t="s">
        <v>326</v>
      </c>
    </row>
    <row r="12" spans="1:74" ht="6.95" customHeight="1" x14ac:dyDescent="0.2">
      <c r="B12" s="479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2"/>
      <c r="AQ12" s="421"/>
      <c r="AR12" s="420"/>
      <c r="BS12" s="474" t="s">
        <v>326</v>
      </c>
    </row>
    <row r="13" spans="1:74" ht="6.95" customHeight="1" x14ac:dyDescent="0.2">
      <c r="B13" s="479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2"/>
      <c r="AQ13" s="421"/>
      <c r="AR13" s="420"/>
      <c r="BS13" s="474" t="s">
        <v>324</v>
      </c>
    </row>
    <row r="14" spans="1:74" ht="12" customHeight="1" x14ac:dyDescent="0.2">
      <c r="B14" s="479"/>
      <c r="C14" s="480"/>
      <c r="D14" s="486" t="s">
        <v>348</v>
      </c>
      <c r="E14" s="480"/>
      <c r="F14" s="480"/>
      <c r="G14" s="480"/>
      <c r="H14" s="480"/>
      <c r="I14" s="480"/>
      <c r="J14" s="480"/>
      <c r="K14" s="484"/>
      <c r="L14" s="480"/>
      <c r="M14" s="484" t="s">
        <v>351</v>
      </c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6"/>
      <c r="AL14" s="480"/>
      <c r="AM14" s="480"/>
      <c r="AN14" s="487"/>
      <c r="AO14" s="480"/>
      <c r="AP14" s="482"/>
      <c r="AQ14" s="421"/>
      <c r="AR14" s="420"/>
      <c r="BS14" s="474" t="s">
        <v>324</v>
      </c>
    </row>
    <row r="15" spans="1:74" ht="12" customHeight="1" x14ac:dyDescent="0.2">
      <c r="B15" s="479"/>
      <c r="C15" s="480"/>
      <c r="D15" s="486"/>
      <c r="E15" s="480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6"/>
      <c r="AL15" s="480"/>
      <c r="AM15" s="480"/>
      <c r="AN15" s="487"/>
      <c r="AO15" s="480"/>
      <c r="AP15" s="482"/>
      <c r="AQ15" s="421"/>
      <c r="AR15" s="420"/>
      <c r="BS15" s="474"/>
    </row>
    <row r="16" spans="1:74" ht="18.399999999999999" customHeight="1" x14ac:dyDescent="0.2">
      <c r="B16" s="479"/>
      <c r="C16" s="480"/>
      <c r="D16" s="480"/>
      <c r="E16" s="487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6"/>
      <c r="AL16" s="480"/>
      <c r="AM16" s="480"/>
      <c r="AN16" s="487"/>
      <c r="AO16" s="480"/>
      <c r="AP16" s="482"/>
      <c r="AQ16" s="421"/>
      <c r="AR16" s="420"/>
      <c r="BS16" s="474" t="s">
        <v>330</v>
      </c>
    </row>
    <row r="17" spans="1:71" ht="6.95" customHeight="1" x14ac:dyDescent="0.2">
      <c r="B17" s="479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480"/>
      <c r="AM17" s="480"/>
      <c r="AN17" s="480"/>
      <c r="AO17" s="480"/>
      <c r="AP17" s="482"/>
      <c r="AQ17" s="421"/>
      <c r="AR17" s="420"/>
      <c r="BS17" s="474" t="s">
        <v>326</v>
      </c>
    </row>
    <row r="18" spans="1:71" ht="12" customHeight="1" x14ac:dyDescent="0.2">
      <c r="B18" s="479"/>
      <c r="C18" s="480"/>
      <c r="D18" s="486" t="s">
        <v>337</v>
      </c>
      <c r="E18" s="480"/>
      <c r="F18" s="480"/>
      <c r="G18" s="480"/>
      <c r="H18" s="480"/>
      <c r="I18" s="480"/>
      <c r="J18" s="480"/>
      <c r="K18" s="480"/>
      <c r="L18" s="480"/>
      <c r="M18" s="519" t="s">
        <v>338</v>
      </c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480"/>
      <c r="AI18" s="480"/>
      <c r="AJ18" s="480"/>
      <c r="AK18" s="486"/>
      <c r="AL18" s="480"/>
      <c r="AM18" s="480"/>
      <c r="AN18" s="487" t="s">
        <v>278</v>
      </c>
      <c r="AO18" s="480"/>
      <c r="AP18" s="482"/>
      <c r="AQ18" s="421"/>
      <c r="AR18" s="420"/>
      <c r="BS18" s="474" t="s">
        <v>326</v>
      </c>
    </row>
    <row r="19" spans="1:71" ht="18.399999999999999" customHeight="1" x14ac:dyDescent="0.2">
      <c r="B19" s="479"/>
      <c r="C19" s="480"/>
      <c r="D19" s="480"/>
      <c r="E19" s="487" t="s">
        <v>280</v>
      </c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6"/>
      <c r="AL19" s="480"/>
      <c r="AM19" s="480"/>
      <c r="AN19" s="487" t="s">
        <v>278</v>
      </c>
      <c r="AO19" s="480"/>
      <c r="AP19" s="482"/>
      <c r="AQ19" s="421"/>
      <c r="AR19" s="420"/>
      <c r="BS19" s="474" t="s">
        <v>324</v>
      </c>
    </row>
    <row r="20" spans="1:71" ht="6.95" customHeight="1" x14ac:dyDescent="0.2">
      <c r="B20" s="479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0"/>
      <c r="AL20" s="480"/>
      <c r="AM20" s="480"/>
      <c r="AN20" s="480"/>
      <c r="AO20" s="480"/>
      <c r="AP20" s="482"/>
      <c r="AQ20" s="421"/>
      <c r="AR20" s="420"/>
    </row>
    <row r="21" spans="1:71" ht="12" customHeight="1" x14ac:dyDescent="0.2">
      <c r="B21" s="479"/>
      <c r="C21" s="480"/>
      <c r="D21" s="486" t="s">
        <v>283</v>
      </c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480"/>
      <c r="AL21" s="480"/>
      <c r="AM21" s="480"/>
      <c r="AN21" s="480"/>
      <c r="AO21" s="480"/>
      <c r="AP21" s="482"/>
      <c r="AQ21" s="421"/>
      <c r="AR21" s="420"/>
    </row>
    <row r="22" spans="1:71" ht="16.5" customHeight="1" x14ac:dyDescent="0.2">
      <c r="B22" s="479"/>
      <c r="C22" s="480"/>
      <c r="D22" s="480"/>
      <c r="E22" s="563" t="s">
        <v>278</v>
      </c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3"/>
      <c r="AM22" s="563"/>
      <c r="AN22" s="563"/>
      <c r="AO22" s="480"/>
      <c r="AP22" s="482"/>
      <c r="AQ22" s="421"/>
      <c r="AR22" s="420"/>
    </row>
    <row r="23" spans="1:71" ht="6.95" customHeight="1" x14ac:dyDescent="0.2">
      <c r="B23" s="479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2"/>
      <c r="AQ23" s="421"/>
      <c r="AR23" s="420"/>
    </row>
    <row r="24" spans="1:71" ht="6.95" customHeight="1" x14ac:dyDescent="0.2">
      <c r="B24" s="479"/>
      <c r="C24" s="480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I24" s="423"/>
      <c r="AJ24" s="423"/>
      <c r="AK24" s="423"/>
      <c r="AL24" s="423"/>
      <c r="AM24" s="423"/>
      <c r="AN24" s="423"/>
      <c r="AO24" s="423"/>
      <c r="AP24" s="482"/>
      <c r="AQ24" s="421"/>
      <c r="AR24" s="420"/>
    </row>
    <row r="25" spans="1:71" s="430" customFormat="1" ht="25.9" customHeight="1" x14ac:dyDescent="0.2">
      <c r="A25" s="424"/>
      <c r="B25" s="489"/>
      <c r="C25" s="456"/>
      <c r="D25" s="426" t="s">
        <v>344</v>
      </c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559">
        <f>'rozpocet realizace'!F218</f>
        <v>0</v>
      </c>
      <c r="AL25" s="560"/>
      <c r="AM25" s="560"/>
      <c r="AN25" s="560"/>
      <c r="AO25" s="560"/>
      <c r="AP25" s="490"/>
      <c r="AQ25" s="425"/>
      <c r="AR25" s="429"/>
      <c r="BE25" s="424"/>
    </row>
    <row r="26" spans="1:71" s="430" customFormat="1" ht="25.9" customHeight="1" x14ac:dyDescent="0.2">
      <c r="A26" s="424"/>
      <c r="B26" s="489"/>
      <c r="C26" s="456"/>
      <c r="D26" s="426" t="s">
        <v>345</v>
      </c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  <c r="AC26" s="428"/>
      <c r="AD26" s="428"/>
      <c r="AE26" s="428"/>
      <c r="AF26" s="428"/>
      <c r="AG26" s="428"/>
      <c r="AH26" s="428"/>
      <c r="AI26" s="428"/>
      <c r="AJ26" s="428"/>
      <c r="AK26" s="559">
        <f>'rozpocet nasledna pece'!F51</f>
        <v>0</v>
      </c>
      <c r="AL26" s="560"/>
      <c r="AM26" s="560"/>
      <c r="AN26" s="560"/>
      <c r="AO26" s="560"/>
      <c r="AP26" s="490"/>
      <c r="AQ26" s="425"/>
      <c r="AR26" s="429"/>
      <c r="BE26" s="424"/>
    </row>
    <row r="27" spans="1:71" s="430" customFormat="1" ht="6.95" customHeight="1" x14ac:dyDescent="0.2">
      <c r="A27" s="424"/>
      <c r="B27" s="489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56"/>
      <c r="AK27" s="456"/>
      <c r="AL27" s="456"/>
      <c r="AM27" s="456"/>
      <c r="AN27" s="456"/>
      <c r="AO27" s="456"/>
      <c r="AP27" s="490"/>
      <c r="AQ27" s="425"/>
      <c r="AR27" s="429"/>
      <c r="BE27" s="424"/>
    </row>
    <row r="28" spans="1:71" s="430" customFormat="1" x14ac:dyDescent="0.2">
      <c r="A28" s="424"/>
      <c r="B28" s="489"/>
      <c r="C28" s="456"/>
      <c r="D28" s="456"/>
      <c r="E28" s="456"/>
      <c r="F28" s="456"/>
      <c r="G28" s="456"/>
      <c r="H28" s="456"/>
      <c r="I28" s="456"/>
      <c r="J28" s="456"/>
      <c r="K28" s="456"/>
      <c r="L28" s="561" t="s">
        <v>284</v>
      </c>
      <c r="M28" s="561"/>
      <c r="N28" s="561"/>
      <c r="O28" s="561"/>
      <c r="P28" s="561"/>
      <c r="Q28" s="456"/>
      <c r="R28" s="456"/>
      <c r="S28" s="456"/>
      <c r="T28" s="456"/>
      <c r="U28" s="456"/>
      <c r="V28" s="456"/>
      <c r="W28" s="561" t="s">
        <v>285</v>
      </c>
      <c r="X28" s="561"/>
      <c r="Y28" s="561"/>
      <c r="Z28" s="561"/>
      <c r="AA28" s="561"/>
      <c r="AB28" s="561"/>
      <c r="AC28" s="561"/>
      <c r="AD28" s="561"/>
      <c r="AE28" s="561"/>
      <c r="AF28" s="456"/>
      <c r="AG28" s="456"/>
      <c r="AH28" s="456"/>
      <c r="AI28" s="456"/>
      <c r="AJ28" s="456"/>
      <c r="AK28" s="561" t="s">
        <v>286</v>
      </c>
      <c r="AL28" s="561"/>
      <c r="AM28" s="561"/>
      <c r="AN28" s="561"/>
      <c r="AO28" s="561"/>
      <c r="AP28" s="490"/>
      <c r="AQ28" s="425"/>
      <c r="AR28" s="429"/>
      <c r="BE28" s="424"/>
    </row>
    <row r="29" spans="1:71" s="431" customFormat="1" ht="14.45" customHeight="1" x14ac:dyDescent="0.2">
      <c r="B29" s="491"/>
      <c r="C29" s="492"/>
      <c r="D29" s="486" t="s">
        <v>287</v>
      </c>
      <c r="E29" s="492"/>
      <c r="F29" s="486" t="s">
        <v>288</v>
      </c>
      <c r="G29" s="492"/>
      <c r="H29" s="492"/>
      <c r="I29" s="492"/>
      <c r="J29" s="492"/>
      <c r="K29" s="492"/>
      <c r="L29" s="543">
        <v>0.21</v>
      </c>
      <c r="M29" s="544"/>
      <c r="N29" s="544"/>
      <c r="O29" s="544"/>
      <c r="P29" s="544"/>
      <c r="Q29" s="492"/>
      <c r="R29" s="492"/>
      <c r="S29" s="492"/>
      <c r="T29" s="492"/>
      <c r="U29" s="492"/>
      <c r="V29" s="492"/>
      <c r="W29" s="545">
        <f>ROUND('rozpocet realizace'!F218+'rozpocet nasledna pece'!F51, 2)</f>
        <v>0</v>
      </c>
      <c r="X29" s="544"/>
      <c r="Y29" s="544"/>
      <c r="Z29" s="544"/>
      <c r="AA29" s="544"/>
      <c r="AB29" s="544"/>
      <c r="AC29" s="544"/>
      <c r="AD29" s="544"/>
      <c r="AE29" s="544"/>
      <c r="AF29" s="492"/>
      <c r="AG29" s="492"/>
      <c r="AH29" s="492"/>
      <c r="AI29" s="492"/>
      <c r="AJ29" s="492"/>
      <c r="AK29" s="545">
        <f>ROUND('rozpocet realizace'!F219+'rozpocet nasledna pece'!F52, 2)</f>
        <v>0</v>
      </c>
      <c r="AL29" s="544"/>
      <c r="AM29" s="544"/>
      <c r="AN29" s="544"/>
      <c r="AO29" s="544"/>
      <c r="AP29" s="493"/>
      <c r="AQ29" s="432"/>
      <c r="AR29" s="433"/>
    </row>
    <row r="30" spans="1:71" s="431" customFormat="1" ht="14.45" customHeight="1" x14ac:dyDescent="0.2">
      <c r="B30" s="491"/>
      <c r="C30" s="492"/>
      <c r="D30" s="492"/>
      <c r="E30" s="492"/>
      <c r="F30" s="486" t="s">
        <v>289</v>
      </c>
      <c r="G30" s="492"/>
      <c r="H30" s="492"/>
      <c r="I30" s="492"/>
      <c r="J30" s="492"/>
      <c r="K30" s="492"/>
      <c r="L30" s="543">
        <v>0.15</v>
      </c>
      <c r="M30" s="544"/>
      <c r="N30" s="544"/>
      <c r="O30" s="544"/>
      <c r="P30" s="544"/>
      <c r="Q30" s="492"/>
      <c r="R30" s="492"/>
      <c r="S30" s="492"/>
      <c r="T30" s="492"/>
      <c r="U30" s="492"/>
      <c r="V30" s="492"/>
      <c r="W30" s="545">
        <v>0</v>
      </c>
      <c r="X30" s="544"/>
      <c r="Y30" s="544"/>
      <c r="Z30" s="544"/>
      <c r="AA30" s="544"/>
      <c r="AB30" s="544"/>
      <c r="AC30" s="544"/>
      <c r="AD30" s="544"/>
      <c r="AE30" s="544"/>
      <c r="AF30" s="492"/>
      <c r="AG30" s="492"/>
      <c r="AH30" s="492"/>
      <c r="AI30" s="492"/>
      <c r="AJ30" s="492"/>
      <c r="AK30" s="545">
        <v>0</v>
      </c>
      <c r="AL30" s="544"/>
      <c r="AM30" s="544"/>
      <c r="AN30" s="544"/>
      <c r="AO30" s="544"/>
      <c r="AP30" s="493"/>
      <c r="AQ30" s="432"/>
      <c r="AR30" s="433"/>
    </row>
    <row r="31" spans="1:71" s="431" customFormat="1" ht="14.45" hidden="1" customHeight="1" x14ac:dyDescent="0.2">
      <c r="B31" s="491"/>
      <c r="C31" s="492"/>
      <c r="D31" s="492"/>
      <c r="E31" s="492"/>
      <c r="F31" s="486" t="s">
        <v>290</v>
      </c>
      <c r="G31" s="492"/>
      <c r="H31" s="492"/>
      <c r="I31" s="492"/>
      <c r="J31" s="492"/>
      <c r="K31" s="492"/>
      <c r="L31" s="543">
        <v>0.21</v>
      </c>
      <c r="M31" s="544"/>
      <c r="N31" s="544"/>
      <c r="O31" s="544"/>
      <c r="P31" s="544"/>
      <c r="Q31" s="492"/>
      <c r="R31" s="492"/>
      <c r="S31" s="492"/>
      <c r="T31" s="492"/>
      <c r="U31" s="492"/>
      <c r="V31" s="492"/>
      <c r="W31" s="545" t="e">
        <f>ROUND(BB78, 2)</f>
        <v>#REF!</v>
      </c>
      <c r="X31" s="544"/>
      <c r="Y31" s="544"/>
      <c r="Z31" s="544"/>
      <c r="AA31" s="544"/>
      <c r="AB31" s="544"/>
      <c r="AC31" s="544"/>
      <c r="AD31" s="544"/>
      <c r="AE31" s="544"/>
      <c r="AF31" s="492"/>
      <c r="AG31" s="492"/>
      <c r="AH31" s="492"/>
      <c r="AI31" s="492"/>
      <c r="AJ31" s="492"/>
      <c r="AK31" s="545">
        <v>0</v>
      </c>
      <c r="AL31" s="544"/>
      <c r="AM31" s="544"/>
      <c r="AN31" s="544"/>
      <c r="AO31" s="544"/>
      <c r="AP31" s="493"/>
      <c r="AQ31" s="432"/>
      <c r="AR31" s="433"/>
    </row>
    <row r="32" spans="1:71" s="431" customFormat="1" ht="14.45" hidden="1" customHeight="1" x14ac:dyDescent="0.2">
      <c r="B32" s="491"/>
      <c r="C32" s="492"/>
      <c r="D32" s="492"/>
      <c r="E32" s="492"/>
      <c r="F32" s="486" t="s">
        <v>291</v>
      </c>
      <c r="G32" s="492"/>
      <c r="H32" s="492"/>
      <c r="I32" s="492"/>
      <c r="J32" s="492"/>
      <c r="K32" s="492"/>
      <c r="L32" s="543">
        <v>0.15</v>
      </c>
      <c r="M32" s="544"/>
      <c r="N32" s="544"/>
      <c r="O32" s="544"/>
      <c r="P32" s="544"/>
      <c r="Q32" s="492"/>
      <c r="R32" s="492"/>
      <c r="S32" s="492"/>
      <c r="T32" s="492"/>
      <c r="U32" s="492"/>
      <c r="V32" s="492"/>
      <c r="W32" s="545" t="e">
        <f>ROUND(BC78, 2)</f>
        <v>#REF!</v>
      </c>
      <c r="X32" s="544"/>
      <c r="Y32" s="544"/>
      <c r="Z32" s="544"/>
      <c r="AA32" s="544"/>
      <c r="AB32" s="544"/>
      <c r="AC32" s="544"/>
      <c r="AD32" s="544"/>
      <c r="AE32" s="544"/>
      <c r="AF32" s="492"/>
      <c r="AG32" s="492"/>
      <c r="AH32" s="492"/>
      <c r="AI32" s="492"/>
      <c r="AJ32" s="492"/>
      <c r="AK32" s="545">
        <v>0</v>
      </c>
      <c r="AL32" s="544"/>
      <c r="AM32" s="544"/>
      <c r="AN32" s="544"/>
      <c r="AO32" s="544"/>
      <c r="AP32" s="493"/>
      <c r="AQ32" s="432"/>
      <c r="AR32" s="433"/>
    </row>
    <row r="33" spans="1:57" s="431" customFormat="1" ht="14.45" hidden="1" customHeight="1" x14ac:dyDescent="0.2">
      <c r="B33" s="491"/>
      <c r="C33" s="492"/>
      <c r="D33" s="492"/>
      <c r="E33" s="492"/>
      <c r="F33" s="486" t="s">
        <v>292</v>
      </c>
      <c r="G33" s="492"/>
      <c r="H33" s="492"/>
      <c r="I33" s="492"/>
      <c r="J33" s="492"/>
      <c r="K33" s="492"/>
      <c r="L33" s="543">
        <v>0</v>
      </c>
      <c r="M33" s="544"/>
      <c r="N33" s="544"/>
      <c r="O33" s="544"/>
      <c r="P33" s="544"/>
      <c r="Q33" s="492"/>
      <c r="R33" s="492"/>
      <c r="S33" s="492"/>
      <c r="T33" s="492"/>
      <c r="U33" s="492"/>
      <c r="V33" s="492"/>
      <c r="W33" s="545" t="e">
        <f>ROUND(BD78, 2)</f>
        <v>#REF!</v>
      </c>
      <c r="X33" s="544"/>
      <c r="Y33" s="544"/>
      <c r="Z33" s="544"/>
      <c r="AA33" s="544"/>
      <c r="AB33" s="544"/>
      <c r="AC33" s="544"/>
      <c r="AD33" s="544"/>
      <c r="AE33" s="544"/>
      <c r="AF33" s="492"/>
      <c r="AG33" s="492"/>
      <c r="AH33" s="492"/>
      <c r="AI33" s="492"/>
      <c r="AJ33" s="492"/>
      <c r="AK33" s="545">
        <v>0</v>
      </c>
      <c r="AL33" s="544"/>
      <c r="AM33" s="544"/>
      <c r="AN33" s="544"/>
      <c r="AO33" s="544"/>
      <c r="AP33" s="493"/>
      <c r="AQ33" s="432"/>
      <c r="AR33" s="433"/>
    </row>
    <row r="34" spans="1:57" s="430" customFormat="1" ht="6.95" customHeight="1" x14ac:dyDescent="0.2">
      <c r="A34" s="424"/>
      <c r="B34" s="489"/>
      <c r="C34" s="456"/>
      <c r="D34" s="456"/>
      <c r="E34" s="456"/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90"/>
      <c r="AQ34" s="425"/>
      <c r="AR34" s="429"/>
      <c r="BE34" s="424"/>
    </row>
    <row r="35" spans="1:57" s="430" customFormat="1" ht="25.9" customHeight="1" x14ac:dyDescent="0.2">
      <c r="A35" s="424"/>
      <c r="B35" s="489"/>
      <c r="C35" s="494"/>
      <c r="D35" s="435" t="s">
        <v>293</v>
      </c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7" t="s">
        <v>294</v>
      </c>
      <c r="U35" s="436"/>
      <c r="V35" s="436"/>
      <c r="W35" s="436"/>
      <c r="X35" s="546" t="s">
        <v>295</v>
      </c>
      <c r="Y35" s="547"/>
      <c r="Z35" s="547"/>
      <c r="AA35" s="547"/>
      <c r="AB35" s="547"/>
      <c r="AC35" s="436"/>
      <c r="AD35" s="436"/>
      <c r="AE35" s="436"/>
      <c r="AF35" s="436"/>
      <c r="AG35" s="436"/>
      <c r="AH35" s="436"/>
      <c r="AI35" s="436"/>
      <c r="AJ35" s="436"/>
      <c r="AK35" s="548">
        <f>'rozpocet realizace'!F220+'rozpocet nasledna pece'!F53</f>
        <v>0</v>
      </c>
      <c r="AL35" s="547"/>
      <c r="AM35" s="547"/>
      <c r="AN35" s="547"/>
      <c r="AO35" s="549"/>
      <c r="AP35" s="520"/>
      <c r="AQ35" s="434"/>
      <c r="AR35" s="429"/>
      <c r="BE35" s="424"/>
    </row>
    <row r="36" spans="1:57" s="430" customFormat="1" ht="6.95" customHeight="1" x14ac:dyDescent="0.2">
      <c r="A36" s="424"/>
      <c r="B36" s="489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90"/>
      <c r="AQ36" s="425"/>
      <c r="AR36" s="429"/>
      <c r="BE36" s="424"/>
    </row>
    <row r="37" spans="1:57" s="430" customFormat="1" ht="14.45" customHeight="1" x14ac:dyDescent="0.2">
      <c r="A37" s="424"/>
      <c r="B37" s="489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  <c r="V37" s="456"/>
      <c r="W37" s="456"/>
      <c r="X37" s="456"/>
      <c r="Y37" s="456"/>
      <c r="Z37" s="456"/>
      <c r="AA37" s="456"/>
      <c r="AB37" s="456"/>
      <c r="AC37" s="456"/>
      <c r="AD37" s="456"/>
      <c r="AE37" s="456"/>
      <c r="AF37" s="456"/>
      <c r="AG37" s="456"/>
      <c r="AH37" s="456"/>
      <c r="AI37" s="456"/>
      <c r="AJ37" s="456"/>
      <c r="AK37" s="456"/>
      <c r="AL37" s="456"/>
      <c r="AM37" s="456"/>
      <c r="AN37" s="456"/>
      <c r="AO37" s="456"/>
      <c r="AP37" s="490"/>
      <c r="AQ37" s="425"/>
      <c r="AR37" s="429"/>
      <c r="BE37" s="424"/>
    </row>
    <row r="38" spans="1:57" s="430" customFormat="1" ht="14.45" customHeight="1" x14ac:dyDescent="0.2">
      <c r="B38" s="495"/>
      <c r="C38" s="496"/>
      <c r="D38" s="439" t="s">
        <v>296</v>
      </c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39" t="s">
        <v>297</v>
      </c>
      <c r="AI38" s="440"/>
      <c r="AJ38" s="440"/>
      <c r="AK38" s="440"/>
      <c r="AL38" s="440"/>
      <c r="AM38" s="440"/>
      <c r="AN38" s="440"/>
      <c r="AO38" s="440"/>
      <c r="AP38" s="497"/>
      <c r="AQ38" s="438"/>
      <c r="AR38" s="441"/>
    </row>
    <row r="39" spans="1:57" x14ac:dyDescent="0.2">
      <c r="B39" s="479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0"/>
      <c r="AF39" s="480"/>
      <c r="AG39" s="480"/>
      <c r="AH39" s="480"/>
      <c r="AI39" s="480"/>
      <c r="AJ39" s="480"/>
      <c r="AK39" s="480"/>
      <c r="AL39" s="480"/>
      <c r="AM39" s="480"/>
      <c r="AN39" s="480"/>
      <c r="AO39" s="480"/>
      <c r="AP39" s="482"/>
      <c r="AQ39" s="421"/>
      <c r="AR39" s="420"/>
    </row>
    <row r="40" spans="1:57" x14ac:dyDescent="0.2">
      <c r="B40" s="479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  <c r="AF40" s="480"/>
      <c r="AG40" s="480"/>
      <c r="AH40" s="480"/>
      <c r="AI40" s="480"/>
      <c r="AJ40" s="480"/>
      <c r="AK40" s="480"/>
      <c r="AL40" s="480"/>
      <c r="AM40" s="480"/>
      <c r="AN40" s="480"/>
      <c r="AO40" s="480"/>
      <c r="AP40" s="482"/>
      <c r="AQ40" s="421"/>
      <c r="AR40" s="420"/>
    </row>
    <row r="41" spans="1:57" x14ac:dyDescent="0.2">
      <c r="B41" s="479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2"/>
      <c r="AQ41" s="421"/>
      <c r="AR41" s="420"/>
    </row>
    <row r="42" spans="1:57" x14ac:dyDescent="0.2">
      <c r="B42" s="479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2"/>
      <c r="AQ42" s="421"/>
      <c r="AR42" s="420"/>
    </row>
    <row r="43" spans="1:57" x14ac:dyDescent="0.2">
      <c r="B43" s="479"/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2"/>
      <c r="AQ43" s="421"/>
      <c r="AR43" s="420"/>
    </row>
    <row r="44" spans="1:57" x14ac:dyDescent="0.2">
      <c r="B44" s="479"/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2"/>
      <c r="AQ44" s="421"/>
      <c r="AR44" s="420"/>
    </row>
    <row r="45" spans="1:57" s="430" customFormat="1" x14ac:dyDescent="0.2">
      <c r="A45" s="424"/>
      <c r="B45" s="489"/>
      <c r="C45" s="456"/>
      <c r="D45" s="442" t="s">
        <v>298</v>
      </c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42" t="s">
        <v>299</v>
      </c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42" t="s">
        <v>298</v>
      </c>
      <c r="AI45" s="427"/>
      <c r="AJ45" s="427"/>
      <c r="AK45" s="427"/>
      <c r="AL45" s="427"/>
      <c r="AM45" s="442" t="s">
        <v>299</v>
      </c>
      <c r="AN45" s="427"/>
      <c r="AO45" s="427"/>
      <c r="AP45" s="490"/>
      <c r="AQ45" s="425"/>
      <c r="AR45" s="429"/>
      <c r="BE45" s="424"/>
    </row>
    <row r="46" spans="1:57" x14ac:dyDescent="0.2">
      <c r="B46" s="479"/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480"/>
      <c r="N46" s="480"/>
      <c r="O46" s="480"/>
      <c r="P46" s="480"/>
      <c r="Q46" s="480"/>
      <c r="R46" s="480"/>
      <c r="S46" s="480"/>
      <c r="T46" s="480"/>
      <c r="U46" s="480"/>
      <c r="V46" s="480"/>
      <c r="W46" s="480"/>
      <c r="X46" s="480"/>
      <c r="Y46" s="480"/>
      <c r="Z46" s="480"/>
      <c r="AA46" s="480"/>
      <c r="AB46" s="480"/>
      <c r="AC46" s="480"/>
      <c r="AD46" s="480"/>
      <c r="AE46" s="480"/>
      <c r="AF46" s="480"/>
      <c r="AG46" s="480"/>
      <c r="AH46" s="480"/>
      <c r="AI46" s="480"/>
      <c r="AJ46" s="480"/>
      <c r="AK46" s="480"/>
      <c r="AL46" s="480"/>
      <c r="AM46" s="480"/>
      <c r="AN46" s="480"/>
      <c r="AO46" s="480"/>
      <c r="AP46" s="482"/>
      <c r="AQ46" s="421"/>
      <c r="AR46" s="420"/>
    </row>
    <row r="47" spans="1:57" x14ac:dyDescent="0.2">
      <c r="B47" s="479"/>
      <c r="C47" s="480"/>
      <c r="D47" s="480"/>
      <c r="E47" s="480"/>
      <c r="F47" s="480"/>
      <c r="G47" s="480"/>
      <c r="H47" s="480"/>
      <c r="I47" s="480"/>
      <c r="J47" s="480"/>
      <c r="K47" s="480"/>
      <c r="L47" s="480"/>
      <c r="M47" s="480"/>
      <c r="N47" s="480"/>
      <c r="O47" s="480"/>
      <c r="P47" s="480"/>
      <c r="Q47" s="480"/>
      <c r="R47" s="480"/>
      <c r="S47" s="480"/>
      <c r="T47" s="480"/>
      <c r="U47" s="480"/>
      <c r="V47" s="480"/>
      <c r="W47" s="480"/>
      <c r="X47" s="480"/>
      <c r="Y47" s="480"/>
      <c r="Z47" s="480"/>
      <c r="AA47" s="480"/>
      <c r="AB47" s="480"/>
      <c r="AC47" s="480"/>
      <c r="AD47" s="480"/>
      <c r="AE47" s="480"/>
      <c r="AF47" s="480"/>
      <c r="AG47" s="480"/>
      <c r="AH47" s="480"/>
      <c r="AI47" s="480"/>
      <c r="AJ47" s="480"/>
      <c r="AK47" s="480"/>
      <c r="AL47" s="480"/>
      <c r="AM47" s="480"/>
      <c r="AN47" s="480"/>
      <c r="AO47" s="480"/>
      <c r="AP47" s="482"/>
      <c r="AQ47" s="421"/>
      <c r="AR47" s="420"/>
    </row>
    <row r="48" spans="1:57" x14ac:dyDescent="0.2">
      <c r="B48" s="479"/>
      <c r="C48" s="480"/>
      <c r="D48" s="480"/>
      <c r="E48" s="480"/>
      <c r="F48" s="480"/>
      <c r="G48" s="480"/>
      <c r="H48" s="480"/>
      <c r="I48" s="480"/>
      <c r="J48" s="480"/>
      <c r="K48" s="480"/>
      <c r="L48" s="480"/>
      <c r="M48" s="480"/>
      <c r="N48" s="480"/>
      <c r="O48" s="480"/>
      <c r="P48" s="480"/>
      <c r="Q48" s="480"/>
      <c r="R48" s="480"/>
      <c r="S48" s="480"/>
      <c r="T48" s="480"/>
      <c r="U48" s="480"/>
      <c r="V48" s="480"/>
      <c r="W48" s="480"/>
      <c r="X48" s="480"/>
      <c r="Y48" s="480"/>
      <c r="Z48" s="480"/>
      <c r="AA48" s="480"/>
      <c r="AB48" s="480"/>
      <c r="AC48" s="480"/>
      <c r="AD48" s="480"/>
      <c r="AE48" s="480"/>
      <c r="AF48" s="480"/>
      <c r="AG48" s="480"/>
      <c r="AH48" s="480"/>
      <c r="AI48" s="480"/>
      <c r="AJ48" s="480"/>
      <c r="AK48" s="480"/>
      <c r="AL48" s="480"/>
      <c r="AM48" s="480"/>
      <c r="AN48" s="480"/>
      <c r="AO48" s="480"/>
      <c r="AP48" s="482"/>
      <c r="AQ48" s="421"/>
      <c r="AR48" s="420"/>
    </row>
    <row r="49" spans="1:57" s="430" customFormat="1" x14ac:dyDescent="0.2">
      <c r="A49" s="424"/>
      <c r="B49" s="489"/>
      <c r="C49" s="456"/>
      <c r="D49" s="439" t="s">
        <v>300</v>
      </c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39" t="s">
        <v>301</v>
      </c>
      <c r="AI49" s="443"/>
      <c r="AJ49" s="443"/>
      <c r="AK49" s="443"/>
      <c r="AL49" s="443"/>
      <c r="AM49" s="443"/>
      <c r="AN49" s="443"/>
      <c r="AO49" s="443"/>
      <c r="AP49" s="490"/>
      <c r="AQ49" s="425"/>
      <c r="AR49" s="429"/>
      <c r="BE49" s="424"/>
    </row>
    <row r="50" spans="1:57" x14ac:dyDescent="0.2">
      <c r="B50" s="479"/>
      <c r="C50" s="480"/>
      <c r="D50" s="480"/>
      <c r="E50" s="480"/>
      <c r="F50" s="480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480"/>
      <c r="U50" s="480"/>
      <c r="V50" s="480"/>
      <c r="W50" s="480"/>
      <c r="X50" s="480"/>
      <c r="Y50" s="480"/>
      <c r="Z50" s="480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480"/>
      <c r="AP50" s="482"/>
      <c r="AQ50" s="421"/>
      <c r="AR50" s="420"/>
    </row>
    <row r="51" spans="1:57" x14ac:dyDescent="0.2">
      <c r="B51" s="479"/>
      <c r="C51" s="480"/>
      <c r="D51" s="480"/>
      <c r="E51" s="480"/>
      <c r="F51" s="480"/>
      <c r="G51" s="480"/>
      <c r="H51" s="480"/>
      <c r="I51" s="480"/>
      <c r="J51" s="480"/>
      <c r="K51" s="480"/>
      <c r="L51" s="480"/>
      <c r="M51" s="480"/>
      <c r="N51" s="480"/>
      <c r="O51" s="480"/>
      <c r="P51" s="480"/>
      <c r="Q51" s="480"/>
      <c r="R51" s="480"/>
      <c r="S51" s="480"/>
      <c r="T51" s="480"/>
      <c r="U51" s="480"/>
      <c r="V51" s="480"/>
      <c r="W51" s="480"/>
      <c r="X51" s="480"/>
      <c r="Y51" s="480"/>
      <c r="Z51" s="480"/>
      <c r="AA51" s="480"/>
      <c r="AB51" s="480"/>
      <c r="AC51" s="480"/>
      <c r="AD51" s="480"/>
      <c r="AE51" s="480"/>
      <c r="AF51" s="480"/>
      <c r="AG51" s="480"/>
      <c r="AH51" s="480"/>
      <c r="AI51" s="480"/>
      <c r="AJ51" s="480"/>
      <c r="AK51" s="480"/>
      <c r="AL51" s="480"/>
      <c r="AM51" s="480"/>
      <c r="AN51" s="480"/>
      <c r="AO51" s="480"/>
      <c r="AP51" s="482"/>
      <c r="AQ51" s="421"/>
      <c r="AR51" s="420"/>
    </row>
    <row r="52" spans="1:57" x14ac:dyDescent="0.2">
      <c r="B52" s="479"/>
      <c r="C52" s="480"/>
      <c r="D52" s="480"/>
      <c r="E52" s="480"/>
      <c r="F52" s="480"/>
      <c r="G52" s="480"/>
      <c r="H52" s="480"/>
      <c r="I52" s="480"/>
      <c r="J52" s="480"/>
      <c r="K52" s="480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80"/>
      <c r="AA52" s="480"/>
      <c r="AB52" s="480"/>
      <c r="AC52" s="480"/>
      <c r="AD52" s="480"/>
      <c r="AE52" s="480"/>
      <c r="AF52" s="480"/>
      <c r="AG52" s="480"/>
      <c r="AH52" s="480"/>
      <c r="AI52" s="480"/>
      <c r="AJ52" s="480"/>
      <c r="AK52" s="480"/>
      <c r="AL52" s="480"/>
      <c r="AM52" s="480"/>
      <c r="AN52" s="480"/>
      <c r="AO52" s="480"/>
      <c r="AP52" s="482"/>
      <c r="AQ52" s="421"/>
      <c r="AR52" s="420"/>
    </row>
    <row r="53" spans="1:57" x14ac:dyDescent="0.2">
      <c r="B53" s="479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0"/>
      <c r="AO53" s="480"/>
      <c r="AP53" s="482"/>
      <c r="AQ53" s="421"/>
      <c r="AR53" s="420"/>
    </row>
    <row r="54" spans="1:57" x14ac:dyDescent="0.2">
      <c r="B54" s="479"/>
      <c r="C54" s="480"/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/>
      <c r="AM54" s="480"/>
      <c r="AN54" s="480"/>
      <c r="AO54" s="480"/>
      <c r="AP54" s="482"/>
      <c r="AQ54" s="421"/>
      <c r="AR54" s="420"/>
    </row>
    <row r="55" spans="1:57" s="430" customFormat="1" x14ac:dyDescent="0.2">
      <c r="A55" s="424"/>
      <c r="B55" s="489"/>
      <c r="C55" s="456"/>
      <c r="D55" s="442" t="s">
        <v>298</v>
      </c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42" t="s">
        <v>299</v>
      </c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7"/>
      <c r="AH55" s="442" t="s">
        <v>298</v>
      </c>
      <c r="AI55" s="427"/>
      <c r="AJ55" s="427"/>
      <c r="AK55" s="427"/>
      <c r="AL55" s="427"/>
      <c r="AM55" s="442" t="s">
        <v>299</v>
      </c>
      <c r="AN55" s="427"/>
      <c r="AO55" s="427"/>
      <c r="AP55" s="490"/>
      <c r="AQ55" s="425"/>
      <c r="AR55" s="429"/>
      <c r="BE55" s="424"/>
    </row>
    <row r="56" spans="1:57" s="430" customFormat="1" x14ac:dyDescent="0.2">
      <c r="A56" s="424"/>
      <c r="B56" s="489"/>
      <c r="C56" s="456"/>
      <c r="D56" s="456"/>
      <c r="E56" s="456"/>
      <c r="F56" s="456"/>
      <c r="G56" s="456"/>
      <c r="H56" s="456"/>
      <c r="I56" s="456"/>
      <c r="J56" s="456"/>
      <c r="K56" s="456"/>
      <c r="L56" s="456"/>
      <c r="M56" s="456"/>
      <c r="N56" s="456"/>
      <c r="O56" s="456"/>
      <c r="P56" s="456"/>
      <c r="Q56" s="456"/>
      <c r="R56" s="456"/>
      <c r="S56" s="456"/>
      <c r="T56" s="456"/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456"/>
      <c r="AG56" s="456"/>
      <c r="AH56" s="456"/>
      <c r="AI56" s="456"/>
      <c r="AJ56" s="456"/>
      <c r="AK56" s="456"/>
      <c r="AL56" s="456"/>
      <c r="AM56" s="456"/>
      <c r="AN56" s="456"/>
      <c r="AO56" s="456"/>
      <c r="AP56" s="490"/>
      <c r="AQ56" s="425"/>
      <c r="AR56" s="429"/>
      <c r="BE56" s="424"/>
    </row>
    <row r="57" spans="1:57" s="430" customFormat="1" ht="6.95" customHeight="1" x14ac:dyDescent="0.2">
      <c r="A57" s="424"/>
      <c r="B57" s="498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4"/>
      <c r="AF57" s="444"/>
      <c r="AG57" s="444"/>
      <c r="AH57" s="444"/>
      <c r="AI57" s="444"/>
      <c r="AJ57" s="444"/>
      <c r="AK57" s="444"/>
      <c r="AL57" s="444"/>
      <c r="AM57" s="444"/>
      <c r="AN57" s="444"/>
      <c r="AO57" s="444"/>
      <c r="AP57" s="499"/>
      <c r="AQ57" s="444"/>
      <c r="AR57" s="429"/>
      <c r="BE57" s="424"/>
    </row>
    <row r="58" spans="1:57" s="430" customFormat="1" ht="6.95" customHeight="1" x14ac:dyDescent="0.2">
      <c r="A58" s="424"/>
      <c r="B58" s="489"/>
      <c r="C58" s="456"/>
      <c r="D58" s="456"/>
      <c r="E58" s="456"/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6"/>
      <c r="AH58" s="456"/>
      <c r="AI58" s="456"/>
      <c r="AJ58" s="456"/>
      <c r="AK58" s="456"/>
      <c r="AL58" s="456"/>
      <c r="AM58" s="456"/>
      <c r="AN58" s="456"/>
      <c r="AO58" s="456"/>
      <c r="AP58" s="490"/>
      <c r="AQ58" s="456"/>
      <c r="AR58" s="454"/>
      <c r="BE58" s="424"/>
    </row>
    <row r="59" spans="1:57" s="430" customFormat="1" ht="6.95" customHeight="1" x14ac:dyDescent="0.2">
      <c r="A59" s="424"/>
      <c r="B59" s="489"/>
      <c r="C59" s="456"/>
      <c r="D59" s="456"/>
      <c r="E59" s="456"/>
      <c r="F59" s="456"/>
      <c r="G59" s="456"/>
      <c r="H59" s="456"/>
      <c r="I59" s="456"/>
      <c r="J59" s="456"/>
      <c r="K59" s="456"/>
      <c r="L59" s="456"/>
      <c r="M59" s="456"/>
      <c r="N59" s="456"/>
      <c r="O59" s="456"/>
      <c r="P59" s="456"/>
      <c r="Q59" s="456"/>
      <c r="R59" s="456"/>
      <c r="S59" s="456"/>
      <c r="T59" s="456"/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456"/>
      <c r="AG59" s="456"/>
      <c r="AH59" s="456"/>
      <c r="AI59" s="456"/>
      <c r="AJ59" s="456"/>
      <c r="AK59" s="456"/>
      <c r="AL59" s="456"/>
      <c r="AM59" s="456"/>
      <c r="AN59" s="456"/>
      <c r="AO59" s="456"/>
      <c r="AP59" s="490"/>
      <c r="AQ59" s="456"/>
      <c r="AR59" s="454"/>
      <c r="BE59" s="424"/>
    </row>
    <row r="60" spans="1:57" s="430" customFormat="1" ht="6.95" customHeight="1" x14ac:dyDescent="0.2">
      <c r="A60" s="424"/>
      <c r="B60" s="489"/>
      <c r="C60" s="456"/>
      <c r="D60" s="456"/>
      <c r="E60" s="456"/>
      <c r="F60" s="456"/>
      <c r="G60" s="456"/>
      <c r="H60" s="456"/>
      <c r="I60" s="456"/>
      <c r="J60" s="456"/>
      <c r="K60" s="456"/>
      <c r="L60" s="456"/>
      <c r="M60" s="456"/>
      <c r="N60" s="456"/>
      <c r="O60" s="456"/>
      <c r="P60" s="456"/>
      <c r="Q60" s="456"/>
      <c r="R60" s="456"/>
      <c r="S60" s="456"/>
      <c r="T60" s="456"/>
      <c r="U60" s="456"/>
      <c r="V60" s="456"/>
      <c r="W60" s="456"/>
      <c r="X60" s="456"/>
      <c r="Y60" s="456"/>
      <c r="Z60" s="456"/>
      <c r="AA60" s="456"/>
      <c r="AB60" s="456"/>
      <c r="AC60" s="456"/>
      <c r="AD60" s="456"/>
      <c r="AE60" s="456"/>
      <c r="AF60" s="456"/>
      <c r="AG60" s="456"/>
      <c r="AH60" s="456"/>
      <c r="AI60" s="456"/>
      <c r="AJ60" s="456"/>
      <c r="AK60" s="456"/>
      <c r="AL60" s="456"/>
      <c r="AM60" s="456"/>
      <c r="AN60" s="456"/>
      <c r="AO60" s="456"/>
      <c r="AP60" s="490"/>
      <c r="AQ60" s="456"/>
      <c r="AR60" s="454"/>
      <c r="BE60" s="424"/>
    </row>
    <row r="61" spans="1:57" x14ac:dyDescent="0.2">
      <c r="B61" s="500"/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  <c r="AB61" s="501"/>
      <c r="AC61" s="501"/>
      <c r="AD61" s="501"/>
      <c r="AE61" s="501"/>
      <c r="AF61" s="501"/>
      <c r="AG61" s="501"/>
      <c r="AH61" s="501"/>
      <c r="AI61" s="501"/>
      <c r="AJ61" s="501"/>
      <c r="AK61" s="501"/>
      <c r="AL61" s="501"/>
      <c r="AM61" s="501"/>
      <c r="AN61" s="501"/>
      <c r="AO61" s="501"/>
      <c r="AP61" s="502"/>
    </row>
    <row r="62" spans="1:57" x14ac:dyDescent="0.2">
      <c r="B62" s="500"/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1"/>
      <c r="AB62" s="501"/>
      <c r="AC62" s="501"/>
      <c r="AD62" s="501"/>
      <c r="AE62" s="501"/>
      <c r="AF62" s="501"/>
      <c r="AG62" s="501"/>
      <c r="AH62" s="501"/>
      <c r="AI62" s="501"/>
      <c r="AJ62" s="501"/>
      <c r="AK62" s="501"/>
      <c r="AL62" s="501"/>
      <c r="AM62" s="501"/>
      <c r="AN62" s="501"/>
      <c r="AO62" s="501"/>
      <c r="AP62" s="502"/>
    </row>
    <row r="63" spans="1:57" x14ac:dyDescent="0.2">
      <c r="B63" s="500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  <c r="AB63" s="501"/>
      <c r="AC63" s="501"/>
      <c r="AD63" s="501"/>
      <c r="AE63" s="501"/>
      <c r="AF63" s="501"/>
      <c r="AG63" s="501"/>
      <c r="AH63" s="501"/>
      <c r="AI63" s="501"/>
      <c r="AJ63" s="501"/>
      <c r="AK63" s="501"/>
      <c r="AL63" s="501"/>
      <c r="AM63" s="501"/>
      <c r="AN63" s="501"/>
      <c r="AO63" s="501"/>
      <c r="AP63" s="502"/>
    </row>
    <row r="64" spans="1:57" s="430" customFormat="1" ht="6.95" customHeight="1" x14ac:dyDescent="0.2">
      <c r="A64" s="424"/>
      <c r="B64" s="503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  <c r="AJ64" s="445"/>
      <c r="AK64" s="445"/>
      <c r="AL64" s="445"/>
      <c r="AM64" s="445"/>
      <c r="AN64" s="445"/>
      <c r="AO64" s="445"/>
      <c r="AP64" s="504"/>
      <c r="AQ64" s="445"/>
      <c r="AR64" s="429"/>
      <c r="BE64" s="424"/>
    </row>
    <row r="65" spans="1:90" s="430" customFormat="1" ht="24.95" customHeight="1" x14ac:dyDescent="0.2">
      <c r="A65" s="424"/>
      <c r="B65" s="489"/>
      <c r="C65" s="481" t="s">
        <v>302</v>
      </c>
      <c r="D65" s="456"/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6"/>
      <c r="AL65" s="456"/>
      <c r="AM65" s="456"/>
      <c r="AN65" s="456"/>
      <c r="AO65" s="456"/>
      <c r="AP65" s="490"/>
      <c r="AQ65" s="425"/>
      <c r="AR65" s="429"/>
      <c r="BE65" s="424"/>
    </row>
    <row r="66" spans="1:90" s="430" customFormat="1" ht="6.95" customHeight="1" x14ac:dyDescent="0.2">
      <c r="A66" s="424"/>
      <c r="B66" s="489"/>
      <c r="C66" s="456"/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456"/>
      <c r="P66" s="456"/>
      <c r="Q66" s="456"/>
      <c r="R66" s="456"/>
      <c r="S66" s="456"/>
      <c r="T66" s="456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6"/>
      <c r="AI66" s="456"/>
      <c r="AJ66" s="456"/>
      <c r="AK66" s="456"/>
      <c r="AL66" s="456"/>
      <c r="AM66" s="456"/>
      <c r="AN66" s="456"/>
      <c r="AO66" s="456"/>
      <c r="AP66" s="490"/>
      <c r="AQ66" s="425"/>
      <c r="AR66" s="429"/>
      <c r="BE66" s="424"/>
    </row>
    <row r="67" spans="1:90" s="446" customFormat="1" ht="12" customHeight="1" x14ac:dyDescent="0.2">
      <c r="B67" s="505"/>
      <c r="C67" s="486" t="s">
        <v>275</v>
      </c>
      <c r="D67" s="506"/>
      <c r="E67" s="506"/>
      <c r="F67" s="506"/>
      <c r="G67" s="506"/>
      <c r="H67" s="506"/>
      <c r="I67" s="506"/>
      <c r="J67" s="506"/>
      <c r="K67" s="506"/>
      <c r="L67" s="506">
        <f>K5</f>
        <v>0</v>
      </c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6"/>
      <c r="AL67" s="506"/>
      <c r="AM67" s="506"/>
      <c r="AN67" s="506"/>
      <c r="AO67" s="506"/>
      <c r="AP67" s="507"/>
      <c r="AQ67" s="447"/>
      <c r="AR67" s="448"/>
    </row>
    <row r="68" spans="1:90" s="449" customFormat="1" ht="36.950000000000003" customHeight="1" x14ac:dyDescent="0.2">
      <c r="B68" s="508"/>
      <c r="C68" s="509" t="s">
        <v>276</v>
      </c>
      <c r="D68" s="510"/>
      <c r="E68" s="510"/>
      <c r="F68" s="510"/>
      <c r="G68" s="510"/>
      <c r="H68" s="510"/>
      <c r="I68" s="510"/>
      <c r="J68" s="510"/>
      <c r="K68" s="510"/>
      <c r="L68" s="553" t="str">
        <f>K6</f>
        <v>Komunikace a inženýrské sítě OS Jilemnice Nouzov
Vegetační úpravy</v>
      </c>
      <c r="M68" s="554"/>
      <c r="N68" s="554"/>
      <c r="O68" s="554"/>
      <c r="P68" s="554"/>
      <c r="Q68" s="554"/>
      <c r="R68" s="554"/>
      <c r="S68" s="554"/>
      <c r="T68" s="554"/>
      <c r="U68" s="554"/>
      <c r="V68" s="554"/>
      <c r="W68" s="554"/>
      <c r="X68" s="554"/>
      <c r="Y68" s="554"/>
      <c r="Z68" s="554"/>
      <c r="AA68" s="554"/>
      <c r="AB68" s="554"/>
      <c r="AC68" s="554"/>
      <c r="AD68" s="554"/>
      <c r="AE68" s="554"/>
      <c r="AF68" s="554"/>
      <c r="AG68" s="554"/>
      <c r="AH68" s="554"/>
      <c r="AI68" s="554"/>
      <c r="AJ68" s="554"/>
      <c r="AK68" s="554"/>
      <c r="AL68" s="554"/>
      <c r="AM68" s="554"/>
      <c r="AN68" s="554"/>
      <c r="AO68" s="554"/>
      <c r="AP68" s="511"/>
      <c r="AQ68" s="450"/>
      <c r="AR68" s="451"/>
    </row>
    <row r="69" spans="1:90" s="430" customFormat="1" ht="6.95" customHeight="1" x14ac:dyDescent="0.2">
      <c r="A69" s="424"/>
      <c r="B69" s="489"/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6"/>
      <c r="P69" s="456"/>
      <c r="Q69" s="456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  <c r="AL69" s="456"/>
      <c r="AM69" s="456"/>
      <c r="AN69" s="456"/>
      <c r="AO69" s="456"/>
      <c r="AP69" s="490"/>
      <c r="AQ69" s="425"/>
      <c r="AR69" s="429"/>
      <c r="BE69" s="424"/>
    </row>
    <row r="70" spans="1:90" s="430" customFormat="1" ht="12" customHeight="1" x14ac:dyDescent="0.2">
      <c r="A70" s="424"/>
      <c r="B70" s="489"/>
      <c r="C70" s="486" t="s">
        <v>279</v>
      </c>
      <c r="D70" s="456"/>
      <c r="E70" s="456"/>
      <c r="F70" s="456"/>
      <c r="G70" s="456"/>
      <c r="H70" s="456"/>
      <c r="I70" s="456"/>
      <c r="J70" s="456"/>
      <c r="K70" s="456"/>
      <c r="L70" s="512" t="str">
        <f>IF(K8="","",K8)</f>
        <v>Jilemnice</v>
      </c>
      <c r="M70" s="456"/>
      <c r="N70" s="456"/>
      <c r="O70" s="456"/>
      <c r="P70" s="456"/>
      <c r="Q70" s="456"/>
      <c r="R70" s="456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86" t="s">
        <v>281</v>
      </c>
      <c r="AJ70" s="456"/>
      <c r="AK70" s="456"/>
      <c r="AL70" s="456"/>
      <c r="AM70" s="555">
        <f>IF(AN8= "","",AN8)</f>
        <v>44225</v>
      </c>
      <c r="AN70" s="555"/>
      <c r="AO70" s="456"/>
      <c r="AP70" s="490"/>
      <c r="AQ70" s="425"/>
      <c r="AR70" s="429"/>
      <c r="BE70" s="424"/>
    </row>
    <row r="71" spans="1:90" s="430" customFormat="1" ht="6.95" customHeight="1" x14ac:dyDescent="0.2">
      <c r="A71" s="424"/>
      <c r="B71" s="489"/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  <c r="P71" s="456"/>
      <c r="Q71" s="456"/>
      <c r="R71" s="456"/>
      <c r="S71" s="456"/>
      <c r="T71" s="456"/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456"/>
      <c r="AN71" s="456"/>
      <c r="AO71" s="456"/>
      <c r="AP71" s="490"/>
      <c r="AQ71" s="425"/>
      <c r="AR71" s="429"/>
      <c r="BE71" s="424"/>
    </row>
    <row r="72" spans="1:90" s="430" customFormat="1" ht="15.2" customHeight="1" x14ac:dyDescent="0.2">
      <c r="A72" s="424"/>
      <c r="B72" s="489"/>
      <c r="C72" s="486" t="s">
        <v>282</v>
      </c>
      <c r="D72" s="456"/>
      <c r="E72" s="456"/>
      <c r="F72" s="456"/>
      <c r="G72" s="456"/>
      <c r="H72" s="456"/>
      <c r="I72" s="456"/>
      <c r="J72" s="456"/>
      <c r="K72" s="456"/>
      <c r="L72" s="506" t="s">
        <v>349</v>
      </c>
      <c r="M72" s="456"/>
      <c r="N72" s="456"/>
      <c r="O72" s="456"/>
      <c r="P72" s="456"/>
      <c r="Q72" s="456"/>
      <c r="R72" s="456"/>
      <c r="S72" s="456"/>
      <c r="T72" s="456"/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456"/>
      <c r="AI72" s="486"/>
      <c r="AJ72" s="456"/>
      <c r="AK72" s="456"/>
      <c r="AL72" s="456"/>
      <c r="AM72" s="535" t="str">
        <f>IF(E16="","",E16)</f>
        <v/>
      </c>
      <c r="AN72" s="536"/>
      <c r="AO72" s="536"/>
      <c r="AP72" s="537"/>
      <c r="AQ72" s="425"/>
      <c r="AR72" s="429"/>
      <c r="AS72" s="529" t="s">
        <v>303</v>
      </c>
      <c r="AT72" s="530"/>
      <c r="AU72" s="452"/>
      <c r="AV72" s="452"/>
      <c r="AW72" s="452"/>
      <c r="AX72" s="452"/>
      <c r="AY72" s="452"/>
      <c r="AZ72" s="452"/>
      <c r="BA72" s="452"/>
      <c r="BB72" s="452"/>
      <c r="BC72" s="452"/>
      <c r="BD72" s="453"/>
      <c r="BE72" s="424"/>
    </row>
    <row r="73" spans="1:90" s="430" customFormat="1" ht="15.2" customHeight="1" x14ac:dyDescent="0.2">
      <c r="A73" s="424"/>
      <c r="B73" s="489"/>
      <c r="C73" s="486"/>
      <c r="D73" s="456"/>
      <c r="E73" s="456"/>
      <c r="F73" s="456"/>
      <c r="G73" s="456"/>
      <c r="H73" s="456"/>
      <c r="I73" s="456"/>
      <c r="J73" s="456"/>
      <c r="K73" s="456"/>
      <c r="L73" s="506"/>
      <c r="M73" s="456"/>
      <c r="N73" s="456"/>
      <c r="O73" s="456"/>
      <c r="P73" s="456"/>
      <c r="Q73" s="456"/>
      <c r="R73" s="456"/>
      <c r="S73" s="456"/>
      <c r="T73" s="456"/>
      <c r="U73" s="456"/>
      <c r="V73" s="456"/>
      <c r="W73" s="456"/>
      <c r="X73" s="456"/>
      <c r="Y73" s="456"/>
      <c r="Z73" s="456"/>
      <c r="AA73" s="456"/>
      <c r="AB73" s="456"/>
      <c r="AC73" s="456"/>
      <c r="AD73" s="456"/>
      <c r="AE73" s="456"/>
      <c r="AF73" s="456"/>
      <c r="AG73" s="456"/>
      <c r="AH73" s="456"/>
      <c r="AI73" s="486"/>
      <c r="AJ73" s="456"/>
      <c r="AK73" s="456"/>
      <c r="AL73" s="456"/>
      <c r="AM73" s="535" t="str">
        <f>IF(E19="","",E19)</f>
        <v xml:space="preserve"> </v>
      </c>
      <c r="AN73" s="536"/>
      <c r="AO73" s="536"/>
      <c r="AP73" s="537"/>
      <c r="AQ73" s="425"/>
      <c r="AR73" s="429"/>
      <c r="AS73" s="531"/>
      <c r="AT73" s="532"/>
      <c r="AU73" s="454"/>
      <c r="AV73" s="454"/>
      <c r="AW73" s="454"/>
      <c r="AX73" s="454"/>
      <c r="AY73" s="454"/>
      <c r="AZ73" s="454"/>
      <c r="BA73" s="454"/>
      <c r="BB73" s="454"/>
      <c r="BC73" s="454"/>
      <c r="BD73" s="455"/>
      <c r="BE73" s="424"/>
    </row>
    <row r="74" spans="1:90" s="430" customFormat="1" ht="10.9" customHeight="1" x14ac:dyDescent="0.2">
      <c r="A74" s="424"/>
      <c r="B74" s="489"/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V74" s="456"/>
      <c r="W74" s="456"/>
      <c r="X74" s="456"/>
      <c r="Y74" s="456"/>
      <c r="Z74" s="456"/>
      <c r="AA74" s="456"/>
      <c r="AB74" s="456"/>
      <c r="AC74" s="456"/>
      <c r="AD74" s="456"/>
      <c r="AE74" s="456"/>
      <c r="AF74" s="456"/>
      <c r="AG74" s="456"/>
      <c r="AH74" s="456"/>
      <c r="AI74" s="456"/>
      <c r="AJ74" s="456"/>
      <c r="AK74" s="456"/>
      <c r="AL74" s="456"/>
      <c r="AM74" s="456"/>
      <c r="AN74" s="456"/>
      <c r="AO74" s="456"/>
      <c r="AP74" s="490"/>
      <c r="AQ74" s="425"/>
      <c r="AR74" s="429"/>
      <c r="AS74" s="533"/>
      <c r="AT74" s="534"/>
      <c r="AU74" s="456"/>
      <c r="AV74" s="456"/>
      <c r="AW74" s="456"/>
      <c r="AX74" s="456"/>
      <c r="AY74" s="456"/>
      <c r="AZ74" s="456"/>
      <c r="BA74" s="456"/>
      <c r="BB74" s="456"/>
      <c r="BC74" s="456"/>
      <c r="BD74" s="457"/>
      <c r="BE74" s="424"/>
    </row>
    <row r="75" spans="1:90" s="430" customFormat="1" ht="29.25" customHeight="1" x14ac:dyDescent="0.2">
      <c r="A75" s="424"/>
      <c r="B75" s="489"/>
      <c r="C75" s="538" t="s">
        <v>304</v>
      </c>
      <c r="D75" s="539"/>
      <c r="E75" s="539"/>
      <c r="F75" s="539"/>
      <c r="G75" s="539"/>
      <c r="H75" s="458"/>
      <c r="I75" s="540" t="s">
        <v>1</v>
      </c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41" t="s">
        <v>305</v>
      </c>
      <c r="AH75" s="539"/>
      <c r="AI75" s="539"/>
      <c r="AJ75" s="539"/>
      <c r="AK75" s="539"/>
      <c r="AL75" s="539"/>
      <c r="AM75" s="539"/>
      <c r="AN75" s="540" t="s">
        <v>306</v>
      </c>
      <c r="AO75" s="539"/>
      <c r="AP75" s="542"/>
      <c r="AQ75" s="459" t="s">
        <v>307</v>
      </c>
      <c r="AR75" s="429"/>
      <c r="AS75" s="460" t="s">
        <v>308</v>
      </c>
      <c r="AT75" s="461" t="s">
        <v>309</v>
      </c>
      <c r="AU75" s="461" t="s">
        <v>310</v>
      </c>
      <c r="AV75" s="461" t="s">
        <v>311</v>
      </c>
      <c r="AW75" s="461" t="s">
        <v>312</v>
      </c>
      <c r="AX75" s="461" t="s">
        <v>313</v>
      </c>
      <c r="AY75" s="461" t="s">
        <v>314</v>
      </c>
      <c r="AZ75" s="461" t="s">
        <v>315</v>
      </c>
      <c r="BA75" s="461" t="s">
        <v>316</v>
      </c>
      <c r="BB75" s="461" t="s">
        <v>317</v>
      </c>
      <c r="BC75" s="461" t="s">
        <v>318</v>
      </c>
      <c r="BD75" s="462" t="s">
        <v>319</v>
      </c>
      <c r="BE75" s="424"/>
    </row>
    <row r="76" spans="1:90" s="430" customFormat="1" ht="29.25" customHeight="1" x14ac:dyDescent="0.2">
      <c r="A76" s="424"/>
      <c r="B76" s="489"/>
      <c r="C76" s="521"/>
      <c r="D76" s="522"/>
      <c r="E76" s="522"/>
      <c r="F76" s="522"/>
      <c r="G76" s="522"/>
      <c r="H76" s="523"/>
      <c r="I76" s="521"/>
      <c r="J76" s="522"/>
      <c r="K76" s="522"/>
      <c r="L76" s="522"/>
      <c r="M76" s="522"/>
      <c r="N76" s="522"/>
      <c r="O76" s="522"/>
      <c r="P76" s="522"/>
      <c r="Q76" s="522"/>
      <c r="R76" s="522"/>
      <c r="S76" s="522"/>
      <c r="T76" s="522"/>
      <c r="U76" s="522"/>
      <c r="V76" s="522"/>
      <c r="W76" s="522"/>
      <c r="X76" s="522"/>
      <c r="Y76" s="522"/>
      <c r="Z76" s="522"/>
      <c r="AA76" s="522"/>
      <c r="AB76" s="522"/>
      <c r="AC76" s="522"/>
      <c r="AD76" s="522"/>
      <c r="AE76" s="522"/>
      <c r="AF76" s="522"/>
      <c r="AG76" s="524"/>
      <c r="AH76" s="522"/>
      <c r="AI76" s="522"/>
      <c r="AJ76" s="522"/>
      <c r="AK76" s="522"/>
      <c r="AL76" s="522"/>
      <c r="AM76" s="522"/>
      <c r="AN76" s="521"/>
      <c r="AO76" s="522"/>
      <c r="AP76" s="525"/>
      <c r="AQ76" s="459"/>
      <c r="AR76" s="429"/>
      <c r="AS76" s="526"/>
      <c r="AT76" s="527"/>
      <c r="AU76" s="527"/>
      <c r="AV76" s="527"/>
      <c r="AW76" s="527"/>
      <c r="AX76" s="527"/>
      <c r="AY76" s="527"/>
      <c r="AZ76" s="527"/>
      <c r="BA76" s="527"/>
      <c r="BB76" s="527"/>
      <c r="BC76" s="527"/>
      <c r="BD76" s="528"/>
      <c r="BE76" s="424"/>
    </row>
    <row r="77" spans="1:90" s="430" customFormat="1" ht="10.9" customHeight="1" x14ac:dyDescent="0.2">
      <c r="A77" s="424"/>
      <c r="B77" s="489"/>
      <c r="C77" s="456"/>
      <c r="D77" s="456"/>
      <c r="E77" s="456"/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  <c r="U77" s="456"/>
      <c r="V77" s="456"/>
      <c r="W77" s="456"/>
      <c r="X77" s="456"/>
      <c r="Y77" s="456"/>
      <c r="Z77" s="456"/>
      <c r="AA77" s="456"/>
      <c r="AB77" s="456"/>
      <c r="AC77" s="456"/>
      <c r="AD77" s="456"/>
      <c r="AE77" s="456"/>
      <c r="AF77" s="456"/>
      <c r="AG77" s="456"/>
      <c r="AH77" s="456"/>
      <c r="AI77" s="456"/>
      <c r="AJ77" s="456"/>
      <c r="AK77" s="456"/>
      <c r="AL77" s="456"/>
      <c r="AM77" s="456"/>
      <c r="AN77" s="456"/>
      <c r="AO77" s="456"/>
      <c r="AP77" s="490"/>
      <c r="AQ77" s="425"/>
      <c r="AR77" s="429"/>
      <c r="AS77" s="463"/>
      <c r="AT77" s="464"/>
      <c r="AU77" s="464"/>
      <c r="AV77" s="464"/>
      <c r="AW77" s="464"/>
      <c r="AX77" s="464"/>
      <c r="AY77" s="464"/>
      <c r="AZ77" s="464"/>
      <c r="BA77" s="464"/>
      <c r="BB77" s="464"/>
      <c r="BC77" s="464"/>
      <c r="BD77" s="465"/>
      <c r="BE77" s="424"/>
    </row>
    <row r="78" spans="1:90" s="466" customFormat="1" ht="32.450000000000003" customHeight="1" x14ac:dyDescent="0.2">
      <c r="B78" s="513"/>
      <c r="C78" s="514" t="s">
        <v>320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  <c r="O78" s="515"/>
      <c r="P78" s="515"/>
      <c r="Q78" s="515"/>
      <c r="R78" s="515"/>
      <c r="S78" s="515"/>
      <c r="T78" s="515"/>
      <c r="U78" s="515"/>
      <c r="V78" s="515"/>
      <c r="W78" s="515"/>
      <c r="X78" s="515"/>
      <c r="Y78" s="515"/>
      <c r="Z78" s="515"/>
      <c r="AA78" s="515"/>
      <c r="AB78" s="515"/>
      <c r="AC78" s="515"/>
      <c r="AD78" s="515"/>
      <c r="AE78" s="515"/>
      <c r="AF78" s="515"/>
      <c r="AG78" s="550">
        <f>ROUND('rozpocet realizace'!F218+'rozpocet nasledna pece'!F51,2)</f>
        <v>0</v>
      </c>
      <c r="AH78" s="550"/>
      <c r="AI78" s="550"/>
      <c r="AJ78" s="550"/>
      <c r="AK78" s="550"/>
      <c r="AL78" s="550"/>
      <c r="AM78" s="550"/>
      <c r="AN78" s="551">
        <f>'rozpocet realizace'!F220+'rozpocet nasledna pece'!F53</f>
        <v>0</v>
      </c>
      <c r="AO78" s="551"/>
      <c r="AP78" s="552"/>
      <c r="AQ78" s="467" t="s">
        <v>278</v>
      </c>
      <c r="AR78" s="468"/>
      <c r="AS78" s="469" t="e">
        <f>ROUND(#REF!,2)</f>
        <v>#REF!</v>
      </c>
      <c r="AT78" s="470" t="e">
        <f>ROUND(SUM(AV78:AW78),2)</f>
        <v>#REF!</v>
      </c>
      <c r="AU78" s="471" t="e">
        <f>ROUND(#REF!,5)</f>
        <v>#REF!</v>
      </c>
      <c r="AV78" s="470" t="e">
        <f>ROUND(AZ78*L29,2)</f>
        <v>#REF!</v>
      </c>
      <c r="AW78" s="470" t="e">
        <f>ROUND(BA78*L30,2)</f>
        <v>#REF!</v>
      </c>
      <c r="AX78" s="470" t="e">
        <f>ROUND(BB78*L29,2)</f>
        <v>#REF!</v>
      </c>
      <c r="AY78" s="470" t="e">
        <f>ROUND(BC78*L30,2)</f>
        <v>#REF!</v>
      </c>
      <c r="AZ78" s="470" t="e">
        <f>ROUND(#REF!,2)</f>
        <v>#REF!</v>
      </c>
      <c r="BA78" s="470" t="e">
        <f>ROUND(#REF!,2)</f>
        <v>#REF!</v>
      </c>
      <c r="BB78" s="470" t="e">
        <f>ROUND(#REF!,2)</f>
        <v>#REF!</v>
      </c>
      <c r="BC78" s="470" t="e">
        <f>ROUND(#REF!,2)</f>
        <v>#REF!</v>
      </c>
      <c r="BD78" s="472" t="e">
        <f>ROUND(#REF!,2)</f>
        <v>#REF!</v>
      </c>
      <c r="BS78" s="475" t="s">
        <v>331</v>
      </c>
      <c r="BT78" s="475" t="s">
        <v>332</v>
      </c>
      <c r="BV78" s="475" t="s">
        <v>333</v>
      </c>
      <c r="BW78" s="475" t="s">
        <v>325</v>
      </c>
      <c r="BX78" s="475" t="s">
        <v>334</v>
      </c>
      <c r="CL78" s="475" t="s">
        <v>278</v>
      </c>
    </row>
    <row r="79" spans="1:90" s="430" customFormat="1" ht="30" customHeight="1" x14ac:dyDescent="0.2">
      <c r="A79" s="424"/>
      <c r="B79" s="489"/>
      <c r="C79" s="456"/>
      <c r="D79" s="456"/>
      <c r="E79" s="456"/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  <c r="U79" s="456"/>
      <c r="V79" s="456"/>
      <c r="W79" s="456"/>
      <c r="X79" s="456"/>
      <c r="Y79" s="456"/>
      <c r="Z79" s="456"/>
      <c r="AA79" s="456"/>
      <c r="AB79" s="456"/>
      <c r="AC79" s="456"/>
      <c r="AD79" s="456"/>
      <c r="AE79" s="456"/>
      <c r="AF79" s="456"/>
      <c r="AG79" s="456"/>
      <c r="AH79" s="456"/>
      <c r="AI79" s="456"/>
      <c r="AJ79" s="456"/>
      <c r="AK79" s="456"/>
      <c r="AL79" s="456"/>
      <c r="AM79" s="456"/>
      <c r="AN79" s="456"/>
      <c r="AO79" s="456"/>
      <c r="AP79" s="490"/>
      <c r="AQ79" s="425"/>
      <c r="AR79" s="429"/>
      <c r="AS79" s="424"/>
      <c r="AT79" s="424"/>
      <c r="AU79" s="424"/>
      <c r="AV79" s="424"/>
      <c r="AW79" s="424"/>
      <c r="AX79" s="424"/>
      <c r="AY79" s="424"/>
      <c r="AZ79" s="424"/>
      <c r="BA79" s="424"/>
      <c r="BB79" s="424"/>
      <c r="BC79" s="424"/>
      <c r="BD79" s="424"/>
      <c r="BE79" s="424"/>
    </row>
    <row r="80" spans="1:90" s="430" customFormat="1" ht="6.95" customHeight="1" x14ac:dyDescent="0.2">
      <c r="A80" s="424"/>
      <c r="B80" s="516"/>
      <c r="C80" s="517"/>
      <c r="D80" s="517"/>
      <c r="E80" s="517"/>
      <c r="F80" s="517"/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  <c r="R80" s="517"/>
      <c r="S80" s="517"/>
      <c r="T80" s="517"/>
      <c r="U80" s="517"/>
      <c r="V80" s="517"/>
      <c r="W80" s="517"/>
      <c r="X80" s="517"/>
      <c r="Y80" s="517"/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  <c r="AL80" s="517"/>
      <c r="AM80" s="517"/>
      <c r="AN80" s="517"/>
      <c r="AO80" s="517"/>
      <c r="AP80" s="518"/>
      <c r="AQ80" s="444"/>
      <c r="AR80" s="429"/>
      <c r="AS80" s="424"/>
      <c r="AT80" s="424"/>
      <c r="AU80" s="424"/>
      <c r="AV80" s="424"/>
      <c r="AW80" s="424"/>
      <c r="AX80" s="424"/>
      <c r="AY80" s="424"/>
      <c r="AZ80" s="424"/>
      <c r="BA80" s="424"/>
      <c r="BB80" s="424"/>
      <c r="BC80" s="424"/>
      <c r="BD80" s="424"/>
      <c r="BE80" s="424"/>
    </row>
  </sheetData>
  <sheetProtection algorithmName="SHA-512" hashValue="qM8yOF4hAXYQ6xs5rw/x9QcMSHKkcxKMINKpsDpFNbXmMbFab0dqxRrmiXOiFcD82RlwEv3IIKjtKss/nmM6kw==" saltValue="aq5BsJvxSVDLzR4mF6AGhw==" spinCount="100000" sheet="1" objects="1" scenarios="1"/>
  <mergeCells count="37">
    <mergeCell ref="AR2:BE2"/>
    <mergeCell ref="K6:AO6"/>
    <mergeCell ref="AK26:AO26"/>
    <mergeCell ref="AK28:AO28"/>
    <mergeCell ref="L29:P29"/>
    <mergeCell ref="W29:AE29"/>
    <mergeCell ref="AK29:AO29"/>
    <mergeCell ref="K5:AO5"/>
    <mergeCell ref="E22:AN22"/>
    <mergeCell ref="AK25:AO25"/>
    <mergeCell ref="L28:P28"/>
    <mergeCell ref="W28:AE28"/>
    <mergeCell ref="X35:AB35"/>
    <mergeCell ref="AK35:AO35"/>
    <mergeCell ref="AG78:AM78"/>
    <mergeCell ref="AN78:AP78"/>
    <mergeCell ref="AM72:AP72"/>
    <mergeCell ref="L68:AO68"/>
    <mergeCell ref="AM70:AN70"/>
    <mergeCell ref="L33:P33"/>
    <mergeCell ref="W33:AE33"/>
    <mergeCell ref="AK33:AO33"/>
    <mergeCell ref="L32:P32"/>
    <mergeCell ref="W32:AE32"/>
    <mergeCell ref="AK32:AO32"/>
    <mergeCell ref="L30:P30"/>
    <mergeCell ref="W30:AE30"/>
    <mergeCell ref="AK30:AO30"/>
    <mergeCell ref="L31:P31"/>
    <mergeCell ref="W31:AE31"/>
    <mergeCell ref="AK31:AO31"/>
    <mergeCell ref="AS72:AT74"/>
    <mergeCell ref="AM73:AP73"/>
    <mergeCell ref="C75:G75"/>
    <mergeCell ref="I75:AF75"/>
    <mergeCell ref="AG75:AM75"/>
    <mergeCell ref="AN75:AP75"/>
  </mergeCells>
  <pageMargins left="0.25" right="0.25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6"/>
  <sheetViews>
    <sheetView tabSelected="1" view="pageLayout" topLeftCell="A17" zoomScaleNormal="100" workbookViewId="0">
      <selection activeCell="E30" sqref="E30"/>
    </sheetView>
  </sheetViews>
  <sheetFormatPr defaultColWidth="9.140625" defaultRowHeight="13.5" x14ac:dyDescent="0.25"/>
  <cols>
    <col min="1" max="1" width="12.7109375" style="141" customWidth="1"/>
    <col min="2" max="2" width="45.5703125" style="11" customWidth="1"/>
    <col min="3" max="3" width="7.42578125" style="35" customWidth="1"/>
    <col min="4" max="4" width="6.85546875" style="268" customWidth="1"/>
    <col min="5" max="5" width="11" style="239" customWidth="1"/>
    <col min="6" max="6" width="20.85546875" style="240" customWidth="1"/>
    <col min="7" max="7" width="17.42578125" style="208" customWidth="1"/>
    <col min="8" max="8" width="46.85546875" style="396" customWidth="1"/>
    <col min="9" max="9" width="9.140625" style="36"/>
    <col min="10" max="10" width="33.5703125" style="36" customWidth="1"/>
    <col min="11" max="32" width="9.140625" style="36"/>
    <col min="33" max="16384" width="9.140625" style="1"/>
  </cols>
  <sheetData>
    <row r="1" spans="1:32" x14ac:dyDescent="0.25">
      <c r="A1" s="305" t="s">
        <v>97</v>
      </c>
      <c r="B1" s="156"/>
      <c r="C1" s="306"/>
      <c r="D1" s="307"/>
      <c r="E1" s="260"/>
      <c r="F1" s="308"/>
    </row>
    <row r="2" spans="1:32" ht="21" customHeight="1" x14ac:dyDescent="0.25">
      <c r="A2" s="305" t="s">
        <v>98</v>
      </c>
      <c r="B2" s="156"/>
      <c r="C2" s="306"/>
      <c r="D2" s="307"/>
      <c r="E2" s="260"/>
      <c r="F2" s="308"/>
    </row>
    <row r="3" spans="1:32" s="97" customFormat="1" ht="21" customHeight="1" x14ac:dyDescent="0.2">
      <c r="A3" s="309" t="s">
        <v>133</v>
      </c>
      <c r="B3" s="310"/>
      <c r="C3" s="311"/>
      <c r="D3" s="312"/>
      <c r="E3" s="313"/>
      <c r="F3" s="314"/>
      <c r="G3" s="209"/>
      <c r="H3" s="397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2" s="4" customFormat="1" ht="60" customHeight="1" x14ac:dyDescent="0.25">
      <c r="A4" s="569" t="s">
        <v>47</v>
      </c>
      <c r="B4" s="569"/>
      <c r="C4" s="569"/>
      <c r="D4" s="569"/>
      <c r="E4" s="569"/>
      <c r="F4" s="569"/>
      <c r="G4" s="208"/>
      <c r="H4" s="39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32" s="4" customFormat="1" ht="14.25" customHeight="1" x14ac:dyDescent="0.25">
      <c r="A5" s="570" t="s">
        <v>50</v>
      </c>
      <c r="B5" s="570"/>
      <c r="C5" s="570"/>
      <c r="D5" s="570"/>
      <c r="E5" s="570"/>
      <c r="F5" s="570"/>
      <c r="G5" s="210"/>
      <c r="H5" s="398"/>
      <c r="I5" s="155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s="36" customFormat="1" ht="12.75" customHeight="1" x14ac:dyDescent="0.25">
      <c r="A6" s="569" t="s">
        <v>230</v>
      </c>
      <c r="B6" s="569"/>
      <c r="C6" s="569"/>
      <c r="D6" s="569"/>
      <c r="E6" s="569"/>
      <c r="F6" s="569"/>
      <c r="G6" s="211"/>
      <c r="H6" s="399"/>
      <c r="I6" s="53"/>
      <c r="J6" s="53"/>
      <c r="K6" s="571"/>
      <c r="L6" s="571"/>
      <c r="M6" s="571"/>
      <c r="N6" s="571"/>
      <c r="O6" s="571"/>
      <c r="P6" s="571"/>
      <c r="Q6" s="571"/>
      <c r="R6" s="571"/>
      <c r="S6" s="571"/>
    </row>
    <row r="7" spans="1:32" s="4" customFormat="1" ht="27" customHeight="1" x14ac:dyDescent="0.25">
      <c r="A7" s="569" t="s">
        <v>264</v>
      </c>
      <c r="B7" s="569"/>
      <c r="C7" s="569"/>
      <c r="D7" s="569"/>
      <c r="E7" s="569"/>
      <c r="F7" s="569"/>
      <c r="G7" s="572"/>
      <c r="H7" s="400"/>
      <c r="I7" s="53"/>
      <c r="J7" s="53"/>
      <c r="K7" s="53"/>
      <c r="L7" s="53"/>
      <c r="M7" s="53"/>
      <c r="N7" s="53"/>
      <c r="O7" s="53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1:32" s="4" customFormat="1" ht="12.75" customHeight="1" x14ac:dyDescent="0.25">
      <c r="A8" s="569" t="s">
        <v>85</v>
      </c>
      <c r="B8" s="569"/>
      <c r="C8" s="569"/>
      <c r="D8" s="569"/>
      <c r="E8" s="569"/>
      <c r="F8" s="569"/>
      <c r="G8" s="572"/>
      <c r="H8" s="400"/>
      <c r="I8" s="53"/>
      <c r="J8" s="53"/>
      <c r="K8" s="53"/>
      <c r="L8" s="53"/>
      <c r="M8" s="53"/>
      <c r="N8" s="53"/>
      <c r="O8" s="53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2" s="4" customFormat="1" ht="12.75" customHeight="1" x14ac:dyDescent="0.25">
      <c r="A9" s="569" t="s">
        <v>92</v>
      </c>
      <c r="B9" s="569"/>
      <c r="C9" s="569"/>
      <c r="D9" s="569"/>
      <c r="E9" s="569"/>
      <c r="F9" s="569"/>
      <c r="G9" s="572"/>
      <c r="H9" s="400"/>
      <c r="I9" s="53"/>
      <c r="J9" s="53"/>
      <c r="K9" s="53"/>
      <c r="L9" s="53"/>
      <c r="M9" s="53"/>
      <c r="N9" s="53"/>
      <c r="O9" s="53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s="4" customFormat="1" ht="13.5" customHeight="1" x14ac:dyDescent="0.25">
      <c r="A10" s="569" t="s">
        <v>15</v>
      </c>
      <c r="B10" s="569"/>
      <c r="C10" s="569"/>
      <c r="D10" s="569"/>
      <c r="E10" s="569"/>
      <c r="F10" s="569"/>
      <c r="G10" s="572"/>
      <c r="H10" s="400"/>
      <c r="I10" s="53"/>
      <c r="J10" s="53"/>
      <c r="K10" s="53"/>
      <c r="L10" s="53"/>
      <c r="M10" s="53"/>
      <c r="N10" s="53"/>
      <c r="O10" s="53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4" customFormat="1" ht="51.75" customHeight="1" x14ac:dyDescent="0.25">
      <c r="A11" s="569" t="s">
        <v>339</v>
      </c>
      <c r="B11" s="569"/>
      <c r="C11" s="569"/>
      <c r="D11" s="569"/>
      <c r="E11" s="569"/>
      <c r="F11" s="569"/>
      <c r="G11" s="572"/>
      <c r="H11" s="400"/>
      <c r="I11" s="53"/>
      <c r="J11" s="185"/>
      <c r="K11" s="53"/>
      <c r="L11" s="53"/>
      <c r="M11" s="53"/>
      <c r="N11" s="53"/>
      <c r="O11" s="53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s="14" customFormat="1" ht="27.75" customHeight="1" x14ac:dyDescent="0.25">
      <c r="A12" s="315" t="s">
        <v>0</v>
      </c>
      <c r="B12" s="315" t="s">
        <v>1</v>
      </c>
      <c r="C12" s="315" t="s">
        <v>2</v>
      </c>
      <c r="D12" s="316" t="s">
        <v>3</v>
      </c>
      <c r="E12" s="317" t="s">
        <v>4</v>
      </c>
      <c r="F12" s="318" t="s">
        <v>5</v>
      </c>
      <c r="G12" s="318" t="s">
        <v>241</v>
      </c>
      <c r="H12" s="401"/>
      <c r="I12" s="68"/>
      <c r="J12" s="186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</row>
    <row r="13" spans="1:32" s="299" customFormat="1" ht="24.95" customHeight="1" x14ac:dyDescent="0.2">
      <c r="A13" s="304" t="s">
        <v>136</v>
      </c>
      <c r="B13" s="319"/>
      <c r="C13" s="167"/>
      <c r="D13" s="320"/>
      <c r="E13" s="321"/>
      <c r="F13" s="322">
        <f>F14+F19</f>
        <v>0</v>
      </c>
      <c r="G13" s="323"/>
      <c r="H13" s="301"/>
      <c r="I13" s="298"/>
      <c r="J13" s="298"/>
      <c r="K13" s="298"/>
      <c r="L13" s="298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</row>
    <row r="14" spans="1:32" s="296" customFormat="1" ht="24.95" customHeight="1" x14ac:dyDescent="0.2">
      <c r="A14" s="304" t="s">
        <v>135</v>
      </c>
      <c r="B14" s="319"/>
      <c r="C14" s="167"/>
      <c r="D14" s="320"/>
      <c r="E14" s="321"/>
      <c r="F14" s="324">
        <f>SUM(F15:F18)</f>
        <v>0</v>
      </c>
      <c r="G14" s="323"/>
      <c r="H14" s="301"/>
      <c r="I14" s="298"/>
      <c r="J14" s="298"/>
      <c r="K14" s="300"/>
      <c r="L14" s="298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</row>
    <row r="15" spans="1:32" s="3" customFormat="1" ht="27" x14ac:dyDescent="0.25">
      <c r="A15" s="170" t="s">
        <v>212</v>
      </c>
      <c r="B15" s="157" t="s">
        <v>229</v>
      </c>
      <c r="C15" s="65" t="s">
        <v>6</v>
      </c>
      <c r="D15" s="159">
        <f>8*1.5</f>
        <v>12</v>
      </c>
      <c r="E15" s="249"/>
      <c r="F15" s="241">
        <f t="shared" ref="F15:F16" si="0">E15*D15</f>
        <v>0</v>
      </c>
      <c r="G15" s="212" t="s">
        <v>168</v>
      </c>
      <c r="H15" s="417"/>
      <c r="I15" s="187"/>
      <c r="J15" s="53"/>
      <c r="K15" s="53"/>
      <c r="L15" s="36"/>
      <c r="M15" s="36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2" s="3" customFormat="1" x14ac:dyDescent="0.25">
      <c r="A16" s="65" t="s">
        <v>9</v>
      </c>
      <c r="B16" s="66" t="s">
        <v>134</v>
      </c>
      <c r="C16" s="65" t="s">
        <v>6</v>
      </c>
      <c r="D16" s="159">
        <f>D15</f>
        <v>12</v>
      </c>
      <c r="E16" s="242"/>
      <c r="F16" s="241">
        <f t="shared" si="0"/>
        <v>0</v>
      </c>
      <c r="G16" s="212" t="s">
        <v>169</v>
      </c>
      <c r="H16" s="301"/>
      <c r="I16" s="187"/>
      <c r="J16" s="53"/>
      <c r="K16" s="32"/>
      <c r="L16" s="36"/>
      <c r="M16" s="32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s="3" customFormat="1" ht="27" x14ac:dyDescent="0.25">
      <c r="A17" s="170" t="s">
        <v>213</v>
      </c>
      <c r="B17" s="157" t="s">
        <v>214</v>
      </c>
      <c r="C17" s="65" t="s">
        <v>6</v>
      </c>
      <c r="D17" s="159">
        <f>D15</f>
        <v>12</v>
      </c>
      <c r="E17" s="249"/>
      <c r="F17" s="241">
        <f>E17*D17</f>
        <v>0</v>
      </c>
      <c r="G17" s="212" t="s">
        <v>168</v>
      </c>
      <c r="H17" s="301"/>
      <c r="I17" s="187"/>
      <c r="J17" s="53"/>
      <c r="K17" s="53"/>
      <c r="L17" s="53"/>
      <c r="M17" s="36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2" s="3" customFormat="1" x14ac:dyDescent="0.25">
      <c r="A18" s="65" t="s">
        <v>174</v>
      </c>
      <c r="B18" s="66" t="s">
        <v>263</v>
      </c>
      <c r="C18" s="65" t="s">
        <v>20</v>
      </c>
      <c r="D18" s="159">
        <v>1</v>
      </c>
      <c r="E18" s="243"/>
      <c r="F18" s="241">
        <f>E18*D18</f>
        <v>0</v>
      </c>
      <c r="G18" s="212"/>
      <c r="H18" s="402"/>
      <c r="I18" s="175"/>
      <c r="J18" s="53"/>
      <c r="K18" s="53"/>
      <c r="L18" s="53"/>
      <c r="M18" s="36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</row>
    <row r="19" spans="1:32" s="296" customFormat="1" ht="24.95" customHeight="1" x14ac:dyDescent="0.2">
      <c r="A19" s="304" t="s">
        <v>248</v>
      </c>
      <c r="B19" s="319"/>
      <c r="C19" s="167"/>
      <c r="D19" s="320">
        <v>1775</v>
      </c>
      <c r="E19" s="321"/>
      <c r="F19" s="324">
        <f>F20</f>
        <v>0</v>
      </c>
      <c r="G19" s="323"/>
      <c r="H19" s="301"/>
      <c r="I19" s="298"/>
      <c r="J19" s="298"/>
      <c r="K19" s="300"/>
      <c r="L19" s="298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</row>
    <row r="20" spans="1:32" s="31" customFormat="1" ht="40.5" x14ac:dyDescent="0.25">
      <c r="A20" s="170" t="s">
        <v>255</v>
      </c>
      <c r="B20" s="157" t="s">
        <v>256</v>
      </c>
      <c r="C20" s="65" t="s">
        <v>6</v>
      </c>
      <c r="D20" s="159">
        <v>1775</v>
      </c>
      <c r="E20" s="249"/>
      <c r="F20" s="241">
        <f t="shared" ref="F20" si="1">E20*D20</f>
        <v>0</v>
      </c>
      <c r="G20" s="212" t="s">
        <v>200</v>
      </c>
      <c r="H20" s="418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s="299" customFormat="1" ht="24.95" customHeight="1" x14ac:dyDescent="0.2">
      <c r="A21" s="304" t="s">
        <v>137</v>
      </c>
      <c r="B21" s="319"/>
      <c r="C21" s="167"/>
      <c r="D21" s="320"/>
      <c r="E21" s="321"/>
      <c r="F21" s="322">
        <f>F22</f>
        <v>0</v>
      </c>
      <c r="G21" s="323"/>
      <c r="H21" s="301"/>
      <c r="I21" s="298"/>
      <c r="J21" s="298"/>
      <c r="K21" s="298"/>
      <c r="L21" s="298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</row>
    <row r="22" spans="1:32" s="296" customFormat="1" ht="24.95" customHeight="1" x14ac:dyDescent="0.2">
      <c r="A22" s="304" t="s">
        <v>138</v>
      </c>
      <c r="B22" s="319"/>
      <c r="C22" s="167"/>
      <c r="D22" s="320">
        <v>50</v>
      </c>
      <c r="E22" s="321"/>
      <c r="F22" s="324">
        <f>SUM(F23:F30)</f>
        <v>0</v>
      </c>
      <c r="G22" s="323"/>
      <c r="H22" s="301"/>
      <c r="I22" s="298"/>
      <c r="J22" s="298"/>
      <c r="K22" s="300"/>
      <c r="L22" s="298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</row>
    <row r="23" spans="1:32" s="4" customFormat="1" ht="40.5" x14ac:dyDescent="0.25">
      <c r="A23" s="325">
        <v>183117211</v>
      </c>
      <c r="B23" s="44" t="s">
        <v>93</v>
      </c>
      <c r="C23" s="45" t="s">
        <v>12</v>
      </c>
      <c r="D23" s="270">
        <f>D22</f>
        <v>50</v>
      </c>
      <c r="E23" s="244"/>
      <c r="F23" s="241">
        <f>E23*D23</f>
        <v>0</v>
      </c>
      <c r="G23" s="212" t="s">
        <v>169</v>
      </c>
      <c r="H23" s="400"/>
      <c r="I23" s="53"/>
      <c r="J23" s="53"/>
      <c r="K23" s="54"/>
      <c r="L23" s="5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ht="27" x14ac:dyDescent="0.25">
      <c r="A24" s="110">
        <v>185804312</v>
      </c>
      <c r="B24" s="111" t="s">
        <v>52</v>
      </c>
      <c r="C24" s="38" t="s">
        <v>17</v>
      </c>
      <c r="D24" s="159">
        <f>D22*0.01</f>
        <v>0.5</v>
      </c>
      <c r="E24" s="243"/>
      <c r="F24" s="241">
        <f t="shared" ref="F24:F27" si="2">E24*D24</f>
        <v>0</v>
      </c>
      <c r="G24" s="212" t="s">
        <v>168</v>
      </c>
      <c r="H24" s="403"/>
      <c r="I24" s="53"/>
      <c r="J24" s="53"/>
      <c r="K24" s="53"/>
      <c r="L24" s="53"/>
      <c r="M24" s="53"/>
      <c r="N24" s="53"/>
      <c r="O24" s="53"/>
      <c r="P24" s="53"/>
      <c r="Q24" s="53"/>
      <c r="R24" s="53"/>
    </row>
    <row r="25" spans="1:32" s="146" customFormat="1" x14ac:dyDescent="0.25">
      <c r="A25" s="126" t="s">
        <v>16</v>
      </c>
      <c r="B25" s="151" t="s">
        <v>51</v>
      </c>
      <c r="C25" s="126" t="s">
        <v>17</v>
      </c>
      <c r="D25" s="276">
        <f>D24*100*0.01</f>
        <v>0.5</v>
      </c>
      <c r="E25" s="246"/>
      <c r="F25" s="251">
        <f t="shared" si="2"/>
        <v>0</v>
      </c>
      <c r="G25" s="213"/>
      <c r="H25" s="404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</row>
    <row r="26" spans="1:32" s="4" customFormat="1" x14ac:dyDescent="0.25">
      <c r="A26" s="110" t="s">
        <v>48</v>
      </c>
      <c r="B26" s="111" t="s">
        <v>49</v>
      </c>
      <c r="C26" s="38" t="s">
        <v>17</v>
      </c>
      <c r="D26" s="159">
        <f>D25</f>
        <v>0.5</v>
      </c>
      <c r="E26" s="243"/>
      <c r="F26" s="241">
        <f t="shared" si="2"/>
        <v>0</v>
      </c>
      <c r="G26" s="212" t="s">
        <v>169</v>
      </c>
      <c r="H26" s="40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</row>
    <row r="27" spans="1:32" s="7" customFormat="1" x14ac:dyDescent="0.25">
      <c r="A27" s="64" t="s">
        <v>22</v>
      </c>
      <c r="B27" s="74" t="s">
        <v>23</v>
      </c>
      <c r="C27" s="38" t="s">
        <v>7</v>
      </c>
      <c r="D27" s="159">
        <v>30</v>
      </c>
      <c r="E27" s="243"/>
      <c r="F27" s="241">
        <f t="shared" si="2"/>
        <v>0</v>
      </c>
      <c r="G27" s="212" t="s">
        <v>169</v>
      </c>
      <c r="H27" s="403"/>
      <c r="I27" s="53"/>
      <c r="J27" s="53"/>
      <c r="K27" s="53"/>
      <c r="L27" s="53"/>
      <c r="M27" s="53"/>
      <c r="N27" s="53"/>
      <c r="O27" s="53"/>
      <c r="P27" s="188"/>
      <c r="Q27" s="188"/>
      <c r="R27" s="188"/>
      <c r="S27" s="567"/>
      <c r="T27" s="568"/>
      <c r="U27" s="568"/>
      <c r="V27" s="568"/>
      <c r="W27" s="189"/>
      <c r="X27" s="189"/>
      <c r="Y27" s="189"/>
      <c r="Z27" s="189"/>
      <c r="AA27" s="189"/>
      <c r="AB27" s="189"/>
      <c r="AC27" s="189"/>
      <c r="AD27" s="189"/>
      <c r="AE27" s="189"/>
      <c r="AF27" s="53"/>
    </row>
    <row r="28" spans="1:32" s="144" customFormat="1" x14ac:dyDescent="0.25">
      <c r="A28" s="326" t="s">
        <v>16</v>
      </c>
      <c r="B28" s="327" t="s">
        <v>139</v>
      </c>
      <c r="C28" s="126" t="s">
        <v>18</v>
      </c>
      <c r="D28" s="276">
        <v>5</v>
      </c>
      <c r="E28" s="246"/>
      <c r="F28" s="251">
        <f>E28*D28</f>
        <v>0</v>
      </c>
      <c r="G28" s="214"/>
      <c r="H28" s="404"/>
      <c r="I28" s="132"/>
      <c r="J28" s="132"/>
      <c r="K28" s="132"/>
      <c r="L28" s="132"/>
      <c r="M28" s="132"/>
      <c r="N28" s="132"/>
      <c r="O28" s="132"/>
      <c r="P28" s="190"/>
      <c r="Q28" s="190"/>
      <c r="R28" s="190"/>
      <c r="S28" s="565"/>
      <c r="T28" s="566"/>
      <c r="U28" s="566"/>
      <c r="V28" s="566"/>
      <c r="W28" s="191"/>
      <c r="X28" s="191"/>
      <c r="Y28" s="191"/>
      <c r="Z28" s="191"/>
      <c r="AA28" s="191"/>
      <c r="AB28" s="191"/>
      <c r="AC28" s="191"/>
      <c r="AD28" s="191"/>
      <c r="AE28" s="191"/>
      <c r="AF28" s="132"/>
    </row>
    <row r="29" spans="1:32" s="99" customFormat="1" ht="27" x14ac:dyDescent="0.25">
      <c r="A29" s="328" t="s">
        <v>182</v>
      </c>
      <c r="B29" s="161" t="s">
        <v>183</v>
      </c>
      <c r="C29" s="105" t="s">
        <v>6</v>
      </c>
      <c r="D29" s="272">
        <v>40</v>
      </c>
      <c r="E29" s="329"/>
      <c r="F29" s="255">
        <f t="shared" ref="F29:F30" si="3">E29*D29</f>
        <v>0</v>
      </c>
      <c r="G29" s="215" t="s">
        <v>168</v>
      </c>
      <c r="H29" s="403"/>
      <c r="I29" s="564"/>
      <c r="J29" s="573"/>
      <c r="K29" s="573"/>
      <c r="L29" s="573"/>
      <c r="M29" s="102"/>
      <c r="N29" s="102"/>
      <c r="O29" s="102"/>
      <c r="P29" s="123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</row>
    <row r="30" spans="1:32" x14ac:dyDescent="0.25">
      <c r="A30" s="62" t="s">
        <v>174</v>
      </c>
      <c r="B30" s="37" t="s">
        <v>55</v>
      </c>
      <c r="C30" s="65" t="s">
        <v>20</v>
      </c>
      <c r="D30" s="274">
        <v>1</v>
      </c>
      <c r="E30" s="243"/>
      <c r="F30" s="241">
        <f t="shared" si="3"/>
        <v>0</v>
      </c>
      <c r="G30" s="216"/>
      <c r="H30" s="400"/>
      <c r="I30" s="53"/>
      <c r="J30" s="53"/>
      <c r="K30" s="72"/>
      <c r="L30" s="53"/>
    </row>
    <row r="31" spans="1:32" s="299" customFormat="1" ht="24.95" customHeight="1" x14ac:dyDescent="0.2">
      <c r="A31" s="304" t="s">
        <v>140</v>
      </c>
      <c r="B31" s="319"/>
      <c r="C31" s="167"/>
      <c r="D31" s="320">
        <v>138</v>
      </c>
      <c r="E31" s="321"/>
      <c r="F31" s="322">
        <f>SUM(F32:F35)</f>
        <v>0</v>
      </c>
      <c r="G31" s="323"/>
      <c r="H31" s="301"/>
      <c r="I31" s="298"/>
      <c r="J31" s="298"/>
      <c r="K31" s="298"/>
      <c r="L31" s="298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</row>
    <row r="32" spans="1:32" s="4" customFormat="1" ht="27" x14ac:dyDescent="0.25">
      <c r="A32" s="64" t="s">
        <v>174</v>
      </c>
      <c r="B32" s="160" t="s">
        <v>141</v>
      </c>
      <c r="C32" s="65" t="s">
        <v>17</v>
      </c>
      <c r="D32" s="159">
        <f>D31*0.9</f>
        <v>124.2</v>
      </c>
      <c r="E32" s="243"/>
      <c r="F32" s="241">
        <f>SUM(D32*E32)</f>
        <v>0</v>
      </c>
      <c r="G32" s="217"/>
      <c r="H32" s="400"/>
      <c r="I32" s="53"/>
      <c r="J32" s="53"/>
      <c r="K32" s="53"/>
      <c r="L32" s="53"/>
      <c r="M32" s="53"/>
      <c r="N32" s="53"/>
      <c r="O32" s="53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1:32" ht="67.5" x14ac:dyDescent="0.25">
      <c r="A33" s="64" t="s">
        <v>16</v>
      </c>
      <c r="B33" s="148" t="s">
        <v>80</v>
      </c>
      <c r="C33" s="330" t="s">
        <v>17</v>
      </c>
      <c r="D33" s="159">
        <f>0.9*D31</f>
        <v>124.2</v>
      </c>
      <c r="E33" s="243"/>
      <c r="F33" s="252">
        <f>SUM(D33*E33)</f>
        <v>0</v>
      </c>
      <c r="G33" s="218"/>
      <c r="H33" s="400"/>
      <c r="I33" s="53"/>
      <c r="J33" s="53"/>
      <c r="K33" s="53"/>
      <c r="L33" s="53"/>
      <c r="M33" s="53"/>
      <c r="N33" s="53"/>
      <c r="O33" s="53"/>
    </row>
    <row r="34" spans="1:32" s="99" customFormat="1" ht="27" x14ac:dyDescent="0.25">
      <c r="A34" s="328" t="s">
        <v>182</v>
      </c>
      <c r="B34" s="161" t="s">
        <v>183</v>
      </c>
      <c r="C34" s="105" t="s">
        <v>6</v>
      </c>
      <c r="D34" s="272">
        <f>D31*1.3</f>
        <v>179.4</v>
      </c>
      <c r="E34" s="329"/>
      <c r="F34" s="255">
        <f>E34*D34</f>
        <v>0</v>
      </c>
      <c r="G34" s="215" t="s">
        <v>168</v>
      </c>
      <c r="H34" s="301"/>
      <c r="I34" s="564"/>
      <c r="J34" s="564"/>
      <c r="K34" s="564"/>
      <c r="L34" s="564"/>
      <c r="M34" s="102"/>
      <c r="N34" s="102"/>
      <c r="O34" s="102"/>
      <c r="P34" s="12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</row>
    <row r="35" spans="1:32" s="10" customFormat="1" x14ac:dyDescent="0.25">
      <c r="A35" s="64" t="s">
        <v>174</v>
      </c>
      <c r="B35" s="37" t="s">
        <v>19</v>
      </c>
      <c r="C35" s="38" t="s">
        <v>20</v>
      </c>
      <c r="D35" s="159">
        <v>1</v>
      </c>
      <c r="E35" s="243"/>
      <c r="F35" s="241">
        <f>E35*D35</f>
        <v>0</v>
      </c>
      <c r="G35" s="219"/>
      <c r="H35" s="301"/>
      <c r="I35" s="192"/>
      <c r="J35" s="192"/>
      <c r="K35" s="192"/>
      <c r="L35" s="192"/>
      <c r="M35" s="54"/>
      <c r="N35" s="54"/>
      <c r="O35" s="54"/>
      <c r="P35" s="193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2" s="299" customFormat="1" ht="24.95" customHeight="1" x14ac:dyDescent="0.2">
      <c r="A36" s="304" t="s">
        <v>142</v>
      </c>
      <c r="B36" s="319"/>
      <c r="C36" s="167"/>
      <c r="D36" s="320"/>
      <c r="E36" s="321"/>
      <c r="F36" s="322">
        <f>F37+F65+F91+F107+F123+F139+F160+F176+F191+F196</f>
        <v>0</v>
      </c>
      <c r="G36" s="323"/>
      <c r="H36" s="301"/>
      <c r="I36" s="298"/>
      <c r="J36" s="298"/>
      <c r="K36" s="298"/>
      <c r="L36" s="298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</row>
    <row r="37" spans="1:32" s="296" customFormat="1" ht="24.95" customHeight="1" x14ac:dyDescent="0.2">
      <c r="A37" s="304" t="s">
        <v>143</v>
      </c>
      <c r="B37" s="319"/>
      <c r="C37" s="167"/>
      <c r="D37" s="320">
        <v>16</v>
      </c>
      <c r="E37" s="321"/>
      <c r="F37" s="324">
        <f>SUM(F38:F64)</f>
        <v>0</v>
      </c>
      <c r="G37" s="323"/>
      <c r="H37" s="301"/>
      <c r="I37" s="298"/>
      <c r="J37" s="298"/>
      <c r="K37" s="300"/>
      <c r="L37" s="298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</row>
    <row r="38" spans="1:32" ht="40.5" x14ac:dyDescent="0.25">
      <c r="A38" s="325" t="s">
        <v>30</v>
      </c>
      <c r="B38" s="148" t="s">
        <v>25</v>
      </c>
      <c r="C38" s="330" t="s">
        <v>24</v>
      </c>
      <c r="D38" s="332">
        <f>D37</f>
        <v>16</v>
      </c>
      <c r="E38" s="331"/>
      <c r="F38" s="252">
        <f>D38*E38</f>
        <v>0</v>
      </c>
      <c r="G38" s="212" t="s">
        <v>169</v>
      </c>
      <c r="H38" s="405"/>
      <c r="I38" s="53"/>
      <c r="J38" s="53"/>
      <c r="K38" s="53"/>
      <c r="L38" s="53"/>
      <c r="M38" s="53"/>
      <c r="N38" s="53"/>
      <c r="O38" s="53"/>
    </row>
    <row r="39" spans="1:32" ht="28.5" customHeight="1" x14ac:dyDescent="0.25">
      <c r="A39" s="170" t="s">
        <v>166</v>
      </c>
      <c r="B39" s="157" t="s">
        <v>167</v>
      </c>
      <c r="C39" s="333" t="s">
        <v>7</v>
      </c>
      <c r="D39" s="334">
        <f>D37*7</f>
        <v>112</v>
      </c>
      <c r="E39" s="249"/>
      <c r="F39" s="252">
        <f t="shared" ref="F39:F53" si="4">D39*E39</f>
        <v>0</v>
      </c>
      <c r="G39" s="212" t="s">
        <v>168</v>
      </c>
      <c r="H39" s="406"/>
      <c r="I39" s="162"/>
      <c r="J39" s="53"/>
      <c r="K39" s="194"/>
      <c r="L39" s="53"/>
      <c r="M39" s="53"/>
      <c r="N39" s="53"/>
      <c r="O39" s="53"/>
    </row>
    <row r="40" spans="1:32" s="150" customFormat="1" ht="54" x14ac:dyDescent="0.25">
      <c r="A40" s="164">
        <v>2511111101</v>
      </c>
      <c r="B40" s="165" t="s">
        <v>177</v>
      </c>
      <c r="C40" s="164" t="s">
        <v>7</v>
      </c>
      <c r="D40" s="335">
        <f>D37*7</f>
        <v>112</v>
      </c>
      <c r="E40" s="336"/>
      <c r="F40" s="337">
        <f t="shared" si="4"/>
        <v>0</v>
      </c>
      <c r="G40" s="220" t="s">
        <v>168</v>
      </c>
      <c r="H40" s="395"/>
      <c r="I40" s="195"/>
      <c r="J40" s="196"/>
      <c r="K40" s="196"/>
      <c r="L40" s="196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</row>
    <row r="41" spans="1:32" ht="27" x14ac:dyDescent="0.25">
      <c r="A41" s="170" t="s">
        <v>164</v>
      </c>
      <c r="B41" s="157" t="s">
        <v>165</v>
      </c>
      <c r="C41" s="171" t="s">
        <v>27</v>
      </c>
      <c r="D41" s="281">
        <f>11</f>
        <v>11</v>
      </c>
      <c r="E41" s="249"/>
      <c r="F41" s="252">
        <f t="shared" si="4"/>
        <v>0</v>
      </c>
      <c r="G41" s="212" t="s">
        <v>168</v>
      </c>
      <c r="H41" s="405"/>
      <c r="I41" s="53"/>
      <c r="J41" s="53"/>
      <c r="K41" s="53"/>
      <c r="L41" s="53"/>
      <c r="M41" s="53"/>
      <c r="N41" s="53"/>
      <c r="O41" s="53"/>
    </row>
    <row r="42" spans="1:32" ht="27" x14ac:dyDescent="0.25">
      <c r="A42" s="170" t="s">
        <v>222</v>
      </c>
      <c r="B42" s="157" t="s">
        <v>223</v>
      </c>
      <c r="C42" s="171" t="s">
        <v>27</v>
      </c>
      <c r="D42" s="281">
        <v>5</v>
      </c>
      <c r="E42" s="249"/>
      <c r="F42" s="338">
        <f>ROUND(E42*D42,2)</f>
        <v>0</v>
      </c>
      <c r="G42" s="212" t="s">
        <v>168</v>
      </c>
      <c r="H42" s="405"/>
      <c r="I42" s="53"/>
      <c r="J42" s="53"/>
      <c r="K42" s="53"/>
      <c r="L42" s="53"/>
      <c r="M42" s="53"/>
      <c r="N42" s="53"/>
      <c r="O42" s="53"/>
    </row>
    <row r="43" spans="1:32" s="146" customFormat="1" ht="54" customHeight="1" x14ac:dyDescent="0.25">
      <c r="A43" s="326" t="s">
        <v>16</v>
      </c>
      <c r="B43" s="151" t="s">
        <v>81</v>
      </c>
      <c r="C43" s="166" t="s">
        <v>17</v>
      </c>
      <c r="D43" s="276">
        <f>1.2*D37</f>
        <v>19.2</v>
      </c>
      <c r="E43" s="339"/>
      <c r="F43" s="337">
        <f t="shared" si="4"/>
        <v>0</v>
      </c>
      <c r="G43" s="214"/>
      <c r="H43" s="408"/>
      <c r="I43" s="132"/>
      <c r="J43" s="132"/>
      <c r="K43" s="132"/>
      <c r="L43" s="132"/>
      <c r="M43" s="132"/>
      <c r="N43" s="132"/>
      <c r="O43" s="132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</row>
    <row r="44" spans="1:32" ht="27" x14ac:dyDescent="0.25">
      <c r="A44" s="170" t="s">
        <v>170</v>
      </c>
      <c r="B44" s="157" t="s">
        <v>171</v>
      </c>
      <c r="C44" s="330" t="s">
        <v>7</v>
      </c>
      <c r="D44" s="332">
        <f>D37</f>
        <v>16</v>
      </c>
      <c r="E44" s="249"/>
      <c r="F44" s="252">
        <f t="shared" si="4"/>
        <v>0</v>
      </c>
      <c r="G44" s="212" t="s">
        <v>168</v>
      </c>
      <c r="H44" s="405"/>
      <c r="I44" s="53"/>
      <c r="J44" s="53"/>
      <c r="K44" s="53"/>
      <c r="L44" s="53"/>
      <c r="M44" s="53"/>
      <c r="N44" s="53"/>
      <c r="O44" s="53"/>
    </row>
    <row r="45" spans="1:32" s="20" customFormat="1" x14ac:dyDescent="0.25">
      <c r="A45" s="170" t="s">
        <v>215</v>
      </c>
      <c r="B45" s="157" t="s">
        <v>216</v>
      </c>
      <c r="C45" s="330" t="s">
        <v>7</v>
      </c>
      <c r="D45" s="332">
        <v>11</v>
      </c>
      <c r="E45" s="249"/>
      <c r="F45" s="252">
        <f t="shared" si="4"/>
        <v>0</v>
      </c>
      <c r="G45" s="212" t="s">
        <v>168</v>
      </c>
      <c r="H45" s="405"/>
      <c r="I45" s="198"/>
      <c r="J45" s="198"/>
      <c r="K45" s="198"/>
      <c r="L45" s="198"/>
      <c r="M45" s="198"/>
      <c r="N45" s="198"/>
      <c r="O45" s="198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</row>
    <row r="46" spans="1:32" s="146" customFormat="1" x14ac:dyDescent="0.25">
      <c r="A46" s="328" t="s">
        <v>217</v>
      </c>
      <c r="B46" s="161" t="s">
        <v>219</v>
      </c>
      <c r="C46" s="340" t="s">
        <v>27</v>
      </c>
      <c r="D46" s="278">
        <f>D41*3</f>
        <v>33</v>
      </c>
      <c r="E46" s="329"/>
      <c r="F46" s="342">
        <f>ROUND(E46*D46,2)</f>
        <v>0</v>
      </c>
      <c r="G46" s="222" t="s">
        <v>168</v>
      </c>
      <c r="H46" s="408"/>
      <c r="I46" s="132"/>
      <c r="J46" s="132"/>
      <c r="K46" s="132"/>
      <c r="L46" s="132"/>
      <c r="M46" s="132"/>
      <c r="N46" s="132"/>
      <c r="O46" s="132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</row>
    <row r="47" spans="1:32" s="146" customFormat="1" x14ac:dyDescent="0.25">
      <c r="A47" s="328" t="s">
        <v>220</v>
      </c>
      <c r="B47" s="161" t="s">
        <v>221</v>
      </c>
      <c r="C47" s="340" t="s">
        <v>27</v>
      </c>
      <c r="D47" s="278">
        <f>D41*6</f>
        <v>66</v>
      </c>
      <c r="E47" s="329"/>
      <c r="F47" s="342">
        <f>ROUND(E47*D47,2)</f>
        <v>0</v>
      </c>
      <c r="G47" s="214"/>
      <c r="H47" s="408"/>
      <c r="I47" s="132"/>
      <c r="J47" s="132"/>
      <c r="K47" s="132"/>
      <c r="L47" s="132"/>
      <c r="M47" s="132"/>
      <c r="N47" s="132"/>
      <c r="O47" s="132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</row>
    <row r="48" spans="1:32" s="146" customFormat="1" x14ac:dyDescent="0.25">
      <c r="A48" s="178" t="s">
        <v>16</v>
      </c>
      <c r="B48" s="151" t="s">
        <v>26</v>
      </c>
      <c r="C48" s="166" t="s">
        <v>7</v>
      </c>
      <c r="D48" s="343">
        <f>(D41+D45)*1.5</f>
        <v>33</v>
      </c>
      <c r="E48" s="246"/>
      <c r="F48" s="337">
        <f>D48*E48</f>
        <v>0</v>
      </c>
      <c r="G48" s="214"/>
      <c r="H48" s="408"/>
      <c r="I48" s="132"/>
      <c r="J48" s="132"/>
      <c r="K48" s="132"/>
      <c r="L48" s="132"/>
      <c r="M48" s="132"/>
      <c r="N48" s="132"/>
      <c r="O48" s="132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</row>
    <row r="49" spans="1:32" s="20" customFormat="1" x14ac:dyDescent="0.25">
      <c r="A49" s="170" t="s">
        <v>224</v>
      </c>
      <c r="B49" s="157" t="s">
        <v>225</v>
      </c>
      <c r="C49" s="171" t="s">
        <v>27</v>
      </c>
      <c r="D49" s="277">
        <f>D42</f>
        <v>5</v>
      </c>
      <c r="E49" s="249"/>
      <c r="F49" s="338">
        <f>ROUND(E49*D49,2)</f>
        <v>0</v>
      </c>
      <c r="G49" s="212" t="s">
        <v>168</v>
      </c>
      <c r="H49" s="405"/>
      <c r="I49" s="198"/>
      <c r="J49" s="198"/>
      <c r="K49" s="198"/>
      <c r="L49" s="198"/>
      <c r="M49" s="198"/>
      <c r="N49" s="198"/>
      <c r="O49" s="198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</row>
    <row r="50" spans="1:32" s="146" customFormat="1" x14ac:dyDescent="0.25">
      <c r="A50" s="328" t="s">
        <v>217</v>
      </c>
      <c r="B50" s="161" t="s">
        <v>218</v>
      </c>
      <c r="C50" s="340" t="s">
        <v>27</v>
      </c>
      <c r="D50" s="278">
        <f>D49</f>
        <v>5</v>
      </c>
      <c r="E50" s="329"/>
      <c r="F50" s="342">
        <f>ROUND(E50*D50,2)</f>
        <v>0</v>
      </c>
      <c r="G50" s="222" t="s">
        <v>168</v>
      </c>
      <c r="H50" s="408"/>
      <c r="I50" s="132"/>
      <c r="J50" s="132"/>
      <c r="K50" s="132"/>
      <c r="L50" s="132"/>
      <c r="M50" s="132"/>
      <c r="N50" s="132"/>
      <c r="O50" s="132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</row>
    <row r="51" spans="1:32" ht="27" x14ac:dyDescent="0.25">
      <c r="A51" s="64" t="s">
        <v>8</v>
      </c>
      <c r="B51" s="148" t="s">
        <v>29</v>
      </c>
      <c r="C51" s="330" t="s">
        <v>7</v>
      </c>
      <c r="D51" s="332">
        <f>D37</f>
        <v>16</v>
      </c>
      <c r="E51" s="243"/>
      <c r="F51" s="252">
        <f t="shared" si="4"/>
        <v>0</v>
      </c>
      <c r="G51" s="223"/>
      <c r="H51" s="405"/>
      <c r="I51" s="53"/>
      <c r="J51" s="53"/>
      <c r="K51" s="53"/>
      <c r="L51" s="53"/>
      <c r="M51" s="53"/>
      <c r="N51" s="53"/>
      <c r="O51" s="53"/>
    </row>
    <row r="52" spans="1:32" x14ac:dyDescent="0.25">
      <c r="A52" s="170" t="s">
        <v>172</v>
      </c>
      <c r="B52" s="157" t="s">
        <v>173</v>
      </c>
      <c r="C52" s="330" t="s">
        <v>27</v>
      </c>
      <c r="D52" s="332">
        <f>D37</f>
        <v>16</v>
      </c>
      <c r="E52" s="249"/>
      <c r="F52" s="252">
        <f t="shared" si="4"/>
        <v>0</v>
      </c>
      <c r="G52" s="212" t="s">
        <v>168</v>
      </c>
      <c r="H52" s="409"/>
      <c r="I52" s="53"/>
      <c r="J52" s="53"/>
      <c r="K52" s="53"/>
      <c r="L52" s="53"/>
      <c r="M52" s="53"/>
      <c r="N52" s="53"/>
      <c r="O52" s="53"/>
    </row>
    <row r="53" spans="1:32" ht="40.5" x14ac:dyDescent="0.25">
      <c r="A53" s="170" t="s">
        <v>191</v>
      </c>
      <c r="B53" s="111" t="s">
        <v>226</v>
      </c>
      <c r="C53" s="38" t="s">
        <v>17</v>
      </c>
      <c r="D53" s="159">
        <f>D37*100*0.001*10</f>
        <v>16</v>
      </c>
      <c r="E53" s="249"/>
      <c r="F53" s="252">
        <f t="shared" si="4"/>
        <v>0</v>
      </c>
      <c r="G53" s="212" t="s">
        <v>168</v>
      </c>
      <c r="H53" s="403"/>
      <c r="I53" s="53"/>
      <c r="J53" s="53"/>
      <c r="K53" s="53"/>
      <c r="L53" s="53"/>
      <c r="M53" s="53"/>
      <c r="N53" s="53"/>
      <c r="O53" s="53"/>
      <c r="P53" s="53"/>
      <c r="Q53" s="53"/>
      <c r="R53" s="53"/>
    </row>
    <row r="54" spans="1:32" s="7" customFormat="1" ht="27" x14ac:dyDescent="0.25">
      <c r="A54" s="170" t="s">
        <v>194</v>
      </c>
      <c r="B54" s="157" t="s">
        <v>195</v>
      </c>
      <c r="C54" s="65" t="s">
        <v>6</v>
      </c>
      <c r="D54" s="159">
        <f>D37*1.5</f>
        <v>24</v>
      </c>
      <c r="E54" s="249"/>
      <c r="F54" s="344">
        <f t="shared" ref="F54:F60" si="5">D54*E54</f>
        <v>0</v>
      </c>
      <c r="G54" s="212" t="s">
        <v>168</v>
      </c>
      <c r="H54" s="400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</row>
    <row r="55" spans="1:32" s="143" customFormat="1" x14ac:dyDescent="0.25">
      <c r="A55" s="178" t="s">
        <v>16</v>
      </c>
      <c r="B55" s="151" t="s">
        <v>227</v>
      </c>
      <c r="C55" s="178" t="s">
        <v>17</v>
      </c>
      <c r="D55" s="275">
        <f>0.2*D37</f>
        <v>3.2</v>
      </c>
      <c r="E55" s="245"/>
      <c r="F55" s="345">
        <f>SUM(E55*D55)</f>
        <v>0</v>
      </c>
      <c r="G55" s="224"/>
      <c r="H55" s="410"/>
      <c r="I55" s="132" t="s">
        <v>72</v>
      </c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</row>
    <row r="56" spans="1:32" x14ac:dyDescent="0.25">
      <c r="A56" s="64" t="s">
        <v>174</v>
      </c>
      <c r="B56" s="37" t="s">
        <v>28</v>
      </c>
      <c r="C56" s="65" t="s">
        <v>20</v>
      </c>
      <c r="D56" s="159">
        <v>1</v>
      </c>
      <c r="E56" s="243"/>
      <c r="F56" s="252">
        <f t="shared" ref="F56" si="6">D56*E56</f>
        <v>0</v>
      </c>
      <c r="G56" s="223"/>
      <c r="H56" s="204"/>
      <c r="I56" s="187"/>
      <c r="J56" s="200"/>
      <c r="K56" s="174"/>
      <c r="L56" s="201"/>
      <c r="M56" s="53"/>
      <c r="N56" s="53"/>
      <c r="O56" s="53"/>
    </row>
    <row r="57" spans="1:32" x14ac:dyDescent="0.25">
      <c r="A57" s="170" t="s">
        <v>174</v>
      </c>
      <c r="B57" s="157" t="s">
        <v>267</v>
      </c>
      <c r="C57" s="171" t="s">
        <v>100</v>
      </c>
      <c r="D57" s="159">
        <v>25</v>
      </c>
      <c r="E57" s="249"/>
      <c r="F57" s="252">
        <f t="shared" si="5"/>
        <v>0</v>
      </c>
      <c r="G57" s="212" t="s">
        <v>168</v>
      </c>
      <c r="H57" s="403"/>
      <c r="I57" s="183"/>
      <c r="J57" s="53"/>
      <c r="K57" s="53"/>
      <c r="L57" s="53"/>
      <c r="M57" s="53"/>
    </row>
    <row r="58" spans="1:32" s="146" customFormat="1" x14ac:dyDescent="0.25">
      <c r="A58" s="326" t="s">
        <v>16</v>
      </c>
      <c r="B58" s="151" t="s">
        <v>144</v>
      </c>
      <c r="C58" s="166" t="s">
        <v>7</v>
      </c>
      <c r="D58" s="276">
        <v>5</v>
      </c>
      <c r="E58" s="246"/>
      <c r="F58" s="337">
        <f t="shared" si="5"/>
        <v>0</v>
      </c>
      <c r="G58" s="214"/>
      <c r="H58" s="411"/>
      <c r="I58" s="132"/>
      <c r="J58" s="132"/>
      <c r="K58" s="132"/>
      <c r="L58" s="132"/>
      <c r="M58" s="132"/>
      <c r="N58" s="132"/>
      <c r="O58" s="132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</row>
    <row r="59" spans="1:32" s="146" customFormat="1" x14ac:dyDescent="0.25">
      <c r="A59" s="326" t="s">
        <v>16</v>
      </c>
      <c r="B59" s="151" t="s">
        <v>96</v>
      </c>
      <c r="C59" s="166" t="s">
        <v>7</v>
      </c>
      <c r="D59" s="276">
        <v>2</v>
      </c>
      <c r="E59" s="246"/>
      <c r="F59" s="337">
        <f t="shared" si="5"/>
        <v>0</v>
      </c>
      <c r="G59" s="214"/>
      <c r="H59" s="411"/>
      <c r="I59" s="132"/>
      <c r="J59" s="132"/>
      <c r="K59" s="132"/>
      <c r="L59" s="132"/>
      <c r="M59" s="132"/>
      <c r="N59" s="132"/>
      <c r="O59" s="132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</row>
    <row r="60" spans="1:32" s="146" customFormat="1" x14ac:dyDescent="0.25">
      <c r="A60" s="326" t="s">
        <v>16</v>
      </c>
      <c r="B60" s="151" t="s">
        <v>145</v>
      </c>
      <c r="C60" s="166" t="s">
        <v>7</v>
      </c>
      <c r="D60" s="276">
        <v>1</v>
      </c>
      <c r="E60" s="246"/>
      <c r="F60" s="337">
        <f t="shared" si="5"/>
        <v>0</v>
      </c>
      <c r="G60" s="214"/>
      <c r="H60" s="411"/>
      <c r="I60" s="132"/>
      <c r="J60" s="132"/>
      <c r="K60" s="132"/>
      <c r="L60" s="132"/>
      <c r="M60" s="132"/>
      <c r="N60" s="132"/>
      <c r="O60" s="132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</row>
    <row r="61" spans="1:32" s="146" customFormat="1" x14ac:dyDescent="0.25">
      <c r="A61" s="126" t="s">
        <v>16</v>
      </c>
      <c r="B61" s="327" t="s">
        <v>146</v>
      </c>
      <c r="C61" s="166" t="s">
        <v>7</v>
      </c>
      <c r="D61" s="276">
        <v>3</v>
      </c>
      <c r="E61" s="246"/>
      <c r="F61" s="337">
        <f t="shared" ref="F61:F64" si="7">D61*E61</f>
        <v>0</v>
      </c>
      <c r="G61" s="224"/>
      <c r="H61" s="411"/>
      <c r="I61" s="202"/>
      <c r="J61" s="132"/>
      <c r="K61" s="132"/>
      <c r="L61" s="132"/>
      <c r="M61" s="132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</row>
    <row r="62" spans="1:32" s="146" customFormat="1" x14ac:dyDescent="0.25">
      <c r="A62" s="326" t="s">
        <v>16</v>
      </c>
      <c r="B62" s="151" t="s">
        <v>147</v>
      </c>
      <c r="C62" s="166" t="s">
        <v>7</v>
      </c>
      <c r="D62" s="276">
        <v>3</v>
      </c>
      <c r="E62" s="246"/>
      <c r="F62" s="337">
        <f t="shared" si="7"/>
        <v>0</v>
      </c>
      <c r="G62" s="214"/>
      <c r="H62" s="411"/>
      <c r="I62" s="132"/>
      <c r="J62" s="132"/>
      <c r="K62" s="132"/>
      <c r="L62" s="132"/>
      <c r="M62" s="132"/>
      <c r="N62" s="132"/>
      <c r="O62" s="132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</row>
    <row r="63" spans="1:32" s="146" customFormat="1" x14ac:dyDescent="0.25">
      <c r="A63" s="326" t="s">
        <v>16</v>
      </c>
      <c r="B63" s="151" t="s">
        <v>148</v>
      </c>
      <c r="C63" s="166" t="s">
        <v>7</v>
      </c>
      <c r="D63" s="276">
        <v>1</v>
      </c>
      <c r="E63" s="246"/>
      <c r="F63" s="337">
        <f t="shared" si="7"/>
        <v>0</v>
      </c>
      <c r="G63" s="214"/>
      <c r="H63" s="408"/>
      <c r="I63" s="132"/>
      <c r="J63" s="132"/>
      <c r="K63" s="132"/>
      <c r="L63" s="132"/>
      <c r="M63" s="132"/>
      <c r="N63" s="132"/>
      <c r="O63" s="132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</row>
    <row r="64" spans="1:32" s="146" customFormat="1" x14ac:dyDescent="0.25">
      <c r="A64" s="326" t="s">
        <v>16</v>
      </c>
      <c r="B64" s="151" t="s">
        <v>149</v>
      </c>
      <c r="C64" s="166" t="s">
        <v>7</v>
      </c>
      <c r="D64" s="276">
        <v>1</v>
      </c>
      <c r="E64" s="246"/>
      <c r="F64" s="337">
        <f t="shared" si="7"/>
        <v>0</v>
      </c>
      <c r="G64" s="214"/>
      <c r="H64" s="404"/>
      <c r="I64" s="132"/>
      <c r="J64" s="132"/>
      <c r="K64" s="132"/>
      <c r="L64" s="132"/>
      <c r="M64" s="132"/>
      <c r="N64" s="132"/>
      <c r="O64" s="132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</row>
    <row r="65" spans="1:32" s="296" customFormat="1" ht="24.95" customHeight="1" x14ac:dyDescent="0.2">
      <c r="A65" s="304" t="s">
        <v>59</v>
      </c>
      <c r="B65" s="319"/>
      <c r="C65" s="167"/>
      <c r="D65" s="320">
        <v>12</v>
      </c>
      <c r="E65" s="321"/>
      <c r="F65" s="324">
        <f>SUM(F66:F90)</f>
        <v>0</v>
      </c>
      <c r="G65" s="323"/>
      <c r="H65" s="301"/>
      <c r="I65" s="298"/>
      <c r="J65" s="298"/>
      <c r="K65" s="300"/>
      <c r="L65" s="298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</row>
    <row r="66" spans="1:32" s="19" customFormat="1" ht="56.25" customHeight="1" x14ac:dyDescent="0.25">
      <c r="A66" s="170" t="s">
        <v>175</v>
      </c>
      <c r="B66" s="157" t="s">
        <v>176</v>
      </c>
      <c r="C66" s="65" t="s">
        <v>7</v>
      </c>
      <c r="D66" s="159">
        <f>D65</f>
        <v>12</v>
      </c>
      <c r="E66" s="249"/>
      <c r="F66" s="346">
        <f>SUM(E66*D66)</f>
        <v>0</v>
      </c>
      <c r="G66" s="212" t="s">
        <v>168</v>
      </c>
      <c r="H66" s="405"/>
      <c r="I66" s="54"/>
      <c r="J66" s="54"/>
      <c r="K66" s="54"/>
      <c r="L66" s="54"/>
      <c r="M66" s="54"/>
      <c r="N66" s="54"/>
      <c r="O66" s="54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</row>
    <row r="67" spans="1:32" ht="28.5" customHeight="1" x14ac:dyDescent="0.25">
      <c r="A67" s="170" t="s">
        <v>166</v>
      </c>
      <c r="B67" s="157" t="s">
        <v>167</v>
      </c>
      <c r="C67" s="333" t="s">
        <v>7</v>
      </c>
      <c r="D67" s="334">
        <f>D65*7</f>
        <v>84</v>
      </c>
      <c r="E67" s="331"/>
      <c r="F67" s="252">
        <f t="shared" ref="F67:F82" si="8">D67*E67</f>
        <v>0</v>
      </c>
      <c r="G67" s="221"/>
      <c r="H67" s="406"/>
      <c r="I67" s="162"/>
      <c r="J67" s="53"/>
      <c r="K67" s="194"/>
      <c r="L67" s="53"/>
      <c r="M67" s="53"/>
      <c r="N67" s="53"/>
      <c r="O67" s="53"/>
    </row>
    <row r="68" spans="1:32" s="150" customFormat="1" ht="54" x14ac:dyDescent="0.25">
      <c r="A68" s="164">
        <v>2511111101</v>
      </c>
      <c r="B68" s="165" t="s">
        <v>228</v>
      </c>
      <c r="C68" s="164" t="s">
        <v>7</v>
      </c>
      <c r="D68" s="347">
        <f>D65*7</f>
        <v>84</v>
      </c>
      <c r="E68" s="336"/>
      <c r="F68" s="337">
        <f t="shared" si="8"/>
        <v>0</v>
      </c>
      <c r="G68" s="222" t="s">
        <v>168</v>
      </c>
      <c r="H68" s="395"/>
      <c r="I68" s="195"/>
      <c r="J68" s="196"/>
      <c r="K68" s="196"/>
      <c r="L68" s="196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</row>
    <row r="69" spans="1:32" x14ac:dyDescent="0.25">
      <c r="A69" s="62" t="s">
        <v>11</v>
      </c>
      <c r="B69" s="44" t="s">
        <v>10</v>
      </c>
      <c r="C69" s="62" t="s">
        <v>12</v>
      </c>
      <c r="D69" s="274">
        <v>20</v>
      </c>
      <c r="E69" s="257"/>
      <c r="F69" s="344">
        <f t="shared" ref="F69:F71" si="9">SUM(E69*D69)</f>
        <v>0</v>
      </c>
      <c r="G69" s="212" t="s">
        <v>169</v>
      </c>
      <c r="H69" s="400"/>
      <c r="I69" s="53"/>
      <c r="J69" s="53"/>
      <c r="K69" s="53"/>
      <c r="L69" s="53"/>
    </row>
    <row r="70" spans="1:32" ht="27" x14ac:dyDescent="0.25">
      <c r="A70" s="62" t="s">
        <v>14</v>
      </c>
      <c r="B70" s="44" t="s">
        <v>13</v>
      </c>
      <c r="C70" s="62" t="s">
        <v>12</v>
      </c>
      <c r="D70" s="274">
        <v>20</v>
      </c>
      <c r="E70" s="257"/>
      <c r="F70" s="344">
        <f t="shared" si="9"/>
        <v>0</v>
      </c>
      <c r="G70" s="212" t="s">
        <v>169</v>
      </c>
      <c r="H70" s="400"/>
      <c r="I70" s="53"/>
      <c r="J70" s="53"/>
      <c r="K70" s="72"/>
      <c r="L70" s="53"/>
    </row>
    <row r="71" spans="1:32" s="146" customFormat="1" x14ac:dyDescent="0.25">
      <c r="A71" s="178" t="s">
        <v>16</v>
      </c>
      <c r="B71" s="151" t="s">
        <v>32</v>
      </c>
      <c r="C71" s="178" t="s">
        <v>12</v>
      </c>
      <c r="D71" s="275">
        <v>20</v>
      </c>
      <c r="E71" s="245"/>
      <c r="F71" s="345">
        <f t="shared" si="9"/>
        <v>0</v>
      </c>
      <c r="G71" s="224"/>
      <c r="H71" s="410"/>
      <c r="I71" s="132"/>
      <c r="J71" s="132"/>
      <c r="K71" s="132"/>
      <c r="L71" s="132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</row>
    <row r="72" spans="1:32" ht="27" x14ac:dyDescent="0.25">
      <c r="A72" s="170" t="s">
        <v>164</v>
      </c>
      <c r="B72" s="157" t="s">
        <v>165</v>
      </c>
      <c r="C72" s="330" t="s">
        <v>7</v>
      </c>
      <c r="D72" s="332">
        <f>D65</f>
        <v>12</v>
      </c>
      <c r="E72" s="249"/>
      <c r="F72" s="252">
        <f t="shared" si="8"/>
        <v>0</v>
      </c>
      <c r="G72" s="212" t="s">
        <v>168</v>
      </c>
      <c r="H72" s="405"/>
      <c r="I72" s="53"/>
      <c r="J72" s="53"/>
      <c r="K72" s="53"/>
      <c r="L72" s="53"/>
      <c r="M72" s="53"/>
      <c r="N72" s="53"/>
      <c r="O72" s="53"/>
    </row>
    <row r="73" spans="1:32" s="146" customFormat="1" ht="57" customHeight="1" x14ac:dyDescent="0.25">
      <c r="A73" s="326" t="s">
        <v>16</v>
      </c>
      <c r="B73" s="151" t="s">
        <v>150</v>
      </c>
      <c r="C73" s="166" t="s">
        <v>17</v>
      </c>
      <c r="D73" s="276">
        <f>1.2*D65</f>
        <v>14.399999999999999</v>
      </c>
      <c r="E73" s="339"/>
      <c r="F73" s="337">
        <f t="shared" si="8"/>
        <v>0</v>
      </c>
      <c r="G73" s="214"/>
      <c r="H73" s="408"/>
      <c r="I73" s="132"/>
      <c r="J73" s="132"/>
      <c r="K73" s="132"/>
      <c r="L73" s="132"/>
      <c r="M73" s="132"/>
      <c r="N73" s="132"/>
      <c r="O73" s="132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</row>
    <row r="74" spans="1:32" ht="27" x14ac:dyDescent="0.25">
      <c r="A74" s="170" t="s">
        <v>178</v>
      </c>
      <c r="B74" s="157" t="s">
        <v>179</v>
      </c>
      <c r="C74" s="330" t="s">
        <v>7</v>
      </c>
      <c r="D74" s="332">
        <f>D65</f>
        <v>12</v>
      </c>
      <c r="E74" s="249"/>
      <c r="F74" s="252">
        <f t="shared" si="8"/>
        <v>0</v>
      </c>
      <c r="G74" s="212" t="s">
        <v>168</v>
      </c>
      <c r="H74" s="405"/>
      <c r="I74" s="53"/>
      <c r="J74" s="53"/>
      <c r="K74" s="53"/>
      <c r="L74" s="53"/>
      <c r="M74" s="53"/>
      <c r="N74" s="53"/>
      <c r="O74" s="53"/>
    </row>
    <row r="75" spans="1:32" s="20" customFormat="1" x14ac:dyDescent="0.25">
      <c r="A75" s="170" t="s">
        <v>215</v>
      </c>
      <c r="B75" s="157" t="s">
        <v>216</v>
      </c>
      <c r="C75" s="330"/>
      <c r="D75" s="332"/>
      <c r="E75" s="249"/>
      <c r="F75" s="252"/>
      <c r="G75" s="212"/>
      <c r="H75" s="405"/>
      <c r="I75" s="198"/>
      <c r="J75" s="198"/>
      <c r="K75" s="198"/>
      <c r="L75" s="198"/>
      <c r="M75" s="198"/>
      <c r="N75" s="198"/>
      <c r="O75" s="198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</row>
    <row r="76" spans="1:32" s="146" customFormat="1" x14ac:dyDescent="0.25">
      <c r="A76" s="328" t="s">
        <v>217</v>
      </c>
      <c r="B76" s="161" t="s">
        <v>219</v>
      </c>
      <c r="C76" s="340" t="s">
        <v>27</v>
      </c>
      <c r="D76" s="278">
        <f>D75*3</f>
        <v>0</v>
      </c>
      <c r="E76" s="329"/>
      <c r="F76" s="342">
        <f>ROUND(E76*D76,2)</f>
        <v>0</v>
      </c>
      <c r="G76" s="222" t="s">
        <v>168</v>
      </c>
      <c r="H76" s="408"/>
      <c r="I76" s="132"/>
      <c r="J76" s="132"/>
      <c r="K76" s="132"/>
      <c r="L76" s="132"/>
      <c r="M76" s="132"/>
      <c r="N76" s="132"/>
      <c r="O76" s="132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</row>
    <row r="77" spans="1:32" s="146" customFormat="1" x14ac:dyDescent="0.25">
      <c r="A77" s="328" t="s">
        <v>220</v>
      </c>
      <c r="B77" s="161" t="s">
        <v>221</v>
      </c>
      <c r="C77" s="340" t="s">
        <v>27</v>
      </c>
      <c r="D77" s="278">
        <f>D74*6</f>
        <v>72</v>
      </c>
      <c r="E77" s="329"/>
      <c r="F77" s="342">
        <f>ROUND(E77*D77,2)</f>
        <v>0</v>
      </c>
      <c r="G77" s="214"/>
      <c r="H77" s="408"/>
      <c r="I77" s="132"/>
      <c r="J77" s="132"/>
      <c r="K77" s="132"/>
      <c r="L77" s="132"/>
      <c r="M77" s="132"/>
      <c r="N77" s="132"/>
      <c r="O77" s="132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</row>
    <row r="78" spans="1:32" s="146" customFormat="1" x14ac:dyDescent="0.25">
      <c r="A78" s="178" t="s">
        <v>16</v>
      </c>
      <c r="B78" s="151" t="s">
        <v>26</v>
      </c>
      <c r="C78" s="166" t="s">
        <v>7</v>
      </c>
      <c r="D78" s="343">
        <f>(D71+D75)*1.5</f>
        <v>30</v>
      </c>
      <c r="E78" s="246"/>
      <c r="F78" s="337">
        <f>D78*E78</f>
        <v>0</v>
      </c>
      <c r="G78" s="214"/>
      <c r="H78" s="408"/>
      <c r="I78" s="132"/>
      <c r="J78" s="132"/>
      <c r="K78" s="132"/>
      <c r="L78" s="132"/>
      <c r="M78" s="132"/>
      <c r="N78" s="132"/>
      <c r="O78" s="132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</row>
    <row r="79" spans="1:32" ht="27" x14ac:dyDescent="0.25">
      <c r="A79" s="64" t="s">
        <v>8</v>
      </c>
      <c r="B79" s="148" t="s">
        <v>29</v>
      </c>
      <c r="C79" s="330" t="s">
        <v>7</v>
      </c>
      <c r="D79" s="332">
        <f>D65</f>
        <v>12</v>
      </c>
      <c r="E79" s="243"/>
      <c r="F79" s="252">
        <f t="shared" si="8"/>
        <v>0</v>
      </c>
      <c r="G79" s="223"/>
      <c r="H79" s="405"/>
      <c r="I79" s="53"/>
      <c r="J79" s="53"/>
      <c r="K79" s="53"/>
      <c r="L79" s="53"/>
      <c r="M79" s="53"/>
      <c r="N79" s="53"/>
      <c r="O79" s="53"/>
    </row>
    <row r="80" spans="1:32" x14ac:dyDescent="0.25">
      <c r="A80" s="170" t="s">
        <v>172</v>
      </c>
      <c r="B80" s="157" t="s">
        <v>173</v>
      </c>
      <c r="C80" s="330" t="s">
        <v>27</v>
      </c>
      <c r="D80" s="332">
        <f>D65</f>
        <v>12</v>
      </c>
      <c r="E80" s="249"/>
      <c r="F80" s="252">
        <f t="shared" si="8"/>
        <v>0</v>
      </c>
      <c r="G80" s="212" t="s">
        <v>168</v>
      </c>
      <c r="H80" s="409"/>
      <c r="I80" s="53"/>
      <c r="J80" s="53"/>
      <c r="K80" s="53"/>
      <c r="L80" s="53"/>
      <c r="M80" s="53"/>
      <c r="N80" s="53"/>
      <c r="O80" s="53"/>
    </row>
    <row r="81" spans="1:32" ht="27" x14ac:dyDescent="0.25">
      <c r="A81" s="110">
        <v>185804312</v>
      </c>
      <c r="B81" s="111" t="s">
        <v>56</v>
      </c>
      <c r="C81" s="38" t="s">
        <v>17</v>
      </c>
      <c r="D81" s="159">
        <f>D65*100*0.001*10</f>
        <v>12</v>
      </c>
      <c r="E81" s="249"/>
      <c r="F81" s="252">
        <f t="shared" si="8"/>
        <v>0</v>
      </c>
      <c r="G81" s="212" t="s">
        <v>168</v>
      </c>
      <c r="H81" s="403"/>
      <c r="I81" s="53"/>
      <c r="J81" s="53"/>
      <c r="K81" s="53"/>
      <c r="L81" s="53"/>
      <c r="M81" s="53"/>
      <c r="N81" s="53"/>
      <c r="O81" s="53"/>
      <c r="P81" s="53"/>
      <c r="Q81" s="53"/>
      <c r="R81" s="53"/>
    </row>
    <row r="82" spans="1:32" s="28" customFormat="1" x14ac:dyDescent="0.25">
      <c r="A82" s="110" t="s">
        <v>48</v>
      </c>
      <c r="B82" s="111" t="s">
        <v>49</v>
      </c>
      <c r="C82" s="38" t="s">
        <v>17</v>
      </c>
      <c r="D82" s="159">
        <f>D81</f>
        <v>12</v>
      </c>
      <c r="E82" s="243"/>
      <c r="F82" s="252">
        <f t="shared" si="8"/>
        <v>0</v>
      </c>
      <c r="G82" s="225"/>
      <c r="H82" s="403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</row>
    <row r="83" spans="1:32" s="28" customFormat="1" ht="27" x14ac:dyDescent="0.25">
      <c r="A83" s="110" t="s">
        <v>53</v>
      </c>
      <c r="B83" s="111" t="s">
        <v>54</v>
      </c>
      <c r="C83" s="38" t="s">
        <v>17</v>
      </c>
      <c r="D83" s="159">
        <f>D82*4</f>
        <v>48</v>
      </c>
      <c r="E83" s="243"/>
      <c r="F83" s="252">
        <f>D83*E83</f>
        <v>0</v>
      </c>
      <c r="G83" s="225"/>
      <c r="H83" s="403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</row>
    <row r="84" spans="1:32" x14ac:dyDescent="0.25">
      <c r="A84" s="64" t="s">
        <v>174</v>
      </c>
      <c r="B84" s="37" t="s">
        <v>28</v>
      </c>
      <c r="C84" s="65" t="s">
        <v>20</v>
      </c>
      <c r="D84" s="159">
        <v>1</v>
      </c>
      <c r="E84" s="243"/>
      <c r="F84" s="252">
        <f t="shared" ref="F84:F90" si="10">D84*E84</f>
        <v>0</v>
      </c>
      <c r="G84" s="223"/>
      <c r="H84" s="204"/>
      <c r="I84" s="187"/>
      <c r="J84" s="200"/>
      <c r="K84" s="174"/>
      <c r="L84" s="201"/>
      <c r="M84" s="53"/>
      <c r="N84" s="53"/>
      <c r="O84" s="53"/>
    </row>
    <row r="85" spans="1:32" s="4" customFormat="1" x14ac:dyDescent="0.25">
      <c r="A85" s="64" t="s">
        <v>174</v>
      </c>
      <c r="B85" s="37" t="s">
        <v>68</v>
      </c>
      <c r="C85" s="65" t="s">
        <v>6</v>
      </c>
      <c r="D85" s="159">
        <v>0</v>
      </c>
      <c r="E85" s="243"/>
      <c r="F85" s="252">
        <f t="shared" si="10"/>
        <v>0</v>
      </c>
      <c r="G85" s="223"/>
      <c r="H85" s="204"/>
      <c r="I85" s="113"/>
      <c r="J85" s="114"/>
      <c r="K85" s="114"/>
      <c r="L85" s="205"/>
      <c r="M85" s="53"/>
      <c r="N85" s="53"/>
      <c r="O85" s="53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</row>
    <row r="86" spans="1:32" x14ac:dyDescent="0.25">
      <c r="A86" s="170" t="s">
        <v>174</v>
      </c>
      <c r="B86" s="157" t="s">
        <v>267</v>
      </c>
      <c r="C86" s="171" t="s">
        <v>100</v>
      </c>
      <c r="D86" s="159">
        <v>17</v>
      </c>
      <c r="E86" s="249"/>
      <c r="F86" s="252">
        <f t="shared" si="10"/>
        <v>0</v>
      </c>
      <c r="G86" s="212" t="s">
        <v>168</v>
      </c>
      <c r="H86" s="403"/>
      <c r="I86" s="183"/>
      <c r="J86" s="53"/>
      <c r="K86" s="53"/>
      <c r="L86" s="53"/>
      <c r="M86" s="53"/>
    </row>
    <row r="87" spans="1:32" s="146" customFormat="1" x14ac:dyDescent="0.25">
      <c r="A87" s="326" t="s">
        <v>16</v>
      </c>
      <c r="B87" s="151" t="s">
        <v>95</v>
      </c>
      <c r="C87" s="166" t="s">
        <v>7</v>
      </c>
      <c r="D87" s="276">
        <v>1</v>
      </c>
      <c r="E87" s="246"/>
      <c r="F87" s="337">
        <f t="shared" ref="F87:F88" si="11">D87*E87</f>
        <v>0</v>
      </c>
      <c r="G87" s="214"/>
      <c r="H87" s="411"/>
      <c r="I87" s="132"/>
      <c r="J87" s="132"/>
      <c r="K87" s="132"/>
      <c r="L87" s="132"/>
      <c r="M87" s="132"/>
      <c r="N87" s="132"/>
      <c r="O87" s="132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</row>
    <row r="88" spans="1:32" s="146" customFormat="1" x14ac:dyDescent="0.25">
      <c r="A88" s="326" t="s">
        <v>16</v>
      </c>
      <c r="B88" s="151" t="s">
        <v>70</v>
      </c>
      <c r="C88" s="166" t="s">
        <v>7</v>
      </c>
      <c r="D88" s="276">
        <v>5</v>
      </c>
      <c r="E88" s="246"/>
      <c r="F88" s="337">
        <f t="shared" si="11"/>
        <v>0</v>
      </c>
      <c r="G88" s="214"/>
      <c r="H88" s="411"/>
      <c r="I88" s="132"/>
      <c r="J88" s="132"/>
      <c r="K88" s="132"/>
      <c r="L88" s="132"/>
      <c r="M88" s="132"/>
      <c r="N88" s="132"/>
      <c r="O88" s="132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</row>
    <row r="89" spans="1:32" s="146" customFormat="1" x14ac:dyDescent="0.25">
      <c r="A89" s="326" t="s">
        <v>16</v>
      </c>
      <c r="B89" s="151" t="s">
        <v>69</v>
      </c>
      <c r="C89" s="166" t="s">
        <v>7</v>
      </c>
      <c r="D89" s="276">
        <v>3</v>
      </c>
      <c r="E89" s="246"/>
      <c r="F89" s="337">
        <f t="shared" si="10"/>
        <v>0</v>
      </c>
      <c r="G89" s="214"/>
      <c r="H89" s="411"/>
      <c r="I89" s="132"/>
      <c r="J89" s="132"/>
      <c r="K89" s="132"/>
      <c r="L89" s="132"/>
      <c r="M89" s="132"/>
      <c r="N89" s="132"/>
      <c r="O89" s="132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</row>
    <row r="90" spans="1:32" s="146" customFormat="1" x14ac:dyDescent="0.25">
      <c r="A90" s="326" t="s">
        <v>16</v>
      </c>
      <c r="B90" s="151" t="s">
        <v>94</v>
      </c>
      <c r="C90" s="166" t="s">
        <v>7</v>
      </c>
      <c r="D90" s="276">
        <v>3</v>
      </c>
      <c r="E90" s="246"/>
      <c r="F90" s="337">
        <f t="shared" si="10"/>
        <v>0</v>
      </c>
      <c r="G90" s="214"/>
      <c r="H90" s="411"/>
      <c r="I90" s="132"/>
      <c r="J90" s="132"/>
      <c r="K90" s="132"/>
      <c r="L90" s="132"/>
      <c r="M90" s="132"/>
      <c r="N90" s="132"/>
      <c r="O90" s="132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</row>
    <row r="91" spans="1:32" s="296" customFormat="1" ht="24.95" customHeight="1" x14ac:dyDescent="0.2">
      <c r="A91" s="304" t="s">
        <v>60</v>
      </c>
      <c r="B91" s="319"/>
      <c r="C91" s="167"/>
      <c r="D91" s="320">
        <v>3</v>
      </c>
      <c r="E91" s="321"/>
      <c r="F91" s="348">
        <f>SUM(F92:F106)</f>
        <v>0</v>
      </c>
      <c r="G91" s="323"/>
      <c r="H91" s="301"/>
      <c r="I91" s="298"/>
      <c r="J91" s="298"/>
      <c r="K91" s="300"/>
      <c r="L91" s="298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</row>
    <row r="92" spans="1:32" s="19" customFormat="1" ht="56.25" customHeight="1" x14ac:dyDescent="0.25">
      <c r="A92" s="170" t="s">
        <v>175</v>
      </c>
      <c r="B92" s="157" t="s">
        <v>176</v>
      </c>
      <c r="C92" s="65" t="s">
        <v>7</v>
      </c>
      <c r="D92" s="159">
        <f>D91</f>
        <v>3</v>
      </c>
      <c r="E92" s="249"/>
      <c r="F92" s="346">
        <f>SUM(E92*D92)</f>
        <v>0</v>
      </c>
      <c r="G92" s="212" t="s">
        <v>168</v>
      </c>
      <c r="H92" s="405"/>
      <c r="I92" s="54"/>
      <c r="J92" s="54"/>
      <c r="K92" s="54"/>
      <c r="L92" s="54"/>
      <c r="M92" s="54"/>
      <c r="N92" s="54"/>
      <c r="O92" s="54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</row>
    <row r="93" spans="1:32" ht="28.5" customHeight="1" x14ac:dyDescent="0.25">
      <c r="A93" s="170" t="s">
        <v>166</v>
      </c>
      <c r="B93" s="157" t="s">
        <v>167</v>
      </c>
      <c r="C93" s="333" t="s">
        <v>18</v>
      </c>
      <c r="D93" s="334">
        <f>D91*7</f>
        <v>21</v>
      </c>
      <c r="E93" s="331"/>
      <c r="F93" s="252">
        <f t="shared" ref="F93:F94" si="12">D93*E93</f>
        <v>0</v>
      </c>
      <c r="G93" s="212" t="s">
        <v>168</v>
      </c>
      <c r="H93" s="395"/>
      <c r="I93" s="162"/>
      <c r="J93" s="53"/>
      <c r="K93" s="194"/>
      <c r="L93" s="53"/>
      <c r="M93" s="53"/>
      <c r="N93" s="53"/>
      <c r="O93" s="53"/>
    </row>
    <row r="94" spans="1:32" s="150" customFormat="1" ht="54" x14ac:dyDescent="0.25">
      <c r="A94" s="164">
        <v>2511111101</v>
      </c>
      <c r="B94" s="165" t="s">
        <v>228</v>
      </c>
      <c r="C94" s="164" t="s">
        <v>7</v>
      </c>
      <c r="D94" s="347">
        <f>D91*7</f>
        <v>21</v>
      </c>
      <c r="E94" s="336"/>
      <c r="F94" s="337">
        <f t="shared" si="12"/>
        <v>0</v>
      </c>
      <c r="G94" s="226"/>
      <c r="H94" s="407"/>
      <c r="I94" s="195"/>
      <c r="J94" s="196"/>
      <c r="K94" s="196"/>
      <c r="L94" s="196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</row>
    <row r="95" spans="1:32" ht="27" x14ac:dyDescent="0.25">
      <c r="A95" s="170" t="s">
        <v>164</v>
      </c>
      <c r="B95" s="157" t="s">
        <v>165</v>
      </c>
      <c r="C95" s="330" t="s">
        <v>7</v>
      </c>
      <c r="D95" s="332">
        <f>D91</f>
        <v>3</v>
      </c>
      <c r="E95" s="349"/>
      <c r="F95" s="252">
        <f t="shared" ref="F95:F96" si="13">D95*E95</f>
        <v>0</v>
      </c>
      <c r="G95" s="212" t="s">
        <v>168</v>
      </c>
      <c r="H95" s="405"/>
      <c r="I95" s="53"/>
      <c r="J95" s="53"/>
      <c r="K95" s="53"/>
      <c r="L95" s="53"/>
      <c r="M95" s="53"/>
      <c r="N95" s="53"/>
      <c r="O95" s="53"/>
    </row>
    <row r="96" spans="1:32" s="146" customFormat="1" ht="69.599999999999994" customHeight="1" x14ac:dyDescent="0.25">
      <c r="A96" s="326" t="s">
        <v>16</v>
      </c>
      <c r="B96" s="151" t="s">
        <v>67</v>
      </c>
      <c r="C96" s="166" t="s">
        <v>17</v>
      </c>
      <c r="D96" s="276">
        <f>1.2*D91</f>
        <v>3.5999999999999996</v>
      </c>
      <c r="E96" s="339"/>
      <c r="F96" s="337">
        <f t="shared" si="13"/>
        <v>0</v>
      </c>
      <c r="G96" s="214"/>
      <c r="H96" s="408"/>
      <c r="I96" s="132"/>
      <c r="J96" s="132"/>
      <c r="K96" s="132"/>
      <c r="L96" s="132"/>
      <c r="M96" s="132"/>
      <c r="N96" s="132"/>
      <c r="O96" s="132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</row>
    <row r="97" spans="1:32" s="20" customFormat="1" ht="27" x14ac:dyDescent="0.25">
      <c r="A97" s="170" t="s">
        <v>180</v>
      </c>
      <c r="B97" s="157" t="s">
        <v>181</v>
      </c>
      <c r="C97" s="65" t="s">
        <v>7</v>
      </c>
      <c r="D97" s="159">
        <v>3</v>
      </c>
      <c r="E97" s="249"/>
      <c r="F97" s="344">
        <f>SUM(E97*D97)</f>
        <v>0</v>
      </c>
      <c r="G97" s="212" t="s">
        <v>168</v>
      </c>
      <c r="H97" s="405"/>
      <c r="I97" s="198"/>
      <c r="J97" s="198"/>
      <c r="K97" s="198"/>
      <c r="L97" s="198"/>
      <c r="M97" s="198"/>
      <c r="N97" s="198"/>
      <c r="O97" s="198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</row>
    <row r="98" spans="1:32" s="129" customFormat="1" x14ac:dyDescent="0.25">
      <c r="A98" s="164" t="s">
        <v>16</v>
      </c>
      <c r="B98" s="165" t="s">
        <v>88</v>
      </c>
      <c r="C98" s="166" t="s">
        <v>7</v>
      </c>
      <c r="D98" s="276">
        <f>D92</f>
        <v>3</v>
      </c>
      <c r="E98" s="246"/>
      <c r="F98" s="247">
        <f>SUM(E98*D98)</f>
        <v>0</v>
      </c>
      <c r="G98" s="214"/>
      <c r="H98" s="408"/>
      <c r="I98" s="132"/>
      <c r="J98" s="132"/>
      <c r="K98" s="132"/>
      <c r="L98" s="132"/>
      <c r="M98" s="132"/>
      <c r="N98" s="132"/>
      <c r="O98" s="132"/>
    </row>
    <row r="99" spans="1:32" ht="27" x14ac:dyDescent="0.25">
      <c r="A99" s="64" t="s">
        <v>174</v>
      </c>
      <c r="B99" s="148" t="s">
        <v>29</v>
      </c>
      <c r="C99" s="330" t="s">
        <v>7</v>
      </c>
      <c r="D99" s="332">
        <f>D91</f>
        <v>3</v>
      </c>
      <c r="E99" s="243"/>
      <c r="F99" s="252">
        <f t="shared" ref="F99:F102" si="14">D99*E99</f>
        <v>0</v>
      </c>
      <c r="G99" s="223"/>
      <c r="H99" s="405"/>
      <c r="I99" s="53"/>
      <c r="J99" s="53"/>
      <c r="K99" s="53"/>
      <c r="L99" s="53"/>
      <c r="M99" s="53"/>
      <c r="N99" s="53"/>
      <c r="O99" s="53"/>
    </row>
    <row r="100" spans="1:32" x14ac:dyDescent="0.25">
      <c r="A100" s="170" t="s">
        <v>172</v>
      </c>
      <c r="B100" s="157" t="s">
        <v>173</v>
      </c>
      <c r="C100" s="330" t="s">
        <v>27</v>
      </c>
      <c r="D100" s="332">
        <v>3</v>
      </c>
      <c r="E100" s="249"/>
      <c r="F100" s="252">
        <f t="shared" si="14"/>
        <v>0</v>
      </c>
      <c r="G100" s="212" t="s">
        <v>168</v>
      </c>
      <c r="H100" s="409"/>
      <c r="I100" s="53"/>
      <c r="J100" s="53"/>
      <c r="K100" s="53"/>
      <c r="L100" s="53"/>
      <c r="M100" s="53"/>
      <c r="N100" s="53"/>
      <c r="O100" s="53"/>
    </row>
    <row r="101" spans="1:32" ht="27" x14ac:dyDescent="0.25">
      <c r="A101" s="110">
        <v>185804312</v>
      </c>
      <c r="B101" s="111" t="s">
        <v>56</v>
      </c>
      <c r="C101" s="38" t="s">
        <v>17</v>
      </c>
      <c r="D101" s="159">
        <f>D91*0.1*10</f>
        <v>3.0000000000000004</v>
      </c>
      <c r="E101" s="249"/>
      <c r="F101" s="252">
        <f t="shared" si="14"/>
        <v>0</v>
      </c>
      <c r="G101" s="212" t="s">
        <v>168</v>
      </c>
      <c r="H101" s="403"/>
      <c r="I101" s="53"/>
      <c r="J101" s="53"/>
      <c r="K101" s="53"/>
      <c r="L101" s="53"/>
      <c r="M101" s="53"/>
      <c r="N101" s="53"/>
      <c r="O101" s="53"/>
      <c r="P101" s="53"/>
      <c r="Q101" s="53"/>
      <c r="R101" s="53"/>
    </row>
    <row r="102" spans="1:32" s="28" customFormat="1" x14ac:dyDescent="0.25">
      <c r="A102" s="110" t="s">
        <v>48</v>
      </c>
      <c r="B102" s="111" t="s">
        <v>49</v>
      </c>
      <c r="C102" s="38" t="s">
        <v>17</v>
      </c>
      <c r="D102" s="159">
        <f>D101</f>
        <v>3.0000000000000004</v>
      </c>
      <c r="E102" s="243"/>
      <c r="F102" s="252">
        <f t="shared" si="14"/>
        <v>0</v>
      </c>
      <c r="G102" s="212" t="s">
        <v>168</v>
      </c>
      <c r="H102" s="403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</row>
    <row r="103" spans="1:32" s="28" customFormat="1" ht="27" x14ac:dyDescent="0.25">
      <c r="A103" s="110" t="s">
        <v>53</v>
      </c>
      <c r="B103" s="111" t="s">
        <v>54</v>
      </c>
      <c r="C103" s="38" t="s">
        <v>17</v>
      </c>
      <c r="D103" s="159">
        <f>D102*4</f>
        <v>12.000000000000002</v>
      </c>
      <c r="E103" s="243"/>
      <c r="F103" s="252">
        <f>D103*E103</f>
        <v>0</v>
      </c>
      <c r="G103" s="212" t="s">
        <v>168</v>
      </c>
      <c r="H103" s="403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</row>
    <row r="104" spans="1:32" x14ac:dyDescent="0.25">
      <c r="A104" s="64" t="s">
        <v>174</v>
      </c>
      <c r="B104" s="37" t="s">
        <v>28</v>
      </c>
      <c r="C104" s="65" t="s">
        <v>20</v>
      </c>
      <c r="D104" s="159">
        <v>1</v>
      </c>
      <c r="E104" s="243"/>
      <c r="F104" s="252">
        <f t="shared" ref="F104:F106" si="15">D104*E104</f>
        <v>0</v>
      </c>
      <c r="G104" s="223"/>
      <c r="H104" s="204"/>
      <c r="I104" s="187"/>
      <c r="J104" s="200"/>
      <c r="K104" s="174"/>
      <c r="L104" s="201"/>
      <c r="M104" s="53"/>
      <c r="N104" s="53"/>
      <c r="O104" s="53"/>
    </row>
    <row r="105" spans="1:32" x14ac:dyDescent="0.25">
      <c r="A105" s="170" t="s">
        <v>174</v>
      </c>
      <c r="B105" s="157" t="s">
        <v>267</v>
      </c>
      <c r="C105" s="171" t="s">
        <v>100</v>
      </c>
      <c r="D105" s="159">
        <v>5</v>
      </c>
      <c r="E105" s="249"/>
      <c r="F105" s="252">
        <f t="shared" si="15"/>
        <v>0</v>
      </c>
      <c r="G105" s="212" t="s">
        <v>168</v>
      </c>
      <c r="H105" s="403"/>
      <c r="I105" s="183"/>
      <c r="J105" s="53"/>
      <c r="K105" s="53"/>
      <c r="L105" s="53"/>
      <c r="M105" s="53"/>
    </row>
    <row r="106" spans="1:32" s="146" customFormat="1" x14ac:dyDescent="0.25">
      <c r="A106" s="326" t="s">
        <v>16</v>
      </c>
      <c r="B106" s="151" t="s">
        <v>95</v>
      </c>
      <c r="C106" s="166" t="s">
        <v>7</v>
      </c>
      <c r="D106" s="276">
        <f>D91</f>
        <v>3</v>
      </c>
      <c r="E106" s="246"/>
      <c r="F106" s="337">
        <f t="shared" si="15"/>
        <v>0</v>
      </c>
      <c r="G106" s="214"/>
      <c r="H106" s="411"/>
      <c r="I106" s="132"/>
      <c r="J106" s="132"/>
      <c r="K106" s="132"/>
      <c r="L106" s="132"/>
      <c r="M106" s="132"/>
      <c r="N106" s="132"/>
      <c r="O106" s="132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</row>
    <row r="107" spans="1:32" s="296" customFormat="1" ht="24.95" customHeight="1" x14ac:dyDescent="0.2">
      <c r="A107" s="304" t="s">
        <v>61</v>
      </c>
      <c r="B107" s="319"/>
      <c r="C107" s="167"/>
      <c r="D107" s="320">
        <v>253</v>
      </c>
      <c r="E107" s="321"/>
      <c r="F107" s="348">
        <f>SUM(F108:F122)</f>
        <v>0</v>
      </c>
      <c r="G107" s="350"/>
      <c r="H107" s="301"/>
      <c r="I107" s="298"/>
      <c r="J107" s="298"/>
      <c r="K107" s="300"/>
      <c r="L107" s="298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</row>
    <row r="108" spans="1:32" s="33" customFormat="1" x14ac:dyDescent="0.25">
      <c r="A108" s="62" t="s">
        <v>174</v>
      </c>
      <c r="B108" s="37" t="s">
        <v>152</v>
      </c>
      <c r="C108" s="67" t="s">
        <v>20</v>
      </c>
      <c r="D108" s="277">
        <v>1</v>
      </c>
      <c r="E108" s="248"/>
      <c r="F108" s="241">
        <f>E108*D108</f>
        <v>0</v>
      </c>
      <c r="G108" s="227"/>
      <c r="H108" s="400"/>
      <c r="I108" s="56"/>
      <c r="J108" s="56"/>
      <c r="K108" s="57"/>
      <c r="L108" s="56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</row>
    <row r="109" spans="1:32" s="104" customFormat="1" ht="27" x14ac:dyDescent="0.25">
      <c r="A109" s="170" t="s">
        <v>203</v>
      </c>
      <c r="B109" s="157" t="s">
        <v>204</v>
      </c>
      <c r="C109" s="108" t="s">
        <v>17</v>
      </c>
      <c r="D109" s="159">
        <f>D107*0.2</f>
        <v>50.6</v>
      </c>
      <c r="E109" s="249"/>
      <c r="F109" s="241">
        <f t="shared" ref="F109" si="16">E109*D109</f>
        <v>0</v>
      </c>
      <c r="G109" s="212" t="s">
        <v>200</v>
      </c>
      <c r="H109" s="413"/>
      <c r="I109" s="173"/>
      <c r="J109" s="69"/>
      <c r="K109" s="174"/>
      <c r="L109" s="175"/>
      <c r="M109" s="175"/>
      <c r="N109" s="175"/>
      <c r="O109" s="163"/>
      <c r="P109" s="112"/>
      <c r="Q109" s="162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</row>
    <row r="110" spans="1:32" s="150" customFormat="1" ht="40.5" x14ac:dyDescent="0.25">
      <c r="A110" s="166" t="s">
        <v>16</v>
      </c>
      <c r="B110" s="120" t="s">
        <v>84</v>
      </c>
      <c r="C110" s="168" t="s">
        <v>17</v>
      </c>
      <c r="D110" s="278">
        <f>D107*0.22</f>
        <v>55.660000000000004</v>
      </c>
      <c r="E110" s="250"/>
      <c r="F110" s="251">
        <f>SUM(D110*E110)</f>
        <v>0</v>
      </c>
      <c r="G110" s="228"/>
      <c r="H110" s="414"/>
      <c r="I110" s="169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</row>
    <row r="111" spans="1:32" s="3" customFormat="1" x14ac:dyDescent="0.25">
      <c r="A111" s="64" t="s">
        <v>174</v>
      </c>
      <c r="B111" s="74" t="s">
        <v>65</v>
      </c>
      <c r="C111" s="38" t="s">
        <v>6</v>
      </c>
      <c r="D111" s="279">
        <f>D107</f>
        <v>253</v>
      </c>
      <c r="E111" s="248"/>
      <c r="F111" s="241">
        <f>SUM(E111*D111)</f>
        <v>0</v>
      </c>
      <c r="G111" s="216"/>
      <c r="H111" s="400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</row>
    <row r="112" spans="1:32" s="150" customFormat="1" ht="54" x14ac:dyDescent="0.25">
      <c r="A112" s="166" t="s">
        <v>16</v>
      </c>
      <c r="B112" s="120" t="s">
        <v>44</v>
      </c>
      <c r="C112" s="168" t="s">
        <v>17</v>
      </c>
      <c r="D112" s="278">
        <f>D107*0.12</f>
        <v>30.36</v>
      </c>
      <c r="E112" s="250"/>
      <c r="F112" s="251">
        <f>SUM(E112*D112)</f>
        <v>0</v>
      </c>
      <c r="G112" s="228"/>
      <c r="H112" s="414"/>
      <c r="I112" s="169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</row>
    <row r="113" spans="1:32" s="3" customFormat="1" x14ac:dyDescent="0.25">
      <c r="A113" s="64" t="s">
        <v>33</v>
      </c>
      <c r="B113" s="107" t="s">
        <v>66</v>
      </c>
      <c r="C113" s="108" t="s">
        <v>6</v>
      </c>
      <c r="D113" s="159">
        <f>D107</f>
        <v>253</v>
      </c>
      <c r="E113" s="253"/>
      <c r="F113" s="241">
        <f>E113*D113</f>
        <v>0</v>
      </c>
      <c r="G113" s="212" t="s">
        <v>169</v>
      </c>
      <c r="H113" s="413"/>
      <c r="I113" s="173"/>
      <c r="J113" s="187"/>
      <c r="K113" s="174"/>
      <c r="L113" s="175"/>
      <c r="M113" s="175"/>
      <c r="N113" s="175"/>
      <c r="O113" s="163"/>
      <c r="P113" s="112"/>
      <c r="Q113" s="162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</row>
    <row r="114" spans="1:32" s="7" customFormat="1" x14ac:dyDescent="0.25">
      <c r="A114" s="64" t="s">
        <v>36</v>
      </c>
      <c r="B114" s="107" t="s">
        <v>35</v>
      </c>
      <c r="C114" s="108" t="s">
        <v>6</v>
      </c>
      <c r="D114" s="159">
        <f>D107</f>
        <v>253</v>
      </c>
      <c r="E114" s="243"/>
      <c r="F114" s="241">
        <f t="shared" ref="F114:F122" si="17">D114*E114</f>
        <v>0</v>
      </c>
      <c r="G114" s="212" t="s">
        <v>169</v>
      </c>
      <c r="H114" s="204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</row>
    <row r="115" spans="1:32" s="7" customFormat="1" ht="27" x14ac:dyDescent="0.25">
      <c r="A115" s="64" t="s">
        <v>39</v>
      </c>
      <c r="B115" s="37" t="s">
        <v>38</v>
      </c>
      <c r="C115" s="38" t="s">
        <v>6</v>
      </c>
      <c r="D115" s="159">
        <f>D107</f>
        <v>253</v>
      </c>
      <c r="E115" s="243"/>
      <c r="F115" s="241">
        <f t="shared" si="17"/>
        <v>0</v>
      </c>
      <c r="G115" s="212" t="s">
        <v>169</v>
      </c>
      <c r="H115" s="204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</row>
    <row r="116" spans="1:32" s="143" customFormat="1" ht="234" x14ac:dyDescent="0.3">
      <c r="A116" s="126" t="s">
        <v>16</v>
      </c>
      <c r="B116" s="151" t="s">
        <v>231</v>
      </c>
      <c r="C116" s="126" t="s">
        <v>18</v>
      </c>
      <c r="D116" s="276">
        <f>D107*0.01</f>
        <v>2.5300000000000002</v>
      </c>
      <c r="E116" s="246"/>
      <c r="F116" s="251">
        <f t="shared" si="17"/>
        <v>0</v>
      </c>
      <c r="G116" s="128"/>
      <c r="H116" s="415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</row>
    <row r="117" spans="1:32" s="7" customFormat="1" x14ac:dyDescent="0.25">
      <c r="A117" s="64" t="s">
        <v>36</v>
      </c>
      <c r="B117" s="107" t="s">
        <v>35</v>
      </c>
      <c r="C117" s="108" t="s">
        <v>6</v>
      </c>
      <c r="D117" s="159">
        <f>D107</f>
        <v>253</v>
      </c>
      <c r="E117" s="243"/>
      <c r="F117" s="241">
        <f t="shared" si="17"/>
        <v>0</v>
      </c>
      <c r="G117" s="212" t="s">
        <v>169</v>
      </c>
      <c r="H117" s="204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</row>
    <row r="118" spans="1:32" ht="29.45" customHeight="1" x14ac:dyDescent="0.25">
      <c r="A118" s="110" t="s">
        <v>31</v>
      </c>
      <c r="B118" s="74" t="s">
        <v>57</v>
      </c>
      <c r="C118" s="38" t="s">
        <v>17</v>
      </c>
      <c r="D118" s="159">
        <f>D107*10*0.001*10</f>
        <v>25.300000000000004</v>
      </c>
      <c r="E118" s="243"/>
      <c r="F118" s="241">
        <f t="shared" si="17"/>
        <v>0</v>
      </c>
      <c r="G118" s="212" t="s">
        <v>168</v>
      </c>
      <c r="H118" s="204"/>
      <c r="I118" s="172"/>
      <c r="J118" s="53"/>
      <c r="K118" s="53"/>
      <c r="L118" s="53"/>
      <c r="M118" s="53"/>
    </row>
    <row r="119" spans="1:32" s="98" customFormat="1" x14ac:dyDescent="0.25">
      <c r="A119" s="170" t="s">
        <v>210</v>
      </c>
      <c r="B119" s="157" t="s">
        <v>211</v>
      </c>
      <c r="C119" s="62" t="s">
        <v>17</v>
      </c>
      <c r="D119" s="274">
        <f>D118</f>
        <v>25.300000000000004</v>
      </c>
      <c r="E119" s="249"/>
      <c r="F119" s="241">
        <f t="shared" ref="F119" si="18">E119*D119</f>
        <v>0</v>
      </c>
      <c r="G119" s="212" t="s">
        <v>168</v>
      </c>
      <c r="H119" s="416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</row>
    <row r="120" spans="1:32" s="3" customFormat="1" x14ac:dyDescent="0.25">
      <c r="A120" s="64" t="s">
        <v>37</v>
      </c>
      <c r="B120" s="37" t="s">
        <v>58</v>
      </c>
      <c r="C120" s="38" t="s">
        <v>6</v>
      </c>
      <c r="D120" s="159">
        <f>D107*3</f>
        <v>759</v>
      </c>
      <c r="E120" s="243"/>
      <c r="F120" s="241">
        <f t="shared" si="17"/>
        <v>0</v>
      </c>
      <c r="G120" s="212" t="s">
        <v>169</v>
      </c>
      <c r="H120" s="40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</row>
    <row r="121" spans="1:32" s="14" customFormat="1" ht="27.75" customHeight="1" x14ac:dyDescent="0.25">
      <c r="A121" s="65" t="s">
        <v>174</v>
      </c>
      <c r="B121" s="66" t="s">
        <v>19</v>
      </c>
      <c r="C121" s="67" t="s">
        <v>20</v>
      </c>
      <c r="D121" s="280">
        <v>1</v>
      </c>
      <c r="E121" s="248"/>
      <c r="F121" s="241">
        <f>SUM(E121*D121)</f>
        <v>0</v>
      </c>
      <c r="G121" s="229"/>
      <c r="H121" s="401"/>
      <c r="I121" s="68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</row>
    <row r="122" spans="1:32" x14ac:dyDescent="0.25">
      <c r="A122" s="170" t="s">
        <v>174</v>
      </c>
      <c r="B122" s="157" t="s">
        <v>267</v>
      </c>
      <c r="C122" s="171" t="s">
        <v>100</v>
      </c>
      <c r="D122" s="159">
        <f>D110+D112</f>
        <v>86.02000000000001</v>
      </c>
      <c r="E122" s="249"/>
      <c r="F122" s="252">
        <f t="shared" si="17"/>
        <v>0</v>
      </c>
      <c r="G122" s="212" t="s">
        <v>168</v>
      </c>
      <c r="H122" s="403"/>
      <c r="I122" s="183"/>
      <c r="J122" s="53"/>
      <c r="K122" s="53"/>
      <c r="L122" s="53"/>
      <c r="M122" s="53"/>
    </row>
    <row r="123" spans="1:32" s="296" customFormat="1" ht="24.95" customHeight="1" x14ac:dyDescent="0.2">
      <c r="A123" s="304" t="s">
        <v>154</v>
      </c>
      <c r="B123" s="319"/>
      <c r="C123" s="167"/>
      <c r="D123" s="320">
        <v>865</v>
      </c>
      <c r="E123" s="321"/>
      <c r="F123" s="324">
        <f>SUM(F124:F138)</f>
        <v>0</v>
      </c>
      <c r="G123" s="350"/>
      <c r="H123" s="301"/>
      <c r="I123" s="298"/>
      <c r="J123" s="298"/>
      <c r="K123" s="300"/>
      <c r="L123" s="298"/>
      <c r="M123" s="298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</row>
    <row r="124" spans="1:32" s="53" customFormat="1" ht="40.5" x14ac:dyDescent="0.25">
      <c r="A124" s="170" t="s">
        <v>203</v>
      </c>
      <c r="B124" s="157" t="s">
        <v>265</v>
      </c>
      <c r="C124" s="108" t="s">
        <v>17</v>
      </c>
      <c r="D124" s="159">
        <f>(D123-325)*0.1</f>
        <v>54</v>
      </c>
      <c r="E124" s="249"/>
      <c r="F124" s="241">
        <f t="shared" ref="F124" si="19">E124*D124</f>
        <v>0</v>
      </c>
      <c r="G124" s="212" t="s">
        <v>200</v>
      </c>
      <c r="H124" s="413"/>
      <c r="I124" s="173"/>
      <c r="J124" s="69"/>
      <c r="K124" s="174"/>
      <c r="L124" s="175"/>
      <c r="M124" s="175"/>
      <c r="N124" s="175"/>
      <c r="O124" s="163"/>
      <c r="P124" s="112"/>
      <c r="Q124" s="162"/>
    </row>
    <row r="125" spans="1:32" s="150" customFormat="1" ht="54" x14ac:dyDescent="0.25">
      <c r="A125" s="166" t="s">
        <v>16</v>
      </c>
      <c r="B125" s="120" t="s">
        <v>266</v>
      </c>
      <c r="C125" s="168" t="s">
        <v>17</v>
      </c>
      <c r="D125" s="278">
        <f>D124</f>
        <v>54</v>
      </c>
      <c r="E125" s="250"/>
      <c r="F125" s="251">
        <f>SUM(D125*E125)</f>
        <v>0</v>
      </c>
      <c r="G125" s="228"/>
      <c r="H125" s="403"/>
      <c r="I125" s="169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</row>
    <row r="126" spans="1:32" s="36" customFormat="1" ht="15" customHeight="1" x14ac:dyDescent="0.25">
      <c r="A126" s="62" t="s">
        <v>174</v>
      </c>
      <c r="B126" s="37" t="s">
        <v>270</v>
      </c>
      <c r="C126" s="65" t="s">
        <v>17</v>
      </c>
      <c r="D126" s="274">
        <f>D123*0.05</f>
        <v>43.25</v>
      </c>
      <c r="E126" s="243"/>
      <c r="F126" s="241">
        <f>E126*D126</f>
        <v>0</v>
      </c>
      <c r="G126" s="216"/>
      <c r="H126" s="400"/>
      <c r="I126" s="53"/>
      <c r="J126" s="53"/>
      <c r="K126" s="72"/>
      <c r="L126" s="53"/>
      <c r="M126" s="53"/>
    </row>
    <row r="127" spans="1:32" s="129" customFormat="1" ht="40.5" x14ac:dyDescent="0.25">
      <c r="A127" s="126" t="s">
        <v>16</v>
      </c>
      <c r="B127" s="151" t="s">
        <v>340</v>
      </c>
      <c r="C127" s="126" t="s">
        <v>17</v>
      </c>
      <c r="D127" s="276">
        <f>D123*0.05</f>
        <v>43.25</v>
      </c>
      <c r="E127" s="246"/>
      <c r="F127" s="251">
        <f>E127*D127</f>
        <v>0</v>
      </c>
      <c r="G127" s="224"/>
      <c r="H127" s="410"/>
      <c r="I127" s="132"/>
      <c r="J127" s="177"/>
      <c r="K127" s="132"/>
      <c r="L127" s="132"/>
      <c r="M127" s="132"/>
    </row>
    <row r="128" spans="1:32" s="36" customFormat="1" x14ac:dyDescent="0.25">
      <c r="A128" s="62" t="s">
        <v>174</v>
      </c>
      <c r="B128" s="37" t="s">
        <v>19</v>
      </c>
      <c r="C128" s="65" t="s">
        <v>20</v>
      </c>
      <c r="D128" s="274">
        <v>1</v>
      </c>
      <c r="E128" s="243"/>
      <c r="F128" s="241">
        <f>E128*D128</f>
        <v>0</v>
      </c>
      <c r="G128" s="216"/>
      <c r="H128" s="400"/>
      <c r="I128" s="53"/>
      <c r="J128" s="53"/>
      <c r="K128" s="72"/>
      <c r="L128" s="53"/>
      <c r="M128" s="53"/>
    </row>
    <row r="129" spans="1:32" s="71" customFormat="1" ht="27" x14ac:dyDescent="0.25">
      <c r="A129" s="65" t="s">
        <v>174</v>
      </c>
      <c r="B129" s="66" t="s">
        <v>269</v>
      </c>
      <c r="C129" s="67" t="s">
        <v>6</v>
      </c>
      <c r="D129" s="280">
        <v>325</v>
      </c>
      <c r="E129" s="248"/>
      <c r="F129" s="241">
        <f>E129*D129</f>
        <v>0</v>
      </c>
      <c r="G129" s="229"/>
      <c r="H129" s="401"/>
      <c r="I129" s="68"/>
      <c r="J129" s="69"/>
      <c r="K129" s="70"/>
      <c r="L129" s="70"/>
      <c r="M129" s="70"/>
    </row>
    <row r="130" spans="1:32" s="3" customFormat="1" x14ac:dyDescent="0.25">
      <c r="A130" s="64" t="s">
        <v>33</v>
      </c>
      <c r="B130" s="107" t="s">
        <v>34</v>
      </c>
      <c r="C130" s="108" t="s">
        <v>6</v>
      </c>
      <c r="D130" s="159">
        <f>D123*2</f>
        <v>1730</v>
      </c>
      <c r="E130" s="253"/>
      <c r="F130" s="241">
        <f>E130*D130</f>
        <v>0</v>
      </c>
      <c r="G130" s="212" t="s">
        <v>169</v>
      </c>
      <c r="H130" s="413"/>
      <c r="I130" s="173"/>
      <c r="J130" s="187"/>
      <c r="K130" s="174"/>
      <c r="L130" s="175"/>
      <c r="M130" s="175"/>
      <c r="N130" s="175"/>
      <c r="O130" s="163"/>
      <c r="P130" s="112"/>
      <c r="Q130" s="162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</row>
    <row r="131" spans="1:32" s="7" customFormat="1" ht="27" x14ac:dyDescent="0.25">
      <c r="A131" s="170" t="s">
        <v>201</v>
      </c>
      <c r="B131" s="157" t="s">
        <v>202</v>
      </c>
      <c r="C131" s="38" t="s">
        <v>6</v>
      </c>
      <c r="D131" s="159">
        <f>D120</f>
        <v>759</v>
      </c>
      <c r="E131" s="249"/>
      <c r="F131" s="241">
        <f t="shared" ref="F131" si="20">D131*E131</f>
        <v>0</v>
      </c>
      <c r="G131" s="212" t="s">
        <v>200</v>
      </c>
      <c r="H131" s="204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</row>
    <row r="132" spans="1:32" s="129" customFormat="1" ht="37.5" x14ac:dyDescent="0.3">
      <c r="A132" s="126" t="s">
        <v>16</v>
      </c>
      <c r="B132" s="151" t="s">
        <v>232</v>
      </c>
      <c r="C132" s="126" t="s">
        <v>18</v>
      </c>
      <c r="D132" s="276">
        <f>D123*0.03</f>
        <v>25.95</v>
      </c>
      <c r="E132" s="246"/>
      <c r="F132" s="251">
        <f t="shared" ref="F132:F138" si="21">D132*E132</f>
        <v>0</v>
      </c>
      <c r="G132" s="224"/>
      <c r="H132" s="410"/>
      <c r="I132" s="132"/>
      <c r="J132" s="177"/>
      <c r="K132" s="132"/>
      <c r="L132" s="132"/>
      <c r="M132" s="132"/>
    </row>
    <row r="133" spans="1:32" s="3" customFormat="1" x14ac:dyDescent="0.25">
      <c r="A133" s="64" t="s">
        <v>33</v>
      </c>
      <c r="B133" s="107" t="s">
        <v>155</v>
      </c>
      <c r="C133" s="108" t="s">
        <v>6</v>
      </c>
      <c r="D133" s="159">
        <f>D123</f>
        <v>865</v>
      </c>
      <c r="E133" s="253"/>
      <c r="F133" s="241">
        <f>E133*D133</f>
        <v>0</v>
      </c>
      <c r="G133" s="212" t="s">
        <v>169</v>
      </c>
      <c r="H133" s="413"/>
      <c r="I133" s="173"/>
      <c r="J133" s="187"/>
      <c r="K133" s="174"/>
      <c r="L133" s="175"/>
      <c r="M133" s="175"/>
      <c r="N133" s="175"/>
      <c r="O133" s="163"/>
      <c r="P133" s="112"/>
      <c r="Q133" s="162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</row>
    <row r="134" spans="1:32" s="53" customFormat="1" x14ac:dyDescent="0.25">
      <c r="A134" s="64" t="s">
        <v>36</v>
      </c>
      <c r="B134" s="107" t="s">
        <v>89</v>
      </c>
      <c r="C134" s="108" t="s">
        <v>6</v>
      </c>
      <c r="D134" s="159">
        <f>D123*2</f>
        <v>1730</v>
      </c>
      <c r="E134" s="243"/>
      <c r="F134" s="241">
        <f t="shared" ref="F134" si="22">D134*E134</f>
        <v>0</v>
      </c>
      <c r="G134" s="212" t="s">
        <v>169</v>
      </c>
      <c r="H134" s="204"/>
    </row>
    <row r="135" spans="1:32" s="36" customFormat="1" ht="29.45" customHeight="1" x14ac:dyDescent="0.25">
      <c r="A135" s="170" t="s">
        <v>205</v>
      </c>
      <c r="B135" s="74" t="s">
        <v>57</v>
      </c>
      <c r="C135" s="38" t="s">
        <v>17</v>
      </c>
      <c r="D135" s="159">
        <f>D123*10*0.001*10</f>
        <v>86.5</v>
      </c>
      <c r="E135" s="249"/>
      <c r="F135" s="241">
        <f t="shared" si="21"/>
        <v>0</v>
      </c>
      <c r="G135" s="212" t="s">
        <v>168</v>
      </c>
      <c r="H135" s="204"/>
      <c r="I135" s="172"/>
      <c r="J135" s="53"/>
      <c r="K135" s="53"/>
      <c r="L135" s="53"/>
      <c r="M135" s="53"/>
    </row>
    <row r="136" spans="1:32" s="98" customFormat="1" x14ac:dyDescent="0.25">
      <c r="A136" s="170" t="s">
        <v>210</v>
      </c>
      <c r="B136" s="157" t="s">
        <v>211</v>
      </c>
      <c r="C136" s="62" t="s">
        <v>17</v>
      </c>
      <c r="D136" s="274">
        <f>D135</f>
        <v>86.5</v>
      </c>
      <c r="E136" s="249"/>
      <c r="F136" s="241">
        <f t="shared" ref="F136" si="23">E136*D136</f>
        <v>0</v>
      </c>
      <c r="G136" s="212" t="s">
        <v>168</v>
      </c>
      <c r="H136" s="416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</row>
    <row r="137" spans="1:32" s="53" customFormat="1" x14ac:dyDescent="0.25">
      <c r="A137" s="64" t="s">
        <v>37</v>
      </c>
      <c r="B137" s="37" t="s">
        <v>58</v>
      </c>
      <c r="C137" s="38" t="s">
        <v>6</v>
      </c>
      <c r="D137" s="159">
        <f>D123*3</f>
        <v>2595</v>
      </c>
      <c r="E137" s="243"/>
      <c r="F137" s="241">
        <f t="shared" si="21"/>
        <v>0</v>
      </c>
      <c r="G137" s="212" t="s">
        <v>169</v>
      </c>
      <c r="H137" s="204"/>
    </row>
    <row r="138" spans="1:32" x14ac:dyDescent="0.25">
      <c r="A138" s="170" t="s">
        <v>174</v>
      </c>
      <c r="B138" s="157" t="s">
        <v>267</v>
      </c>
      <c r="C138" s="171" t="s">
        <v>100</v>
      </c>
      <c r="D138" s="159">
        <f>D125+D127</f>
        <v>97.25</v>
      </c>
      <c r="E138" s="249"/>
      <c r="F138" s="252">
        <f t="shared" si="21"/>
        <v>0</v>
      </c>
      <c r="G138" s="212" t="s">
        <v>168</v>
      </c>
      <c r="H138" s="403"/>
      <c r="I138" s="183"/>
      <c r="J138" s="53"/>
      <c r="K138" s="53"/>
      <c r="L138" s="53"/>
      <c r="M138" s="53"/>
    </row>
    <row r="139" spans="1:32" s="296" customFormat="1" ht="24.95" customHeight="1" x14ac:dyDescent="0.2">
      <c r="A139" s="304" t="s">
        <v>153</v>
      </c>
      <c r="B139" s="319"/>
      <c r="C139" s="167"/>
      <c r="D139" s="320">
        <v>270</v>
      </c>
      <c r="E139" s="321"/>
      <c r="F139" s="324">
        <f>SUM(F140:F159)</f>
        <v>0</v>
      </c>
      <c r="G139" s="350"/>
      <c r="H139" s="301"/>
      <c r="I139" s="298"/>
      <c r="J139" s="298"/>
      <c r="K139" s="300"/>
      <c r="L139" s="298"/>
      <c r="M139" s="298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</row>
    <row r="140" spans="1:32" s="71" customFormat="1" x14ac:dyDescent="0.25">
      <c r="A140" s="65" t="s">
        <v>174</v>
      </c>
      <c r="B140" s="66" t="s">
        <v>268</v>
      </c>
      <c r="C140" s="67" t="s">
        <v>6</v>
      </c>
      <c r="D140" s="280">
        <f>D139</f>
        <v>270</v>
      </c>
      <c r="E140" s="248"/>
      <c r="F140" s="241">
        <f t="shared" ref="F140" si="24">E140*D140</f>
        <v>0</v>
      </c>
      <c r="G140" s="229"/>
      <c r="H140" s="401"/>
      <c r="I140" s="68"/>
      <c r="J140" s="69"/>
      <c r="K140" s="70"/>
      <c r="L140" s="70"/>
      <c r="M140" s="70"/>
    </row>
    <row r="141" spans="1:32" s="3" customFormat="1" ht="27" x14ac:dyDescent="0.25">
      <c r="A141" s="64" t="s">
        <v>174</v>
      </c>
      <c r="B141" s="107" t="s">
        <v>157</v>
      </c>
      <c r="C141" s="108" t="s">
        <v>17</v>
      </c>
      <c r="D141" s="159">
        <f>D140*0.06</f>
        <v>16.2</v>
      </c>
      <c r="E141" s="253"/>
      <c r="F141" s="241">
        <f>E141*D141</f>
        <v>0</v>
      </c>
      <c r="G141" s="216"/>
      <c r="H141" s="413"/>
      <c r="I141" s="173"/>
      <c r="J141" s="69"/>
      <c r="K141" s="174"/>
      <c r="L141" s="175"/>
      <c r="M141" s="175"/>
      <c r="N141" s="175"/>
      <c r="O141" s="163"/>
      <c r="P141" s="112"/>
      <c r="Q141" s="162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</row>
    <row r="142" spans="1:32" s="98" customFormat="1" x14ac:dyDescent="0.25">
      <c r="A142" s="351" t="s">
        <v>16</v>
      </c>
      <c r="B142" s="352" t="s">
        <v>156</v>
      </c>
      <c r="C142" s="353" t="s">
        <v>17</v>
      </c>
      <c r="D142" s="272">
        <f>D141</f>
        <v>16.2</v>
      </c>
      <c r="E142" s="354"/>
      <c r="F142" s="255">
        <f t="shared" ref="F142" si="25">E142*D142</f>
        <v>0</v>
      </c>
      <c r="G142" s="230"/>
      <c r="H142" s="413"/>
      <c r="I142" s="121"/>
      <c r="J142" s="206"/>
      <c r="K142" s="207"/>
      <c r="L142" s="122"/>
      <c r="M142" s="122"/>
      <c r="N142" s="122"/>
      <c r="O142" s="123"/>
      <c r="P142" s="124"/>
      <c r="Q142" s="125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</row>
    <row r="143" spans="1:32" x14ac:dyDescent="0.25">
      <c r="A143" s="62" t="s">
        <v>174</v>
      </c>
      <c r="B143" s="37" t="s">
        <v>55</v>
      </c>
      <c r="C143" s="65" t="s">
        <v>20</v>
      </c>
      <c r="D143" s="274">
        <v>1</v>
      </c>
      <c r="E143" s="243"/>
      <c r="F143" s="241">
        <f>E143*D143</f>
        <v>0</v>
      </c>
      <c r="G143" s="216"/>
      <c r="H143" s="400"/>
      <c r="I143" s="53"/>
      <c r="J143" s="53"/>
      <c r="K143" s="72"/>
      <c r="L143" s="53"/>
      <c r="M143" s="53"/>
    </row>
    <row r="144" spans="1:32" s="3" customFormat="1" x14ac:dyDescent="0.25">
      <c r="A144" s="64" t="s">
        <v>33</v>
      </c>
      <c r="B144" s="107" t="s">
        <v>34</v>
      </c>
      <c r="C144" s="108" t="s">
        <v>6</v>
      </c>
      <c r="D144" s="159">
        <f>D139*2</f>
        <v>540</v>
      </c>
      <c r="E144" s="253"/>
      <c r="F144" s="241">
        <f>E144*D144</f>
        <v>0</v>
      </c>
      <c r="G144" s="212" t="s">
        <v>169</v>
      </c>
      <c r="H144" s="413"/>
      <c r="I144" s="173"/>
      <c r="J144" s="187"/>
      <c r="K144" s="174"/>
      <c r="L144" s="175"/>
      <c r="M144" s="175"/>
      <c r="N144" s="175"/>
      <c r="O144" s="163"/>
      <c r="P144" s="112"/>
      <c r="Q144" s="162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</row>
    <row r="145" spans="1:32" s="7" customFormat="1" ht="27" x14ac:dyDescent="0.25">
      <c r="A145" s="64" t="s">
        <v>39</v>
      </c>
      <c r="B145" s="37" t="s">
        <v>82</v>
      </c>
      <c r="C145" s="38" t="s">
        <v>6</v>
      </c>
      <c r="D145" s="159">
        <f>D139</f>
        <v>270</v>
      </c>
      <c r="E145" s="243"/>
      <c r="F145" s="241">
        <f t="shared" ref="F145:F153" si="26">D145*E145</f>
        <v>0</v>
      </c>
      <c r="G145" s="212" t="s">
        <v>169</v>
      </c>
      <c r="H145" s="204"/>
      <c r="I145" s="53"/>
      <c r="J145" s="69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</row>
    <row r="146" spans="1:32" s="101" customFormat="1" ht="49.5" x14ac:dyDescent="0.3">
      <c r="A146" s="105" t="s">
        <v>16</v>
      </c>
      <c r="B146" s="100" t="s">
        <v>151</v>
      </c>
      <c r="C146" s="105" t="s">
        <v>18</v>
      </c>
      <c r="D146" s="272">
        <f>D139*0.03</f>
        <v>8.1</v>
      </c>
      <c r="E146" s="254"/>
      <c r="F146" s="255">
        <f t="shared" si="26"/>
        <v>0</v>
      </c>
      <c r="G146" s="230"/>
      <c r="H146" s="400"/>
      <c r="I146" s="102"/>
      <c r="J146" s="106"/>
      <c r="K146" s="102"/>
      <c r="L146" s="102"/>
      <c r="M146" s="102"/>
    </row>
    <row r="147" spans="1:32" ht="27" customHeight="1" x14ac:dyDescent="0.25">
      <c r="A147" s="38" t="s">
        <v>174</v>
      </c>
      <c r="B147" s="74" t="s">
        <v>78</v>
      </c>
      <c r="C147" s="65" t="s">
        <v>17</v>
      </c>
      <c r="D147" s="159">
        <f>D139*0.05</f>
        <v>13.5</v>
      </c>
      <c r="E147" s="243"/>
      <c r="F147" s="241">
        <f t="shared" si="26"/>
        <v>0</v>
      </c>
      <c r="G147" s="216"/>
      <c r="H147" s="400"/>
      <c r="I147" s="53"/>
      <c r="J147" s="69"/>
      <c r="K147" s="53"/>
      <c r="L147" s="53"/>
      <c r="M147" s="53"/>
    </row>
    <row r="148" spans="1:32" s="7" customFormat="1" ht="27" x14ac:dyDescent="0.25">
      <c r="A148" s="64" t="s">
        <v>174</v>
      </c>
      <c r="B148" s="107" t="s">
        <v>83</v>
      </c>
      <c r="C148" s="108" t="s">
        <v>6</v>
      </c>
      <c r="D148" s="159">
        <f>D139</f>
        <v>270</v>
      </c>
      <c r="E148" s="243"/>
      <c r="F148" s="241">
        <f t="shared" si="26"/>
        <v>0</v>
      </c>
      <c r="G148" s="216"/>
      <c r="H148" s="204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</row>
    <row r="149" spans="1:32" s="3" customFormat="1" x14ac:dyDescent="0.25">
      <c r="A149" s="64" t="s">
        <v>33</v>
      </c>
      <c r="B149" s="107" t="s">
        <v>155</v>
      </c>
      <c r="C149" s="108" t="s">
        <v>6</v>
      </c>
      <c r="D149" s="159">
        <f>D139</f>
        <v>270</v>
      </c>
      <c r="E149" s="253"/>
      <c r="F149" s="241">
        <f>E149*D149</f>
        <v>0</v>
      </c>
      <c r="G149" s="212" t="s">
        <v>169</v>
      </c>
      <c r="H149" s="413"/>
      <c r="I149" s="173"/>
      <c r="J149" s="187"/>
      <c r="K149" s="174"/>
      <c r="L149" s="175"/>
      <c r="M149" s="175"/>
      <c r="N149" s="175"/>
      <c r="O149" s="163"/>
      <c r="P149" s="112"/>
      <c r="Q149" s="162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</row>
    <row r="150" spans="1:32" s="7" customFormat="1" x14ac:dyDescent="0.25">
      <c r="A150" s="64" t="s">
        <v>36</v>
      </c>
      <c r="B150" s="107" t="s">
        <v>89</v>
      </c>
      <c r="C150" s="108" t="s">
        <v>6</v>
      </c>
      <c r="D150" s="159">
        <f>D139*2</f>
        <v>540</v>
      </c>
      <c r="E150" s="243"/>
      <c r="F150" s="241">
        <f t="shared" si="26"/>
        <v>0</v>
      </c>
      <c r="G150" s="212" t="s">
        <v>169</v>
      </c>
      <c r="H150" s="204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</row>
    <row r="151" spans="1:32" ht="29.45" customHeight="1" x14ac:dyDescent="0.25">
      <c r="A151" s="170" t="s">
        <v>205</v>
      </c>
      <c r="B151" s="74" t="s">
        <v>57</v>
      </c>
      <c r="C151" s="38" t="s">
        <v>17</v>
      </c>
      <c r="D151" s="159">
        <f>D139*10*0.001*10</f>
        <v>27</v>
      </c>
      <c r="E151" s="249"/>
      <c r="F151" s="241">
        <f t="shared" si="26"/>
        <v>0</v>
      </c>
      <c r="G151" s="212" t="s">
        <v>168</v>
      </c>
      <c r="H151" s="204"/>
      <c r="I151" s="172"/>
      <c r="J151" s="53"/>
      <c r="K151" s="53"/>
      <c r="L151" s="53"/>
      <c r="M151" s="53"/>
    </row>
    <row r="152" spans="1:32" s="98" customFormat="1" x14ac:dyDescent="0.25">
      <c r="A152" s="170" t="s">
        <v>210</v>
      </c>
      <c r="B152" s="157" t="s">
        <v>211</v>
      </c>
      <c r="C152" s="62" t="s">
        <v>17</v>
      </c>
      <c r="D152" s="274">
        <f>D151</f>
        <v>27</v>
      </c>
      <c r="E152" s="249"/>
      <c r="F152" s="241">
        <f t="shared" ref="F152" si="27">E152*D152</f>
        <v>0</v>
      </c>
      <c r="G152" s="212" t="s">
        <v>168</v>
      </c>
      <c r="H152" s="416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</row>
    <row r="153" spans="1:32" s="3" customFormat="1" x14ac:dyDescent="0.25">
      <c r="A153" s="64" t="s">
        <v>37</v>
      </c>
      <c r="B153" s="37" t="s">
        <v>58</v>
      </c>
      <c r="C153" s="38" t="s">
        <v>6</v>
      </c>
      <c r="D153" s="159">
        <f>D139</f>
        <v>270</v>
      </c>
      <c r="E153" s="243"/>
      <c r="F153" s="241">
        <f t="shared" si="26"/>
        <v>0</v>
      </c>
      <c r="G153" s="212" t="s">
        <v>169</v>
      </c>
      <c r="H153" s="204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</row>
    <row r="154" spans="1:32" s="36" customFormat="1" ht="40.5" x14ac:dyDescent="0.25">
      <c r="A154" s="38" t="s">
        <v>174</v>
      </c>
      <c r="B154" s="37" t="s">
        <v>257</v>
      </c>
      <c r="C154" s="38" t="s">
        <v>6</v>
      </c>
      <c r="D154" s="159">
        <f>45*0.6</f>
        <v>27</v>
      </c>
      <c r="E154" s="243"/>
      <c r="F154" s="241">
        <f>E154*D154</f>
        <v>0</v>
      </c>
      <c r="G154" s="216"/>
      <c r="H154" s="204"/>
      <c r="I154" s="43"/>
      <c r="J154" s="179"/>
      <c r="K154" s="54"/>
      <c r="L154" s="53"/>
      <c r="M154" s="53"/>
    </row>
    <row r="155" spans="1:32" s="101" customFormat="1" x14ac:dyDescent="0.25">
      <c r="A155" s="105" t="s">
        <v>16</v>
      </c>
      <c r="B155" s="100" t="s">
        <v>160</v>
      </c>
      <c r="C155" s="105" t="s">
        <v>6</v>
      </c>
      <c r="D155" s="272">
        <f>D154</f>
        <v>27</v>
      </c>
      <c r="E155" s="254"/>
      <c r="F155" s="255">
        <f>E155*D155</f>
        <v>0</v>
      </c>
      <c r="G155" s="230"/>
      <c r="H155" s="204"/>
      <c r="I155" s="102"/>
      <c r="J155" s="106"/>
      <c r="K155" s="102"/>
      <c r="L155" s="102"/>
      <c r="M155" s="102"/>
    </row>
    <row r="156" spans="1:32" s="101" customFormat="1" x14ac:dyDescent="0.25">
      <c r="A156" s="105" t="s">
        <v>16</v>
      </c>
      <c r="B156" s="100" t="s">
        <v>159</v>
      </c>
      <c r="C156" s="105" t="s">
        <v>17</v>
      </c>
      <c r="D156" s="272">
        <f>45*0.1*0.8</f>
        <v>3.6</v>
      </c>
      <c r="E156" s="254"/>
      <c r="F156" s="255">
        <f>E156*D156</f>
        <v>0</v>
      </c>
      <c r="G156" s="230"/>
      <c r="H156" s="204"/>
      <c r="I156" s="102"/>
      <c r="J156" s="106"/>
      <c r="K156" s="102"/>
      <c r="L156" s="102"/>
      <c r="M156" s="102"/>
    </row>
    <row r="157" spans="1:32" s="101" customFormat="1" x14ac:dyDescent="0.25">
      <c r="A157" s="105" t="s">
        <v>16</v>
      </c>
      <c r="B157" s="100" t="s">
        <v>158</v>
      </c>
      <c r="C157" s="105" t="s">
        <v>17</v>
      </c>
      <c r="D157" s="272">
        <f>45*0.6*0.08</f>
        <v>2.16</v>
      </c>
      <c r="E157" s="254"/>
      <c r="F157" s="255">
        <f>E157*D157</f>
        <v>0</v>
      </c>
      <c r="G157" s="215"/>
      <c r="H157" s="204"/>
      <c r="I157" s="102"/>
      <c r="J157" s="106"/>
      <c r="K157" s="102"/>
      <c r="L157" s="102"/>
      <c r="M157" s="102"/>
    </row>
    <row r="158" spans="1:32" s="101" customFormat="1" x14ac:dyDescent="0.25">
      <c r="A158" s="181" t="s">
        <v>199</v>
      </c>
      <c r="B158" s="158" t="s">
        <v>198</v>
      </c>
      <c r="C158" s="105" t="s">
        <v>17</v>
      </c>
      <c r="D158" s="272">
        <f>45*0.6*0.2</f>
        <v>5.4</v>
      </c>
      <c r="E158" s="256"/>
      <c r="F158" s="255">
        <f>E158*D158</f>
        <v>0</v>
      </c>
      <c r="G158" s="215" t="s">
        <v>168</v>
      </c>
      <c r="H158" s="204"/>
      <c r="I158" s="102"/>
      <c r="J158" s="106"/>
      <c r="K158" s="102"/>
      <c r="L158" s="102"/>
      <c r="M158" s="102"/>
    </row>
    <row r="159" spans="1:32" x14ac:dyDescent="0.25">
      <c r="A159" s="170" t="s">
        <v>174</v>
      </c>
      <c r="B159" s="157" t="s">
        <v>267</v>
      </c>
      <c r="C159" s="171" t="s">
        <v>100</v>
      </c>
      <c r="D159" s="159">
        <f>D142+D147+1</f>
        <v>30.7</v>
      </c>
      <c r="E159" s="249"/>
      <c r="F159" s="252">
        <f t="shared" ref="F159" si="28">D159*E159</f>
        <v>0</v>
      </c>
      <c r="G159" s="212" t="s">
        <v>168</v>
      </c>
      <c r="H159" s="403"/>
      <c r="I159" s="183"/>
      <c r="J159" s="53"/>
      <c r="K159" s="53"/>
      <c r="L159" s="53"/>
      <c r="M159" s="53"/>
    </row>
    <row r="160" spans="1:32" s="296" customFormat="1" ht="24.95" customHeight="1" x14ac:dyDescent="0.2">
      <c r="A160" s="304" t="s">
        <v>62</v>
      </c>
      <c r="B160" s="319"/>
      <c r="C160" s="167"/>
      <c r="D160" s="320">
        <v>73</v>
      </c>
      <c r="E160" s="321"/>
      <c r="F160" s="324">
        <f>SUM(F161:F175)</f>
        <v>0</v>
      </c>
      <c r="G160" s="350"/>
      <c r="H160" s="301"/>
      <c r="I160" s="298"/>
      <c r="J160" s="298"/>
      <c r="K160" s="300"/>
      <c r="L160" s="298"/>
      <c r="M160" s="298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</row>
    <row r="161" spans="1:32" s="3" customFormat="1" x14ac:dyDescent="0.25">
      <c r="A161" s="64" t="s">
        <v>174</v>
      </c>
      <c r="B161" s="74" t="s">
        <v>74</v>
      </c>
      <c r="C161" s="355" t="s">
        <v>6</v>
      </c>
      <c r="D161" s="279">
        <f>D164*0.3</f>
        <v>21.9</v>
      </c>
      <c r="E161" s="248"/>
      <c r="F161" s="346">
        <f>SUM(E161*D161)</f>
        <v>0</v>
      </c>
      <c r="G161" s="216"/>
      <c r="H161" s="400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</row>
    <row r="162" spans="1:32" s="150" customFormat="1" ht="27" x14ac:dyDescent="0.25">
      <c r="A162" s="166" t="s">
        <v>16</v>
      </c>
      <c r="B162" s="120" t="s">
        <v>162</v>
      </c>
      <c r="C162" s="168" t="s">
        <v>17</v>
      </c>
      <c r="D162" s="356">
        <f>D161</f>
        <v>21.9</v>
      </c>
      <c r="E162" s="250"/>
      <c r="F162" s="247">
        <f>SUM(E162*D162)</f>
        <v>0</v>
      </c>
      <c r="G162" s="228"/>
      <c r="H162" s="414"/>
      <c r="I162" s="169"/>
      <c r="J162" s="196"/>
      <c r="K162" s="196"/>
      <c r="L162" s="196"/>
      <c r="M162" s="196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</row>
    <row r="163" spans="1:32" s="3" customFormat="1" x14ac:dyDescent="0.25">
      <c r="A163" s="170" t="s">
        <v>184</v>
      </c>
      <c r="B163" s="157" t="s">
        <v>342</v>
      </c>
      <c r="C163" s="108" t="s">
        <v>6</v>
      </c>
      <c r="D163" s="159">
        <f>D160*2</f>
        <v>146</v>
      </c>
      <c r="E163" s="249"/>
      <c r="F163" s="241">
        <f>E163*D163</f>
        <v>0</v>
      </c>
      <c r="G163" s="212" t="s">
        <v>168</v>
      </c>
      <c r="H163" s="413"/>
      <c r="I163" s="173"/>
      <c r="J163" s="187"/>
      <c r="K163" s="174"/>
      <c r="L163" s="175"/>
      <c r="M163" s="175"/>
      <c r="N163" s="175"/>
      <c r="O163" s="163"/>
      <c r="P163" s="112"/>
      <c r="Q163" s="162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</row>
    <row r="164" spans="1:32" s="3" customFormat="1" ht="27" x14ac:dyDescent="0.25">
      <c r="A164" s="170" t="s">
        <v>185</v>
      </c>
      <c r="B164" s="157" t="s">
        <v>186</v>
      </c>
      <c r="C164" s="62" t="s">
        <v>6</v>
      </c>
      <c r="D164" s="274">
        <v>73</v>
      </c>
      <c r="E164" s="249"/>
      <c r="F164" s="344">
        <f>SUM(E164*D164)</f>
        <v>0</v>
      </c>
      <c r="G164" s="212" t="s">
        <v>168</v>
      </c>
      <c r="H164" s="400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</row>
    <row r="165" spans="1:32" s="3" customFormat="1" ht="27" x14ac:dyDescent="0.25">
      <c r="A165" s="170" t="s">
        <v>187</v>
      </c>
      <c r="B165" s="157" t="s">
        <v>188</v>
      </c>
      <c r="C165" s="62" t="s">
        <v>7</v>
      </c>
      <c r="D165" s="274">
        <v>366</v>
      </c>
      <c r="E165" s="249"/>
      <c r="F165" s="241">
        <f t="shared" ref="F165:F170" si="29">E165*D165</f>
        <v>0</v>
      </c>
      <c r="G165" s="212" t="s">
        <v>168</v>
      </c>
      <c r="H165" s="400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</row>
    <row r="166" spans="1:32" s="3" customFormat="1" ht="27" x14ac:dyDescent="0.25">
      <c r="A166" s="170" t="s">
        <v>189</v>
      </c>
      <c r="B166" s="157" t="s">
        <v>190</v>
      </c>
      <c r="C166" s="62" t="s">
        <v>7</v>
      </c>
      <c r="D166" s="274">
        <f>D165</f>
        <v>366</v>
      </c>
      <c r="E166" s="249"/>
      <c r="F166" s="241">
        <f t="shared" si="29"/>
        <v>0</v>
      </c>
      <c r="G166" s="212" t="s">
        <v>168</v>
      </c>
      <c r="H166" s="400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</row>
    <row r="167" spans="1:32" s="143" customFormat="1" x14ac:dyDescent="0.25">
      <c r="A167" s="178" t="s">
        <v>16</v>
      </c>
      <c r="B167" s="151" t="s">
        <v>79</v>
      </c>
      <c r="C167" s="178" t="s">
        <v>7</v>
      </c>
      <c r="D167" s="275">
        <v>183</v>
      </c>
      <c r="E167" s="245"/>
      <c r="F167" s="251">
        <f t="shared" si="29"/>
        <v>0</v>
      </c>
      <c r="G167" s="224"/>
      <c r="H167" s="410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</row>
    <row r="168" spans="1:32" s="143" customFormat="1" x14ac:dyDescent="0.25">
      <c r="A168" s="178" t="s">
        <v>16</v>
      </c>
      <c r="B168" s="151" t="s">
        <v>77</v>
      </c>
      <c r="C168" s="178" t="s">
        <v>7</v>
      </c>
      <c r="D168" s="275">
        <v>183</v>
      </c>
      <c r="E168" s="245"/>
      <c r="F168" s="251">
        <f t="shared" si="29"/>
        <v>0</v>
      </c>
      <c r="G168" s="224"/>
      <c r="H168" s="410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</row>
    <row r="169" spans="1:32" s="3" customFormat="1" x14ac:dyDescent="0.25">
      <c r="A169" s="170" t="s">
        <v>191</v>
      </c>
      <c r="B169" s="157" t="s">
        <v>193</v>
      </c>
      <c r="C169" s="62" t="s">
        <v>17</v>
      </c>
      <c r="D169" s="274">
        <f>73*20*0.001*8</f>
        <v>11.68</v>
      </c>
      <c r="E169" s="249"/>
      <c r="F169" s="241">
        <f t="shared" si="29"/>
        <v>0</v>
      </c>
      <c r="G169" s="212" t="s">
        <v>168</v>
      </c>
      <c r="H169" s="416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</row>
    <row r="170" spans="1:32" s="98" customFormat="1" x14ac:dyDescent="0.25">
      <c r="A170" s="170" t="s">
        <v>210</v>
      </c>
      <c r="B170" s="157" t="s">
        <v>211</v>
      </c>
      <c r="C170" s="62" t="s">
        <v>17</v>
      </c>
      <c r="D170" s="274">
        <f>D169</f>
        <v>11.68</v>
      </c>
      <c r="E170" s="249"/>
      <c r="F170" s="241">
        <f t="shared" si="29"/>
        <v>0</v>
      </c>
      <c r="G170" s="212" t="s">
        <v>168</v>
      </c>
      <c r="H170" s="416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</row>
    <row r="171" spans="1:32" s="7" customFormat="1" ht="27" x14ac:dyDescent="0.25">
      <c r="A171" s="170" t="s">
        <v>194</v>
      </c>
      <c r="B171" s="157" t="s">
        <v>195</v>
      </c>
      <c r="C171" s="65" t="s">
        <v>6</v>
      </c>
      <c r="D171" s="159">
        <f>D164</f>
        <v>73</v>
      </c>
      <c r="E171" s="249"/>
      <c r="F171" s="344">
        <f t="shared" ref="F171" si="30">D171*E171</f>
        <v>0</v>
      </c>
      <c r="G171" s="212" t="s">
        <v>168</v>
      </c>
      <c r="H171" s="400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</row>
    <row r="172" spans="1:32" s="143" customFormat="1" ht="40.5" x14ac:dyDescent="0.25">
      <c r="A172" s="178" t="s">
        <v>16</v>
      </c>
      <c r="B172" s="151" t="s">
        <v>197</v>
      </c>
      <c r="C172" s="178" t="s">
        <v>17</v>
      </c>
      <c r="D172" s="275">
        <f>73*0.1</f>
        <v>7.3000000000000007</v>
      </c>
      <c r="E172" s="245"/>
      <c r="F172" s="345">
        <f>SUM(E172*D172)</f>
        <v>0</v>
      </c>
      <c r="G172" s="212"/>
      <c r="H172" s="410"/>
      <c r="I172" s="132" t="s">
        <v>72</v>
      </c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</row>
    <row r="173" spans="1:32" s="143" customFormat="1" x14ac:dyDescent="0.25">
      <c r="A173" s="178" t="s">
        <v>16</v>
      </c>
      <c r="B173" s="165" t="s">
        <v>73</v>
      </c>
      <c r="C173" s="178" t="s">
        <v>7</v>
      </c>
      <c r="D173" s="275">
        <f>D165</f>
        <v>366</v>
      </c>
      <c r="E173" s="245"/>
      <c r="F173" s="251">
        <f>E173*D173</f>
        <v>0</v>
      </c>
      <c r="G173" s="224"/>
      <c r="H173" s="410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</row>
    <row r="174" spans="1:32" s="3" customFormat="1" x14ac:dyDescent="0.25">
      <c r="A174" s="62" t="s">
        <v>174</v>
      </c>
      <c r="B174" s="44" t="s">
        <v>28</v>
      </c>
      <c r="C174" s="62" t="s">
        <v>20</v>
      </c>
      <c r="D174" s="274">
        <v>1</v>
      </c>
      <c r="E174" s="243"/>
      <c r="F174" s="344">
        <f>SUM(E174*D174)</f>
        <v>0</v>
      </c>
      <c r="G174" s="231"/>
      <c r="H174" s="416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</row>
    <row r="175" spans="1:32" x14ac:dyDescent="0.25">
      <c r="A175" s="170" t="s">
        <v>174</v>
      </c>
      <c r="B175" s="157" t="s">
        <v>267</v>
      </c>
      <c r="C175" s="171" t="s">
        <v>100</v>
      </c>
      <c r="D175" s="159">
        <f>D162+D172</f>
        <v>29.2</v>
      </c>
      <c r="E175" s="249"/>
      <c r="F175" s="252">
        <f t="shared" ref="F175" si="31">D175*E175</f>
        <v>0</v>
      </c>
      <c r="G175" s="212" t="s">
        <v>168</v>
      </c>
      <c r="H175" s="403"/>
      <c r="I175" s="183"/>
      <c r="J175" s="53"/>
      <c r="K175" s="53"/>
      <c r="L175" s="53"/>
      <c r="M175" s="53"/>
    </row>
    <row r="176" spans="1:32" s="296" customFormat="1" ht="24.95" customHeight="1" x14ac:dyDescent="0.2">
      <c r="A176" s="304" t="s">
        <v>63</v>
      </c>
      <c r="B176" s="319"/>
      <c r="C176" s="167"/>
      <c r="D176" s="320">
        <f>17+16+10</f>
        <v>43</v>
      </c>
      <c r="E176" s="321"/>
      <c r="F176" s="324">
        <f>SUM(F177:F190)</f>
        <v>0</v>
      </c>
      <c r="G176" s="350"/>
      <c r="H176" s="301"/>
      <c r="I176" s="298"/>
      <c r="J176" s="298"/>
      <c r="K176" s="300"/>
      <c r="L176" s="298"/>
      <c r="M176" s="298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</row>
    <row r="177" spans="1:32" s="3" customFormat="1" ht="27" x14ac:dyDescent="0.25">
      <c r="A177" s="170" t="s">
        <v>187</v>
      </c>
      <c r="B177" s="157" t="s">
        <v>188</v>
      </c>
      <c r="C177" s="62" t="s">
        <v>7</v>
      </c>
      <c r="D177" s="274">
        <f>D176</f>
        <v>43</v>
      </c>
      <c r="E177" s="249"/>
      <c r="F177" s="241">
        <f t="shared" ref="F177" si="32">E177*D177</f>
        <v>0</v>
      </c>
      <c r="G177" s="212" t="s">
        <v>168</v>
      </c>
      <c r="H177" s="400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</row>
    <row r="178" spans="1:32" s="3" customFormat="1" x14ac:dyDescent="0.25">
      <c r="A178" s="64" t="s">
        <v>174</v>
      </c>
      <c r="B178" s="74" t="s">
        <v>75</v>
      </c>
      <c r="C178" s="355" t="s">
        <v>6</v>
      </c>
      <c r="D178" s="279">
        <f>D176*0.5</f>
        <v>21.5</v>
      </c>
      <c r="E178" s="248"/>
      <c r="F178" s="346">
        <f>SUM(E178*D178)</f>
        <v>0</v>
      </c>
      <c r="G178" s="216"/>
      <c r="H178" s="400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</row>
    <row r="179" spans="1:32" s="150" customFormat="1" ht="27" x14ac:dyDescent="0.25">
      <c r="A179" s="166" t="s">
        <v>16</v>
      </c>
      <c r="B179" s="120" t="s">
        <v>161</v>
      </c>
      <c r="C179" s="168" t="s">
        <v>17</v>
      </c>
      <c r="D179" s="356">
        <f>D176*0.1</f>
        <v>4.3</v>
      </c>
      <c r="E179" s="250"/>
      <c r="F179" s="247">
        <f>SUM(E179*D179)</f>
        <v>0</v>
      </c>
      <c r="G179" s="228"/>
      <c r="H179" s="414"/>
      <c r="I179" s="169"/>
      <c r="J179" s="196"/>
      <c r="K179" s="196"/>
      <c r="L179" s="196"/>
      <c r="M179" s="196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</row>
    <row r="180" spans="1:32" s="3" customFormat="1" ht="27" x14ac:dyDescent="0.25">
      <c r="A180" s="170" t="s">
        <v>189</v>
      </c>
      <c r="B180" s="157" t="s">
        <v>190</v>
      </c>
      <c r="C180" s="62" t="s">
        <v>7</v>
      </c>
      <c r="D180" s="274">
        <f>D176</f>
        <v>43</v>
      </c>
      <c r="E180" s="249"/>
      <c r="F180" s="241">
        <f t="shared" ref="F180" si="33">E180*D180</f>
        <v>0</v>
      </c>
      <c r="G180" s="212" t="s">
        <v>168</v>
      </c>
      <c r="H180" s="400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</row>
    <row r="181" spans="1:32" s="143" customFormat="1" x14ac:dyDescent="0.25">
      <c r="A181" s="178" t="s">
        <v>16</v>
      </c>
      <c r="B181" s="151" t="s">
        <v>76</v>
      </c>
      <c r="C181" s="178" t="s">
        <v>7</v>
      </c>
      <c r="D181" s="275">
        <v>17</v>
      </c>
      <c r="E181" s="245"/>
      <c r="F181" s="251">
        <f t="shared" ref="F181:F185" si="34">E181*D181</f>
        <v>0</v>
      </c>
      <c r="G181" s="224"/>
      <c r="H181" s="410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</row>
    <row r="182" spans="1:32" s="143" customFormat="1" x14ac:dyDescent="0.25">
      <c r="A182" s="178" t="s">
        <v>16</v>
      </c>
      <c r="B182" s="151" t="s">
        <v>90</v>
      </c>
      <c r="C182" s="178" t="s">
        <v>7</v>
      </c>
      <c r="D182" s="275">
        <v>10</v>
      </c>
      <c r="E182" s="245"/>
      <c r="F182" s="251">
        <f t="shared" si="34"/>
        <v>0</v>
      </c>
      <c r="G182" s="224"/>
      <c r="H182" s="410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</row>
    <row r="183" spans="1:32" s="143" customFormat="1" x14ac:dyDescent="0.25">
      <c r="A183" s="178" t="s">
        <v>16</v>
      </c>
      <c r="B183" s="151" t="s">
        <v>91</v>
      </c>
      <c r="C183" s="178" t="s">
        <v>7</v>
      </c>
      <c r="D183" s="275">
        <v>16</v>
      </c>
      <c r="E183" s="245"/>
      <c r="F183" s="251">
        <f t="shared" si="34"/>
        <v>0</v>
      </c>
      <c r="G183" s="224"/>
      <c r="H183" s="410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</row>
    <row r="184" spans="1:32" s="3" customFormat="1" x14ac:dyDescent="0.25">
      <c r="A184" s="170" t="s">
        <v>191</v>
      </c>
      <c r="B184" s="157" t="s">
        <v>192</v>
      </c>
      <c r="C184" s="62" t="s">
        <v>17</v>
      </c>
      <c r="D184" s="274">
        <f>73*20*0.001*8</f>
        <v>11.68</v>
      </c>
      <c r="E184" s="249"/>
      <c r="F184" s="241">
        <f t="shared" si="34"/>
        <v>0</v>
      </c>
      <c r="G184" s="212" t="s">
        <v>168</v>
      </c>
      <c r="H184" s="416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1:32" s="98" customFormat="1" x14ac:dyDescent="0.25">
      <c r="A185" s="170" t="s">
        <v>210</v>
      </c>
      <c r="B185" s="157" t="s">
        <v>211</v>
      </c>
      <c r="C185" s="62" t="s">
        <v>17</v>
      </c>
      <c r="D185" s="274">
        <f>D184</f>
        <v>11.68</v>
      </c>
      <c r="E185" s="249"/>
      <c r="F185" s="241">
        <f t="shared" si="34"/>
        <v>0</v>
      </c>
      <c r="G185" s="212" t="s">
        <v>168</v>
      </c>
      <c r="H185" s="416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</row>
    <row r="186" spans="1:32" s="7" customFormat="1" ht="27" x14ac:dyDescent="0.25">
      <c r="A186" s="170" t="s">
        <v>194</v>
      </c>
      <c r="B186" s="157" t="s">
        <v>195</v>
      </c>
      <c r="C186" s="65" t="s">
        <v>6</v>
      </c>
      <c r="D186" s="159">
        <f>D176/2</f>
        <v>21.5</v>
      </c>
      <c r="E186" s="249"/>
      <c r="F186" s="344">
        <f t="shared" ref="F186" si="35">D186*E186</f>
        <v>0</v>
      </c>
      <c r="G186" s="212" t="s">
        <v>168</v>
      </c>
      <c r="H186" s="400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</row>
    <row r="187" spans="1:32" s="143" customFormat="1" ht="40.5" x14ac:dyDescent="0.25">
      <c r="A187" s="178" t="s">
        <v>16</v>
      </c>
      <c r="B187" s="151" t="s">
        <v>233</v>
      </c>
      <c r="C187" s="178" t="s">
        <v>17</v>
      </c>
      <c r="D187" s="275">
        <f>D186*0.1</f>
        <v>2.15</v>
      </c>
      <c r="E187" s="245"/>
      <c r="F187" s="345">
        <f>SUM(E187*D187)</f>
        <v>0</v>
      </c>
      <c r="G187" s="212"/>
      <c r="H187" s="410"/>
      <c r="I187" s="132" t="s">
        <v>72</v>
      </c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</row>
    <row r="188" spans="1:32" s="143" customFormat="1" x14ac:dyDescent="0.25">
      <c r="A188" s="178" t="s">
        <v>16</v>
      </c>
      <c r="B188" s="165" t="s">
        <v>73</v>
      </c>
      <c r="C188" s="178" t="s">
        <v>7</v>
      </c>
      <c r="D188" s="275">
        <f>D176</f>
        <v>43</v>
      </c>
      <c r="E188" s="245"/>
      <c r="F188" s="251">
        <f>E188*D188</f>
        <v>0</v>
      </c>
      <c r="G188" s="224"/>
      <c r="H188" s="410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</row>
    <row r="189" spans="1:32" s="3" customFormat="1" x14ac:dyDescent="0.25">
      <c r="A189" s="62" t="s">
        <v>174</v>
      </c>
      <c r="B189" s="44" t="s">
        <v>28</v>
      </c>
      <c r="C189" s="62" t="s">
        <v>20</v>
      </c>
      <c r="D189" s="274">
        <v>1</v>
      </c>
      <c r="E189" s="257"/>
      <c r="F189" s="344">
        <f>SUM(E189*D189)</f>
        <v>0</v>
      </c>
      <c r="G189" s="231"/>
      <c r="H189" s="416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2" x14ac:dyDescent="0.25">
      <c r="A190" s="170" t="s">
        <v>174</v>
      </c>
      <c r="B190" s="157" t="s">
        <v>267</v>
      </c>
      <c r="C190" s="171" t="s">
        <v>100</v>
      </c>
      <c r="D190" s="159">
        <f>D179+D187</f>
        <v>6.4499999999999993</v>
      </c>
      <c r="E190" s="249"/>
      <c r="F190" s="252">
        <f t="shared" ref="F190" si="36">D190*E190</f>
        <v>0</v>
      </c>
      <c r="G190" s="212" t="s">
        <v>168</v>
      </c>
      <c r="H190" s="403"/>
      <c r="I190" s="183"/>
      <c r="J190" s="53"/>
      <c r="K190" s="53"/>
      <c r="L190" s="53"/>
      <c r="M190" s="53"/>
    </row>
    <row r="191" spans="1:32" s="182" customFormat="1" ht="24.95" customHeight="1" x14ac:dyDescent="0.2">
      <c r="A191" s="304" t="s">
        <v>64</v>
      </c>
      <c r="B191" s="357"/>
      <c r="C191" s="304"/>
      <c r="D191" s="358">
        <v>720</v>
      </c>
      <c r="E191" s="359"/>
      <c r="F191" s="324">
        <f>SUM(F192:F195)</f>
        <v>0</v>
      </c>
      <c r="G191" s="350"/>
      <c r="H191" s="301"/>
      <c r="I191" s="302"/>
      <c r="J191" s="302"/>
      <c r="K191" s="303"/>
      <c r="L191" s="302"/>
      <c r="M191" s="302"/>
      <c r="N191" s="304"/>
      <c r="O191" s="304"/>
      <c r="P191" s="304"/>
      <c r="Q191" s="304"/>
      <c r="R191" s="304"/>
      <c r="S191" s="304"/>
      <c r="T191" s="304"/>
      <c r="U191" s="304"/>
      <c r="V191" s="304"/>
      <c r="W191" s="304"/>
      <c r="X191" s="304"/>
      <c r="Y191" s="304"/>
      <c r="Z191" s="304"/>
      <c r="AA191" s="304"/>
      <c r="AB191" s="304"/>
      <c r="AC191" s="304"/>
      <c r="AD191" s="304"/>
      <c r="AE191" s="304"/>
      <c r="AF191" s="304"/>
    </row>
    <row r="192" spans="1:32" s="3" customFormat="1" x14ac:dyDescent="0.25">
      <c r="A192" s="64" t="s">
        <v>42</v>
      </c>
      <c r="B192" s="160" t="s">
        <v>41</v>
      </c>
      <c r="C192" s="65" t="s">
        <v>7</v>
      </c>
      <c r="D192" s="159">
        <f>D191</f>
        <v>720</v>
      </c>
      <c r="E192" s="243"/>
      <c r="F192" s="241">
        <f>E192*D192</f>
        <v>0</v>
      </c>
      <c r="G192" s="212" t="s">
        <v>169</v>
      </c>
      <c r="H192" s="204"/>
      <c r="I192" s="53"/>
      <c r="J192" s="53"/>
      <c r="K192" s="53"/>
      <c r="L192" s="53"/>
      <c r="M192" s="53"/>
      <c r="N192" s="53"/>
      <c r="O192" s="53"/>
      <c r="P192" s="53"/>
      <c r="Q192" s="187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1:32" s="3" customFormat="1" x14ac:dyDescent="0.25">
      <c r="A193" s="64" t="s">
        <v>43</v>
      </c>
      <c r="B193" s="160" t="s">
        <v>40</v>
      </c>
      <c r="C193" s="65" t="s">
        <v>7</v>
      </c>
      <c r="D193" s="159">
        <f>D191</f>
        <v>720</v>
      </c>
      <c r="E193" s="243"/>
      <c r="F193" s="241">
        <f>E193*D193</f>
        <v>0</v>
      </c>
      <c r="G193" s="212" t="s">
        <v>169</v>
      </c>
      <c r="H193" s="204"/>
      <c r="I193" s="53"/>
      <c r="J193" s="53"/>
      <c r="K193" s="53"/>
      <c r="L193" s="53"/>
      <c r="M193" s="53"/>
      <c r="N193" s="53"/>
      <c r="O193" s="53"/>
      <c r="P193" s="53"/>
      <c r="Q193" s="187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1:32" s="98" customFormat="1" x14ac:dyDescent="0.25">
      <c r="A194" s="105" t="s">
        <v>16</v>
      </c>
      <c r="B194" s="120" t="s">
        <v>163</v>
      </c>
      <c r="C194" s="105" t="s">
        <v>7</v>
      </c>
      <c r="D194" s="272">
        <f>D191</f>
        <v>720</v>
      </c>
      <c r="E194" s="254"/>
      <c r="F194" s="255">
        <f>E194*D194</f>
        <v>0</v>
      </c>
      <c r="G194" s="230"/>
      <c r="H194" s="204"/>
      <c r="I194" s="109"/>
      <c r="J194" s="121"/>
      <c r="K194" s="102"/>
      <c r="L194" s="122"/>
      <c r="M194" s="122"/>
      <c r="N194" s="122"/>
      <c r="O194" s="122"/>
      <c r="P194" s="123"/>
      <c r="Q194" s="124"/>
      <c r="R194" s="125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</row>
    <row r="195" spans="1:32" s="36" customFormat="1" x14ac:dyDescent="0.25">
      <c r="A195" s="170" t="s">
        <v>174</v>
      </c>
      <c r="B195" s="157" t="s">
        <v>267</v>
      </c>
      <c r="C195" s="171" t="s">
        <v>100</v>
      </c>
      <c r="D195" s="159">
        <f>0.05</f>
        <v>0.05</v>
      </c>
      <c r="E195" s="249"/>
      <c r="F195" s="252">
        <f t="shared" ref="F195" si="37">D195*E195</f>
        <v>0</v>
      </c>
      <c r="G195" s="212" t="s">
        <v>168</v>
      </c>
      <c r="H195" s="403"/>
      <c r="I195" s="183"/>
      <c r="J195" s="53"/>
      <c r="K195" s="53"/>
      <c r="L195" s="53"/>
      <c r="M195" s="53"/>
    </row>
    <row r="196" spans="1:32" s="182" customFormat="1" ht="24.95" customHeight="1" x14ac:dyDescent="0.2">
      <c r="A196" s="304" t="s">
        <v>206</v>
      </c>
      <c r="B196" s="357"/>
      <c r="C196" s="304"/>
      <c r="D196" s="358">
        <v>15</v>
      </c>
      <c r="E196" s="359"/>
      <c r="F196" s="324">
        <f>SUM(F197:F214)</f>
        <v>0</v>
      </c>
      <c r="G196" s="350"/>
      <c r="H196" s="301"/>
      <c r="I196" s="302"/>
      <c r="J196" s="302"/>
      <c r="K196" s="303"/>
      <c r="L196" s="302"/>
      <c r="M196" s="302"/>
      <c r="N196" s="304"/>
      <c r="O196" s="304"/>
      <c r="P196" s="304"/>
      <c r="Q196" s="304"/>
      <c r="R196" s="304"/>
      <c r="S196" s="304"/>
      <c r="T196" s="304"/>
      <c r="U196" s="304"/>
      <c r="V196" s="304"/>
      <c r="W196" s="304"/>
      <c r="X196" s="304"/>
      <c r="Y196" s="304"/>
      <c r="Z196" s="304"/>
      <c r="AA196" s="304"/>
      <c r="AB196" s="304"/>
      <c r="AC196" s="304"/>
      <c r="AD196" s="304"/>
      <c r="AE196" s="304"/>
      <c r="AF196" s="304"/>
    </row>
    <row r="197" spans="1:32" ht="40.5" x14ac:dyDescent="0.25">
      <c r="A197" s="325">
        <v>183111142</v>
      </c>
      <c r="B197" s="148" t="s">
        <v>258</v>
      </c>
      <c r="C197" s="330" t="s">
        <v>24</v>
      </c>
      <c r="D197" s="332">
        <f>D196</f>
        <v>15</v>
      </c>
      <c r="E197" s="331"/>
      <c r="F197" s="252">
        <f>D197*E197</f>
        <v>0</v>
      </c>
      <c r="G197" s="212" t="s">
        <v>169</v>
      </c>
      <c r="H197" s="405"/>
      <c r="I197" s="53"/>
      <c r="J197" s="53"/>
      <c r="K197" s="53"/>
      <c r="L197" s="53"/>
      <c r="M197" s="53"/>
      <c r="N197" s="53"/>
      <c r="O197" s="53"/>
    </row>
    <row r="198" spans="1:32" s="118" customFormat="1" ht="27" x14ac:dyDescent="0.25">
      <c r="A198" s="170" t="s">
        <v>236</v>
      </c>
      <c r="B198" s="157" t="s">
        <v>235</v>
      </c>
      <c r="C198" s="171" t="s">
        <v>27</v>
      </c>
      <c r="D198" s="281">
        <f>D196</f>
        <v>15</v>
      </c>
      <c r="E198" s="249"/>
      <c r="F198" s="338">
        <f>ROUND(E198*D198,2)</f>
        <v>0</v>
      </c>
      <c r="G198" s="232"/>
      <c r="H198" s="400"/>
      <c r="I198" s="119"/>
      <c r="J198" s="119"/>
      <c r="K198" s="119"/>
      <c r="L198" s="119"/>
      <c r="M198" s="119"/>
    </row>
    <row r="199" spans="1:32" s="146" customFormat="1" ht="57" customHeight="1" x14ac:dyDescent="0.25">
      <c r="A199" s="326" t="s">
        <v>16</v>
      </c>
      <c r="B199" s="151" t="s">
        <v>343</v>
      </c>
      <c r="C199" s="166" t="s">
        <v>17</v>
      </c>
      <c r="D199" s="276">
        <f>0.2*D196/2</f>
        <v>1.5</v>
      </c>
      <c r="E199" s="339"/>
      <c r="F199" s="337">
        <f t="shared" ref="F199:F204" si="38">D199*E199</f>
        <v>0</v>
      </c>
      <c r="G199" s="214"/>
      <c r="H199" s="408"/>
      <c r="I199" s="132"/>
      <c r="J199" s="132"/>
      <c r="K199" s="132"/>
      <c r="L199" s="132"/>
      <c r="M199" s="132"/>
      <c r="N199" s="132"/>
      <c r="O199" s="132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</row>
    <row r="200" spans="1:32" ht="28.5" customHeight="1" x14ac:dyDescent="0.25">
      <c r="A200" s="170" t="s">
        <v>166</v>
      </c>
      <c r="B200" s="157" t="s">
        <v>234</v>
      </c>
      <c r="C200" s="333" t="s">
        <v>7</v>
      </c>
      <c r="D200" s="334">
        <f>D197*3</f>
        <v>45</v>
      </c>
      <c r="E200" s="249"/>
      <c r="F200" s="252">
        <f t="shared" si="38"/>
        <v>0</v>
      </c>
      <c r="G200" s="212" t="s">
        <v>168</v>
      </c>
      <c r="H200" s="406"/>
      <c r="I200" s="162"/>
      <c r="J200" s="53"/>
      <c r="K200" s="194"/>
      <c r="L200" s="53"/>
      <c r="M200" s="53"/>
      <c r="N200" s="53"/>
      <c r="O200" s="53"/>
    </row>
    <row r="201" spans="1:32" s="150" customFormat="1" ht="54" x14ac:dyDescent="0.25">
      <c r="A201" s="164">
        <v>2511111101</v>
      </c>
      <c r="B201" s="165" t="s">
        <v>228</v>
      </c>
      <c r="C201" s="164" t="s">
        <v>7</v>
      </c>
      <c r="D201" s="335">
        <f>D197*3</f>
        <v>45</v>
      </c>
      <c r="E201" s="336"/>
      <c r="F201" s="337">
        <f t="shared" si="38"/>
        <v>0</v>
      </c>
      <c r="G201" s="222" t="s">
        <v>168</v>
      </c>
      <c r="H201" s="407"/>
      <c r="I201" s="195"/>
      <c r="J201" s="196"/>
      <c r="K201" s="196"/>
      <c r="L201" s="196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</row>
    <row r="202" spans="1:32" s="20" customFormat="1" x14ac:dyDescent="0.25">
      <c r="A202" s="170" t="s">
        <v>224</v>
      </c>
      <c r="B202" s="157" t="s">
        <v>225</v>
      </c>
      <c r="C202" s="171" t="s">
        <v>27</v>
      </c>
      <c r="D202" s="281">
        <f>D196</f>
        <v>15</v>
      </c>
      <c r="E202" s="249"/>
      <c r="F202" s="338">
        <f>ROUND(E202*D202,2)</f>
        <v>0</v>
      </c>
      <c r="G202" s="212" t="s">
        <v>168</v>
      </c>
      <c r="H202" s="405"/>
      <c r="I202" s="198"/>
      <c r="J202" s="198"/>
      <c r="K202" s="198"/>
      <c r="L202" s="198"/>
      <c r="M202" s="198"/>
      <c r="N202" s="198"/>
      <c r="O202" s="198"/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  <c r="AD202" s="199"/>
      <c r="AE202" s="199"/>
      <c r="AF202" s="199"/>
    </row>
    <row r="203" spans="1:32" s="146" customFormat="1" x14ac:dyDescent="0.25">
      <c r="A203" s="328" t="s">
        <v>217</v>
      </c>
      <c r="B203" s="161" t="s">
        <v>238</v>
      </c>
      <c r="C203" s="340" t="s">
        <v>27</v>
      </c>
      <c r="D203" s="341">
        <f>D202</f>
        <v>15</v>
      </c>
      <c r="E203" s="329"/>
      <c r="F203" s="342">
        <f>ROUND(E203*D203,2)</f>
        <v>0</v>
      </c>
      <c r="G203" s="222" t="s">
        <v>168</v>
      </c>
      <c r="H203" s="408"/>
      <c r="I203" s="132"/>
      <c r="J203" s="132"/>
      <c r="K203" s="132"/>
      <c r="L203" s="132"/>
      <c r="M203" s="132"/>
      <c r="N203" s="132"/>
      <c r="O203" s="132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</row>
    <row r="204" spans="1:32" ht="27" x14ac:dyDescent="0.25">
      <c r="A204" s="170" t="s">
        <v>170</v>
      </c>
      <c r="B204" s="157" t="s">
        <v>171</v>
      </c>
      <c r="C204" s="330" t="s">
        <v>7</v>
      </c>
      <c r="D204" s="332">
        <f>D196</f>
        <v>15</v>
      </c>
      <c r="E204" s="249"/>
      <c r="F204" s="252">
        <f t="shared" si="38"/>
        <v>0</v>
      </c>
      <c r="G204" s="212" t="s">
        <v>168</v>
      </c>
      <c r="H204" s="405"/>
      <c r="I204" s="53"/>
      <c r="J204" s="53"/>
      <c r="K204" s="53"/>
      <c r="L204" s="53"/>
      <c r="M204" s="53"/>
      <c r="N204" s="53"/>
      <c r="O204" s="53"/>
    </row>
    <row r="205" spans="1:32" s="118" customFormat="1" x14ac:dyDescent="0.25">
      <c r="A205" s="170" t="s">
        <v>209</v>
      </c>
      <c r="B205" s="157" t="s">
        <v>237</v>
      </c>
      <c r="C205" s="171" t="s">
        <v>27</v>
      </c>
      <c r="D205" s="281">
        <f>D196</f>
        <v>15</v>
      </c>
      <c r="E205" s="249"/>
      <c r="F205" s="338">
        <f>ROUND(E205*D205,2)</f>
        <v>0</v>
      </c>
      <c r="G205" s="212" t="s">
        <v>168</v>
      </c>
      <c r="H205" s="400"/>
      <c r="I205" s="119"/>
      <c r="J205" s="119"/>
      <c r="K205" s="119"/>
      <c r="L205" s="119"/>
      <c r="M205" s="119"/>
    </row>
    <row r="206" spans="1:32" s="118" customFormat="1" ht="27" x14ac:dyDescent="0.25">
      <c r="A206" s="170" t="s">
        <v>207</v>
      </c>
      <c r="B206" s="157" t="s">
        <v>208</v>
      </c>
      <c r="C206" s="171" t="s">
        <v>6</v>
      </c>
      <c r="D206" s="281">
        <f>D196*0.5</f>
        <v>7.5</v>
      </c>
      <c r="E206" s="249"/>
      <c r="F206" s="338">
        <f>ROUND(E206*D206,2)</f>
        <v>0</v>
      </c>
      <c r="G206" s="212" t="s">
        <v>168</v>
      </c>
      <c r="H206" s="400"/>
      <c r="I206" s="119"/>
      <c r="J206" s="119"/>
      <c r="K206" s="119"/>
      <c r="L206" s="119"/>
      <c r="M206" s="119"/>
    </row>
    <row r="207" spans="1:32" s="143" customFormat="1" x14ac:dyDescent="0.25">
      <c r="A207" s="178" t="s">
        <v>16</v>
      </c>
      <c r="B207" s="151" t="s">
        <v>239</v>
      </c>
      <c r="C207" s="178" t="s">
        <v>17</v>
      </c>
      <c r="D207" s="275">
        <f>D206*0.1</f>
        <v>0.75</v>
      </c>
      <c r="E207" s="245"/>
      <c r="F207" s="345">
        <f>SUM(E207*D207)</f>
        <v>0</v>
      </c>
      <c r="G207" s="224"/>
      <c r="H207" s="410"/>
      <c r="I207" s="132" t="s">
        <v>72</v>
      </c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</row>
    <row r="208" spans="1:32" s="118" customFormat="1" x14ac:dyDescent="0.25">
      <c r="A208" s="170" t="s">
        <v>191</v>
      </c>
      <c r="B208" s="157" t="s">
        <v>240</v>
      </c>
      <c r="C208" s="171" t="s">
        <v>17</v>
      </c>
      <c r="D208" s="274">
        <f>D196*30*0.001*8</f>
        <v>3.6</v>
      </c>
      <c r="E208" s="249"/>
      <c r="F208" s="338">
        <f>ROUND(E208*D208,2)</f>
        <v>0</v>
      </c>
      <c r="G208" s="212" t="s">
        <v>168</v>
      </c>
      <c r="H208" s="400"/>
      <c r="I208" s="119"/>
      <c r="J208" s="119"/>
      <c r="K208" s="119"/>
      <c r="L208" s="119"/>
      <c r="M208" s="119"/>
    </row>
    <row r="209" spans="1:32" s="118" customFormat="1" x14ac:dyDescent="0.25">
      <c r="A209" s="170" t="s">
        <v>210</v>
      </c>
      <c r="B209" s="157" t="s">
        <v>211</v>
      </c>
      <c r="C209" s="171" t="s">
        <v>17</v>
      </c>
      <c r="D209" s="281">
        <f>D208</f>
        <v>3.6</v>
      </c>
      <c r="E209" s="249"/>
      <c r="F209" s="338">
        <f>ROUND(E209*D209,2)</f>
        <v>0</v>
      </c>
      <c r="G209" s="212" t="s">
        <v>168</v>
      </c>
      <c r="H209" s="400"/>
      <c r="I209" s="119"/>
      <c r="J209" s="119"/>
      <c r="K209" s="119"/>
      <c r="L209" s="119"/>
      <c r="M209" s="119"/>
    </row>
    <row r="210" spans="1:32" s="132" customFormat="1" x14ac:dyDescent="0.25">
      <c r="A210" s="126" t="s">
        <v>16</v>
      </c>
      <c r="B210" s="120" t="s">
        <v>259</v>
      </c>
      <c r="C210" s="126" t="s">
        <v>7</v>
      </c>
      <c r="D210" s="276">
        <v>4</v>
      </c>
      <c r="E210" s="246"/>
      <c r="F210" s="251">
        <f>E210*D210</f>
        <v>0</v>
      </c>
      <c r="G210" s="224"/>
      <c r="H210" s="415"/>
      <c r="I210" s="130"/>
      <c r="J210" s="131"/>
      <c r="L210" s="133"/>
      <c r="M210" s="133"/>
      <c r="N210" s="133"/>
      <c r="O210" s="133"/>
      <c r="P210" s="134"/>
      <c r="Q210" s="135"/>
      <c r="R210" s="136"/>
    </row>
    <row r="211" spans="1:32" s="137" customFormat="1" x14ac:dyDescent="0.25">
      <c r="A211" s="126" t="s">
        <v>16</v>
      </c>
      <c r="B211" s="120" t="s">
        <v>260</v>
      </c>
      <c r="C211" s="126" t="s">
        <v>7</v>
      </c>
      <c r="D211" s="276">
        <v>7</v>
      </c>
      <c r="E211" s="246"/>
      <c r="F211" s="251">
        <f>E211*D211</f>
        <v>0</v>
      </c>
      <c r="G211" s="233"/>
      <c r="H211" s="415"/>
      <c r="I211" s="138"/>
      <c r="J211" s="138"/>
      <c r="K211" s="138"/>
      <c r="L211" s="138"/>
      <c r="M211" s="138"/>
    </row>
    <row r="212" spans="1:32" s="137" customFormat="1" x14ac:dyDescent="0.25">
      <c r="A212" s="126" t="s">
        <v>16</v>
      </c>
      <c r="B212" s="120" t="s">
        <v>261</v>
      </c>
      <c r="C212" s="126" t="s">
        <v>7</v>
      </c>
      <c r="D212" s="276">
        <v>4</v>
      </c>
      <c r="E212" s="246"/>
      <c r="F212" s="251">
        <f>E212*D212</f>
        <v>0</v>
      </c>
      <c r="G212" s="233"/>
      <c r="H212" s="415"/>
      <c r="I212" s="138"/>
      <c r="J212" s="138"/>
      <c r="K212" s="138"/>
      <c r="L212" s="138"/>
      <c r="M212" s="138"/>
    </row>
    <row r="213" spans="1:32" x14ac:dyDescent="0.25">
      <c r="A213" s="64" t="s">
        <v>174</v>
      </c>
      <c r="B213" s="37" t="s">
        <v>28</v>
      </c>
      <c r="C213" s="65" t="s">
        <v>20</v>
      </c>
      <c r="D213" s="159">
        <v>1</v>
      </c>
      <c r="E213" s="243"/>
      <c r="F213" s="252">
        <f t="shared" ref="F213" si="39">D213*E213</f>
        <v>0</v>
      </c>
      <c r="G213" s="223"/>
      <c r="H213" s="204"/>
      <c r="I213" s="187"/>
      <c r="J213" s="200"/>
      <c r="K213" s="174"/>
      <c r="L213" s="201"/>
      <c r="M213" s="53"/>
      <c r="N213" s="53"/>
      <c r="O213" s="53"/>
    </row>
    <row r="214" spans="1:32" s="118" customFormat="1" x14ac:dyDescent="0.25">
      <c r="A214" s="170" t="s">
        <v>174</v>
      </c>
      <c r="B214" s="157" t="s">
        <v>267</v>
      </c>
      <c r="C214" s="171" t="s">
        <v>100</v>
      </c>
      <c r="D214" s="281">
        <f>D199+D207+0.25</f>
        <v>2.5</v>
      </c>
      <c r="E214" s="249"/>
      <c r="F214" s="338">
        <f>ROUND(E214*D214,2)</f>
        <v>0</v>
      </c>
      <c r="G214" s="212" t="s">
        <v>168</v>
      </c>
      <c r="H214" s="400"/>
      <c r="I214" s="119"/>
      <c r="J214" s="119"/>
      <c r="K214" s="119"/>
      <c r="L214" s="119"/>
      <c r="M214" s="119"/>
    </row>
    <row r="215" spans="1:32" s="118" customFormat="1" x14ac:dyDescent="0.25">
      <c r="A215" s="140"/>
      <c r="B215" s="116"/>
      <c r="C215" s="117"/>
      <c r="D215" s="282"/>
      <c r="E215" s="258"/>
      <c r="F215" s="259"/>
      <c r="G215" s="234"/>
      <c r="H215" s="400"/>
      <c r="I215" s="119"/>
      <c r="J215" s="119"/>
      <c r="K215" s="119"/>
      <c r="L215" s="119"/>
      <c r="M215" s="119"/>
    </row>
    <row r="216" spans="1:32" s="118" customFormat="1" x14ac:dyDescent="0.25">
      <c r="A216" s="140"/>
      <c r="B216" s="116"/>
      <c r="C216" s="117"/>
      <c r="D216" s="282"/>
      <c r="E216" s="258"/>
      <c r="F216" s="259"/>
      <c r="G216" s="234"/>
      <c r="H216" s="400"/>
      <c r="I216" s="119"/>
      <c r="J216" s="119"/>
      <c r="K216" s="119"/>
      <c r="L216" s="119"/>
      <c r="M216" s="119"/>
    </row>
    <row r="217" spans="1:32" x14ac:dyDescent="0.25">
      <c r="E217" s="260"/>
      <c r="H217" s="400"/>
      <c r="I217" s="53"/>
      <c r="J217" s="53"/>
      <c r="K217" s="53"/>
      <c r="L217" s="53"/>
      <c r="M217" s="53"/>
    </row>
    <row r="218" spans="1:32" x14ac:dyDescent="0.25">
      <c r="A218" s="26" t="s">
        <v>45</v>
      </c>
      <c r="B218" s="1"/>
      <c r="D218" s="283"/>
      <c r="F218" s="240">
        <f>F13+F21+F31+F36</f>
        <v>0</v>
      </c>
      <c r="H218" s="204"/>
      <c r="I218" s="53"/>
      <c r="J218" s="53"/>
      <c r="K218" s="53"/>
      <c r="L218" s="53"/>
      <c r="M218" s="53"/>
    </row>
    <row r="219" spans="1:32" x14ac:dyDescent="0.25">
      <c r="A219" s="26" t="s">
        <v>271</v>
      </c>
      <c r="B219" s="1"/>
      <c r="D219" s="283"/>
      <c r="F219" s="240">
        <f>F218*0.21</f>
        <v>0</v>
      </c>
      <c r="H219" s="204"/>
      <c r="I219" s="53"/>
      <c r="J219" s="53"/>
      <c r="K219" s="53"/>
      <c r="L219" s="53"/>
      <c r="M219" s="53"/>
    </row>
    <row r="220" spans="1:32" s="15" customFormat="1" x14ac:dyDescent="0.25">
      <c r="A220" s="27" t="s">
        <v>272</v>
      </c>
      <c r="C220" s="34"/>
      <c r="D220" s="284"/>
      <c r="E220" s="239"/>
      <c r="F220" s="261">
        <f>F219+F218</f>
        <v>0</v>
      </c>
      <c r="G220" s="235"/>
      <c r="H220" s="204"/>
      <c r="I220" s="56"/>
      <c r="J220" s="56"/>
      <c r="K220" s="56"/>
      <c r="L220" s="56"/>
      <c r="M220" s="56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</row>
    <row r="221" spans="1:32" x14ac:dyDescent="0.25">
      <c r="E221" s="262"/>
      <c r="H221" s="400"/>
      <c r="I221" s="53"/>
      <c r="J221" s="53"/>
      <c r="K221" s="53"/>
      <c r="L221" s="53"/>
      <c r="M221" s="53"/>
    </row>
    <row r="222" spans="1:32" x14ac:dyDescent="0.25">
      <c r="H222" s="400"/>
      <c r="I222" s="53"/>
      <c r="J222" s="53"/>
      <c r="K222" s="53"/>
      <c r="L222" s="53"/>
      <c r="M222" s="53"/>
    </row>
    <row r="223" spans="1:32" x14ac:dyDescent="0.25">
      <c r="H223" s="400"/>
      <c r="I223" s="53"/>
      <c r="J223" s="53"/>
      <c r="K223" s="53"/>
      <c r="L223" s="53"/>
      <c r="M223" s="53"/>
    </row>
    <row r="224" spans="1:32" x14ac:dyDescent="0.25">
      <c r="H224" s="400"/>
      <c r="I224" s="53"/>
      <c r="J224" s="53"/>
      <c r="K224" s="53"/>
      <c r="L224" s="53"/>
      <c r="M224" s="53"/>
    </row>
    <row r="228" spans="1:32" x14ac:dyDescent="0.25">
      <c r="A228" s="115"/>
      <c r="B228" s="46"/>
      <c r="C228" s="13"/>
      <c r="D228" s="285"/>
      <c r="E228" s="263"/>
      <c r="F228" s="264"/>
      <c r="G228" s="236"/>
      <c r="H228" s="400"/>
      <c r="I228" s="53"/>
      <c r="J228" s="53"/>
    </row>
    <row r="229" spans="1:32" x14ac:dyDescent="0.25">
      <c r="A229" s="115"/>
      <c r="B229" s="46"/>
      <c r="C229" s="13"/>
      <c r="D229" s="285"/>
      <c r="E229" s="263"/>
      <c r="F229" s="264"/>
      <c r="G229" s="236"/>
      <c r="H229" s="400"/>
      <c r="I229" s="53"/>
      <c r="J229" s="53"/>
    </row>
    <row r="230" spans="1:32" x14ac:dyDescent="0.25">
      <c r="A230" s="115"/>
      <c r="B230" s="46"/>
      <c r="C230" s="13"/>
      <c r="D230" s="285"/>
      <c r="E230" s="263"/>
      <c r="F230" s="264"/>
      <c r="G230" s="236"/>
      <c r="H230" s="400"/>
      <c r="I230" s="53"/>
      <c r="J230" s="53"/>
    </row>
    <row r="231" spans="1:32" s="4" customFormat="1" x14ac:dyDescent="0.25">
      <c r="A231" s="21"/>
      <c r="B231" s="5"/>
      <c r="C231" s="6"/>
      <c r="D231" s="22"/>
      <c r="E231" s="263"/>
      <c r="F231" s="265"/>
      <c r="G231" s="237"/>
      <c r="H231" s="412"/>
      <c r="I231" s="53"/>
      <c r="J231" s="53"/>
      <c r="K231" s="53"/>
      <c r="L231" s="53"/>
      <c r="M231" s="53"/>
      <c r="N231" s="53"/>
      <c r="O231" s="53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</row>
    <row r="232" spans="1:32" x14ac:dyDescent="0.25">
      <c r="A232" s="12"/>
      <c r="B232" s="47"/>
      <c r="C232" s="48"/>
      <c r="D232" s="22"/>
      <c r="E232" s="266"/>
      <c r="F232" s="264"/>
      <c r="G232" s="236"/>
      <c r="H232" s="403"/>
      <c r="I232" s="183"/>
      <c r="J232" s="53"/>
      <c r="K232" s="53"/>
      <c r="L232" s="53"/>
      <c r="M232" s="53"/>
    </row>
    <row r="233" spans="1:32" s="19" customFormat="1" x14ac:dyDescent="0.25">
      <c r="A233" s="49"/>
      <c r="B233" s="50"/>
      <c r="C233" s="51"/>
      <c r="D233" s="286"/>
      <c r="E233" s="266"/>
      <c r="F233" s="264"/>
      <c r="G233" s="238"/>
      <c r="H233" s="403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</row>
    <row r="234" spans="1:32" x14ac:dyDescent="0.25">
      <c r="A234" s="115"/>
      <c r="B234" s="46"/>
      <c r="C234" s="13"/>
      <c r="D234" s="285"/>
      <c r="E234" s="267"/>
      <c r="F234" s="264"/>
      <c r="G234" s="236"/>
      <c r="H234" s="400"/>
      <c r="I234" s="53"/>
      <c r="J234" s="53"/>
    </row>
    <row r="235" spans="1:32" x14ac:dyDescent="0.25">
      <c r="A235" s="115"/>
      <c r="B235" s="46"/>
      <c r="C235" s="13"/>
      <c r="D235" s="285"/>
      <c r="E235" s="263"/>
      <c r="F235" s="264"/>
      <c r="G235" s="236"/>
      <c r="H235" s="400"/>
      <c r="I235" s="53"/>
      <c r="J235" s="53"/>
    </row>
    <row r="236" spans="1:32" x14ac:dyDescent="0.25">
      <c r="A236" s="115"/>
      <c r="B236" s="46"/>
      <c r="C236" s="13"/>
      <c r="D236" s="285"/>
      <c r="E236" s="263"/>
      <c r="F236" s="264"/>
      <c r="G236" s="236"/>
      <c r="H236" s="400"/>
      <c r="I236" s="53"/>
      <c r="J236" s="53"/>
    </row>
  </sheetData>
  <sheetProtection algorithmName="SHA-512" hashValue="1T/PAHdvogjBT7GX7due1DG8FO5f1Lwr+rGOmFdUaEYVXYc2kgxr/qOYJBN4fHuHqYPFpmr/NJ9DCsnKIDgH3A==" saltValue="AgeB2jg063OtU36OSdUbUQ==" spinCount="100000" sheet="1" objects="1" scenarios="1"/>
  <protectedRanges>
    <protectedRange sqref="E15:E214" name="Oblast1"/>
    <protectedRange sqref="E15:E214" name="Oblast2"/>
  </protectedRanges>
  <mergeCells count="13">
    <mergeCell ref="I34:L34"/>
    <mergeCell ref="S28:V28"/>
    <mergeCell ref="S27:V27"/>
    <mergeCell ref="A4:F4"/>
    <mergeCell ref="A5:F5"/>
    <mergeCell ref="A6:F6"/>
    <mergeCell ref="K6:S6"/>
    <mergeCell ref="A7:G7"/>
    <mergeCell ref="A8:G8"/>
    <mergeCell ref="A9:G9"/>
    <mergeCell ref="A10:G10"/>
    <mergeCell ref="A11:G11"/>
    <mergeCell ref="I29:L29"/>
  </mergeCells>
  <phoneticPr fontId="4" type="noConversion"/>
  <printOptions horizontalCentered="1"/>
  <pageMargins left="0.15748031496062992" right="0.15748031496062992" top="0.55118110236220474" bottom="0.74803149606299213" header="0.31496062992125984" footer="0.31496062992125984"/>
  <pageSetup paperSize="9" scale="24" fitToHeight="0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topLeftCell="A27" zoomScaleNormal="100" workbookViewId="0">
      <selection activeCell="E42" sqref="E42"/>
    </sheetView>
  </sheetViews>
  <sheetFormatPr defaultColWidth="9.140625" defaultRowHeight="13.5" x14ac:dyDescent="0.25"/>
  <cols>
    <col min="1" max="1" width="12.7109375" style="1" customWidth="1"/>
    <col min="2" max="2" width="34.5703125" style="11" customWidth="1"/>
    <col min="3" max="3" width="7.42578125" style="35" customWidth="1"/>
    <col min="4" max="4" width="6.85546875" style="360" customWidth="1"/>
    <col min="5" max="5" width="11" style="369" customWidth="1"/>
    <col min="6" max="6" width="14.5703125" style="370" customWidth="1"/>
    <col min="7" max="7" width="17.42578125" style="1" customWidth="1"/>
    <col min="8" max="8" width="33.85546875" style="41" customWidth="1"/>
    <col min="9" max="9" width="33.5703125" style="1" customWidth="1"/>
    <col min="10" max="16384" width="9.140625" style="1"/>
  </cols>
  <sheetData>
    <row r="1" spans="1:40" x14ac:dyDescent="0.25">
      <c r="A1" s="75" t="s">
        <v>97</v>
      </c>
    </row>
    <row r="2" spans="1:40" ht="21" customHeight="1" x14ac:dyDescent="0.25">
      <c r="A2" s="75" t="s">
        <v>105</v>
      </c>
    </row>
    <row r="3" spans="1:40" s="97" customFormat="1" ht="21" customHeight="1" x14ac:dyDescent="0.2">
      <c r="A3" s="139" t="s">
        <v>133</v>
      </c>
      <c r="B3" s="95"/>
      <c r="C3" s="96"/>
      <c r="D3" s="269"/>
      <c r="E3" s="371"/>
      <c r="F3" s="372"/>
      <c r="G3" s="209"/>
      <c r="H3" s="18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5" spans="1:40" s="4" customFormat="1" ht="14.25" customHeight="1" x14ac:dyDescent="0.25">
      <c r="A5" s="574" t="s">
        <v>122</v>
      </c>
      <c r="B5" s="574"/>
      <c r="C5" s="574"/>
      <c r="D5" s="574"/>
      <c r="E5" s="574"/>
      <c r="F5" s="574"/>
      <c r="G5" s="2"/>
      <c r="H5" s="39"/>
    </row>
    <row r="6" spans="1:40" s="4" customFormat="1" ht="12.75" customHeight="1" x14ac:dyDescent="0.25">
      <c r="A6" s="575" t="s">
        <v>230</v>
      </c>
      <c r="B6" s="575"/>
      <c r="C6" s="575"/>
      <c r="D6" s="575"/>
      <c r="E6" s="575"/>
      <c r="F6" s="575"/>
      <c r="G6" s="60"/>
      <c r="H6" s="40"/>
      <c r="I6" s="3"/>
      <c r="J6" s="576"/>
      <c r="K6" s="576"/>
      <c r="L6" s="576"/>
      <c r="M6" s="576"/>
      <c r="N6" s="576"/>
      <c r="O6" s="576"/>
      <c r="P6" s="576"/>
      <c r="Q6" s="576"/>
      <c r="R6" s="576"/>
    </row>
    <row r="7" spans="1:40" s="4" customFormat="1" ht="27" customHeight="1" x14ac:dyDescent="0.25">
      <c r="A7" s="575" t="s">
        <v>46</v>
      </c>
      <c r="B7" s="575"/>
      <c r="C7" s="575"/>
      <c r="D7" s="575"/>
      <c r="E7" s="575"/>
      <c r="F7" s="575"/>
      <c r="G7" s="577"/>
      <c r="H7" s="577"/>
      <c r="I7" s="61"/>
      <c r="J7" s="3"/>
      <c r="K7" s="3"/>
      <c r="L7" s="3"/>
      <c r="M7" s="3"/>
      <c r="N7" s="3"/>
    </row>
    <row r="8" spans="1:40" s="4" customFormat="1" x14ac:dyDescent="0.25">
      <c r="A8" s="575" t="s">
        <v>341</v>
      </c>
      <c r="B8" s="575"/>
      <c r="C8" s="575"/>
      <c r="D8" s="575"/>
      <c r="E8" s="575"/>
      <c r="F8" s="575"/>
      <c r="G8" s="575"/>
      <c r="H8" s="575"/>
      <c r="I8" s="61"/>
      <c r="J8" s="3"/>
      <c r="K8" s="3"/>
      <c r="L8" s="3"/>
      <c r="M8" s="3"/>
      <c r="N8" s="3"/>
    </row>
    <row r="9" spans="1:40" s="4" customFormat="1" x14ac:dyDescent="0.25">
      <c r="A9" s="63"/>
      <c r="B9" s="63"/>
      <c r="C9" s="63"/>
      <c r="D9" s="361"/>
      <c r="E9" s="373"/>
      <c r="F9" s="373"/>
      <c r="G9" s="63"/>
      <c r="H9" s="63"/>
      <c r="I9" s="61"/>
      <c r="J9" s="3"/>
      <c r="K9" s="3"/>
      <c r="L9" s="3"/>
      <c r="M9" s="3"/>
      <c r="N9" s="3"/>
    </row>
    <row r="10" spans="1:40" s="87" customFormat="1" ht="27.75" customHeight="1" x14ac:dyDescent="0.25">
      <c r="A10" s="85" t="s">
        <v>0</v>
      </c>
      <c r="B10" s="85" t="s">
        <v>1</v>
      </c>
      <c r="C10" s="85" t="s">
        <v>2</v>
      </c>
      <c r="D10" s="362" t="s">
        <v>3</v>
      </c>
      <c r="E10" s="374" t="s">
        <v>4</v>
      </c>
      <c r="F10" s="375" t="s">
        <v>5</v>
      </c>
      <c r="G10" s="374" t="s">
        <v>106</v>
      </c>
      <c r="H10" s="374" t="s">
        <v>117</v>
      </c>
      <c r="I10" s="86"/>
    </row>
    <row r="11" spans="1:40" s="295" customFormat="1" ht="24.95" customHeight="1" x14ac:dyDescent="0.2">
      <c r="A11" s="394" t="s">
        <v>242</v>
      </c>
      <c r="B11" s="319"/>
      <c r="C11" s="167"/>
      <c r="D11" s="320">
        <v>31</v>
      </c>
      <c r="E11" s="392"/>
      <c r="F11" s="393">
        <f>SUM(F12:F20)</f>
        <v>0</v>
      </c>
      <c r="G11" s="298"/>
      <c r="H11" s="297"/>
      <c r="I11" s="298"/>
      <c r="J11" s="300"/>
      <c r="K11" s="298"/>
    </row>
    <row r="12" spans="1:40" s="31" customFormat="1" ht="40.5" x14ac:dyDescent="0.25">
      <c r="A12" s="24">
        <v>185804213</v>
      </c>
      <c r="B12" s="80" t="s">
        <v>262</v>
      </c>
      <c r="C12" s="9" t="s">
        <v>6</v>
      </c>
      <c r="D12" s="147">
        <f>16*4</f>
        <v>64</v>
      </c>
      <c r="E12" s="376"/>
      <c r="F12" s="30">
        <f>D12*E12*G12</f>
        <v>0</v>
      </c>
      <c r="G12" s="82">
        <v>4</v>
      </c>
      <c r="H12" s="74" t="s">
        <v>246</v>
      </c>
      <c r="I12" s="56"/>
      <c r="J12" s="57"/>
      <c r="K12" s="56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s="31" customFormat="1" ht="27" x14ac:dyDescent="0.25">
      <c r="A13" s="24">
        <v>184911111</v>
      </c>
      <c r="B13" s="80" t="s">
        <v>120</v>
      </c>
      <c r="C13" s="81" t="s">
        <v>7</v>
      </c>
      <c r="D13" s="147">
        <f>D11*0.5</f>
        <v>15.5</v>
      </c>
      <c r="E13" s="376"/>
      <c r="F13" s="30">
        <f>D13*E13*G13</f>
        <v>0</v>
      </c>
      <c r="G13" s="82">
        <v>0.5</v>
      </c>
      <c r="H13" s="89"/>
      <c r="I13" s="56"/>
      <c r="J13" s="57"/>
      <c r="K13" s="56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1:40" ht="40.5" x14ac:dyDescent="0.25">
      <c r="A14" s="25">
        <v>185804312</v>
      </c>
      <c r="B14" s="84" t="s">
        <v>123</v>
      </c>
      <c r="C14" s="8" t="s">
        <v>17</v>
      </c>
      <c r="D14" s="147">
        <f>D11*100*0.001*7</f>
        <v>21.7</v>
      </c>
      <c r="E14" s="377"/>
      <c r="F14" s="378">
        <f t="shared" ref="F14:F15" si="0">D14*E14</f>
        <v>0</v>
      </c>
      <c r="G14" s="90" t="s">
        <v>121</v>
      </c>
      <c r="H14" s="91" t="s">
        <v>132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s="146" customFormat="1" x14ac:dyDescent="0.25">
      <c r="A15" s="145" t="s">
        <v>16</v>
      </c>
      <c r="B15" s="103" t="s">
        <v>21</v>
      </c>
      <c r="C15" s="142" t="s">
        <v>17</v>
      </c>
      <c r="D15" s="271">
        <f>D14</f>
        <v>21.7</v>
      </c>
      <c r="E15" s="379"/>
      <c r="F15" s="380">
        <f t="shared" si="0"/>
        <v>0</v>
      </c>
      <c r="G15" s="178"/>
      <c r="H15" s="127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</row>
    <row r="16" spans="1:40" x14ac:dyDescent="0.25">
      <c r="A16" s="17" t="s">
        <v>87</v>
      </c>
      <c r="B16" s="16" t="s">
        <v>86</v>
      </c>
      <c r="C16" s="9" t="s">
        <v>7</v>
      </c>
      <c r="D16" s="274">
        <f>D11</f>
        <v>31</v>
      </c>
      <c r="E16" s="376"/>
      <c r="F16" s="30">
        <f>D16*E16*G16</f>
        <v>0</v>
      </c>
      <c r="G16" s="62">
        <v>1</v>
      </c>
      <c r="H16" s="88" t="s">
        <v>350</v>
      </c>
      <c r="I16" s="53"/>
      <c r="J16" s="53"/>
      <c r="K16" s="132"/>
      <c r="L16" s="53"/>
      <c r="M16" s="132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s="32" customFormat="1" x14ac:dyDescent="0.25">
      <c r="A17" s="64" t="s">
        <v>174</v>
      </c>
      <c r="B17" s="80" t="s">
        <v>99</v>
      </c>
      <c r="C17" s="65" t="s">
        <v>7</v>
      </c>
      <c r="D17" s="159">
        <f>D11</f>
        <v>31</v>
      </c>
      <c r="E17" s="381"/>
      <c r="F17" s="30">
        <f>D17*E17*G17</f>
        <v>0</v>
      </c>
      <c r="G17" s="82">
        <v>1</v>
      </c>
      <c r="H17" s="88"/>
      <c r="I17" s="56"/>
      <c r="J17" s="57"/>
      <c r="K17" s="56"/>
    </row>
    <row r="18" spans="1:40" s="32" customFormat="1" x14ac:dyDescent="0.25">
      <c r="A18" s="64" t="s">
        <v>174</v>
      </c>
      <c r="B18" s="80" t="s">
        <v>101</v>
      </c>
      <c r="C18" s="65" t="s">
        <v>7</v>
      </c>
      <c r="D18" s="159">
        <f>D11</f>
        <v>31</v>
      </c>
      <c r="E18" s="381"/>
      <c r="F18" s="30">
        <f>D18*E18*G18</f>
        <v>0</v>
      </c>
      <c r="G18" s="82">
        <v>1</v>
      </c>
      <c r="H18" s="88"/>
      <c r="I18" s="56"/>
      <c r="J18" s="57"/>
      <c r="K18" s="56"/>
    </row>
    <row r="19" spans="1:40" s="31" customFormat="1" ht="40.5" x14ac:dyDescent="0.25">
      <c r="A19" s="24" t="s">
        <v>244</v>
      </c>
      <c r="B19" s="83" t="s">
        <v>243</v>
      </c>
      <c r="C19" s="9" t="s">
        <v>6</v>
      </c>
      <c r="D19" s="147">
        <f>16*1.5</f>
        <v>24</v>
      </c>
      <c r="E19" s="376"/>
      <c r="F19" s="30">
        <f t="shared" ref="F19" si="1">D19*E19*G19</f>
        <v>0</v>
      </c>
      <c r="G19" s="82">
        <v>1</v>
      </c>
      <c r="H19" s="74" t="s">
        <v>245</v>
      </c>
      <c r="I19" s="56"/>
      <c r="J19" s="57"/>
      <c r="K19" s="56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0" s="143" customFormat="1" x14ac:dyDescent="0.25">
      <c r="A20" s="152" t="s">
        <v>16</v>
      </c>
      <c r="B20" s="103" t="s">
        <v>227</v>
      </c>
      <c r="C20" s="152" t="s">
        <v>17</v>
      </c>
      <c r="D20" s="273">
        <f>0.2*D11</f>
        <v>6.2</v>
      </c>
      <c r="E20" s="382"/>
      <c r="F20" s="383">
        <f>SUM(E20*D20)</f>
        <v>0</v>
      </c>
      <c r="G20" s="224"/>
      <c r="H20" s="364"/>
      <c r="I20" s="132" t="s">
        <v>72</v>
      </c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</row>
    <row r="21" spans="1:40" s="31" customFormat="1" x14ac:dyDescent="0.25">
      <c r="A21" s="76"/>
      <c r="B21" s="77"/>
      <c r="C21" s="79"/>
      <c r="D21" s="363"/>
      <c r="E21" s="384"/>
      <c r="F21" s="385"/>
      <c r="G21" s="78"/>
      <c r="H21" s="55"/>
      <c r="I21" s="56"/>
      <c r="J21" s="57"/>
      <c r="K21" s="56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s="295" customFormat="1" ht="24.95" customHeight="1" x14ac:dyDescent="0.2">
      <c r="A22" s="295" t="s">
        <v>119</v>
      </c>
      <c r="B22" s="319"/>
      <c r="C22" s="167"/>
      <c r="D22" s="320">
        <f>183+183</f>
        <v>366</v>
      </c>
      <c r="E22" s="392"/>
      <c r="F22" s="393">
        <f>SUM(F23:F28)</f>
        <v>0</v>
      </c>
      <c r="H22" s="297"/>
      <c r="I22" s="298"/>
      <c r="J22" s="298"/>
      <c r="K22" s="300"/>
      <c r="L22" s="298"/>
      <c r="M22" s="298"/>
    </row>
    <row r="23" spans="1:40" s="31" customFormat="1" x14ac:dyDescent="0.25">
      <c r="A23" s="25" t="s">
        <v>102</v>
      </c>
      <c r="B23" s="29" t="s">
        <v>103</v>
      </c>
      <c r="C23" s="23" t="s">
        <v>6</v>
      </c>
      <c r="D23" s="147">
        <v>73</v>
      </c>
      <c r="E23" s="387"/>
      <c r="F23" s="378">
        <f>D23*E23*G23</f>
        <v>0</v>
      </c>
      <c r="G23" s="82">
        <v>1</v>
      </c>
      <c r="H23" s="73"/>
      <c r="I23" s="56"/>
      <c r="J23" s="57"/>
      <c r="K23" s="56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s="143" customFormat="1" ht="27" x14ac:dyDescent="0.25">
      <c r="A24" s="152" t="s">
        <v>16</v>
      </c>
      <c r="B24" s="103" t="s">
        <v>196</v>
      </c>
      <c r="C24" s="152" t="s">
        <v>17</v>
      </c>
      <c r="D24" s="271">
        <f>D23*0.1</f>
        <v>7.3000000000000007</v>
      </c>
      <c r="E24" s="382"/>
      <c r="F24" s="388">
        <f>SUM(E24*D24)</f>
        <v>0</v>
      </c>
      <c r="G24" s="153"/>
      <c r="H24" s="153"/>
      <c r="I24" s="143" t="s">
        <v>72</v>
      </c>
    </row>
    <row r="25" spans="1:40" s="31" customFormat="1" x14ac:dyDescent="0.25">
      <c r="A25" s="25">
        <v>183211412</v>
      </c>
      <c r="B25" s="29" t="s">
        <v>107</v>
      </c>
      <c r="C25" s="23" t="s">
        <v>7</v>
      </c>
      <c r="D25" s="147">
        <v>36</v>
      </c>
      <c r="E25" s="387"/>
      <c r="F25" s="378">
        <f>D25*E25*G25</f>
        <v>0</v>
      </c>
      <c r="G25" s="82">
        <v>1</v>
      </c>
      <c r="H25" s="91" t="s">
        <v>124</v>
      </c>
      <c r="I25" s="56"/>
      <c r="J25" s="57"/>
      <c r="K25" s="56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s="291" customFormat="1" x14ac:dyDescent="0.25">
      <c r="A26" s="287" t="s">
        <v>16</v>
      </c>
      <c r="B26" s="288" t="s">
        <v>126</v>
      </c>
      <c r="C26" s="145" t="s">
        <v>7</v>
      </c>
      <c r="D26" s="271">
        <f>D25</f>
        <v>36</v>
      </c>
      <c r="E26" s="379"/>
      <c r="F26" s="380">
        <f>D26*E26*G26</f>
        <v>0</v>
      </c>
      <c r="G26" s="178">
        <v>1</v>
      </c>
      <c r="H26" s="289" t="s">
        <v>124</v>
      </c>
      <c r="I26" s="176"/>
      <c r="J26" s="176"/>
      <c r="K26" s="176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</row>
    <row r="27" spans="1:40" s="3" customFormat="1" ht="27" x14ac:dyDescent="0.25">
      <c r="A27" s="17">
        <v>185804311</v>
      </c>
      <c r="B27" s="18" t="s">
        <v>125</v>
      </c>
      <c r="C27" s="17" t="s">
        <v>17</v>
      </c>
      <c r="D27" s="147">
        <f>D23*20*0.001*10</f>
        <v>14.6</v>
      </c>
      <c r="E27" s="386"/>
      <c r="F27" s="94">
        <f t="shared" ref="F27:F28" si="2">E27*D27</f>
        <v>0</v>
      </c>
      <c r="G27" s="82" t="s">
        <v>104</v>
      </c>
      <c r="H27" s="91" t="s">
        <v>131</v>
      </c>
      <c r="J27" s="52"/>
    </row>
    <row r="28" spans="1:40" s="143" customFormat="1" x14ac:dyDescent="0.25">
      <c r="A28" s="152" t="s">
        <v>16</v>
      </c>
      <c r="B28" s="149" t="s">
        <v>71</v>
      </c>
      <c r="C28" s="152" t="s">
        <v>17</v>
      </c>
      <c r="D28" s="271">
        <f>D27</f>
        <v>14.6</v>
      </c>
      <c r="E28" s="382"/>
      <c r="F28" s="292">
        <f t="shared" si="2"/>
        <v>0</v>
      </c>
      <c r="G28" s="293"/>
      <c r="H28" s="294"/>
      <c r="J28" s="180"/>
    </row>
    <row r="29" spans="1:40" s="31" customFormat="1" x14ac:dyDescent="0.25">
      <c r="A29" s="25" t="s">
        <v>174</v>
      </c>
      <c r="B29" s="29" t="s">
        <v>109</v>
      </c>
      <c r="C29" s="23"/>
      <c r="D29" s="147"/>
      <c r="E29" s="387"/>
      <c r="F29" s="378"/>
      <c r="G29" s="82"/>
      <c r="H29" s="73"/>
      <c r="I29" s="56"/>
      <c r="J29" s="57"/>
      <c r="K29" s="5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s="295" customFormat="1" ht="24.95" customHeight="1" x14ac:dyDescent="0.2">
      <c r="A30" s="295" t="s">
        <v>118</v>
      </c>
      <c r="B30" s="319"/>
      <c r="C30" s="167"/>
      <c r="D30" s="320">
        <f>17+16+10</f>
        <v>43</v>
      </c>
      <c r="E30" s="392"/>
      <c r="F30" s="393">
        <f>SUM(F31:F39)</f>
        <v>0</v>
      </c>
      <c r="H30" s="297"/>
      <c r="I30" s="298"/>
      <c r="J30" s="298"/>
      <c r="K30" s="300"/>
      <c r="L30" s="298"/>
      <c r="M30" s="298"/>
    </row>
    <row r="31" spans="1:40" s="14" customFormat="1" ht="13.5" customHeight="1" x14ac:dyDescent="0.25">
      <c r="A31" s="25">
        <v>183211412</v>
      </c>
      <c r="B31" s="29" t="s">
        <v>107</v>
      </c>
      <c r="C31" s="23" t="s">
        <v>7</v>
      </c>
      <c r="D31" s="147">
        <v>5</v>
      </c>
      <c r="E31" s="387"/>
      <c r="F31" s="378">
        <f>D31*E31*G31</f>
        <v>0</v>
      </c>
      <c r="G31" s="82">
        <v>1</v>
      </c>
      <c r="H31" s="91" t="s">
        <v>124</v>
      </c>
      <c r="I31" s="70"/>
      <c r="J31" s="70"/>
      <c r="K31" s="70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</row>
    <row r="32" spans="1:40" s="291" customFormat="1" x14ac:dyDescent="0.25">
      <c r="A32" s="287" t="s">
        <v>16</v>
      </c>
      <c r="B32" s="288" t="s">
        <v>126</v>
      </c>
      <c r="C32" s="145" t="s">
        <v>7</v>
      </c>
      <c r="D32" s="271">
        <v>5</v>
      </c>
      <c r="E32" s="379"/>
      <c r="F32" s="380">
        <f>D32*E32*G32</f>
        <v>0</v>
      </c>
      <c r="G32" s="178">
        <v>1</v>
      </c>
      <c r="H32" s="289" t="s">
        <v>124</v>
      </c>
      <c r="I32" s="176"/>
      <c r="J32" s="176"/>
      <c r="K32" s="176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</row>
    <row r="33" spans="1:40" s="14" customFormat="1" ht="27" x14ac:dyDescent="0.25">
      <c r="A33" s="25">
        <v>185804214</v>
      </c>
      <c r="B33" s="29" t="s">
        <v>249</v>
      </c>
      <c r="C33" s="23" t="s">
        <v>6</v>
      </c>
      <c r="D33" s="147">
        <f>D30*0.5*4</f>
        <v>86</v>
      </c>
      <c r="E33" s="387"/>
      <c r="F33" s="378">
        <f>D33*E33*4</f>
        <v>0</v>
      </c>
      <c r="G33" s="82" t="s">
        <v>108</v>
      </c>
      <c r="H33" s="91" t="s">
        <v>127</v>
      </c>
      <c r="I33" s="70"/>
      <c r="J33" s="70"/>
      <c r="K33" s="70"/>
      <c r="L33" s="70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</row>
    <row r="34" spans="1:40" x14ac:dyDescent="0.25">
      <c r="A34" s="25">
        <v>185802112</v>
      </c>
      <c r="B34" s="29" t="s">
        <v>250</v>
      </c>
      <c r="C34" s="23" t="s">
        <v>100</v>
      </c>
      <c r="D34" s="147">
        <f>D30*0.0005</f>
        <v>2.1500000000000002E-2</v>
      </c>
      <c r="E34" s="387"/>
      <c r="F34" s="378">
        <f>D34*E34*4</f>
        <v>0</v>
      </c>
      <c r="G34" s="82">
        <v>1</v>
      </c>
      <c r="H34" s="73"/>
      <c r="I34" s="53"/>
      <c r="J34" s="53"/>
      <c r="K34" s="53"/>
      <c r="L34" s="5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s="146" customFormat="1" x14ac:dyDescent="0.25">
      <c r="A35" s="287" t="s">
        <v>16</v>
      </c>
      <c r="B35" s="288" t="s">
        <v>128</v>
      </c>
      <c r="C35" s="145" t="s">
        <v>100</v>
      </c>
      <c r="D35" s="271">
        <f>D34</f>
        <v>2.1500000000000002E-2</v>
      </c>
      <c r="E35" s="379"/>
      <c r="F35" s="380">
        <f>D35*E35*4</f>
        <v>0</v>
      </c>
      <c r="G35" s="178"/>
      <c r="H35" s="127"/>
      <c r="I35" s="132"/>
      <c r="J35" s="132"/>
      <c r="K35" s="132"/>
      <c r="L35" s="132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</row>
    <row r="36" spans="1:40" x14ac:dyDescent="0.25">
      <c r="A36" s="25" t="s">
        <v>174</v>
      </c>
      <c r="B36" s="29" t="s">
        <v>110</v>
      </c>
      <c r="C36" s="23" t="s">
        <v>7</v>
      </c>
      <c r="D36" s="147">
        <f>D30*3</f>
        <v>129</v>
      </c>
      <c r="E36" s="387"/>
      <c r="F36" s="378">
        <f>D36*E36*G36</f>
        <v>0</v>
      </c>
      <c r="G36" s="82">
        <v>3</v>
      </c>
      <c r="H36" s="91" t="s">
        <v>129</v>
      </c>
      <c r="I36" s="53"/>
      <c r="J36" s="53"/>
      <c r="K36" s="53"/>
      <c r="L36" s="5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x14ac:dyDescent="0.25">
      <c r="A37" s="25">
        <v>185804311</v>
      </c>
      <c r="B37" s="29" t="s">
        <v>130</v>
      </c>
      <c r="C37" s="23" t="s">
        <v>17</v>
      </c>
      <c r="D37" s="147">
        <f>D31*20*0.001*10</f>
        <v>1</v>
      </c>
      <c r="E37" s="387"/>
      <c r="F37" s="378">
        <f>D37*E37*10</f>
        <v>0</v>
      </c>
      <c r="G37" s="82" t="s">
        <v>104</v>
      </c>
      <c r="H37" s="91" t="s">
        <v>131</v>
      </c>
      <c r="I37" s="53"/>
      <c r="J37" s="53"/>
      <c r="K37" s="53"/>
      <c r="L37" s="5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 s="143" customFormat="1" x14ac:dyDescent="0.25">
      <c r="A38" s="152" t="s">
        <v>16</v>
      </c>
      <c r="B38" s="149" t="s">
        <v>71</v>
      </c>
      <c r="C38" s="152" t="s">
        <v>17</v>
      </c>
      <c r="D38" s="271">
        <f>D37</f>
        <v>1</v>
      </c>
      <c r="E38" s="382"/>
      <c r="F38" s="292">
        <f t="shared" ref="F38" si="3">E38*D38</f>
        <v>0</v>
      </c>
      <c r="G38" s="293"/>
      <c r="H38" s="294"/>
      <c r="J38" s="180"/>
    </row>
    <row r="39" spans="1:40" s="15" customFormat="1" x14ac:dyDescent="0.25">
      <c r="A39" s="25" t="s">
        <v>174</v>
      </c>
      <c r="B39" s="29" t="s">
        <v>111</v>
      </c>
      <c r="C39" s="23" t="s">
        <v>7</v>
      </c>
      <c r="D39" s="147">
        <f>D30</f>
        <v>43</v>
      </c>
      <c r="E39" s="387"/>
      <c r="F39" s="378">
        <f>D39*E39*G39</f>
        <v>0</v>
      </c>
      <c r="G39" s="82">
        <v>1</v>
      </c>
      <c r="H39" s="73"/>
      <c r="I39" s="56"/>
      <c r="J39" s="56"/>
      <c r="K39" s="56"/>
      <c r="L39" s="56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s="295" customFormat="1" ht="24.95" customHeight="1" x14ac:dyDescent="0.2">
      <c r="A40" s="295" t="s">
        <v>247</v>
      </c>
      <c r="B40" s="319"/>
      <c r="C40" s="167"/>
      <c r="D40" s="320">
        <v>15</v>
      </c>
      <c r="E40" s="392"/>
      <c r="F40" s="393">
        <f>SUM(F41:F45)</f>
        <v>0</v>
      </c>
      <c r="H40" s="297"/>
      <c r="I40" s="298"/>
      <c r="J40" s="298"/>
      <c r="K40" s="300"/>
      <c r="L40" s="298"/>
      <c r="M40" s="298"/>
    </row>
    <row r="41" spans="1:40" ht="40.5" x14ac:dyDescent="0.25">
      <c r="A41" s="25">
        <v>185804312</v>
      </c>
      <c r="B41" s="84" t="s">
        <v>251</v>
      </c>
      <c r="C41" s="8" t="s">
        <v>17</v>
      </c>
      <c r="D41" s="147">
        <f>D40*50*0.001*7</f>
        <v>5.25</v>
      </c>
      <c r="E41" s="377"/>
      <c r="F41" s="378">
        <f t="shared" ref="F41:F42" si="4">D41*E41</f>
        <v>0</v>
      </c>
      <c r="G41" s="90" t="s">
        <v>121</v>
      </c>
      <c r="H41" s="91" t="s">
        <v>132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s="146" customFormat="1" x14ac:dyDescent="0.25">
      <c r="A42" s="145" t="s">
        <v>16</v>
      </c>
      <c r="B42" s="103" t="s">
        <v>252</v>
      </c>
      <c r="C42" s="142" t="s">
        <v>17</v>
      </c>
      <c r="D42" s="271">
        <f>D41</f>
        <v>5.25</v>
      </c>
      <c r="E42" s="379"/>
      <c r="F42" s="380">
        <f t="shared" si="4"/>
        <v>0</v>
      </c>
      <c r="G42" s="178"/>
      <c r="H42" s="127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</row>
    <row r="43" spans="1:40" s="32" customFormat="1" x14ac:dyDescent="0.25">
      <c r="A43" s="64" t="s">
        <v>174</v>
      </c>
      <c r="B43" s="80" t="s">
        <v>101</v>
      </c>
      <c r="C43" s="65" t="s">
        <v>7</v>
      </c>
      <c r="D43" s="159">
        <f>D40</f>
        <v>15</v>
      </c>
      <c r="E43" s="381"/>
      <c r="F43" s="30">
        <f>D43*E43*G43</f>
        <v>0</v>
      </c>
      <c r="G43" s="82">
        <v>1</v>
      </c>
      <c r="H43" s="88"/>
      <c r="I43" s="56"/>
      <c r="J43" s="57"/>
      <c r="K43" s="56"/>
    </row>
    <row r="44" spans="1:40" s="31" customFormat="1" ht="40.5" x14ac:dyDescent="0.25">
      <c r="A44" s="24" t="s">
        <v>244</v>
      </c>
      <c r="B44" s="83" t="s">
        <v>253</v>
      </c>
      <c r="C44" s="9" t="s">
        <v>6</v>
      </c>
      <c r="D44" s="147">
        <f>16*1</f>
        <v>16</v>
      </c>
      <c r="E44" s="376"/>
      <c r="F44" s="30">
        <f t="shared" ref="F44" si="5">D44*E44*G44</f>
        <v>0</v>
      </c>
      <c r="G44" s="82">
        <v>1</v>
      </c>
      <c r="H44" s="74" t="s">
        <v>245</v>
      </c>
      <c r="I44" s="56"/>
      <c r="J44" s="57"/>
      <c r="K44" s="56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s="143" customFormat="1" x14ac:dyDescent="0.25">
      <c r="A45" s="152" t="s">
        <v>16</v>
      </c>
      <c r="B45" s="103" t="s">
        <v>254</v>
      </c>
      <c r="C45" s="152" t="s">
        <v>17</v>
      </c>
      <c r="D45" s="273">
        <f>0.2*D40</f>
        <v>3</v>
      </c>
      <c r="E45" s="382"/>
      <c r="F45" s="383">
        <f>SUM(E45*D45)</f>
        <v>0</v>
      </c>
      <c r="G45" s="224"/>
      <c r="H45" s="364"/>
      <c r="I45" s="132" t="s">
        <v>72</v>
      </c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</row>
    <row r="46" spans="1:40" s="143" customFormat="1" x14ac:dyDescent="0.25">
      <c r="A46" s="365"/>
      <c r="B46" s="366"/>
      <c r="C46" s="365"/>
      <c r="D46" s="367"/>
      <c r="E46" s="389"/>
      <c r="F46" s="390"/>
      <c r="G46" s="368"/>
      <c r="H46" s="176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</row>
    <row r="47" spans="1:40" x14ac:dyDescent="0.25">
      <c r="A47" s="26" t="s">
        <v>112</v>
      </c>
      <c r="B47" s="1"/>
      <c r="D47" s="283"/>
      <c r="F47" s="370">
        <f>F11+F22+F30+F40</f>
        <v>0</v>
      </c>
      <c r="H47" s="42"/>
      <c r="I47" s="53"/>
      <c r="J47" s="53"/>
      <c r="K47" s="53"/>
      <c r="L47" s="53"/>
      <c r="M47" s="53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 x14ac:dyDescent="0.25">
      <c r="A48" s="26" t="s">
        <v>113</v>
      </c>
      <c r="B48" s="1"/>
      <c r="D48" s="283"/>
      <c r="F48" s="370">
        <f>F47*0.21</f>
        <v>0</v>
      </c>
      <c r="H48" s="42"/>
      <c r="I48" s="53"/>
      <c r="J48" s="53"/>
      <c r="K48" s="53"/>
      <c r="L48" s="53"/>
      <c r="M48" s="53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 s="15" customFormat="1" x14ac:dyDescent="0.25">
      <c r="A49" s="27" t="s">
        <v>114</v>
      </c>
      <c r="C49" s="34"/>
      <c r="D49" s="284"/>
      <c r="E49" s="369"/>
      <c r="F49" s="391">
        <f>F48+F47</f>
        <v>0</v>
      </c>
      <c r="H49" s="58"/>
      <c r="I49" s="56"/>
      <c r="J49" s="56"/>
      <c r="K49" s="56"/>
      <c r="L49" s="56"/>
      <c r="M49" s="56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40" x14ac:dyDescent="0.25"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 x14ac:dyDescent="0.25">
      <c r="A51" s="26" t="s">
        <v>115</v>
      </c>
      <c r="B51" s="1"/>
      <c r="D51" s="283"/>
      <c r="F51" s="370">
        <f>F47*2</f>
        <v>0</v>
      </c>
      <c r="H51" s="42"/>
      <c r="I51" s="53"/>
      <c r="J51" s="53"/>
      <c r="K51" s="53"/>
      <c r="L51" s="53"/>
      <c r="M51" s="53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x14ac:dyDescent="0.25">
      <c r="A52" s="26" t="s">
        <v>116</v>
      </c>
      <c r="B52" s="1"/>
      <c r="D52" s="283"/>
      <c r="F52" s="370">
        <f>F51*0.21</f>
        <v>0</v>
      </c>
      <c r="H52" s="42"/>
      <c r="I52" s="53"/>
      <c r="J52" s="53"/>
      <c r="K52" s="53"/>
      <c r="L52" s="53"/>
      <c r="M52" s="53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 s="15" customFormat="1" x14ac:dyDescent="0.25">
      <c r="A53" s="27" t="s">
        <v>346</v>
      </c>
      <c r="C53" s="34"/>
      <c r="D53" s="284"/>
      <c r="E53" s="369"/>
      <c r="F53" s="391">
        <f>F52+F51</f>
        <v>0</v>
      </c>
      <c r="H53" s="58"/>
      <c r="I53" s="59"/>
      <c r="J53" s="59"/>
      <c r="K53" s="59"/>
      <c r="L53" s="59"/>
      <c r="M53" s="59"/>
    </row>
  </sheetData>
  <sheetProtection algorithmName="SHA-512" hashValue="miqK+RCr1IQpsHTcjedl++mQDG0xHEfvIahKbsguV7pr8RCYw707koXonjOJ3nikd6PCIsF0VH76UaNo2yt2Tw==" saltValue="n7f4SCg5SJItuwAUdhKpcg==" spinCount="100000" sheet="1" objects="1" scenarios="1"/>
  <protectedRanges>
    <protectedRange sqref="E12:E45" name="Oblast1"/>
    <protectedRange algorithmName="SHA-512" hashValue="tulFnmxChDkxEocin+lZU76QyLAdAL8u/Q2KrXQPZlTDFFnJvOGZXKBWLyn8fWQ8m67TEcbgsxA75S9vVXSMeA==" saltValue="h9Hsno5CpRWdK/Dzkfb6uw==" spinCount="100000" sqref="E12:E45" name="Oblast2"/>
  </protectedRanges>
  <mergeCells count="6">
    <mergeCell ref="A5:F5"/>
    <mergeCell ref="A6:F6"/>
    <mergeCell ref="J6:R6"/>
    <mergeCell ref="G8:H8"/>
    <mergeCell ref="A8:F8"/>
    <mergeCell ref="A7:H7"/>
  </mergeCells>
  <pageMargins left="0.25" right="0.25" top="0.75" bottom="0.75" header="0.3" footer="0.3"/>
  <pageSetup paperSize="9" scale="22" fitToHeight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rekapitulace stavby</vt:lpstr>
      <vt:lpstr>rozpocet realizace</vt:lpstr>
      <vt:lpstr>rozpocet nasledna pece</vt:lpstr>
      <vt:lpstr>'rekapitulace stavby'!Oblast_tisku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Gelovi</dc:creator>
  <cp:lastModifiedBy>marie gelova / symbio studio</cp:lastModifiedBy>
  <cp:lastPrinted>2021-02-01T12:58:19Z</cp:lastPrinted>
  <dcterms:created xsi:type="dcterms:W3CDTF">2017-10-25T07:40:07Z</dcterms:created>
  <dcterms:modified xsi:type="dcterms:W3CDTF">2021-02-01T17:52:26Z</dcterms:modified>
</cp:coreProperties>
</file>