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A ADMIN\PROJEKTY\Malý újezd - obec - VAVŘINEČ - OD\VAVŘINEČ - OD - RZP - RDS VÝBĚROVÉ ŘÍZENÍ 23\"/>
    </mc:Choice>
  </mc:AlternateContent>
  <xr:revisionPtr revIDLastSave="0" documentId="13_ncr:1_{664BB5EE-0604-4981-889A-6BAAE7526D18}" xr6:coauthVersionLast="47" xr6:coauthVersionMax="47" xr10:uidLastSave="{00000000-0000-0000-0000-000000000000}"/>
  <bookViews>
    <workbookView xWindow="-38390" yWindow="500" windowWidth="36050" windowHeight="19300" tabRatio="940" xr2:uid="{00000000-000D-0000-FFFF-FFFF00000000}"/>
  </bookViews>
  <sheets>
    <sheet name="Krycí list rozpočtu" sheetId="1" r:id="rId1"/>
    <sheet name="VORN" sheetId="2" r:id="rId2"/>
    <sheet name="Rozpočet - objekty" sheetId="3" r:id="rId3"/>
    <sheet name="Rozpočet - skupiny" sheetId="4" r:id="rId4"/>
    <sheet name="Stavební rozpočet" sheetId="5" r:id="rId5"/>
    <sheet name="REKAPITULACE VZT" sheetId="7" r:id="rId6"/>
    <sheet name="ROZPOČET  VZT" sheetId="6" r:id="rId7"/>
    <sheet name="TOPENÍ" sheetId="9" r:id="rId8"/>
    <sheet name="Rekapitulace NN" sheetId="10" r:id="rId9"/>
    <sheet name="Soupis položek+" sheetId="11" r:id="rId10"/>
    <sheet name="Rekapitulace R1" sheetId="12" r:id="rId11"/>
    <sheet name="Soupis položek R1" sheetId="13" r:id="rId12"/>
    <sheet name="Rekapitulace RE1" sheetId="14" r:id="rId13"/>
    <sheet name="Soupis položek RE1" sheetId="15" r:id="rId14"/>
    <sheet name="Rekapitulace R01" sheetId="16" r:id="rId15"/>
    <sheet name="Soupis položek R01" sheetId="17" r:id="rId16"/>
    <sheet name="Rekapitulace R2" sheetId="18" r:id="rId17"/>
    <sheet name="Soupis položek R2" sheetId="19" r:id="rId18"/>
    <sheet name="Rekapitulace R3" sheetId="20" r:id="rId19"/>
    <sheet name="Soupis položek R3" sheetId="21" r:id="rId20"/>
    <sheet name="Rekapitulace R4" sheetId="22" r:id="rId21"/>
    <sheet name="Soupis položek R4" sheetId="23" r:id="rId22"/>
    <sheet name="Rekapitulace R5" sheetId="24" r:id="rId23"/>
    <sheet name="Soupis položek R5" sheetId="25" r:id="rId24"/>
    <sheet name="Rekapitulace R spol" sheetId="26" r:id="rId25"/>
    <sheet name="Soupis položek R spol" sheetId="27" r:id="rId26"/>
    <sheet name="Rekapitulace R top" sheetId="28" r:id="rId27"/>
    <sheet name="Soupis položek R top" sheetId="29" r:id="rId28"/>
    <sheet name="Rekapitulace Rb1;2" sheetId="30" r:id="rId29"/>
    <sheet name="Soupis položek Rb1;2" sheetId="31" r:id="rId30"/>
    <sheet name="MAR rekapitulace" sheetId="32" r:id="rId31"/>
    <sheet name="MAR Materiál" sheetId="33" r:id="rId32"/>
    <sheet name="MAR montáž" sheetId="34" r:id="rId33"/>
  </sheets>
  <externalReferences>
    <externalReference r:id="rId34"/>
    <externalReference r:id="rId35"/>
  </externalReferences>
  <definedNames>
    <definedName name="_xlnm.Print_Titles" localSheetId="25">'Soupis položek R spol'!$12:$12</definedName>
    <definedName name="_xlnm.Print_Titles" localSheetId="27">'Soupis položek R top'!$12:$12</definedName>
    <definedName name="_xlnm.Print_Titles" localSheetId="15">'Soupis položek R01'!$12:$12</definedName>
    <definedName name="_xlnm.Print_Titles" localSheetId="11">'Soupis položek R1'!$12:$12</definedName>
    <definedName name="_xlnm.Print_Titles" localSheetId="17">'Soupis položek R2'!$12:$12</definedName>
    <definedName name="_xlnm.Print_Titles" localSheetId="19">'Soupis položek R3'!$12:$12</definedName>
    <definedName name="_xlnm.Print_Titles" localSheetId="21">'Soupis položek R4'!$12:$12</definedName>
    <definedName name="_xlnm.Print_Titles" localSheetId="23">'Soupis položek R5'!$12:$12</definedName>
    <definedName name="_xlnm.Print_Titles" localSheetId="29">'Soupis položek Rb1;2'!$12:$12</definedName>
    <definedName name="_xlnm.Print_Titles" localSheetId="13">'Soupis položek RE1'!$12:$12</definedName>
    <definedName name="_xlnm.Print_Titles" localSheetId="9">'Soupis položek+'!$7:$7</definedName>
    <definedName name="_xlnm.Print_Area" localSheetId="31">'MAR Materiál'!$A$1:$G$53</definedName>
    <definedName name="_xlnm.Print_Area" localSheetId="32">'MAR montáž'!$A$1:$G$60</definedName>
    <definedName name="_xlnm.Print_Area" localSheetId="24">'Rekapitulace R spol'!$A:$F</definedName>
    <definedName name="_xlnm.Print_Area" localSheetId="26">'Rekapitulace R top'!$A:$F</definedName>
    <definedName name="_xlnm.Print_Area" localSheetId="14">'Rekapitulace R01'!$A:$F</definedName>
    <definedName name="_xlnm.Print_Area" localSheetId="10">'Rekapitulace R1'!$A:$F</definedName>
    <definedName name="_xlnm.Print_Area" localSheetId="16">'Rekapitulace R2'!$A:$F</definedName>
    <definedName name="_xlnm.Print_Area" localSheetId="18">'Rekapitulace R3'!$A:$F</definedName>
    <definedName name="_xlnm.Print_Area" localSheetId="20">'Rekapitulace R4'!$A:$F</definedName>
    <definedName name="_xlnm.Print_Area" localSheetId="22">'Rekapitulace R5'!$A:$F</definedName>
    <definedName name="_xlnm.Print_Area" localSheetId="28">'Rekapitulace Rb1;2'!$A:$F</definedName>
    <definedName name="_xlnm.Print_Area" localSheetId="12">'Rekapitulace RE1'!$A:$F</definedName>
    <definedName name="_xlnm.Print_Area" localSheetId="5">'REKAPITULACE VZT'!$A$1:$D$45</definedName>
    <definedName name="_xlnm.Print_Area" localSheetId="7">TOPENÍ!$A$1:$J$101</definedName>
    <definedName name="vorn_sum">VORN!$I$45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1" l="1"/>
  <c r="F16" i="14" l="1"/>
  <c r="R757" i="5"/>
  <c r="S747" i="5"/>
  <c r="R747" i="5"/>
  <c r="C7" i="7"/>
  <c r="D7" i="7"/>
  <c r="S757" i="5"/>
  <c r="S92" i="5"/>
  <c r="R92" i="5"/>
  <c r="BL588" i="5"/>
  <c r="BF588" i="5"/>
  <c r="AR588" i="5"/>
  <c r="J588" i="5" s="1"/>
  <c r="AQ588" i="5"/>
  <c r="I588" i="5" s="1"/>
  <c r="AM588" i="5"/>
  <c r="AL588" i="5"/>
  <c r="AJ588" i="5"/>
  <c r="AI588" i="5"/>
  <c r="AH588" i="5"/>
  <c r="AE588" i="5"/>
  <c r="AD588" i="5"/>
  <c r="AB588" i="5"/>
  <c r="M588" i="5"/>
  <c r="BH588" i="5" s="1"/>
  <c r="K588" i="5"/>
  <c r="AN588" i="5" s="1"/>
  <c r="BL590" i="5"/>
  <c r="BF590" i="5"/>
  <c r="AR590" i="5"/>
  <c r="AZ590" i="5" s="1"/>
  <c r="AQ590" i="5"/>
  <c r="BJ590" i="5" s="1"/>
  <c r="AF590" i="5" s="1"/>
  <c r="AM590" i="5"/>
  <c r="AL590" i="5"/>
  <c r="AJ590" i="5"/>
  <c r="AI590" i="5"/>
  <c r="AH590" i="5"/>
  <c r="AE590" i="5"/>
  <c r="AD590" i="5"/>
  <c r="AB590" i="5"/>
  <c r="M590" i="5"/>
  <c r="BH590" i="5" s="1"/>
  <c r="K590" i="5"/>
  <c r="AN590" i="5" s="1"/>
  <c r="G574" i="5"/>
  <c r="H8" i="4"/>
  <c r="H8" i="3"/>
  <c r="I10" i="2"/>
  <c r="I10" i="1"/>
  <c r="G50" i="34"/>
  <c r="G49" i="34"/>
  <c r="G48" i="34"/>
  <c r="G47" i="34"/>
  <c r="G46" i="34"/>
  <c r="G45" i="34"/>
  <c r="G44" i="34"/>
  <c r="G43" i="34"/>
  <c r="G42" i="34"/>
  <c r="G41" i="34"/>
  <c r="G40" i="34"/>
  <c r="G36" i="34"/>
  <c r="G35" i="34"/>
  <c r="G31" i="34"/>
  <c r="G30" i="34"/>
  <c r="G29" i="34"/>
  <c r="G28" i="34"/>
  <c r="G24" i="34"/>
  <c r="G23" i="34"/>
  <c r="G22" i="34"/>
  <c r="G18" i="34"/>
  <c r="G17" i="34"/>
  <c r="G16" i="34"/>
  <c r="G12" i="34"/>
  <c r="G11" i="34"/>
  <c r="G10" i="34"/>
  <c r="G42" i="33"/>
  <c r="G41" i="33"/>
  <c r="G40" i="33"/>
  <c r="G36" i="33"/>
  <c r="G35" i="33"/>
  <c r="G31" i="33"/>
  <c r="G30" i="33"/>
  <c r="G29" i="33"/>
  <c r="G28" i="33"/>
  <c r="G24" i="33"/>
  <c r="G23" i="33"/>
  <c r="G19" i="33"/>
  <c r="G18" i="33"/>
  <c r="G17" i="33"/>
  <c r="G13" i="33"/>
  <c r="G12" i="33"/>
  <c r="E18" i="32"/>
  <c r="G52" i="33" l="1"/>
  <c r="C17" i="32" s="1"/>
  <c r="C21" i="32" s="1"/>
  <c r="AY588" i="5"/>
  <c r="AZ588" i="5"/>
  <c r="BJ588" i="5"/>
  <c r="AF588" i="5" s="1"/>
  <c r="BK588" i="5"/>
  <c r="AG588" i="5" s="1"/>
  <c r="AY590" i="5"/>
  <c r="AX590" i="5" s="1"/>
  <c r="I590" i="5"/>
  <c r="BK590" i="5"/>
  <c r="AG590" i="5" s="1"/>
  <c r="J590" i="5"/>
  <c r="G60" i="34"/>
  <c r="D17" i="32" s="1"/>
  <c r="BE590" i="5" l="1"/>
  <c r="AX588" i="5"/>
  <c r="BE588" i="5"/>
  <c r="C22" i="32"/>
  <c r="C23" i="32" s="1"/>
  <c r="AQ1346" i="5"/>
  <c r="E17" i="32"/>
  <c r="D19" i="32"/>
  <c r="E19" i="32" s="1"/>
  <c r="E21" i="32" l="1"/>
  <c r="D21" i="32"/>
  <c r="I21" i="31"/>
  <c r="G21" i="31"/>
  <c r="I20" i="31"/>
  <c r="G20" i="31"/>
  <c r="I19" i="31"/>
  <c r="G19" i="31"/>
  <c r="I18" i="31"/>
  <c r="G18" i="31"/>
  <c r="I17" i="31"/>
  <c r="G17" i="31"/>
  <c r="I16" i="31"/>
  <c r="G16" i="31"/>
  <c r="I15" i="31"/>
  <c r="G15" i="31"/>
  <c r="I14" i="31"/>
  <c r="G14" i="31"/>
  <c r="I13" i="31"/>
  <c r="G13" i="31"/>
  <c r="I12" i="31"/>
  <c r="G12" i="31"/>
  <c r="F15" i="30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F15" i="28"/>
  <c r="I24" i="27"/>
  <c r="G24" i="27"/>
  <c r="I23" i="27"/>
  <c r="G23" i="27"/>
  <c r="I22" i="27"/>
  <c r="G22" i="27"/>
  <c r="I21" i="27"/>
  <c r="G21" i="27"/>
  <c r="I20" i="27"/>
  <c r="G20" i="27"/>
  <c r="I19" i="27"/>
  <c r="G19" i="27"/>
  <c r="I18" i="27"/>
  <c r="G18" i="27"/>
  <c r="I17" i="27"/>
  <c r="G17" i="27"/>
  <c r="I16" i="27"/>
  <c r="G16" i="27"/>
  <c r="I15" i="27"/>
  <c r="G15" i="27"/>
  <c r="I14" i="27"/>
  <c r="G14" i="27"/>
  <c r="I13" i="27"/>
  <c r="G13" i="27"/>
  <c r="I12" i="27"/>
  <c r="G12" i="27"/>
  <c r="F15" i="26"/>
  <c r="I21" i="25"/>
  <c r="G21" i="25"/>
  <c r="I20" i="25"/>
  <c r="G20" i="25"/>
  <c r="I19" i="25"/>
  <c r="G19" i="25"/>
  <c r="I18" i="25"/>
  <c r="G18" i="25"/>
  <c r="I17" i="25"/>
  <c r="G17" i="25"/>
  <c r="I16" i="25"/>
  <c r="G16" i="25"/>
  <c r="I15" i="25"/>
  <c r="G15" i="25"/>
  <c r="I14" i="25"/>
  <c r="G14" i="25"/>
  <c r="I13" i="25"/>
  <c r="G13" i="25"/>
  <c r="I12" i="25"/>
  <c r="G12" i="25"/>
  <c r="F15" i="24"/>
  <c r="I20" i="23"/>
  <c r="G20" i="23"/>
  <c r="I19" i="23"/>
  <c r="G19" i="23"/>
  <c r="I18" i="23"/>
  <c r="G18" i="23"/>
  <c r="I17" i="23"/>
  <c r="G17" i="23"/>
  <c r="I16" i="23"/>
  <c r="G16" i="23"/>
  <c r="I15" i="23"/>
  <c r="G15" i="23"/>
  <c r="I14" i="23"/>
  <c r="G14" i="23"/>
  <c r="I13" i="23"/>
  <c r="G13" i="23"/>
  <c r="I12" i="23"/>
  <c r="G12" i="23"/>
  <c r="F15" i="22"/>
  <c r="I20" i="21"/>
  <c r="G20" i="21"/>
  <c r="I19" i="21"/>
  <c r="G19" i="21"/>
  <c r="I18" i="21"/>
  <c r="G18" i="21"/>
  <c r="I17" i="21"/>
  <c r="G17" i="21"/>
  <c r="I16" i="21"/>
  <c r="G16" i="21"/>
  <c r="I15" i="21"/>
  <c r="G15" i="21"/>
  <c r="I14" i="21"/>
  <c r="G14" i="21"/>
  <c r="I13" i="21"/>
  <c r="G13" i="21"/>
  <c r="I12" i="21"/>
  <c r="G12" i="21"/>
  <c r="F15" i="20"/>
  <c r="F12" i="20"/>
  <c r="I24" i="19"/>
  <c r="G24" i="19"/>
  <c r="I23" i="19"/>
  <c r="G23" i="19"/>
  <c r="I22" i="19"/>
  <c r="G22" i="19"/>
  <c r="I21" i="19"/>
  <c r="G21" i="19"/>
  <c r="I20" i="19"/>
  <c r="G20" i="19"/>
  <c r="I19" i="19"/>
  <c r="G19" i="19"/>
  <c r="I18" i="19"/>
  <c r="G18" i="19"/>
  <c r="I17" i="19"/>
  <c r="G17" i="19"/>
  <c r="I16" i="19"/>
  <c r="G16" i="19"/>
  <c r="I15" i="19"/>
  <c r="G15" i="19"/>
  <c r="I14" i="19"/>
  <c r="G14" i="19"/>
  <c r="I13" i="19"/>
  <c r="G13" i="19"/>
  <c r="I12" i="19"/>
  <c r="G12" i="19"/>
  <c r="F15" i="18"/>
  <c r="I21" i="17"/>
  <c r="G21" i="17"/>
  <c r="I20" i="17"/>
  <c r="G20" i="17"/>
  <c r="I19" i="17"/>
  <c r="G19" i="17"/>
  <c r="I18" i="17"/>
  <c r="G18" i="17"/>
  <c r="I17" i="17"/>
  <c r="G17" i="17"/>
  <c r="I16" i="17"/>
  <c r="G16" i="17"/>
  <c r="I15" i="17"/>
  <c r="G15" i="17"/>
  <c r="I14" i="17"/>
  <c r="G14" i="17"/>
  <c r="I13" i="17"/>
  <c r="G13" i="17"/>
  <c r="I12" i="17"/>
  <c r="G12" i="17"/>
  <c r="F15" i="16"/>
  <c r="I24" i="15"/>
  <c r="G24" i="15"/>
  <c r="I23" i="15"/>
  <c r="G23" i="15"/>
  <c r="I22" i="15"/>
  <c r="G22" i="15"/>
  <c r="I21" i="15"/>
  <c r="G21" i="15"/>
  <c r="I20" i="15"/>
  <c r="G20" i="15"/>
  <c r="I19" i="15"/>
  <c r="G19" i="15"/>
  <c r="I18" i="15"/>
  <c r="G18" i="15"/>
  <c r="I15" i="15"/>
  <c r="I16" i="15" s="1"/>
  <c r="G15" i="15"/>
  <c r="G16" i="15" s="1"/>
  <c r="I12" i="15"/>
  <c r="I13" i="15" s="1"/>
  <c r="G12" i="15"/>
  <c r="G13" i="15" s="1"/>
  <c r="F19" i="14"/>
  <c r="G28" i="11" s="1"/>
  <c r="F15" i="14"/>
  <c r="I19" i="13"/>
  <c r="G19" i="13"/>
  <c r="I18" i="13"/>
  <c r="G18" i="13"/>
  <c r="I17" i="13"/>
  <c r="G17" i="13"/>
  <c r="I16" i="13"/>
  <c r="G16" i="13"/>
  <c r="I15" i="13"/>
  <c r="G15" i="13"/>
  <c r="I14" i="13"/>
  <c r="G14" i="13"/>
  <c r="I13" i="13"/>
  <c r="G13" i="13"/>
  <c r="I12" i="13"/>
  <c r="G12" i="13"/>
  <c r="F15" i="12"/>
  <c r="I283" i="11"/>
  <c r="G283" i="11"/>
  <c r="F284" i="11" s="1"/>
  <c r="I280" i="11"/>
  <c r="G280" i="11"/>
  <c r="I279" i="11"/>
  <c r="G279" i="11"/>
  <c r="I278" i="11"/>
  <c r="G278" i="11"/>
  <c r="I275" i="11"/>
  <c r="G275" i="11"/>
  <c r="I274" i="11"/>
  <c r="G274" i="11"/>
  <c r="I273" i="11"/>
  <c r="G273" i="11"/>
  <c r="I272" i="11"/>
  <c r="G272" i="11"/>
  <c r="I271" i="11"/>
  <c r="G271" i="11"/>
  <c r="I270" i="11"/>
  <c r="G270" i="11"/>
  <c r="I267" i="11"/>
  <c r="G267" i="11"/>
  <c r="I266" i="11"/>
  <c r="G266" i="11"/>
  <c r="I261" i="11"/>
  <c r="G261" i="11"/>
  <c r="I260" i="11"/>
  <c r="G260" i="11"/>
  <c r="I259" i="11"/>
  <c r="G259" i="11"/>
  <c r="I258" i="11"/>
  <c r="G258" i="11"/>
  <c r="I257" i="11"/>
  <c r="G257" i="11"/>
  <c r="I256" i="11"/>
  <c r="G256" i="11"/>
  <c r="I251" i="11"/>
  <c r="G251" i="11"/>
  <c r="I250" i="11"/>
  <c r="G250" i="11"/>
  <c r="I249" i="11"/>
  <c r="G249" i="11"/>
  <c r="I248" i="11"/>
  <c r="G248" i="11"/>
  <c r="I247" i="11"/>
  <c r="G247" i="11"/>
  <c r="I244" i="11"/>
  <c r="G244" i="11"/>
  <c r="I243" i="11"/>
  <c r="G243" i="11"/>
  <c r="I242" i="11"/>
  <c r="G242" i="11"/>
  <c r="I241" i="11"/>
  <c r="G241" i="11"/>
  <c r="I240" i="11"/>
  <c r="G240" i="11"/>
  <c r="I239" i="11"/>
  <c r="G239" i="11"/>
  <c r="I238" i="11"/>
  <c r="G238" i="11"/>
  <c r="I237" i="11"/>
  <c r="G237" i="11"/>
  <c r="I236" i="11"/>
  <c r="G236" i="11"/>
  <c r="I235" i="11"/>
  <c r="G235" i="11"/>
  <c r="I234" i="11"/>
  <c r="G234" i="11"/>
  <c r="I233" i="11"/>
  <c r="G233" i="11"/>
  <c r="I232" i="11"/>
  <c r="G232" i="11"/>
  <c r="I231" i="11"/>
  <c r="G231" i="11"/>
  <c r="I230" i="11"/>
  <c r="G230" i="11"/>
  <c r="I229" i="11"/>
  <c r="G229" i="11"/>
  <c r="I228" i="11"/>
  <c r="G228" i="11"/>
  <c r="I225" i="11"/>
  <c r="G225" i="11"/>
  <c r="I224" i="11"/>
  <c r="G224" i="11"/>
  <c r="I223" i="11"/>
  <c r="G223" i="11"/>
  <c r="I222" i="11"/>
  <c r="G222" i="11"/>
  <c r="I221" i="11"/>
  <c r="G221" i="11"/>
  <c r="I220" i="11"/>
  <c r="G220" i="11"/>
  <c r="I219" i="11"/>
  <c r="G219" i="11"/>
  <c r="I218" i="11"/>
  <c r="G218" i="11"/>
  <c r="I217" i="11"/>
  <c r="G217" i="11"/>
  <c r="I216" i="11"/>
  <c r="G216" i="11"/>
  <c r="I215" i="11"/>
  <c r="G215" i="11"/>
  <c r="I214" i="11"/>
  <c r="G214" i="11"/>
  <c r="I213" i="11"/>
  <c r="G213" i="11"/>
  <c r="I212" i="11"/>
  <c r="G212" i="11"/>
  <c r="I211" i="11"/>
  <c r="G211" i="11"/>
  <c r="I210" i="11"/>
  <c r="G210" i="11"/>
  <c r="I209" i="11"/>
  <c r="G209" i="11"/>
  <c r="I208" i="11"/>
  <c r="G208" i="11"/>
  <c r="I207" i="11"/>
  <c r="G207" i="11"/>
  <c r="I206" i="11"/>
  <c r="G206" i="11"/>
  <c r="I205" i="11"/>
  <c r="G205" i="11"/>
  <c r="I204" i="11"/>
  <c r="G204" i="11"/>
  <c r="I201" i="11"/>
  <c r="G201" i="11"/>
  <c r="I200" i="11"/>
  <c r="G200" i="11"/>
  <c r="I199" i="11"/>
  <c r="G199" i="11"/>
  <c r="I198" i="11"/>
  <c r="G198" i="11"/>
  <c r="I197" i="11"/>
  <c r="G197" i="11"/>
  <c r="I196" i="11"/>
  <c r="G196" i="11"/>
  <c r="I195" i="11"/>
  <c r="G195" i="11"/>
  <c r="I194" i="11"/>
  <c r="G194" i="11"/>
  <c r="I193" i="11"/>
  <c r="G193" i="11"/>
  <c r="I192" i="11"/>
  <c r="G192" i="11"/>
  <c r="I191" i="11"/>
  <c r="G191" i="11"/>
  <c r="I190" i="11"/>
  <c r="G190" i="11"/>
  <c r="I189" i="11"/>
  <c r="G189" i="11"/>
  <c r="I188" i="11"/>
  <c r="G188" i="11"/>
  <c r="I187" i="11"/>
  <c r="G187" i="11"/>
  <c r="I186" i="11"/>
  <c r="G186" i="11"/>
  <c r="I185" i="11"/>
  <c r="G185" i="11"/>
  <c r="I184" i="11"/>
  <c r="G184" i="11"/>
  <c r="I183" i="11"/>
  <c r="G183" i="11"/>
  <c r="I182" i="11"/>
  <c r="G182" i="11"/>
  <c r="I181" i="11"/>
  <c r="G181" i="11"/>
  <c r="I180" i="11"/>
  <c r="G180" i="11"/>
  <c r="I179" i="11"/>
  <c r="G179" i="11"/>
  <c r="I178" i="11"/>
  <c r="G178" i="11"/>
  <c r="I177" i="11"/>
  <c r="G177" i="11"/>
  <c r="I174" i="11"/>
  <c r="G174" i="11"/>
  <c r="I173" i="11"/>
  <c r="G173" i="11"/>
  <c r="I172" i="11"/>
  <c r="G172" i="11"/>
  <c r="I171" i="11"/>
  <c r="G171" i="11"/>
  <c r="I170" i="11"/>
  <c r="G170" i="11"/>
  <c r="I169" i="11"/>
  <c r="G169" i="11"/>
  <c r="I168" i="11"/>
  <c r="G168" i="11"/>
  <c r="I167" i="11"/>
  <c r="G167" i="11"/>
  <c r="I166" i="11"/>
  <c r="G166" i="11"/>
  <c r="I165" i="11"/>
  <c r="G165" i="11"/>
  <c r="I164" i="11"/>
  <c r="G164" i="11"/>
  <c r="I163" i="11"/>
  <c r="G163" i="11"/>
  <c r="I162" i="11"/>
  <c r="G162" i="11"/>
  <c r="I160" i="11"/>
  <c r="G160" i="11"/>
  <c r="I159" i="11"/>
  <c r="G159" i="11"/>
  <c r="I158" i="11"/>
  <c r="G158" i="11"/>
  <c r="I157" i="11"/>
  <c r="G157" i="11"/>
  <c r="I156" i="11"/>
  <c r="G156" i="11"/>
  <c r="I155" i="11"/>
  <c r="G155" i="11"/>
  <c r="I154" i="11"/>
  <c r="G154" i="11"/>
  <c r="I153" i="11"/>
  <c r="G153" i="11"/>
  <c r="I152" i="11"/>
  <c r="G152" i="11"/>
  <c r="I151" i="11"/>
  <c r="G151" i="11"/>
  <c r="I150" i="11"/>
  <c r="G150" i="11"/>
  <c r="I149" i="11"/>
  <c r="G149" i="11"/>
  <c r="I145" i="11"/>
  <c r="G145" i="11"/>
  <c r="I144" i="11"/>
  <c r="G144" i="11"/>
  <c r="I143" i="11"/>
  <c r="G143" i="11"/>
  <c r="N138" i="11"/>
  <c r="I138" i="11"/>
  <c r="G138" i="11"/>
  <c r="I137" i="11"/>
  <c r="G137" i="11"/>
  <c r="I136" i="11"/>
  <c r="G136" i="11"/>
  <c r="I135" i="11"/>
  <c r="G135" i="11"/>
  <c r="N134" i="11"/>
  <c r="I134" i="11"/>
  <c r="G134" i="11"/>
  <c r="I133" i="11"/>
  <c r="G133" i="11"/>
  <c r="I132" i="11"/>
  <c r="G132" i="11"/>
  <c r="I129" i="11"/>
  <c r="G129" i="11"/>
  <c r="I128" i="11"/>
  <c r="G128" i="11"/>
  <c r="I127" i="11"/>
  <c r="G127" i="11"/>
  <c r="I126" i="11"/>
  <c r="G126" i="11"/>
  <c r="I125" i="11"/>
  <c r="G125" i="11"/>
  <c r="I124" i="11"/>
  <c r="G124" i="11"/>
  <c r="I123" i="11"/>
  <c r="G123" i="11"/>
  <c r="N122" i="11"/>
  <c r="I122" i="11"/>
  <c r="G122" i="11"/>
  <c r="N121" i="11"/>
  <c r="I121" i="11"/>
  <c r="G121" i="11"/>
  <c r="N120" i="11"/>
  <c r="I120" i="11"/>
  <c r="G120" i="11"/>
  <c r="N119" i="11"/>
  <c r="I119" i="11"/>
  <c r="G119" i="11"/>
  <c r="N118" i="11"/>
  <c r="I118" i="11"/>
  <c r="G118" i="11"/>
  <c r="N117" i="11"/>
  <c r="I117" i="11"/>
  <c r="G117" i="11"/>
  <c r="N116" i="11"/>
  <c r="I116" i="11"/>
  <c r="G116" i="11"/>
  <c r="I113" i="11"/>
  <c r="G113" i="11"/>
  <c r="I112" i="11"/>
  <c r="G112" i="11"/>
  <c r="I111" i="11"/>
  <c r="G111" i="11"/>
  <c r="I110" i="11"/>
  <c r="G110" i="11"/>
  <c r="I109" i="11"/>
  <c r="G109" i="11"/>
  <c r="I108" i="11"/>
  <c r="G108" i="11"/>
  <c r="I107" i="11"/>
  <c r="G107" i="11"/>
  <c r="I106" i="11"/>
  <c r="G106" i="11"/>
  <c r="N105" i="11"/>
  <c r="I105" i="11"/>
  <c r="G105" i="11"/>
  <c r="N104" i="11"/>
  <c r="I104" i="11"/>
  <c r="G104" i="11"/>
  <c r="N103" i="11"/>
  <c r="I103" i="11"/>
  <c r="G103" i="11"/>
  <c r="N102" i="11"/>
  <c r="I102" i="11"/>
  <c r="G102" i="11"/>
  <c r="N101" i="11"/>
  <c r="I101" i="11"/>
  <c r="G101" i="11"/>
  <c r="N100" i="11"/>
  <c r="I100" i="11"/>
  <c r="G100" i="11"/>
  <c r="N99" i="11"/>
  <c r="I99" i="11"/>
  <c r="G99" i="11"/>
  <c r="N98" i="11"/>
  <c r="I98" i="11"/>
  <c r="G98" i="11"/>
  <c r="N97" i="11"/>
  <c r="I97" i="11"/>
  <c r="G97" i="11"/>
  <c r="N96" i="11"/>
  <c r="I96" i="11"/>
  <c r="G96" i="11"/>
  <c r="I93" i="11"/>
  <c r="G93" i="11"/>
  <c r="I92" i="11"/>
  <c r="G92" i="11"/>
  <c r="I91" i="11"/>
  <c r="G91" i="11"/>
  <c r="I90" i="11"/>
  <c r="G90" i="11"/>
  <c r="I89" i="11"/>
  <c r="G89" i="11"/>
  <c r="I88" i="11"/>
  <c r="G88" i="11"/>
  <c r="I87" i="11"/>
  <c r="G87" i="11"/>
  <c r="I86" i="11"/>
  <c r="G86" i="11"/>
  <c r="I85" i="11"/>
  <c r="G85" i="11"/>
  <c r="I84" i="11"/>
  <c r="G84" i="11"/>
  <c r="I83" i="11"/>
  <c r="G83" i="11"/>
  <c r="I82" i="11"/>
  <c r="G82" i="11"/>
  <c r="I81" i="11"/>
  <c r="G81" i="11"/>
  <c r="N80" i="11"/>
  <c r="I80" i="11"/>
  <c r="G80" i="11"/>
  <c r="N79" i="11"/>
  <c r="I79" i="11"/>
  <c r="G79" i="11"/>
  <c r="N78" i="11"/>
  <c r="I78" i="11"/>
  <c r="G78" i="11"/>
  <c r="N77" i="11"/>
  <c r="I77" i="11"/>
  <c r="G77" i="11"/>
  <c r="N76" i="11"/>
  <c r="I76" i="11"/>
  <c r="G76" i="11"/>
  <c r="N75" i="11"/>
  <c r="I75" i="11"/>
  <c r="G75" i="11"/>
  <c r="N74" i="11"/>
  <c r="I74" i="11"/>
  <c r="G74" i="11"/>
  <c r="N73" i="11"/>
  <c r="I73" i="11"/>
  <c r="G73" i="11"/>
  <c r="I70" i="11"/>
  <c r="G70" i="11"/>
  <c r="I69" i="11"/>
  <c r="G69" i="11"/>
  <c r="I68" i="11"/>
  <c r="G68" i="11"/>
  <c r="I67" i="11"/>
  <c r="G67" i="11"/>
  <c r="N66" i="11"/>
  <c r="I66" i="11"/>
  <c r="G66" i="11"/>
  <c r="N65" i="11"/>
  <c r="I65" i="11"/>
  <c r="G65" i="11"/>
  <c r="N64" i="11"/>
  <c r="I64" i="11"/>
  <c r="G64" i="11"/>
  <c r="N63" i="11"/>
  <c r="I63" i="11"/>
  <c r="G63" i="11"/>
  <c r="N62" i="11"/>
  <c r="I62" i="11"/>
  <c r="G62" i="11"/>
  <c r="N61" i="11"/>
  <c r="I61" i="11"/>
  <c r="G61" i="11"/>
  <c r="I56" i="11"/>
  <c r="G56" i="11"/>
  <c r="F57" i="11" s="1"/>
  <c r="I53" i="11"/>
  <c r="G53" i="11"/>
  <c r="I52" i="11"/>
  <c r="G52" i="11"/>
  <c r="I51" i="11"/>
  <c r="G51" i="11"/>
  <c r="I48" i="11"/>
  <c r="G48" i="11"/>
  <c r="I47" i="11"/>
  <c r="G47" i="11"/>
  <c r="I46" i="11"/>
  <c r="G46" i="11"/>
  <c r="I45" i="11"/>
  <c r="G45" i="11"/>
  <c r="I44" i="11"/>
  <c r="G44" i="11"/>
  <c r="I43" i="11"/>
  <c r="G43" i="11"/>
  <c r="I42" i="11"/>
  <c r="G42" i="11"/>
  <c r="I39" i="11"/>
  <c r="G39" i="11"/>
  <c r="I38" i="11"/>
  <c r="G38" i="11"/>
  <c r="I36" i="11"/>
  <c r="I35" i="11"/>
  <c r="I34" i="11"/>
  <c r="I33" i="11"/>
  <c r="I32" i="11"/>
  <c r="I31" i="11"/>
  <c r="I30" i="11"/>
  <c r="I29" i="11"/>
  <c r="I28" i="11"/>
  <c r="I27" i="11"/>
  <c r="G23" i="11"/>
  <c r="F24" i="11" s="1"/>
  <c r="G20" i="11"/>
  <c r="F21" i="11" s="1"/>
  <c r="I17" i="11"/>
  <c r="G17" i="11"/>
  <c r="F18" i="11" s="1"/>
  <c r="I14" i="11"/>
  <c r="G14" i="11"/>
  <c r="F15" i="11" s="1"/>
  <c r="G11" i="11"/>
  <c r="F12" i="11" s="1"/>
  <c r="F36" i="10"/>
  <c r="G36" i="10" s="1"/>
  <c r="F32" i="10"/>
  <c r="G32" i="10" s="1"/>
  <c r="M94" i="9"/>
  <c r="J94" i="9"/>
  <c r="M93" i="9"/>
  <c r="J93" i="9"/>
  <c r="M92" i="9"/>
  <c r="J92" i="9"/>
  <c r="M91" i="9"/>
  <c r="J91" i="9"/>
  <c r="J90" i="9"/>
  <c r="M89" i="9"/>
  <c r="J89" i="9"/>
  <c r="M88" i="9"/>
  <c r="J88" i="9"/>
  <c r="M87" i="9"/>
  <c r="J87" i="9"/>
  <c r="M86" i="9"/>
  <c r="J86" i="9"/>
  <c r="M85" i="9"/>
  <c r="J85" i="9"/>
  <c r="M84" i="9"/>
  <c r="J84" i="9"/>
  <c r="M83" i="9"/>
  <c r="J83" i="9"/>
  <c r="M82" i="9"/>
  <c r="J82" i="9"/>
  <c r="M81" i="9"/>
  <c r="J81" i="9"/>
  <c r="J80" i="9"/>
  <c r="J79" i="9"/>
  <c r="J78" i="9"/>
  <c r="J77" i="9"/>
  <c r="J76" i="9"/>
  <c r="J75" i="9"/>
  <c r="J74" i="9"/>
  <c r="J73" i="9"/>
  <c r="J72" i="9"/>
  <c r="M71" i="9"/>
  <c r="J71" i="9"/>
  <c r="M70" i="9"/>
  <c r="J70" i="9"/>
  <c r="M69" i="9"/>
  <c r="J69" i="9"/>
  <c r="M68" i="9"/>
  <c r="J68" i="9"/>
  <c r="M67" i="9"/>
  <c r="J67" i="9"/>
  <c r="M66" i="9"/>
  <c r="J66" i="9"/>
  <c r="M65" i="9"/>
  <c r="J65" i="9"/>
  <c r="M64" i="9"/>
  <c r="J64" i="9"/>
  <c r="M63" i="9"/>
  <c r="J63" i="9"/>
  <c r="M62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M43" i="9"/>
  <c r="J43" i="9"/>
  <c r="M42" i="9"/>
  <c r="J42" i="9"/>
  <c r="J41" i="9"/>
  <c r="J40" i="9"/>
  <c r="J39" i="9"/>
  <c r="M38" i="9"/>
  <c r="J38" i="9"/>
  <c r="J37" i="9"/>
  <c r="M36" i="9"/>
  <c r="J36" i="9"/>
  <c r="M35" i="9"/>
  <c r="J35" i="9"/>
  <c r="M34" i="9"/>
  <c r="J34" i="9"/>
  <c r="M33" i="9"/>
  <c r="J33" i="9"/>
  <c r="M32" i="9"/>
  <c r="J32" i="9"/>
  <c r="M31" i="9"/>
  <c r="J31" i="9"/>
  <c r="M30" i="9"/>
  <c r="J30" i="9"/>
  <c r="M29" i="9"/>
  <c r="J29" i="9"/>
  <c r="M28" i="9"/>
  <c r="J28" i="9"/>
  <c r="M27" i="9"/>
  <c r="J27" i="9"/>
  <c r="M26" i="9"/>
  <c r="J26" i="9"/>
  <c r="M25" i="9"/>
  <c r="J25" i="9"/>
  <c r="M24" i="9"/>
  <c r="J24" i="9"/>
  <c r="J23" i="9"/>
  <c r="M22" i="9"/>
  <c r="J22" i="9"/>
  <c r="M21" i="9"/>
  <c r="J21" i="9"/>
  <c r="M20" i="9"/>
  <c r="J20" i="9"/>
  <c r="M19" i="9"/>
  <c r="J19" i="9"/>
  <c r="M18" i="9"/>
  <c r="J18" i="9"/>
  <c r="M17" i="9"/>
  <c r="J17" i="9"/>
  <c r="M16" i="9"/>
  <c r="J16" i="9"/>
  <c r="M15" i="9"/>
  <c r="J15" i="9"/>
  <c r="M14" i="9"/>
  <c r="J14" i="9"/>
  <c r="M13" i="9"/>
  <c r="J13" i="9"/>
  <c r="M12" i="9"/>
  <c r="J12" i="9"/>
  <c r="M11" i="9"/>
  <c r="J11" i="9"/>
  <c r="M10" i="9"/>
  <c r="J10" i="9"/>
  <c r="M9" i="9"/>
  <c r="J9" i="9"/>
  <c r="G8" i="9"/>
  <c r="N7" i="9"/>
  <c r="M7" i="9"/>
  <c r="J7" i="9"/>
  <c r="M6" i="9"/>
  <c r="I6" i="9"/>
  <c r="H99" i="9" s="1"/>
  <c r="H6" i="9"/>
  <c r="H98" i="9" s="1"/>
  <c r="C28" i="7"/>
  <c r="A28" i="7"/>
  <c r="A27" i="7"/>
  <c r="A23" i="7"/>
  <c r="C22" i="7"/>
  <c r="A21" i="7"/>
  <c r="A20" i="7"/>
  <c r="C16" i="7"/>
  <c r="C15" i="7"/>
  <c r="C14" i="7"/>
  <c r="C13" i="7"/>
  <c r="A9" i="7"/>
  <c r="A8" i="7"/>
  <c r="A7" i="7"/>
  <c r="A6" i="7"/>
  <c r="C4" i="7"/>
  <c r="J376" i="6"/>
  <c r="I376" i="6"/>
  <c r="L375" i="6"/>
  <c r="I375" i="6"/>
  <c r="H375" i="6"/>
  <c r="F375" i="6"/>
  <c r="J375" i="6" s="1"/>
  <c r="L374" i="6"/>
  <c r="I374" i="6"/>
  <c r="H374" i="6"/>
  <c r="F374" i="6"/>
  <c r="J374" i="6" s="1"/>
  <c r="L373" i="6"/>
  <c r="I373" i="6"/>
  <c r="H373" i="6"/>
  <c r="F373" i="6"/>
  <c r="L372" i="6"/>
  <c r="I372" i="6"/>
  <c r="H372" i="6"/>
  <c r="F372" i="6"/>
  <c r="J372" i="6" s="1"/>
  <c r="L371" i="6"/>
  <c r="I371" i="6"/>
  <c r="H371" i="6"/>
  <c r="F371" i="6"/>
  <c r="J371" i="6" s="1"/>
  <c r="L370" i="6"/>
  <c r="I370" i="6"/>
  <c r="H370" i="6"/>
  <c r="F370" i="6"/>
  <c r="L369" i="6"/>
  <c r="I369" i="6"/>
  <c r="H369" i="6"/>
  <c r="F369" i="6"/>
  <c r="J368" i="6"/>
  <c r="I368" i="6"/>
  <c r="L364" i="6"/>
  <c r="I364" i="6"/>
  <c r="H364" i="6"/>
  <c r="F364" i="6"/>
  <c r="L363" i="6"/>
  <c r="I363" i="6"/>
  <c r="H363" i="6"/>
  <c r="F363" i="6"/>
  <c r="L362" i="6"/>
  <c r="I362" i="6"/>
  <c r="H362" i="6"/>
  <c r="F362" i="6"/>
  <c r="L361" i="6"/>
  <c r="I361" i="6"/>
  <c r="H361" i="6"/>
  <c r="F361" i="6"/>
  <c r="L360" i="6"/>
  <c r="I360" i="6"/>
  <c r="H360" i="6"/>
  <c r="F360" i="6"/>
  <c r="J360" i="6" s="1"/>
  <c r="L359" i="6"/>
  <c r="I359" i="6"/>
  <c r="H359" i="6"/>
  <c r="F359" i="6"/>
  <c r="L354" i="6"/>
  <c r="I354" i="6"/>
  <c r="H354" i="6"/>
  <c r="F354" i="6"/>
  <c r="J354" i="6" s="1"/>
  <c r="L352" i="6"/>
  <c r="I352" i="6"/>
  <c r="H352" i="6"/>
  <c r="F352" i="6"/>
  <c r="L350" i="6"/>
  <c r="I350" i="6"/>
  <c r="H350" i="6"/>
  <c r="F350" i="6"/>
  <c r="L349" i="6"/>
  <c r="I349" i="6"/>
  <c r="H349" i="6"/>
  <c r="F349" i="6"/>
  <c r="L348" i="6"/>
  <c r="I348" i="6"/>
  <c r="H348" i="6"/>
  <c r="F348" i="6"/>
  <c r="L346" i="6"/>
  <c r="I346" i="6"/>
  <c r="H346" i="6"/>
  <c r="F346" i="6"/>
  <c r="L344" i="6"/>
  <c r="I344" i="6"/>
  <c r="H344" i="6"/>
  <c r="F344" i="6"/>
  <c r="L342" i="6"/>
  <c r="I342" i="6"/>
  <c r="H342" i="6"/>
  <c r="F342" i="6"/>
  <c r="L341" i="6"/>
  <c r="I341" i="6"/>
  <c r="H341" i="6"/>
  <c r="F341" i="6"/>
  <c r="J341" i="6" s="1"/>
  <c r="L337" i="6"/>
  <c r="I337" i="6"/>
  <c r="H337" i="6"/>
  <c r="F337" i="6"/>
  <c r="L336" i="6"/>
  <c r="I336" i="6"/>
  <c r="H336" i="6"/>
  <c r="F336" i="6"/>
  <c r="L335" i="6"/>
  <c r="I335" i="6"/>
  <c r="H335" i="6"/>
  <c r="F335" i="6"/>
  <c r="L333" i="6"/>
  <c r="I333" i="6"/>
  <c r="H333" i="6"/>
  <c r="F333" i="6"/>
  <c r="L330" i="6"/>
  <c r="I330" i="6"/>
  <c r="H330" i="6"/>
  <c r="F330" i="6"/>
  <c r="L328" i="6"/>
  <c r="I328" i="6"/>
  <c r="H328" i="6"/>
  <c r="F328" i="6"/>
  <c r="L327" i="6"/>
  <c r="I327" i="6"/>
  <c r="H327" i="6"/>
  <c r="F327" i="6"/>
  <c r="J325" i="6"/>
  <c r="I325" i="6"/>
  <c r="L324" i="6"/>
  <c r="I324" i="6"/>
  <c r="H324" i="6"/>
  <c r="F324" i="6"/>
  <c r="J324" i="6" s="1"/>
  <c r="L323" i="6"/>
  <c r="I323" i="6"/>
  <c r="H323" i="6"/>
  <c r="F323" i="6"/>
  <c r="L322" i="6"/>
  <c r="I322" i="6"/>
  <c r="H322" i="6"/>
  <c r="F322" i="6"/>
  <c r="J322" i="6" s="1"/>
  <c r="L321" i="6"/>
  <c r="I321" i="6"/>
  <c r="H321" i="6"/>
  <c r="F321" i="6"/>
  <c r="J321" i="6" s="1"/>
  <c r="L320" i="6"/>
  <c r="I320" i="6"/>
  <c r="H320" i="6"/>
  <c r="F320" i="6"/>
  <c r="L319" i="6"/>
  <c r="I319" i="6"/>
  <c r="H319" i="6"/>
  <c r="F319" i="6"/>
  <c r="J319" i="6" s="1"/>
  <c r="L318" i="6"/>
  <c r="I318" i="6"/>
  <c r="H318" i="6"/>
  <c r="F318" i="6"/>
  <c r="L312" i="6"/>
  <c r="I312" i="6"/>
  <c r="H312" i="6"/>
  <c r="F312" i="6"/>
  <c r="J312" i="6" s="1"/>
  <c r="L310" i="6"/>
  <c r="I310" i="6"/>
  <c r="H310" i="6"/>
  <c r="F310" i="6"/>
  <c r="L309" i="6"/>
  <c r="I309" i="6"/>
  <c r="H309" i="6"/>
  <c r="F309" i="6"/>
  <c r="J309" i="6" s="1"/>
  <c r="L308" i="6"/>
  <c r="I308" i="6"/>
  <c r="H308" i="6"/>
  <c r="F308" i="6"/>
  <c r="L306" i="6"/>
  <c r="I306" i="6"/>
  <c r="H306" i="6"/>
  <c r="F306" i="6"/>
  <c r="J306" i="6" s="1"/>
  <c r="L304" i="6"/>
  <c r="I304" i="6"/>
  <c r="H304" i="6"/>
  <c r="F304" i="6"/>
  <c r="L302" i="6"/>
  <c r="I302" i="6"/>
  <c r="H302" i="6"/>
  <c r="F302" i="6"/>
  <c r="J302" i="6" s="1"/>
  <c r="L301" i="6"/>
  <c r="I301" i="6"/>
  <c r="H301" i="6"/>
  <c r="F301" i="6"/>
  <c r="L297" i="6"/>
  <c r="I297" i="6"/>
  <c r="H297" i="6"/>
  <c r="F297" i="6"/>
  <c r="J297" i="6" s="1"/>
  <c r="L296" i="6"/>
  <c r="I296" i="6"/>
  <c r="H296" i="6"/>
  <c r="F296" i="6"/>
  <c r="L295" i="6"/>
  <c r="I295" i="6"/>
  <c r="H295" i="6"/>
  <c r="F295" i="6"/>
  <c r="L293" i="6"/>
  <c r="I293" i="6"/>
  <c r="H293" i="6"/>
  <c r="F293" i="6"/>
  <c r="L291" i="6"/>
  <c r="I291" i="6"/>
  <c r="H291" i="6"/>
  <c r="F291" i="6"/>
  <c r="J291" i="6" s="1"/>
  <c r="L289" i="6"/>
  <c r="I289" i="6"/>
  <c r="H289" i="6"/>
  <c r="F289" i="6"/>
  <c r="L288" i="6"/>
  <c r="I288" i="6"/>
  <c r="H288" i="6"/>
  <c r="F288" i="6"/>
  <c r="J286" i="6"/>
  <c r="I286" i="6"/>
  <c r="L285" i="6"/>
  <c r="I285" i="6"/>
  <c r="H285" i="6"/>
  <c r="F285" i="6"/>
  <c r="L284" i="6"/>
  <c r="I284" i="6"/>
  <c r="H284" i="6"/>
  <c r="F284" i="6"/>
  <c r="L283" i="6"/>
  <c r="I283" i="6"/>
  <c r="H283" i="6"/>
  <c r="F283" i="6"/>
  <c r="L282" i="6"/>
  <c r="I282" i="6"/>
  <c r="H282" i="6"/>
  <c r="F282" i="6"/>
  <c r="L281" i="6"/>
  <c r="I281" i="6"/>
  <c r="H281" i="6"/>
  <c r="F281" i="6"/>
  <c r="L280" i="6"/>
  <c r="I280" i="6"/>
  <c r="H280" i="6"/>
  <c r="F280" i="6"/>
  <c r="L279" i="6"/>
  <c r="I279" i="6"/>
  <c r="H279" i="6"/>
  <c r="F279" i="6"/>
  <c r="L273" i="6"/>
  <c r="I273" i="6"/>
  <c r="H273" i="6"/>
  <c r="F273" i="6"/>
  <c r="L271" i="6"/>
  <c r="I271" i="6"/>
  <c r="H271" i="6"/>
  <c r="F271" i="6"/>
  <c r="L270" i="6"/>
  <c r="I270" i="6"/>
  <c r="H270" i="6"/>
  <c r="F270" i="6"/>
  <c r="L269" i="6"/>
  <c r="I269" i="6"/>
  <c r="H269" i="6"/>
  <c r="F269" i="6"/>
  <c r="L267" i="6"/>
  <c r="I267" i="6"/>
  <c r="H267" i="6"/>
  <c r="F267" i="6"/>
  <c r="J267" i="6" s="1"/>
  <c r="L266" i="6"/>
  <c r="I266" i="6"/>
  <c r="H266" i="6"/>
  <c r="F266" i="6"/>
  <c r="J266" i="6" s="1"/>
  <c r="L263" i="6"/>
  <c r="I263" i="6"/>
  <c r="H263" i="6"/>
  <c r="F263" i="6"/>
  <c r="L261" i="6"/>
  <c r="I261" i="6"/>
  <c r="H261" i="6"/>
  <c r="F261" i="6"/>
  <c r="L260" i="6"/>
  <c r="I260" i="6"/>
  <c r="H260" i="6"/>
  <c r="F260" i="6"/>
  <c r="L259" i="6"/>
  <c r="I259" i="6"/>
  <c r="H259" i="6"/>
  <c r="F259" i="6"/>
  <c r="L257" i="6"/>
  <c r="I257" i="6"/>
  <c r="H257" i="6"/>
  <c r="F257" i="6"/>
  <c r="L256" i="6"/>
  <c r="I256" i="6"/>
  <c r="H256" i="6"/>
  <c r="F256" i="6"/>
  <c r="L254" i="6"/>
  <c r="I254" i="6"/>
  <c r="H254" i="6"/>
  <c r="F254" i="6"/>
  <c r="L253" i="6"/>
  <c r="I253" i="6"/>
  <c r="H253" i="6"/>
  <c r="F253" i="6"/>
  <c r="L252" i="6"/>
  <c r="I252" i="6"/>
  <c r="H252" i="6"/>
  <c r="F252" i="6"/>
  <c r="L250" i="6"/>
  <c r="I250" i="6"/>
  <c r="H250" i="6"/>
  <c r="F250" i="6"/>
  <c r="L249" i="6"/>
  <c r="I249" i="6"/>
  <c r="H249" i="6"/>
  <c r="F249" i="6"/>
  <c r="L248" i="6"/>
  <c r="I248" i="6"/>
  <c r="H248" i="6"/>
  <c r="F248" i="6"/>
  <c r="L247" i="6"/>
  <c r="I247" i="6"/>
  <c r="H247" i="6"/>
  <c r="F247" i="6"/>
  <c r="L246" i="6"/>
  <c r="I246" i="6"/>
  <c r="H246" i="6"/>
  <c r="F246" i="6"/>
  <c r="L240" i="6"/>
  <c r="I240" i="6"/>
  <c r="H240" i="6"/>
  <c r="F240" i="6"/>
  <c r="J240" i="6" s="1"/>
  <c r="L238" i="6"/>
  <c r="I238" i="6"/>
  <c r="H238" i="6"/>
  <c r="F238" i="6"/>
  <c r="L236" i="6"/>
  <c r="I236" i="6"/>
  <c r="H236" i="6"/>
  <c r="F236" i="6"/>
  <c r="L235" i="6"/>
  <c r="I235" i="6"/>
  <c r="H235" i="6"/>
  <c r="F235" i="6"/>
  <c r="L234" i="6"/>
  <c r="I234" i="6"/>
  <c r="H234" i="6"/>
  <c r="F234" i="6"/>
  <c r="L232" i="6"/>
  <c r="I232" i="6"/>
  <c r="H232" i="6"/>
  <c r="F232" i="6"/>
  <c r="L230" i="6"/>
  <c r="I230" i="6"/>
  <c r="H230" i="6"/>
  <c r="F230" i="6"/>
  <c r="L229" i="6"/>
  <c r="I229" i="6"/>
  <c r="H229" i="6"/>
  <c r="F229" i="6"/>
  <c r="L228" i="6"/>
  <c r="I228" i="6"/>
  <c r="H228" i="6"/>
  <c r="F228" i="6"/>
  <c r="L226" i="6"/>
  <c r="I226" i="6"/>
  <c r="H226" i="6"/>
  <c r="F226" i="6"/>
  <c r="J226" i="6" s="1"/>
  <c r="L225" i="6"/>
  <c r="I225" i="6"/>
  <c r="H225" i="6"/>
  <c r="F225" i="6"/>
  <c r="L221" i="6"/>
  <c r="I221" i="6"/>
  <c r="H221" i="6"/>
  <c r="F221" i="6"/>
  <c r="L219" i="6"/>
  <c r="I219" i="6"/>
  <c r="H219" i="6"/>
  <c r="F219" i="6"/>
  <c r="L218" i="6"/>
  <c r="I218" i="6"/>
  <c r="H218" i="6"/>
  <c r="F218" i="6"/>
  <c r="L216" i="6"/>
  <c r="I216" i="6"/>
  <c r="H216" i="6"/>
  <c r="F216" i="6"/>
  <c r="L214" i="6"/>
  <c r="I214" i="6"/>
  <c r="H214" i="6"/>
  <c r="F214" i="6"/>
  <c r="L212" i="6"/>
  <c r="I212" i="6"/>
  <c r="H212" i="6"/>
  <c r="F212" i="6"/>
  <c r="L210" i="6"/>
  <c r="I210" i="6"/>
  <c r="H210" i="6"/>
  <c r="F210" i="6"/>
  <c r="L209" i="6"/>
  <c r="I209" i="6"/>
  <c r="H209" i="6"/>
  <c r="F209" i="6"/>
  <c r="L207" i="6"/>
  <c r="I207" i="6"/>
  <c r="H207" i="6"/>
  <c r="F207" i="6"/>
  <c r="L205" i="6"/>
  <c r="I205" i="6"/>
  <c r="H205" i="6"/>
  <c r="F205" i="6"/>
  <c r="L202" i="6"/>
  <c r="I202" i="6"/>
  <c r="H202" i="6"/>
  <c r="F202" i="6"/>
  <c r="L201" i="6"/>
  <c r="I201" i="6"/>
  <c r="H201" i="6"/>
  <c r="F201" i="6"/>
  <c r="L200" i="6"/>
  <c r="I200" i="6"/>
  <c r="H200" i="6"/>
  <c r="F200" i="6"/>
  <c r="L199" i="6"/>
  <c r="I199" i="6"/>
  <c r="H199" i="6"/>
  <c r="F199" i="6"/>
  <c r="L198" i="6"/>
  <c r="I198" i="6"/>
  <c r="H198" i="6"/>
  <c r="F198" i="6"/>
  <c r="J198" i="6" s="1"/>
  <c r="L197" i="6"/>
  <c r="I197" i="6"/>
  <c r="H197" i="6"/>
  <c r="F197" i="6"/>
  <c r="L196" i="6"/>
  <c r="I196" i="6"/>
  <c r="H196" i="6"/>
  <c r="F196" i="6"/>
  <c r="L190" i="6"/>
  <c r="I190" i="6"/>
  <c r="H190" i="6"/>
  <c r="F190" i="6"/>
  <c r="J190" i="6" s="1"/>
  <c r="L188" i="6"/>
  <c r="I188" i="6"/>
  <c r="H188" i="6"/>
  <c r="F188" i="6"/>
  <c r="L187" i="6"/>
  <c r="I187" i="6"/>
  <c r="H187" i="6"/>
  <c r="F187" i="6"/>
  <c r="L186" i="6"/>
  <c r="I186" i="6"/>
  <c r="H186" i="6"/>
  <c r="F186" i="6"/>
  <c r="L185" i="6"/>
  <c r="I185" i="6"/>
  <c r="H185" i="6"/>
  <c r="F185" i="6"/>
  <c r="L183" i="6"/>
  <c r="I183" i="6"/>
  <c r="H183" i="6"/>
  <c r="F183" i="6"/>
  <c r="L182" i="6"/>
  <c r="I182" i="6"/>
  <c r="H182" i="6"/>
  <c r="F182" i="6"/>
  <c r="L181" i="6"/>
  <c r="I181" i="6"/>
  <c r="H181" i="6"/>
  <c r="F181" i="6"/>
  <c r="L180" i="6"/>
  <c r="I180" i="6"/>
  <c r="H180" i="6"/>
  <c r="F180" i="6"/>
  <c r="L178" i="6"/>
  <c r="I178" i="6"/>
  <c r="H178" i="6"/>
  <c r="F178" i="6"/>
  <c r="L177" i="6"/>
  <c r="I177" i="6"/>
  <c r="H177" i="6"/>
  <c r="F177" i="6"/>
  <c r="J177" i="6" s="1"/>
  <c r="L175" i="6"/>
  <c r="I175" i="6"/>
  <c r="H175" i="6"/>
  <c r="F175" i="6"/>
  <c r="L173" i="6"/>
  <c r="I173" i="6"/>
  <c r="H173" i="6"/>
  <c r="F173" i="6"/>
  <c r="J173" i="6" s="1"/>
  <c r="L171" i="6"/>
  <c r="I171" i="6"/>
  <c r="H171" i="6"/>
  <c r="F171" i="6"/>
  <c r="L170" i="6"/>
  <c r="I170" i="6"/>
  <c r="H170" i="6"/>
  <c r="F170" i="6"/>
  <c r="J170" i="6" s="1"/>
  <c r="L169" i="6"/>
  <c r="I169" i="6"/>
  <c r="H169" i="6"/>
  <c r="F169" i="6"/>
  <c r="L165" i="6"/>
  <c r="I165" i="6"/>
  <c r="H165" i="6"/>
  <c r="F165" i="6"/>
  <c r="L164" i="6"/>
  <c r="I164" i="6"/>
  <c r="H164" i="6"/>
  <c r="F164" i="6"/>
  <c r="L162" i="6"/>
  <c r="I162" i="6"/>
  <c r="H162" i="6"/>
  <c r="F162" i="6"/>
  <c r="L160" i="6"/>
  <c r="I160" i="6"/>
  <c r="H160" i="6"/>
  <c r="F160" i="6"/>
  <c r="L157" i="6"/>
  <c r="I157" i="6"/>
  <c r="H157" i="6"/>
  <c r="F157" i="6"/>
  <c r="L154" i="6"/>
  <c r="I154" i="6"/>
  <c r="H154" i="6"/>
  <c r="F154" i="6"/>
  <c r="L151" i="6"/>
  <c r="I151" i="6"/>
  <c r="H151" i="6"/>
  <c r="F151" i="6"/>
  <c r="L148" i="6"/>
  <c r="I148" i="6"/>
  <c r="H148" i="6"/>
  <c r="F148" i="6"/>
  <c r="L146" i="6"/>
  <c r="I146" i="6"/>
  <c r="H146" i="6"/>
  <c r="F146" i="6"/>
  <c r="L144" i="6"/>
  <c r="I144" i="6"/>
  <c r="H144" i="6"/>
  <c r="F144" i="6"/>
  <c r="L143" i="6"/>
  <c r="I143" i="6"/>
  <c r="H143" i="6"/>
  <c r="F143" i="6"/>
  <c r="L142" i="6"/>
  <c r="I142" i="6"/>
  <c r="H142" i="6"/>
  <c r="F142" i="6"/>
  <c r="L140" i="6"/>
  <c r="I140" i="6"/>
  <c r="H140" i="6"/>
  <c r="F140" i="6"/>
  <c r="L139" i="6"/>
  <c r="I139" i="6"/>
  <c r="H139" i="6"/>
  <c r="F139" i="6"/>
  <c r="L137" i="6"/>
  <c r="I137" i="6"/>
  <c r="H137" i="6"/>
  <c r="F137" i="6"/>
  <c r="L135" i="6"/>
  <c r="I135" i="6"/>
  <c r="H135" i="6"/>
  <c r="F135" i="6"/>
  <c r="L134" i="6"/>
  <c r="I134" i="6"/>
  <c r="H134" i="6"/>
  <c r="F134" i="6"/>
  <c r="J134" i="6" s="1"/>
  <c r="L133" i="6"/>
  <c r="I133" i="6"/>
  <c r="H133" i="6"/>
  <c r="F133" i="6"/>
  <c r="L131" i="6"/>
  <c r="I131" i="6"/>
  <c r="H131" i="6"/>
  <c r="F131" i="6"/>
  <c r="J131" i="6" s="1"/>
  <c r="L130" i="6"/>
  <c r="I130" i="6"/>
  <c r="H130" i="6"/>
  <c r="F130" i="6"/>
  <c r="L129" i="6"/>
  <c r="I129" i="6"/>
  <c r="H129" i="6"/>
  <c r="F129" i="6"/>
  <c r="J129" i="6" s="1"/>
  <c r="L128" i="6"/>
  <c r="I128" i="6"/>
  <c r="H128" i="6"/>
  <c r="F128" i="6"/>
  <c r="L127" i="6"/>
  <c r="I127" i="6"/>
  <c r="H127" i="6"/>
  <c r="F127" i="6"/>
  <c r="J127" i="6" s="1"/>
  <c r="L126" i="6"/>
  <c r="I126" i="6"/>
  <c r="H126" i="6"/>
  <c r="F126" i="6"/>
  <c r="L125" i="6"/>
  <c r="I125" i="6"/>
  <c r="H125" i="6"/>
  <c r="F125" i="6"/>
  <c r="L119" i="6"/>
  <c r="I119" i="6"/>
  <c r="H119" i="6"/>
  <c r="F119" i="6"/>
  <c r="J119" i="6" s="1"/>
  <c r="L117" i="6"/>
  <c r="I117" i="6"/>
  <c r="H117" i="6"/>
  <c r="F117" i="6"/>
  <c r="J117" i="6" s="1"/>
  <c r="L115" i="6"/>
  <c r="I115" i="6"/>
  <c r="H115" i="6"/>
  <c r="F115" i="6"/>
  <c r="L114" i="6"/>
  <c r="I114" i="6"/>
  <c r="H114" i="6"/>
  <c r="F114" i="6"/>
  <c r="L113" i="6"/>
  <c r="I113" i="6"/>
  <c r="H113" i="6"/>
  <c r="F113" i="6"/>
  <c r="L112" i="6"/>
  <c r="I112" i="6"/>
  <c r="H112" i="6"/>
  <c r="F112" i="6"/>
  <c r="L110" i="6"/>
  <c r="I110" i="6"/>
  <c r="H110" i="6"/>
  <c r="F110" i="6"/>
  <c r="L108" i="6"/>
  <c r="I108" i="6"/>
  <c r="H108" i="6"/>
  <c r="F108" i="6"/>
  <c r="J108" i="6" s="1"/>
  <c r="L107" i="6"/>
  <c r="I107" i="6"/>
  <c r="H107" i="6"/>
  <c r="F107" i="6"/>
  <c r="L105" i="6"/>
  <c r="I105" i="6"/>
  <c r="H105" i="6"/>
  <c r="F105" i="6"/>
  <c r="J105" i="6" s="1"/>
  <c r="L104" i="6"/>
  <c r="I104" i="6"/>
  <c r="H104" i="6"/>
  <c r="F104" i="6"/>
  <c r="J104" i="6" s="1"/>
  <c r="L103" i="6"/>
  <c r="I103" i="6"/>
  <c r="H103" i="6"/>
  <c r="F103" i="6"/>
  <c r="J103" i="6" s="1"/>
  <c r="L100" i="6"/>
  <c r="I100" i="6"/>
  <c r="H100" i="6"/>
  <c r="F100" i="6"/>
  <c r="L98" i="6"/>
  <c r="I98" i="6"/>
  <c r="H98" i="6"/>
  <c r="F98" i="6"/>
  <c r="L96" i="6"/>
  <c r="I96" i="6"/>
  <c r="H96" i="6"/>
  <c r="F96" i="6"/>
  <c r="L95" i="6"/>
  <c r="I95" i="6"/>
  <c r="H95" i="6"/>
  <c r="F95" i="6"/>
  <c r="L94" i="6"/>
  <c r="I94" i="6"/>
  <c r="H94" i="6"/>
  <c r="F94" i="6"/>
  <c r="L93" i="6"/>
  <c r="I93" i="6"/>
  <c r="H93" i="6"/>
  <c r="F93" i="6"/>
  <c r="L92" i="6"/>
  <c r="I92" i="6"/>
  <c r="H92" i="6"/>
  <c r="F92" i="6"/>
  <c r="L90" i="6"/>
  <c r="I90" i="6"/>
  <c r="H90" i="6"/>
  <c r="F90" i="6"/>
  <c r="L88" i="6"/>
  <c r="I88" i="6"/>
  <c r="H88" i="6"/>
  <c r="F88" i="6"/>
  <c r="L86" i="6"/>
  <c r="I86" i="6"/>
  <c r="H86" i="6"/>
  <c r="F86" i="6"/>
  <c r="L84" i="6"/>
  <c r="I84" i="6"/>
  <c r="H84" i="6"/>
  <c r="F84" i="6"/>
  <c r="J84" i="6" s="1"/>
  <c r="L83" i="6"/>
  <c r="I83" i="6"/>
  <c r="H83" i="6"/>
  <c r="F83" i="6"/>
  <c r="J83" i="6" s="1"/>
  <c r="L82" i="6"/>
  <c r="I82" i="6"/>
  <c r="H82" i="6"/>
  <c r="F82" i="6"/>
  <c r="L80" i="6"/>
  <c r="I80" i="6"/>
  <c r="H80" i="6"/>
  <c r="F80" i="6"/>
  <c r="J80" i="6" s="1"/>
  <c r="L79" i="6"/>
  <c r="I79" i="6"/>
  <c r="H79" i="6"/>
  <c r="F79" i="6"/>
  <c r="J79" i="6" s="1"/>
  <c r="L78" i="6"/>
  <c r="I78" i="6"/>
  <c r="H78" i="6"/>
  <c r="F78" i="6"/>
  <c r="L77" i="6"/>
  <c r="I77" i="6"/>
  <c r="H77" i="6"/>
  <c r="F77" i="6"/>
  <c r="L76" i="6"/>
  <c r="I76" i="6"/>
  <c r="H76" i="6"/>
  <c r="F76" i="6"/>
  <c r="L75" i="6"/>
  <c r="I75" i="6"/>
  <c r="H75" i="6"/>
  <c r="F75" i="6"/>
  <c r="L74" i="6"/>
  <c r="I74" i="6"/>
  <c r="H74" i="6"/>
  <c r="F74" i="6"/>
  <c r="L68" i="6"/>
  <c r="I68" i="6"/>
  <c r="H68" i="6"/>
  <c r="F68" i="6"/>
  <c r="L66" i="6"/>
  <c r="I66" i="6"/>
  <c r="H66" i="6"/>
  <c r="F66" i="6"/>
  <c r="L65" i="6"/>
  <c r="I65" i="6"/>
  <c r="H65" i="6"/>
  <c r="F65" i="6"/>
  <c r="L63" i="6"/>
  <c r="I63" i="6"/>
  <c r="H63" i="6"/>
  <c r="F63" i="6"/>
  <c r="L62" i="6"/>
  <c r="I62" i="6"/>
  <c r="H62" i="6"/>
  <c r="F62" i="6"/>
  <c r="L61" i="6"/>
  <c r="I61" i="6"/>
  <c r="H61" i="6"/>
  <c r="F61" i="6"/>
  <c r="L60" i="6"/>
  <c r="I60" i="6"/>
  <c r="H60" i="6"/>
  <c r="F60" i="6"/>
  <c r="L59" i="6"/>
  <c r="I59" i="6"/>
  <c r="H59" i="6"/>
  <c r="F59" i="6"/>
  <c r="L58" i="6"/>
  <c r="I58" i="6"/>
  <c r="H58" i="6"/>
  <c r="F58" i="6"/>
  <c r="L57" i="6"/>
  <c r="I57" i="6"/>
  <c r="H57" i="6"/>
  <c r="F57" i="6"/>
  <c r="L55" i="6"/>
  <c r="I55" i="6"/>
  <c r="H55" i="6"/>
  <c r="F55" i="6"/>
  <c r="L53" i="6"/>
  <c r="I53" i="6"/>
  <c r="H53" i="6"/>
  <c r="F53" i="6"/>
  <c r="J53" i="6" s="1"/>
  <c r="L51" i="6"/>
  <c r="I51" i="6"/>
  <c r="H51" i="6"/>
  <c r="F51" i="6"/>
  <c r="L50" i="6"/>
  <c r="I50" i="6"/>
  <c r="H50" i="6"/>
  <c r="F50" i="6"/>
  <c r="J50" i="6" s="1"/>
  <c r="L49" i="6"/>
  <c r="I49" i="6"/>
  <c r="H49" i="6"/>
  <c r="F49" i="6"/>
  <c r="J49" i="6" s="1"/>
  <c r="L45" i="6"/>
  <c r="I45" i="6"/>
  <c r="H45" i="6"/>
  <c r="F45" i="6"/>
  <c r="L43" i="6"/>
  <c r="I43" i="6"/>
  <c r="H43" i="6"/>
  <c r="F43" i="6"/>
  <c r="L42" i="6"/>
  <c r="I42" i="6"/>
  <c r="H42" i="6"/>
  <c r="F42" i="6"/>
  <c r="L40" i="6"/>
  <c r="I40" i="6"/>
  <c r="H40" i="6"/>
  <c r="F40" i="6"/>
  <c r="L37" i="6"/>
  <c r="I37" i="6"/>
  <c r="H37" i="6"/>
  <c r="F37" i="6"/>
  <c r="L34" i="6"/>
  <c r="I34" i="6"/>
  <c r="H34" i="6"/>
  <c r="F34" i="6"/>
  <c r="L32" i="6"/>
  <c r="I32" i="6"/>
  <c r="H32" i="6"/>
  <c r="F32" i="6"/>
  <c r="L30" i="6"/>
  <c r="I30" i="6"/>
  <c r="H30" i="6"/>
  <c r="F30" i="6"/>
  <c r="L28" i="6"/>
  <c r="I28" i="6"/>
  <c r="H28" i="6"/>
  <c r="F28" i="6"/>
  <c r="L27" i="6"/>
  <c r="I27" i="6"/>
  <c r="H27" i="6"/>
  <c r="F27" i="6"/>
  <c r="L25" i="6"/>
  <c r="I25" i="6"/>
  <c r="H25" i="6"/>
  <c r="F25" i="6"/>
  <c r="L24" i="6"/>
  <c r="I24" i="6"/>
  <c r="H24" i="6"/>
  <c r="F24" i="6"/>
  <c r="L23" i="6"/>
  <c r="I23" i="6"/>
  <c r="H23" i="6"/>
  <c r="F23" i="6"/>
  <c r="L22" i="6"/>
  <c r="I22" i="6"/>
  <c r="H22" i="6"/>
  <c r="F22" i="6"/>
  <c r="L21" i="6"/>
  <c r="I21" i="6"/>
  <c r="H21" i="6"/>
  <c r="F21" i="6"/>
  <c r="L19" i="6"/>
  <c r="I19" i="6"/>
  <c r="H19" i="6"/>
  <c r="F19" i="6"/>
  <c r="L17" i="6"/>
  <c r="I17" i="6"/>
  <c r="H17" i="6"/>
  <c r="F17" i="6"/>
  <c r="L15" i="6"/>
  <c r="I15" i="6"/>
  <c r="H15" i="6"/>
  <c r="F15" i="6"/>
  <c r="J15" i="6" s="1"/>
  <c r="L14" i="6"/>
  <c r="I14" i="6"/>
  <c r="H14" i="6"/>
  <c r="F14" i="6"/>
  <c r="L13" i="6"/>
  <c r="I13" i="6"/>
  <c r="H13" i="6"/>
  <c r="F13" i="6"/>
  <c r="J13" i="6" s="1"/>
  <c r="L12" i="6"/>
  <c r="I12" i="6"/>
  <c r="H12" i="6"/>
  <c r="F12" i="6"/>
  <c r="L10" i="6"/>
  <c r="I10" i="6"/>
  <c r="H10" i="6"/>
  <c r="F10" i="6"/>
  <c r="J10" i="6" s="1"/>
  <c r="L9" i="6"/>
  <c r="I9" i="6"/>
  <c r="H9" i="6"/>
  <c r="F9" i="6"/>
  <c r="J9" i="6" s="1"/>
  <c r="L8" i="6"/>
  <c r="I8" i="6"/>
  <c r="H8" i="6"/>
  <c r="F8" i="6"/>
  <c r="L7" i="6"/>
  <c r="I7" i="6"/>
  <c r="H7" i="6"/>
  <c r="F7" i="6"/>
  <c r="J7" i="6" s="1"/>
  <c r="L6" i="6"/>
  <c r="I6" i="6"/>
  <c r="H6" i="6"/>
  <c r="F6" i="6"/>
  <c r="L5" i="6"/>
  <c r="I5" i="6"/>
  <c r="H5" i="6"/>
  <c r="F5" i="6"/>
  <c r="L4" i="6"/>
  <c r="I4" i="6"/>
  <c r="H4" i="6"/>
  <c r="F4" i="6"/>
  <c r="J12" i="6" l="1"/>
  <c r="J17" i="6"/>
  <c r="J32" i="6"/>
  <c r="J45" i="6"/>
  <c r="J59" i="6"/>
  <c r="J61" i="6"/>
  <c r="J63" i="6"/>
  <c r="J66" i="6"/>
  <c r="J74" i="6"/>
  <c r="J93" i="6"/>
  <c r="J95" i="6"/>
  <c r="J98" i="6"/>
  <c r="J114" i="6"/>
  <c r="J125" i="6"/>
  <c r="J137" i="6"/>
  <c r="J140" i="6"/>
  <c r="J151" i="6"/>
  <c r="J157" i="6"/>
  <c r="J165" i="6"/>
  <c r="J180" i="6"/>
  <c r="J182" i="6"/>
  <c r="J185" i="6"/>
  <c r="J219" i="6"/>
  <c r="J228" i="6"/>
  <c r="J230" i="6"/>
  <c r="J234" i="6"/>
  <c r="J260" i="6"/>
  <c r="J40" i="6"/>
  <c r="J43" i="6"/>
  <c r="J88" i="6"/>
  <c r="J196" i="6"/>
  <c r="J214" i="6"/>
  <c r="J221" i="6"/>
  <c r="J253" i="6"/>
  <c r="J261" i="6"/>
  <c r="J199" i="6"/>
  <c r="J273" i="6"/>
  <c r="F40" i="11"/>
  <c r="G25" i="15"/>
  <c r="J37" i="6"/>
  <c r="J90" i="6"/>
  <c r="J269" i="6"/>
  <c r="J271" i="6"/>
  <c r="J285" i="6"/>
  <c r="J82" i="6"/>
  <c r="J146" i="6"/>
  <c r="J327" i="6"/>
  <c r="J330" i="6"/>
  <c r="J335" i="6"/>
  <c r="J337" i="6"/>
  <c r="J342" i="6"/>
  <c r="J346" i="6"/>
  <c r="J352" i="6"/>
  <c r="J361" i="6"/>
  <c r="J363" i="6"/>
  <c r="J247" i="6"/>
  <c r="J249" i="6"/>
  <c r="J252" i="6"/>
  <c r="J254" i="6"/>
  <c r="J301" i="6"/>
  <c r="J304" i="6"/>
  <c r="J320" i="6"/>
  <c r="F268" i="11"/>
  <c r="J216" i="6"/>
  <c r="F11" i="14"/>
  <c r="E12" i="14" s="1"/>
  <c r="F12" i="14" s="1"/>
  <c r="F13" i="14" s="1"/>
  <c r="J78" i="6"/>
  <c r="J142" i="6"/>
  <c r="J144" i="6"/>
  <c r="J148" i="6"/>
  <c r="J154" i="6"/>
  <c r="J183" i="6"/>
  <c r="J186" i="6"/>
  <c r="J188" i="6"/>
  <c r="J263" i="6"/>
  <c r="J282" i="6"/>
  <c r="J284" i="6"/>
  <c r="J369" i="6"/>
  <c r="F94" i="11"/>
  <c r="I263" i="11"/>
  <c r="J21" i="6"/>
  <c r="J23" i="6"/>
  <c r="J25" i="6"/>
  <c r="J28" i="6"/>
  <c r="J51" i="6"/>
  <c r="J110" i="6"/>
  <c r="J113" i="6"/>
  <c r="J178" i="6"/>
  <c r="J197" i="6"/>
  <c r="J229" i="6"/>
  <c r="J333" i="6"/>
  <c r="J295" i="6"/>
  <c r="F365" i="6"/>
  <c r="B39" i="7" s="1"/>
  <c r="H69" i="6"/>
  <c r="C32" i="7" s="1"/>
  <c r="J8" i="6"/>
  <c r="J65" i="6"/>
  <c r="J115" i="6"/>
  <c r="J201" i="6"/>
  <c r="J205" i="6"/>
  <c r="J209" i="6"/>
  <c r="J212" i="6"/>
  <c r="J232" i="6"/>
  <c r="J270" i="6"/>
  <c r="J293" i="6"/>
  <c r="J296" i="6"/>
  <c r="J348" i="6"/>
  <c r="J350" i="6"/>
  <c r="F114" i="11"/>
  <c r="G285" i="11"/>
  <c r="F22" i="10" s="1"/>
  <c r="J104" i="9"/>
  <c r="AQ1090" i="5" s="1"/>
  <c r="L69" i="6"/>
  <c r="D32" i="7" s="1"/>
  <c r="F120" i="6"/>
  <c r="B33" i="7" s="1"/>
  <c r="H355" i="6"/>
  <c r="I58" i="11"/>
  <c r="F49" i="11"/>
  <c r="I140" i="11"/>
  <c r="I253" i="11"/>
  <c r="G22" i="31"/>
  <c r="F11" i="30" s="1"/>
  <c r="E12" i="30" s="1"/>
  <c r="F12" i="30" s="1"/>
  <c r="F13" i="30" s="1"/>
  <c r="F16" i="30" s="1"/>
  <c r="F19" i="30" s="1"/>
  <c r="F36" i="11" s="1"/>
  <c r="G36" i="11" s="1"/>
  <c r="L120" i="6"/>
  <c r="D33" i="7" s="1"/>
  <c r="J5" i="6"/>
  <c r="J19" i="6"/>
  <c r="J55" i="6"/>
  <c r="J58" i="6"/>
  <c r="H120" i="6"/>
  <c r="C33" i="7" s="1"/>
  <c r="J76" i="6"/>
  <c r="J92" i="6"/>
  <c r="F191" i="6"/>
  <c r="B34" i="7" s="1"/>
  <c r="J160" i="6"/>
  <c r="J164" i="6"/>
  <c r="F241" i="6"/>
  <c r="B35" i="7" s="1"/>
  <c r="J235" i="6"/>
  <c r="J238" i="6"/>
  <c r="J257" i="6"/>
  <c r="J279" i="6"/>
  <c r="J281" i="6"/>
  <c r="J288" i="6"/>
  <c r="J308" i="6"/>
  <c r="L355" i="6"/>
  <c r="J328" i="6"/>
  <c r="J362" i="6"/>
  <c r="F130" i="11"/>
  <c r="F139" i="11"/>
  <c r="F175" i="11"/>
  <c r="F245" i="11"/>
  <c r="F252" i="11"/>
  <c r="I285" i="11"/>
  <c r="I21" i="23"/>
  <c r="I25" i="27"/>
  <c r="I22" i="31"/>
  <c r="I21" i="21"/>
  <c r="H274" i="6"/>
  <c r="C36" i="7" s="1"/>
  <c r="G253" i="11"/>
  <c r="F16" i="10" s="1"/>
  <c r="J22" i="6"/>
  <c r="J42" i="6"/>
  <c r="J60" i="6"/>
  <c r="J94" i="6"/>
  <c r="J112" i="6"/>
  <c r="H191" i="6"/>
  <c r="C34" i="7" s="1"/>
  <c r="J128" i="6"/>
  <c r="J143" i="6"/>
  <c r="J169" i="6"/>
  <c r="J202" i="6"/>
  <c r="J225" i="6"/>
  <c r="J246" i="6"/>
  <c r="J248" i="6"/>
  <c r="H313" i="6"/>
  <c r="J283" i="6"/>
  <c r="J310" i="6"/>
  <c r="J323" i="6"/>
  <c r="J364" i="6"/>
  <c r="J373" i="6"/>
  <c r="I147" i="11"/>
  <c r="G21" i="23"/>
  <c r="F11" i="22" s="1"/>
  <c r="E12" i="22" s="1"/>
  <c r="F12" i="22" s="1"/>
  <c r="F13" i="22" s="1"/>
  <c r="F16" i="22" s="1"/>
  <c r="F19" i="22" s="1"/>
  <c r="F32" i="11" s="1"/>
  <c r="G32" i="11" s="1"/>
  <c r="G25" i="27"/>
  <c r="F11" i="26" s="1"/>
  <c r="E12" i="26" s="1"/>
  <c r="F12" i="26" s="1"/>
  <c r="F13" i="26" s="1"/>
  <c r="F16" i="26" s="1"/>
  <c r="F19" i="26" s="1"/>
  <c r="F34" i="11" s="1"/>
  <c r="G34" i="11" s="1"/>
  <c r="N140" i="11"/>
  <c r="E13" i="10" s="1"/>
  <c r="F13" i="10" s="1"/>
  <c r="J24" i="6"/>
  <c r="J27" i="6"/>
  <c r="J62" i="6"/>
  <c r="J96" i="6"/>
  <c r="J100" i="6"/>
  <c r="J130" i="6"/>
  <c r="J133" i="6"/>
  <c r="J171" i="6"/>
  <c r="J187" i="6"/>
  <c r="L241" i="6"/>
  <c r="D35" i="7" s="1"/>
  <c r="J207" i="6"/>
  <c r="J210" i="6"/>
  <c r="F274" i="6"/>
  <c r="B36" i="7" s="1"/>
  <c r="F355" i="6"/>
  <c r="B38" i="7" s="1"/>
  <c r="J336" i="6"/>
  <c r="J349" i="6"/>
  <c r="L365" i="6"/>
  <c r="F146" i="11"/>
  <c r="F202" i="11"/>
  <c r="F226" i="11"/>
  <c r="G263" i="11"/>
  <c r="F17" i="10" s="1"/>
  <c r="E19" i="10" s="1"/>
  <c r="F19" i="10" s="1"/>
  <c r="F281" i="11"/>
  <c r="G20" i="13"/>
  <c r="F11" i="12" s="1"/>
  <c r="E12" i="12" s="1"/>
  <c r="F12" i="12" s="1"/>
  <c r="F13" i="12" s="1"/>
  <c r="F16" i="12" s="1"/>
  <c r="F19" i="12" s="1"/>
  <c r="F27" i="11" s="1"/>
  <c r="G27" i="11" s="1"/>
  <c r="G25" i="19"/>
  <c r="F11" i="18" s="1"/>
  <c r="J14" i="6"/>
  <c r="J30" i="6"/>
  <c r="J68" i="6"/>
  <c r="J86" i="6"/>
  <c r="J135" i="6"/>
  <c r="J175" i="6"/>
  <c r="L313" i="6"/>
  <c r="F54" i="11"/>
  <c r="G140" i="11"/>
  <c r="F12" i="10" s="1"/>
  <c r="E14" i="10" s="1"/>
  <c r="F14" i="10" s="1"/>
  <c r="G16" i="10" s="1"/>
  <c r="E18" i="10" s="1"/>
  <c r="F18" i="10" s="1"/>
  <c r="I20" i="13"/>
  <c r="I25" i="15"/>
  <c r="G22" i="17"/>
  <c r="F11" i="16" s="1"/>
  <c r="I25" i="19"/>
  <c r="I22" i="25"/>
  <c r="I22" i="29"/>
  <c r="AR1346" i="5"/>
  <c r="D22" i="32"/>
  <c r="D23" i="32" s="1"/>
  <c r="J4" i="6"/>
  <c r="J6" i="6"/>
  <c r="J34" i="6"/>
  <c r="J57" i="6"/>
  <c r="J75" i="6"/>
  <c r="J77" i="6"/>
  <c r="J107" i="6"/>
  <c r="L191" i="6"/>
  <c r="D34" i="7" s="1"/>
  <c r="J139" i="6"/>
  <c r="J162" i="6"/>
  <c r="J181" i="6"/>
  <c r="H241" i="6"/>
  <c r="C35" i="7" s="1"/>
  <c r="J218" i="6"/>
  <c r="J236" i="6"/>
  <c r="L274" i="6"/>
  <c r="D36" i="7" s="1"/>
  <c r="J256" i="6"/>
  <c r="J259" i="6"/>
  <c r="J280" i="6"/>
  <c r="J289" i="6"/>
  <c r="J344" i="6"/>
  <c r="H365" i="6"/>
  <c r="C11" i="7" s="1"/>
  <c r="J370" i="6"/>
  <c r="F276" i="11"/>
  <c r="I22" i="17"/>
  <c r="G21" i="21"/>
  <c r="F11" i="20" s="1"/>
  <c r="F13" i="20" s="1"/>
  <c r="F16" i="20" s="1"/>
  <c r="F19" i="20" s="1"/>
  <c r="G22" i="25"/>
  <c r="F11" i="24" s="1"/>
  <c r="E12" i="24" s="1"/>
  <c r="F12" i="24" s="1"/>
  <c r="G22" i="29"/>
  <c r="F11" i="28" s="1"/>
  <c r="H1346" i="5"/>
  <c r="E22" i="32"/>
  <c r="E23" i="32" s="1"/>
  <c r="E12" i="28"/>
  <c r="F12" i="28" s="1"/>
  <c r="F13" i="28" s="1"/>
  <c r="F16" i="28" s="1"/>
  <c r="F19" i="28" s="1"/>
  <c r="F35" i="11" s="1"/>
  <c r="G35" i="11" s="1"/>
  <c r="E12" i="16"/>
  <c r="F12" i="16" s="1"/>
  <c r="F13" i="16" s="1"/>
  <c r="F16" i="16" s="1"/>
  <c r="F19" i="16" s="1"/>
  <c r="F29" i="11" s="1"/>
  <c r="G29" i="11" s="1"/>
  <c r="F262" i="11"/>
  <c r="G147" i="11"/>
  <c r="F15" i="10" s="1"/>
  <c r="F71" i="11"/>
  <c r="J8" i="9"/>
  <c r="J105" i="9" s="1"/>
  <c r="M8" i="9"/>
  <c r="J98" i="9" s="1"/>
  <c r="J250" i="6"/>
  <c r="J318" i="6"/>
  <c r="F313" i="6"/>
  <c r="J359" i="6"/>
  <c r="F69" i="6"/>
  <c r="B32" i="7" s="1"/>
  <c r="J126" i="6"/>
  <c r="J200" i="6"/>
  <c r="F31" i="11" l="1"/>
  <c r="G31" i="11" s="1"/>
  <c r="J241" i="6"/>
  <c r="J69" i="6"/>
  <c r="E12" i="18"/>
  <c r="F12" i="18" s="1"/>
  <c r="F13" i="18" s="1"/>
  <c r="F16" i="18" s="1"/>
  <c r="F19" i="18" s="1"/>
  <c r="F30" i="11" s="1"/>
  <c r="G30" i="11" s="1"/>
  <c r="J120" i="6"/>
  <c r="J274" i="6"/>
  <c r="J313" i="6"/>
  <c r="J355" i="6"/>
  <c r="D38" i="7"/>
  <c r="D39" i="7"/>
  <c r="J106" i="9"/>
  <c r="H1090" i="5" s="1"/>
  <c r="AR1090" i="5"/>
  <c r="C38" i="7"/>
  <c r="C39" i="7"/>
  <c r="B37" i="7"/>
  <c r="B3" i="7"/>
  <c r="F13" i="24"/>
  <c r="F16" i="24" s="1"/>
  <c r="F19" i="24" s="1"/>
  <c r="F33" i="11" s="1"/>
  <c r="G33" i="11" s="1"/>
  <c r="J191" i="6"/>
  <c r="J365" i="6"/>
  <c r="D37" i="7"/>
  <c r="C3" i="7"/>
  <c r="C5" i="7" s="1"/>
  <c r="C37" i="7"/>
  <c r="J96" i="9"/>
  <c r="J99" i="9" l="1"/>
  <c r="J101" i="9" s="1"/>
  <c r="G58" i="11"/>
  <c r="F9" i="10" s="1"/>
  <c r="E10" i="10" s="1"/>
  <c r="F10" i="10" s="1"/>
  <c r="F20" i="10" s="1"/>
  <c r="B6" i="7"/>
  <c r="B5" i="7"/>
  <c r="C8" i="7"/>
  <c r="C9" i="7"/>
  <c r="C10" i="7" s="1"/>
  <c r="C12" i="7" s="1"/>
  <c r="C17" i="7" s="1"/>
  <c r="C43" i="7" s="1"/>
  <c r="AR1086" i="5" s="1"/>
  <c r="J1086" i="5" s="1"/>
  <c r="E11" i="10" l="1"/>
  <c r="F11" i="10" s="1"/>
  <c r="F21" i="10" s="1"/>
  <c r="F23" i="10" s="1"/>
  <c r="G23" i="10" s="1"/>
  <c r="B10" i="7"/>
  <c r="B17" i="7" s="1"/>
  <c r="B42" i="7" s="1"/>
  <c r="B27" i="7"/>
  <c r="C27" i="7" s="1"/>
  <c r="C2" i="1"/>
  <c r="F2" i="1"/>
  <c r="C4" i="1"/>
  <c r="F4" i="1"/>
  <c r="C6" i="1"/>
  <c r="F6" i="1"/>
  <c r="C8" i="1"/>
  <c r="F8" i="1"/>
  <c r="C10" i="1"/>
  <c r="F10" i="1"/>
  <c r="C2" i="2"/>
  <c r="F2" i="2"/>
  <c r="C4" i="2"/>
  <c r="F4" i="2"/>
  <c r="C6" i="2"/>
  <c r="F6" i="2"/>
  <c r="C8" i="2"/>
  <c r="F8" i="2"/>
  <c r="C10" i="2"/>
  <c r="F10" i="2"/>
  <c r="I15" i="2"/>
  <c r="F14" i="1" s="1"/>
  <c r="I16" i="2"/>
  <c r="F15" i="1" s="1"/>
  <c r="I17" i="2"/>
  <c r="F16" i="1" s="1"/>
  <c r="I22" i="2"/>
  <c r="I15" i="1" s="1"/>
  <c r="I23" i="2"/>
  <c r="I16" i="1" s="1"/>
  <c r="I24" i="2"/>
  <c r="I17" i="1" s="1"/>
  <c r="I25" i="2"/>
  <c r="I18" i="1" s="1"/>
  <c r="I26" i="2"/>
  <c r="I19" i="1" s="1"/>
  <c r="I35" i="2"/>
  <c r="I36" i="2"/>
  <c r="I37" i="2"/>
  <c r="I38" i="2"/>
  <c r="I39" i="2"/>
  <c r="I40" i="2"/>
  <c r="I41" i="2"/>
  <c r="I42" i="2"/>
  <c r="I43" i="2"/>
  <c r="I44" i="2"/>
  <c r="D2" i="3"/>
  <c r="H2" i="3"/>
  <c r="J2" i="3"/>
  <c r="D4" i="3"/>
  <c r="H4" i="3"/>
  <c r="J4" i="3"/>
  <c r="D6" i="3"/>
  <c r="H6" i="3"/>
  <c r="J6" i="3"/>
  <c r="D8" i="3"/>
  <c r="J8" i="3"/>
  <c r="D2" i="4"/>
  <c r="H2" i="4"/>
  <c r="J2" i="4"/>
  <c r="D4" i="4"/>
  <c r="H4" i="4"/>
  <c r="J4" i="4"/>
  <c r="D6" i="4"/>
  <c r="H6" i="4"/>
  <c r="J6" i="4"/>
  <c r="D8" i="4"/>
  <c r="J8" i="4"/>
  <c r="AU1" i="5"/>
  <c r="AV1" i="5"/>
  <c r="AW1" i="5"/>
  <c r="K14" i="5"/>
  <c r="AM14" i="5" s="1"/>
  <c r="M14" i="5"/>
  <c r="AB14" i="5"/>
  <c r="AE14" i="5"/>
  <c r="AH14" i="5"/>
  <c r="AI14" i="5"/>
  <c r="AJ14" i="5"/>
  <c r="AL14" i="5"/>
  <c r="AN14" i="5"/>
  <c r="AQ14" i="5"/>
  <c r="AR14" i="5"/>
  <c r="BF14" i="5"/>
  <c r="BL14" i="5"/>
  <c r="K21" i="5"/>
  <c r="M21" i="5"/>
  <c r="BH21" i="5" s="1"/>
  <c r="AI21" i="5"/>
  <c r="AQ21" i="5"/>
  <c r="BJ21" i="5" s="1"/>
  <c r="AR21" i="5"/>
  <c r="AZ21" i="5" s="1"/>
  <c r="BF21" i="5"/>
  <c r="BL21" i="5"/>
  <c r="AJ21" i="5" s="1"/>
  <c r="K23" i="5"/>
  <c r="AN23" i="5" s="1"/>
  <c r="M23" i="5"/>
  <c r="BH23" i="5" s="1"/>
  <c r="AB23" i="5"/>
  <c r="AL23" i="5"/>
  <c r="AQ23" i="5"/>
  <c r="AY23" i="5" s="1"/>
  <c r="AR23" i="5"/>
  <c r="BF23" i="5"/>
  <c r="BL23" i="5"/>
  <c r="AJ23" i="5" s="1"/>
  <c r="K25" i="5"/>
  <c r="AM25" i="5" s="1"/>
  <c r="M25" i="5"/>
  <c r="BH25" i="5" s="1"/>
  <c r="AB25" i="5"/>
  <c r="AD25" i="5"/>
  <c r="AJ25" i="5"/>
  <c r="AL25" i="5"/>
  <c r="AQ25" i="5"/>
  <c r="BJ25" i="5" s="1"/>
  <c r="AF25" i="5" s="1"/>
  <c r="AR25" i="5"/>
  <c r="BK25" i="5" s="1"/>
  <c r="BF25" i="5"/>
  <c r="BL25" i="5"/>
  <c r="K27" i="5"/>
  <c r="M27" i="5"/>
  <c r="BH27" i="5" s="1"/>
  <c r="AH27" i="5"/>
  <c r="AJ27" i="5"/>
  <c r="AL27" i="5"/>
  <c r="AQ27" i="5"/>
  <c r="AR27" i="5"/>
  <c r="J27" i="5" s="1"/>
  <c r="BF27" i="5"/>
  <c r="BL27" i="5"/>
  <c r="AB27" i="5" s="1"/>
  <c r="K29" i="5"/>
  <c r="M29" i="5"/>
  <c r="BH29" i="5" s="1"/>
  <c r="AB29" i="5"/>
  <c r="AH29" i="5"/>
  <c r="AQ29" i="5"/>
  <c r="BJ29" i="5" s="1"/>
  <c r="AR29" i="5"/>
  <c r="AZ29" i="5" s="1"/>
  <c r="BF29" i="5"/>
  <c r="BL29" i="5"/>
  <c r="AJ29" i="5" s="1"/>
  <c r="K31" i="5"/>
  <c r="AN31" i="5" s="1"/>
  <c r="M31" i="5"/>
  <c r="BH31" i="5" s="1"/>
  <c r="AB31" i="5"/>
  <c r="AM31" i="5"/>
  <c r="AQ31" i="5"/>
  <c r="I31" i="5" s="1"/>
  <c r="AR31" i="5"/>
  <c r="BF31" i="5"/>
  <c r="BL31" i="5"/>
  <c r="AJ31" i="5" s="1"/>
  <c r="K33" i="5"/>
  <c r="M33" i="5"/>
  <c r="BH33" i="5" s="1"/>
  <c r="AB33" i="5"/>
  <c r="AD33" i="5"/>
  <c r="AI33" i="5"/>
  <c r="AJ33" i="5"/>
  <c r="AL33" i="5"/>
  <c r="AQ33" i="5"/>
  <c r="BJ33" i="5" s="1"/>
  <c r="AF33" i="5" s="1"/>
  <c r="AR33" i="5"/>
  <c r="J33" i="5" s="1"/>
  <c r="BF33" i="5"/>
  <c r="BL33" i="5"/>
  <c r="K36" i="5"/>
  <c r="M36" i="5"/>
  <c r="BH36" i="5" s="1"/>
  <c r="AB36" i="5"/>
  <c r="AI36" i="5"/>
  <c r="AJ36" i="5"/>
  <c r="AQ36" i="5"/>
  <c r="AR36" i="5"/>
  <c r="BK36" i="5" s="1"/>
  <c r="AE36" i="5" s="1"/>
  <c r="BF36" i="5"/>
  <c r="BL36" i="5"/>
  <c r="K38" i="5"/>
  <c r="AN38" i="5" s="1"/>
  <c r="M38" i="5"/>
  <c r="BH38" i="5" s="1"/>
  <c r="AB38" i="5"/>
  <c r="AI38" i="5"/>
  <c r="AL38" i="5"/>
  <c r="AM38" i="5"/>
  <c r="AQ38" i="5"/>
  <c r="AR38" i="5"/>
  <c r="AZ38" i="5" s="1"/>
  <c r="BF38" i="5"/>
  <c r="BL38" i="5"/>
  <c r="AJ38" i="5" s="1"/>
  <c r="K41" i="5"/>
  <c r="AM41" i="5" s="1"/>
  <c r="AV40" i="5" s="1"/>
  <c r="M41" i="5"/>
  <c r="M40" i="5" s="1"/>
  <c r="AB41" i="5"/>
  <c r="AH41" i="5"/>
  <c r="AJ41" i="5"/>
  <c r="AL41" i="5"/>
  <c r="AU40" i="5" s="1"/>
  <c r="AQ41" i="5"/>
  <c r="AY41" i="5" s="1"/>
  <c r="AR41" i="5"/>
  <c r="BF41" i="5"/>
  <c r="BL41" i="5"/>
  <c r="K44" i="5"/>
  <c r="M44" i="5"/>
  <c r="AI44" i="5"/>
  <c r="AJ44" i="5"/>
  <c r="AM44" i="5"/>
  <c r="AQ44" i="5"/>
  <c r="I44" i="5" s="1"/>
  <c r="AR44" i="5"/>
  <c r="J44" i="5" s="1"/>
  <c r="BF44" i="5"/>
  <c r="BL44" i="5"/>
  <c r="AB44" i="5" s="1"/>
  <c r="K46" i="5"/>
  <c r="AN46" i="5" s="1"/>
  <c r="M46" i="5"/>
  <c r="BH46" i="5" s="1"/>
  <c r="AD46" i="5"/>
  <c r="AH46" i="5"/>
  <c r="AJ46" i="5"/>
  <c r="AL46" i="5"/>
  <c r="AM46" i="5"/>
  <c r="AQ46" i="5"/>
  <c r="AR46" i="5"/>
  <c r="BF46" i="5"/>
  <c r="BL46" i="5"/>
  <c r="AB46" i="5" s="1"/>
  <c r="K49" i="5"/>
  <c r="M49" i="5"/>
  <c r="BH49" i="5" s="1"/>
  <c r="AB49" i="5"/>
  <c r="AJ49" i="5"/>
  <c r="AL49" i="5"/>
  <c r="AQ49" i="5"/>
  <c r="BJ49" i="5" s="1"/>
  <c r="AR49" i="5"/>
  <c r="BF49" i="5"/>
  <c r="BL49" i="5"/>
  <c r="K52" i="5"/>
  <c r="M52" i="5"/>
  <c r="BH52" i="5" s="1"/>
  <c r="AG52" i="5"/>
  <c r="AH52" i="5"/>
  <c r="AI52" i="5"/>
  <c r="AJ52" i="5"/>
  <c r="AM52" i="5"/>
  <c r="AQ52" i="5"/>
  <c r="BJ52" i="5" s="1"/>
  <c r="AR52" i="5"/>
  <c r="BK52" i="5" s="1"/>
  <c r="AE52" i="5" s="1"/>
  <c r="BF52" i="5"/>
  <c r="BL52" i="5"/>
  <c r="AB52" i="5" s="1"/>
  <c r="K60" i="5"/>
  <c r="AN60" i="5" s="1"/>
  <c r="M60" i="5"/>
  <c r="BH60" i="5" s="1"/>
  <c r="AB60" i="5"/>
  <c r="AH60" i="5"/>
  <c r="AJ60" i="5"/>
  <c r="AL60" i="5"/>
  <c r="AM60" i="5"/>
  <c r="AQ60" i="5"/>
  <c r="AY60" i="5" s="1"/>
  <c r="AR60" i="5"/>
  <c r="AZ60" i="5" s="1"/>
  <c r="BF60" i="5"/>
  <c r="BL60" i="5"/>
  <c r="K62" i="5"/>
  <c r="M62" i="5"/>
  <c r="BH62" i="5" s="1"/>
  <c r="AF62" i="5"/>
  <c r="AH62" i="5"/>
  <c r="AI62" i="5"/>
  <c r="AL62" i="5"/>
  <c r="AQ62" i="5"/>
  <c r="AR62" i="5"/>
  <c r="BF62" i="5"/>
  <c r="BL62" i="5"/>
  <c r="K65" i="5"/>
  <c r="M65" i="5"/>
  <c r="BH65" i="5" s="1"/>
  <c r="AB65" i="5"/>
  <c r="AI65" i="5"/>
  <c r="AJ65" i="5"/>
  <c r="AQ65" i="5"/>
  <c r="AR65" i="5"/>
  <c r="BK65" i="5" s="1"/>
  <c r="BF65" i="5"/>
  <c r="BL65" i="5"/>
  <c r="K67" i="5"/>
  <c r="AL67" i="5" s="1"/>
  <c r="M67" i="5"/>
  <c r="BH67" i="5" s="1"/>
  <c r="AH67" i="5"/>
  <c r="AJ67" i="5"/>
  <c r="AM67" i="5"/>
  <c r="AQ67" i="5"/>
  <c r="I67" i="5" s="1"/>
  <c r="AR67" i="5"/>
  <c r="BF67" i="5"/>
  <c r="BL67" i="5"/>
  <c r="AB67" i="5" s="1"/>
  <c r="K69" i="5"/>
  <c r="AN69" i="5" s="1"/>
  <c r="M69" i="5"/>
  <c r="BH69" i="5" s="1"/>
  <c r="AB69" i="5"/>
  <c r="AH69" i="5"/>
  <c r="AJ69" i="5"/>
  <c r="AL69" i="5"/>
  <c r="AM69" i="5"/>
  <c r="AQ69" i="5"/>
  <c r="AY69" i="5" s="1"/>
  <c r="AR69" i="5"/>
  <c r="J69" i="5" s="1"/>
  <c r="BF69" i="5"/>
  <c r="BL69" i="5"/>
  <c r="K71" i="5"/>
  <c r="AN71" i="5" s="1"/>
  <c r="M71" i="5"/>
  <c r="BH71" i="5" s="1"/>
  <c r="AI71" i="5"/>
  <c r="AL71" i="5"/>
  <c r="AM71" i="5"/>
  <c r="AQ71" i="5"/>
  <c r="BJ71" i="5" s="1"/>
  <c r="AR71" i="5"/>
  <c r="BK71" i="5" s="1"/>
  <c r="BF71" i="5"/>
  <c r="BL71" i="5"/>
  <c r="K73" i="5"/>
  <c r="AN73" i="5" s="1"/>
  <c r="M73" i="5"/>
  <c r="BH73" i="5" s="1"/>
  <c r="AB73" i="5"/>
  <c r="AJ73" i="5"/>
  <c r="AL73" i="5"/>
  <c r="AQ73" i="5"/>
  <c r="AY73" i="5" s="1"/>
  <c r="AR73" i="5"/>
  <c r="J73" i="5" s="1"/>
  <c r="BF73" i="5"/>
  <c r="BL73" i="5"/>
  <c r="K75" i="5"/>
  <c r="M75" i="5"/>
  <c r="BH75" i="5" s="1"/>
  <c r="AH75" i="5"/>
  <c r="AJ75" i="5"/>
  <c r="AM75" i="5"/>
  <c r="AQ75" i="5"/>
  <c r="AR75" i="5"/>
  <c r="J75" i="5" s="1"/>
  <c r="BF75" i="5"/>
  <c r="BL75" i="5"/>
  <c r="AB75" i="5" s="1"/>
  <c r="K77" i="5"/>
  <c r="AN77" i="5" s="1"/>
  <c r="M77" i="5"/>
  <c r="BH77" i="5" s="1"/>
  <c r="AJ77" i="5"/>
  <c r="AL77" i="5"/>
  <c r="AM77" i="5"/>
  <c r="AQ77" i="5"/>
  <c r="AR77" i="5"/>
  <c r="BK77" i="5" s="1"/>
  <c r="BF77" i="5"/>
  <c r="BL77" i="5"/>
  <c r="AB77" i="5" s="1"/>
  <c r="K80" i="5"/>
  <c r="AN80" i="5" s="1"/>
  <c r="M80" i="5"/>
  <c r="BH80" i="5" s="1"/>
  <c r="AI80" i="5"/>
  <c r="AL80" i="5"/>
  <c r="AM80" i="5"/>
  <c r="AQ80" i="5"/>
  <c r="BJ80" i="5" s="1"/>
  <c r="AR80" i="5"/>
  <c r="J80" i="5" s="1"/>
  <c r="BF80" i="5"/>
  <c r="BL80" i="5"/>
  <c r="K82" i="5"/>
  <c r="AN82" i="5" s="1"/>
  <c r="M82" i="5"/>
  <c r="BH82" i="5" s="1"/>
  <c r="AB82" i="5"/>
  <c r="AJ82" i="5"/>
  <c r="AL82" i="5"/>
  <c r="AQ82" i="5"/>
  <c r="AY82" i="5" s="1"/>
  <c r="AR82" i="5"/>
  <c r="J82" i="5" s="1"/>
  <c r="BF82" i="5"/>
  <c r="BL82" i="5"/>
  <c r="K86" i="5"/>
  <c r="Q86" i="5" s="1"/>
  <c r="M86" i="5"/>
  <c r="AI86" i="5"/>
  <c r="AL86" i="5"/>
  <c r="AQ86" i="5"/>
  <c r="BJ86" i="5" s="1"/>
  <c r="AR86" i="5"/>
  <c r="J86" i="5" s="1"/>
  <c r="BF86" i="5"/>
  <c r="BL86" i="5"/>
  <c r="AJ86" i="5" s="1"/>
  <c r="K88" i="5"/>
  <c r="M88" i="5"/>
  <c r="BH88" i="5" s="1"/>
  <c r="AL88" i="5"/>
  <c r="AM88" i="5"/>
  <c r="AQ88" i="5"/>
  <c r="I88" i="5" s="1"/>
  <c r="AR88" i="5"/>
  <c r="BF88" i="5"/>
  <c r="BL88" i="5"/>
  <c r="K92" i="5"/>
  <c r="AN92" i="5" s="1"/>
  <c r="M92" i="5"/>
  <c r="BH92" i="5" s="1"/>
  <c r="AH92" i="5"/>
  <c r="AJ92" i="5"/>
  <c r="AL92" i="5"/>
  <c r="AM92" i="5"/>
  <c r="AQ92" i="5"/>
  <c r="AR92" i="5"/>
  <c r="BF92" i="5"/>
  <c r="BL92" i="5"/>
  <c r="AB92" i="5" s="1"/>
  <c r="K94" i="5"/>
  <c r="M94" i="5"/>
  <c r="BH94" i="5" s="1"/>
  <c r="AE94" i="5"/>
  <c r="AF94" i="5"/>
  <c r="AH94" i="5"/>
  <c r="AI94" i="5"/>
  <c r="AL94" i="5"/>
  <c r="AQ94" i="5"/>
  <c r="BJ94" i="5" s="1"/>
  <c r="AD94" i="5" s="1"/>
  <c r="AR94" i="5"/>
  <c r="AZ94" i="5" s="1"/>
  <c r="BF94" i="5"/>
  <c r="BL94" i="5"/>
  <c r="AJ94" i="5" s="1"/>
  <c r="K96" i="5"/>
  <c r="M96" i="5"/>
  <c r="AJ96" i="5"/>
  <c r="AL96" i="5"/>
  <c r="AM96" i="5"/>
  <c r="AQ96" i="5"/>
  <c r="I96" i="5" s="1"/>
  <c r="AR96" i="5"/>
  <c r="J96" i="5" s="1"/>
  <c r="BF96" i="5"/>
  <c r="BL96" i="5"/>
  <c r="AB96" i="5" s="1"/>
  <c r="K98" i="5"/>
  <c r="R98" i="5" s="1"/>
  <c r="M98" i="5"/>
  <c r="BH98" i="5" s="1"/>
  <c r="AD98" i="5"/>
  <c r="AG98" i="5"/>
  <c r="AH98" i="5"/>
  <c r="AI98" i="5"/>
  <c r="AQ98" i="5"/>
  <c r="I98" i="5" s="1"/>
  <c r="AR98" i="5"/>
  <c r="J98" i="5" s="1"/>
  <c r="BF98" i="5"/>
  <c r="BL98" i="5"/>
  <c r="AB98" i="5" s="1"/>
  <c r="K100" i="5"/>
  <c r="M100" i="5"/>
  <c r="BH100" i="5" s="1"/>
  <c r="AJ100" i="5"/>
  <c r="AL100" i="5"/>
  <c r="AM100" i="5"/>
  <c r="AQ100" i="5"/>
  <c r="AR100" i="5"/>
  <c r="BK100" i="5" s="1"/>
  <c r="BF100" i="5"/>
  <c r="BL100" i="5"/>
  <c r="AB100" i="5" s="1"/>
  <c r="K102" i="5"/>
  <c r="M102" i="5"/>
  <c r="BH102" i="5" s="1"/>
  <c r="AE102" i="5"/>
  <c r="AF102" i="5"/>
  <c r="AH102" i="5"/>
  <c r="AI102" i="5"/>
  <c r="AQ102" i="5"/>
  <c r="BJ102" i="5" s="1"/>
  <c r="AD102" i="5" s="1"/>
  <c r="AR102" i="5"/>
  <c r="BK102" i="5" s="1"/>
  <c r="AG102" i="5" s="1"/>
  <c r="BF102" i="5"/>
  <c r="BL102" i="5"/>
  <c r="AJ102" i="5" s="1"/>
  <c r="K104" i="5"/>
  <c r="M104" i="5"/>
  <c r="BH104" i="5" s="1"/>
  <c r="AD104" i="5"/>
  <c r="AG104" i="5"/>
  <c r="AI104" i="5"/>
  <c r="AL104" i="5"/>
  <c r="AM104" i="5"/>
  <c r="AQ104" i="5"/>
  <c r="BJ104" i="5" s="1"/>
  <c r="AR104" i="5"/>
  <c r="J104" i="5" s="1"/>
  <c r="BF104" i="5"/>
  <c r="BL104" i="5"/>
  <c r="K108" i="5"/>
  <c r="M108" i="5"/>
  <c r="M107" i="5" s="1"/>
  <c r="AB108" i="5"/>
  <c r="AG108" i="5"/>
  <c r="AH108" i="5"/>
  <c r="AI108" i="5"/>
  <c r="AL108" i="5"/>
  <c r="AU107" i="5" s="1"/>
  <c r="AQ108" i="5"/>
  <c r="I108" i="5" s="1"/>
  <c r="I107" i="5" s="1"/>
  <c r="AR108" i="5"/>
  <c r="BK108" i="5" s="1"/>
  <c r="AE108" i="5" s="1"/>
  <c r="BF108" i="5"/>
  <c r="BL108" i="5"/>
  <c r="AJ108" i="5" s="1"/>
  <c r="K111" i="5"/>
  <c r="M111" i="5"/>
  <c r="AJ111" i="5"/>
  <c r="AL111" i="5"/>
  <c r="AM111" i="5"/>
  <c r="AQ111" i="5"/>
  <c r="BJ111" i="5" s="1"/>
  <c r="AF111" i="5" s="1"/>
  <c r="AR111" i="5"/>
  <c r="AZ111" i="5" s="1"/>
  <c r="BF111" i="5"/>
  <c r="BL111" i="5"/>
  <c r="AB111" i="5" s="1"/>
  <c r="K113" i="5"/>
  <c r="AN113" i="5" s="1"/>
  <c r="M113" i="5"/>
  <c r="BH113" i="5" s="1"/>
  <c r="AI113" i="5"/>
  <c r="AJ113" i="5"/>
  <c r="AL113" i="5"/>
  <c r="AM113" i="5"/>
  <c r="AQ113" i="5"/>
  <c r="BJ113" i="5" s="1"/>
  <c r="AR113" i="5"/>
  <c r="AZ113" i="5" s="1"/>
  <c r="BF113" i="5"/>
  <c r="BL113" i="5"/>
  <c r="AB113" i="5" s="1"/>
  <c r="K116" i="5"/>
  <c r="K115" i="5" s="1"/>
  <c r="P115" i="5" s="1"/>
  <c r="M116" i="5"/>
  <c r="AB116" i="5"/>
  <c r="AH116" i="5"/>
  <c r="AJ116" i="5"/>
  <c r="AL116" i="5"/>
  <c r="AU115" i="5" s="1"/>
  <c r="AQ116" i="5"/>
  <c r="I116" i="5" s="1"/>
  <c r="I115" i="5" s="1"/>
  <c r="AR116" i="5"/>
  <c r="BK116" i="5" s="1"/>
  <c r="AG116" i="5" s="1"/>
  <c r="BF116" i="5"/>
  <c r="BL116" i="5"/>
  <c r="K120" i="5"/>
  <c r="M120" i="5"/>
  <c r="AF120" i="5"/>
  <c r="AI120" i="5"/>
  <c r="AL120" i="5"/>
  <c r="AM120" i="5"/>
  <c r="AQ120" i="5"/>
  <c r="BJ120" i="5" s="1"/>
  <c r="AR120" i="5"/>
  <c r="J120" i="5" s="1"/>
  <c r="BF120" i="5"/>
  <c r="BL120" i="5"/>
  <c r="AB120" i="5" s="1"/>
  <c r="K122" i="5"/>
  <c r="M122" i="5"/>
  <c r="BH122" i="5" s="1"/>
  <c r="AI122" i="5"/>
  <c r="AQ122" i="5"/>
  <c r="AR122" i="5"/>
  <c r="AZ122" i="5" s="1"/>
  <c r="BF122" i="5"/>
  <c r="BL122" i="5"/>
  <c r="K125" i="5"/>
  <c r="AN125" i="5" s="1"/>
  <c r="M125" i="5"/>
  <c r="BH125" i="5" s="1"/>
  <c r="AH125" i="5"/>
  <c r="AL125" i="5"/>
  <c r="AQ125" i="5"/>
  <c r="I125" i="5" s="1"/>
  <c r="AR125" i="5"/>
  <c r="BK125" i="5" s="1"/>
  <c r="BF125" i="5"/>
  <c r="BL125" i="5"/>
  <c r="AJ125" i="5" s="1"/>
  <c r="K128" i="5"/>
  <c r="AM128" i="5" s="1"/>
  <c r="M128" i="5"/>
  <c r="BH128" i="5" s="1"/>
  <c r="AB128" i="5"/>
  <c r="AI128" i="5"/>
  <c r="AJ128" i="5"/>
  <c r="AL128" i="5"/>
  <c r="AQ128" i="5"/>
  <c r="I128" i="5" s="1"/>
  <c r="AR128" i="5"/>
  <c r="BK128" i="5" s="1"/>
  <c r="AE128" i="5" s="1"/>
  <c r="BF128" i="5"/>
  <c r="BL128" i="5"/>
  <c r="K130" i="5"/>
  <c r="AN130" i="5" s="1"/>
  <c r="M130" i="5"/>
  <c r="BH130" i="5" s="1"/>
  <c r="AB130" i="5"/>
  <c r="AH130" i="5"/>
  <c r="AJ130" i="5"/>
  <c r="AL130" i="5"/>
  <c r="AM130" i="5"/>
  <c r="AQ130" i="5"/>
  <c r="BJ130" i="5" s="1"/>
  <c r="AR130" i="5"/>
  <c r="BK130" i="5" s="1"/>
  <c r="BF130" i="5"/>
  <c r="BL130" i="5"/>
  <c r="K133" i="5"/>
  <c r="AN133" i="5" s="1"/>
  <c r="M133" i="5"/>
  <c r="BH133" i="5" s="1"/>
  <c r="AD133" i="5"/>
  <c r="AI133" i="5"/>
  <c r="AJ133" i="5"/>
  <c r="AL133" i="5"/>
  <c r="AM133" i="5"/>
  <c r="AQ133" i="5"/>
  <c r="BJ133" i="5" s="1"/>
  <c r="AR133" i="5"/>
  <c r="J133" i="5" s="1"/>
  <c r="BF133" i="5"/>
  <c r="BL133" i="5"/>
  <c r="AB133" i="5" s="1"/>
  <c r="K135" i="5"/>
  <c r="M135" i="5"/>
  <c r="BH135" i="5" s="1"/>
  <c r="AI135" i="5"/>
  <c r="AM135" i="5"/>
  <c r="AQ135" i="5"/>
  <c r="AR135" i="5"/>
  <c r="BF135" i="5"/>
  <c r="BL135" i="5"/>
  <c r="AB135" i="5" s="1"/>
  <c r="K137" i="5"/>
  <c r="AN137" i="5" s="1"/>
  <c r="M137" i="5"/>
  <c r="AL137" i="5"/>
  <c r="AM137" i="5"/>
  <c r="AQ137" i="5"/>
  <c r="AY137" i="5" s="1"/>
  <c r="AR137" i="5"/>
  <c r="BK137" i="5" s="1"/>
  <c r="AG137" i="5" s="1"/>
  <c r="BF137" i="5"/>
  <c r="BL137" i="5"/>
  <c r="K139" i="5"/>
  <c r="AN139" i="5" s="1"/>
  <c r="M139" i="5"/>
  <c r="BH139" i="5" s="1"/>
  <c r="AE139" i="5"/>
  <c r="AI139" i="5"/>
  <c r="AJ139" i="5"/>
  <c r="AL139" i="5"/>
  <c r="AM139" i="5"/>
  <c r="AQ139" i="5"/>
  <c r="BJ139" i="5" s="1"/>
  <c r="AR139" i="5"/>
  <c r="BF139" i="5"/>
  <c r="BL139" i="5"/>
  <c r="AB139" i="5" s="1"/>
  <c r="K143" i="5"/>
  <c r="AN143" i="5" s="1"/>
  <c r="M143" i="5"/>
  <c r="BH143" i="5" s="1"/>
  <c r="AB143" i="5"/>
  <c r="AD143" i="5"/>
  <c r="AH143" i="5"/>
  <c r="AJ143" i="5"/>
  <c r="AQ143" i="5"/>
  <c r="AR143" i="5"/>
  <c r="BK143" i="5" s="1"/>
  <c r="AI143" i="5" s="1"/>
  <c r="BF143" i="5"/>
  <c r="BL143" i="5"/>
  <c r="K145" i="5"/>
  <c r="AM145" i="5" s="1"/>
  <c r="M145" i="5"/>
  <c r="BH145" i="5" s="1"/>
  <c r="AB145" i="5"/>
  <c r="AH145" i="5"/>
  <c r="AJ145" i="5"/>
  <c r="AL145" i="5"/>
  <c r="AQ145" i="5"/>
  <c r="I145" i="5" s="1"/>
  <c r="AR145" i="5"/>
  <c r="AZ145" i="5" s="1"/>
  <c r="BF145" i="5"/>
  <c r="BL145" i="5"/>
  <c r="K148" i="5"/>
  <c r="M148" i="5"/>
  <c r="BH148" i="5" s="1"/>
  <c r="AH148" i="5"/>
  <c r="AQ148" i="5"/>
  <c r="AY148" i="5" s="1"/>
  <c r="AR148" i="5"/>
  <c r="BF148" i="5"/>
  <c r="BL148" i="5"/>
  <c r="AJ148" i="5" s="1"/>
  <c r="K150" i="5"/>
  <c r="M150" i="5"/>
  <c r="BH150" i="5" s="1"/>
  <c r="AB150" i="5"/>
  <c r="AJ150" i="5"/>
  <c r="AQ150" i="5"/>
  <c r="AY150" i="5" s="1"/>
  <c r="AR150" i="5"/>
  <c r="BF150" i="5"/>
  <c r="BL150" i="5"/>
  <c r="K154" i="5"/>
  <c r="M154" i="5"/>
  <c r="BH154" i="5" s="1"/>
  <c r="AB154" i="5"/>
  <c r="AE154" i="5"/>
  <c r="AI154" i="5"/>
  <c r="AJ154" i="5"/>
  <c r="AL154" i="5"/>
  <c r="AM154" i="5"/>
  <c r="AN154" i="5"/>
  <c r="AQ154" i="5"/>
  <c r="BJ154" i="5" s="1"/>
  <c r="AR154" i="5"/>
  <c r="J154" i="5" s="1"/>
  <c r="BF154" i="5"/>
  <c r="BL154" i="5"/>
  <c r="K156" i="5"/>
  <c r="M156" i="5"/>
  <c r="BH156" i="5" s="1"/>
  <c r="AD156" i="5"/>
  <c r="AH156" i="5"/>
  <c r="AI156" i="5"/>
  <c r="AL156" i="5"/>
  <c r="AQ156" i="5"/>
  <c r="I156" i="5" s="1"/>
  <c r="AR156" i="5"/>
  <c r="J156" i="5" s="1"/>
  <c r="BF156" i="5"/>
  <c r="BL156" i="5"/>
  <c r="K160" i="5"/>
  <c r="AN160" i="5" s="1"/>
  <c r="AW159" i="5" s="1"/>
  <c r="M160" i="5"/>
  <c r="M159" i="5" s="1"/>
  <c r="AB160" i="5"/>
  <c r="AH160" i="5"/>
  <c r="AI160" i="5"/>
  <c r="AL160" i="5"/>
  <c r="AU159" i="5" s="1"/>
  <c r="AQ160" i="5"/>
  <c r="I160" i="5" s="1"/>
  <c r="I159" i="5" s="1"/>
  <c r="AR160" i="5"/>
  <c r="J160" i="5" s="1"/>
  <c r="J159" i="5" s="1"/>
  <c r="BF160" i="5"/>
  <c r="BL160" i="5"/>
  <c r="AJ160" i="5" s="1"/>
  <c r="K163" i="5"/>
  <c r="M163" i="5"/>
  <c r="AM163" i="5"/>
  <c r="AQ163" i="5"/>
  <c r="AR163" i="5"/>
  <c r="AZ163" i="5" s="1"/>
  <c r="BF163" i="5"/>
  <c r="BL163" i="5"/>
  <c r="K165" i="5"/>
  <c r="AN165" i="5" s="1"/>
  <c r="M165" i="5"/>
  <c r="BH165" i="5" s="1"/>
  <c r="AG165" i="5"/>
  <c r="AH165" i="5"/>
  <c r="AL165" i="5"/>
  <c r="AM165" i="5"/>
  <c r="AQ165" i="5"/>
  <c r="I165" i="5" s="1"/>
  <c r="AR165" i="5"/>
  <c r="AZ165" i="5" s="1"/>
  <c r="BF165" i="5"/>
  <c r="BL165" i="5"/>
  <c r="AB165" i="5" s="1"/>
  <c r="K168" i="5"/>
  <c r="K167" i="5" s="1"/>
  <c r="Q167" i="5" s="1"/>
  <c r="M168" i="5"/>
  <c r="M167" i="5" s="1"/>
  <c r="AB168" i="5"/>
  <c r="AH168" i="5"/>
  <c r="AI168" i="5"/>
  <c r="AL168" i="5"/>
  <c r="AU167" i="5" s="1"/>
  <c r="AM168" i="5"/>
  <c r="AV167" i="5" s="1"/>
  <c r="AQ168" i="5"/>
  <c r="I168" i="5" s="1"/>
  <c r="I167" i="5" s="1"/>
  <c r="AR168" i="5"/>
  <c r="AZ168" i="5" s="1"/>
  <c r="BF168" i="5"/>
  <c r="BL168" i="5"/>
  <c r="AJ168" i="5" s="1"/>
  <c r="K172" i="5"/>
  <c r="K171" i="5" s="1"/>
  <c r="Q171" i="5" s="1"/>
  <c r="M172" i="5"/>
  <c r="BH172" i="5" s="1"/>
  <c r="AD172" i="5"/>
  <c r="AH172" i="5"/>
  <c r="AL172" i="5"/>
  <c r="AU171" i="5" s="1"/>
  <c r="AM172" i="5"/>
  <c r="AV171" i="5" s="1"/>
  <c r="AQ172" i="5"/>
  <c r="AY172" i="5" s="1"/>
  <c r="AR172" i="5"/>
  <c r="BF172" i="5"/>
  <c r="BL172" i="5"/>
  <c r="AJ172" i="5" s="1"/>
  <c r="K175" i="5"/>
  <c r="M175" i="5"/>
  <c r="BH175" i="5" s="1"/>
  <c r="AG175" i="5"/>
  <c r="AJ175" i="5"/>
  <c r="AQ175" i="5"/>
  <c r="I175" i="5" s="1"/>
  <c r="AR175" i="5"/>
  <c r="J175" i="5" s="1"/>
  <c r="BF175" i="5"/>
  <c r="BL175" i="5"/>
  <c r="AB175" i="5" s="1"/>
  <c r="K177" i="5"/>
  <c r="AN177" i="5" s="1"/>
  <c r="M177" i="5"/>
  <c r="BH177" i="5" s="1"/>
  <c r="AD177" i="5"/>
  <c r="AH177" i="5"/>
  <c r="AQ177" i="5"/>
  <c r="I177" i="5" s="1"/>
  <c r="AR177" i="5"/>
  <c r="AZ177" i="5" s="1"/>
  <c r="BF177" i="5"/>
  <c r="BL177" i="5"/>
  <c r="K179" i="5"/>
  <c r="AM179" i="5" s="1"/>
  <c r="M179" i="5"/>
  <c r="BH179" i="5" s="1"/>
  <c r="AJ179" i="5"/>
  <c r="AL179" i="5"/>
  <c r="AQ179" i="5"/>
  <c r="AY179" i="5" s="1"/>
  <c r="AR179" i="5"/>
  <c r="J179" i="5" s="1"/>
  <c r="BF179" i="5"/>
  <c r="BL179" i="5"/>
  <c r="AB179" i="5" s="1"/>
  <c r="K181" i="5"/>
  <c r="M181" i="5"/>
  <c r="BH181" i="5" s="1"/>
  <c r="AD181" i="5"/>
  <c r="AE181" i="5"/>
  <c r="AH181" i="5"/>
  <c r="AI181" i="5"/>
  <c r="AL181" i="5"/>
  <c r="AM181" i="5"/>
  <c r="AN181" i="5"/>
  <c r="AQ181" i="5"/>
  <c r="AR181" i="5"/>
  <c r="AZ181" i="5" s="1"/>
  <c r="BF181" i="5"/>
  <c r="BL181" i="5"/>
  <c r="AJ181" i="5" s="1"/>
  <c r="K185" i="5"/>
  <c r="AN185" i="5" s="1"/>
  <c r="M185" i="5"/>
  <c r="BH185" i="5" s="1"/>
  <c r="AB185" i="5"/>
  <c r="AL185" i="5"/>
  <c r="AM185" i="5"/>
  <c r="AQ185" i="5"/>
  <c r="AY185" i="5" s="1"/>
  <c r="AR185" i="5"/>
  <c r="AZ185" i="5" s="1"/>
  <c r="BF185" i="5"/>
  <c r="BL185" i="5"/>
  <c r="AJ185" i="5" s="1"/>
  <c r="K188" i="5"/>
  <c r="M188" i="5"/>
  <c r="AI188" i="5"/>
  <c r="AJ188" i="5"/>
  <c r="AQ188" i="5"/>
  <c r="AY188" i="5" s="1"/>
  <c r="AR188" i="5"/>
  <c r="BF188" i="5"/>
  <c r="BL188" i="5"/>
  <c r="AB188" i="5" s="1"/>
  <c r="K193" i="5"/>
  <c r="AN193" i="5" s="1"/>
  <c r="AW192" i="5" s="1"/>
  <c r="M193" i="5"/>
  <c r="BH193" i="5" s="1"/>
  <c r="AH193" i="5"/>
  <c r="AI193" i="5"/>
  <c r="AM193" i="5"/>
  <c r="AV192" i="5" s="1"/>
  <c r="AQ193" i="5"/>
  <c r="AR193" i="5"/>
  <c r="BF193" i="5"/>
  <c r="BL193" i="5"/>
  <c r="K196" i="5"/>
  <c r="M196" i="5"/>
  <c r="AB196" i="5"/>
  <c r="AH196" i="5"/>
  <c r="AJ196" i="5"/>
  <c r="AL196" i="5"/>
  <c r="AM196" i="5"/>
  <c r="AQ196" i="5"/>
  <c r="AR196" i="5"/>
  <c r="BF196" i="5"/>
  <c r="BL196" i="5"/>
  <c r="K199" i="5"/>
  <c r="AN199" i="5" s="1"/>
  <c r="M199" i="5"/>
  <c r="BH199" i="5" s="1"/>
  <c r="AF199" i="5"/>
  <c r="AI199" i="5"/>
  <c r="AJ199" i="5"/>
  <c r="AQ199" i="5"/>
  <c r="AR199" i="5"/>
  <c r="J199" i="5" s="1"/>
  <c r="BF199" i="5"/>
  <c r="BL199" i="5"/>
  <c r="AB199" i="5" s="1"/>
  <c r="K203" i="5"/>
  <c r="AN203" i="5" s="1"/>
  <c r="AW202" i="5" s="1"/>
  <c r="M203" i="5"/>
  <c r="M202" i="5" s="1"/>
  <c r="AH203" i="5"/>
  <c r="AM203" i="5"/>
  <c r="AV202" i="5" s="1"/>
  <c r="AQ203" i="5"/>
  <c r="I203" i="5" s="1"/>
  <c r="I202" i="5" s="1"/>
  <c r="AR203" i="5"/>
  <c r="AZ203" i="5" s="1"/>
  <c r="BF203" i="5"/>
  <c r="BL203" i="5"/>
  <c r="K206" i="5"/>
  <c r="M206" i="5"/>
  <c r="BH206" i="5" s="1"/>
  <c r="AM206" i="5"/>
  <c r="AQ206" i="5"/>
  <c r="AR206" i="5"/>
  <c r="BF206" i="5"/>
  <c r="BL206" i="5"/>
  <c r="AJ206" i="5" s="1"/>
  <c r="K209" i="5"/>
  <c r="M209" i="5"/>
  <c r="BH209" i="5" s="1"/>
  <c r="AF209" i="5"/>
  <c r="AG209" i="5"/>
  <c r="AJ209" i="5"/>
  <c r="AQ209" i="5"/>
  <c r="AR209" i="5"/>
  <c r="J209" i="5" s="1"/>
  <c r="BF209" i="5"/>
  <c r="BL209" i="5"/>
  <c r="AB209" i="5" s="1"/>
  <c r="K212" i="5"/>
  <c r="AN212" i="5" s="1"/>
  <c r="M212" i="5"/>
  <c r="BH212" i="5" s="1"/>
  <c r="AH212" i="5"/>
  <c r="AJ212" i="5"/>
  <c r="AL212" i="5"/>
  <c r="AM212" i="5"/>
  <c r="AQ212" i="5"/>
  <c r="AR212" i="5"/>
  <c r="AZ212" i="5" s="1"/>
  <c r="BF212" i="5"/>
  <c r="BL212" i="5"/>
  <c r="AB212" i="5" s="1"/>
  <c r="K214" i="5"/>
  <c r="AL214" i="5" s="1"/>
  <c r="M214" i="5"/>
  <c r="BH214" i="5" s="1"/>
  <c r="AF214" i="5"/>
  <c r="AI214" i="5"/>
  <c r="AJ214" i="5"/>
  <c r="AM214" i="5"/>
  <c r="AQ214" i="5"/>
  <c r="I214" i="5" s="1"/>
  <c r="AR214" i="5"/>
  <c r="J214" i="5" s="1"/>
  <c r="BF214" i="5"/>
  <c r="BL214" i="5"/>
  <c r="AB214" i="5" s="1"/>
  <c r="K216" i="5"/>
  <c r="AN216" i="5" s="1"/>
  <c r="M216" i="5"/>
  <c r="BH216" i="5" s="1"/>
  <c r="AH216" i="5"/>
  <c r="AL216" i="5"/>
  <c r="AM216" i="5"/>
  <c r="AQ216" i="5"/>
  <c r="I216" i="5" s="1"/>
  <c r="AR216" i="5"/>
  <c r="BF216" i="5"/>
  <c r="BL216" i="5"/>
  <c r="K218" i="5"/>
  <c r="AN218" i="5" s="1"/>
  <c r="M218" i="5"/>
  <c r="BH218" i="5" s="1"/>
  <c r="AF218" i="5"/>
  <c r="AI218" i="5"/>
  <c r="AJ218" i="5"/>
  <c r="AQ218" i="5"/>
  <c r="I218" i="5" s="1"/>
  <c r="AR218" i="5"/>
  <c r="BF218" i="5"/>
  <c r="BL218" i="5"/>
  <c r="AB218" i="5" s="1"/>
  <c r="K220" i="5"/>
  <c r="AN220" i="5" s="1"/>
  <c r="M220" i="5"/>
  <c r="BH220" i="5" s="1"/>
  <c r="AB220" i="5"/>
  <c r="AL220" i="5"/>
  <c r="AM220" i="5"/>
  <c r="AQ220" i="5"/>
  <c r="AR220" i="5"/>
  <c r="J220" i="5" s="1"/>
  <c r="BF220" i="5"/>
  <c r="BL220" i="5"/>
  <c r="AJ220" i="5" s="1"/>
  <c r="K222" i="5"/>
  <c r="AN222" i="5" s="1"/>
  <c r="M222" i="5"/>
  <c r="BH222" i="5" s="1"/>
  <c r="AI222" i="5"/>
  <c r="AJ222" i="5"/>
  <c r="AQ222" i="5"/>
  <c r="I222" i="5" s="1"/>
  <c r="AR222" i="5"/>
  <c r="BF222" i="5"/>
  <c r="BL222" i="5"/>
  <c r="AB222" i="5" s="1"/>
  <c r="K224" i="5"/>
  <c r="AN224" i="5" s="1"/>
  <c r="M224" i="5"/>
  <c r="BH224" i="5" s="1"/>
  <c r="AH224" i="5"/>
  <c r="AL224" i="5"/>
  <c r="AM224" i="5"/>
  <c r="AQ224" i="5"/>
  <c r="I224" i="5" s="1"/>
  <c r="AR224" i="5"/>
  <c r="AZ224" i="5" s="1"/>
  <c r="BF224" i="5"/>
  <c r="BL224" i="5"/>
  <c r="AJ224" i="5" s="1"/>
  <c r="K226" i="5"/>
  <c r="AN226" i="5" s="1"/>
  <c r="M226" i="5"/>
  <c r="BH226" i="5" s="1"/>
  <c r="AI226" i="5"/>
  <c r="AJ226" i="5"/>
  <c r="AQ226" i="5"/>
  <c r="I226" i="5" s="1"/>
  <c r="AR226" i="5"/>
  <c r="J226" i="5" s="1"/>
  <c r="BF226" i="5"/>
  <c r="BL226" i="5"/>
  <c r="AB226" i="5" s="1"/>
  <c r="K229" i="5"/>
  <c r="AN229" i="5" s="1"/>
  <c r="M229" i="5"/>
  <c r="BH229" i="5" s="1"/>
  <c r="AH229" i="5"/>
  <c r="AM229" i="5"/>
  <c r="AQ229" i="5"/>
  <c r="I229" i="5" s="1"/>
  <c r="AR229" i="5"/>
  <c r="AZ229" i="5" s="1"/>
  <c r="BF229" i="5"/>
  <c r="BL229" i="5"/>
  <c r="K231" i="5"/>
  <c r="AN231" i="5" s="1"/>
  <c r="M231" i="5"/>
  <c r="BH231" i="5" s="1"/>
  <c r="AB231" i="5"/>
  <c r="AF231" i="5"/>
  <c r="AJ231" i="5"/>
  <c r="AL231" i="5"/>
  <c r="AM231" i="5"/>
  <c r="AQ231" i="5"/>
  <c r="AY231" i="5" s="1"/>
  <c r="AR231" i="5"/>
  <c r="J231" i="5" s="1"/>
  <c r="BF231" i="5"/>
  <c r="BL231" i="5"/>
  <c r="K234" i="5"/>
  <c r="M234" i="5"/>
  <c r="AI234" i="5"/>
  <c r="AJ234" i="5"/>
  <c r="AM234" i="5"/>
  <c r="AQ234" i="5"/>
  <c r="AR234" i="5"/>
  <c r="J234" i="5" s="1"/>
  <c r="BF234" i="5"/>
  <c r="BL234" i="5"/>
  <c r="AB234" i="5" s="1"/>
  <c r="K237" i="5"/>
  <c r="M237" i="5"/>
  <c r="BH237" i="5" s="1"/>
  <c r="AH237" i="5"/>
  <c r="AL237" i="5"/>
  <c r="AM237" i="5"/>
  <c r="AQ237" i="5"/>
  <c r="AR237" i="5"/>
  <c r="BK237" i="5" s="1"/>
  <c r="BF237" i="5"/>
  <c r="BL237" i="5"/>
  <c r="AB237" i="5" s="1"/>
  <c r="K240" i="5"/>
  <c r="Q240" i="5" s="1"/>
  <c r="M240" i="5"/>
  <c r="BH240" i="5" s="1"/>
  <c r="AI240" i="5"/>
  <c r="AJ240" i="5"/>
  <c r="AQ240" i="5"/>
  <c r="AR240" i="5"/>
  <c r="J240" i="5" s="1"/>
  <c r="BF240" i="5"/>
  <c r="BL240" i="5"/>
  <c r="AB240" i="5" s="1"/>
  <c r="K243" i="5"/>
  <c r="M243" i="5"/>
  <c r="BH243" i="5" s="1"/>
  <c r="AB243" i="5"/>
  <c r="AL243" i="5"/>
  <c r="AM243" i="5"/>
  <c r="AQ243" i="5"/>
  <c r="AY243" i="5" s="1"/>
  <c r="AR243" i="5"/>
  <c r="AZ243" i="5" s="1"/>
  <c r="BF243" i="5"/>
  <c r="BL243" i="5"/>
  <c r="AJ243" i="5" s="1"/>
  <c r="K246" i="5"/>
  <c r="AN246" i="5" s="1"/>
  <c r="M246" i="5"/>
  <c r="AB246" i="5"/>
  <c r="AJ246" i="5"/>
  <c r="AL246" i="5"/>
  <c r="AM246" i="5"/>
  <c r="AQ246" i="5"/>
  <c r="AY246" i="5" s="1"/>
  <c r="AR246" i="5"/>
  <c r="J246" i="5" s="1"/>
  <c r="BF246" i="5"/>
  <c r="BH246" i="5"/>
  <c r="BL246" i="5"/>
  <c r="K250" i="5"/>
  <c r="AN250" i="5" s="1"/>
  <c r="M250" i="5"/>
  <c r="BH250" i="5" s="1"/>
  <c r="AH250" i="5"/>
  <c r="AI250" i="5"/>
  <c r="AL250" i="5"/>
  <c r="AM250" i="5"/>
  <c r="AQ250" i="5"/>
  <c r="AR250" i="5"/>
  <c r="AZ250" i="5" s="1"/>
  <c r="BF250" i="5"/>
  <c r="BL250" i="5"/>
  <c r="K253" i="5"/>
  <c r="M253" i="5"/>
  <c r="BH253" i="5" s="1"/>
  <c r="AB253" i="5"/>
  <c r="AF253" i="5"/>
  <c r="AJ253" i="5"/>
  <c r="AL253" i="5"/>
  <c r="AQ253" i="5"/>
  <c r="I253" i="5" s="1"/>
  <c r="AR253" i="5"/>
  <c r="J253" i="5" s="1"/>
  <c r="BF253" i="5"/>
  <c r="BL253" i="5"/>
  <c r="K255" i="5"/>
  <c r="AN255" i="5" s="1"/>
  <c r="M255" i="5"/>
  <c r="BH255" i="5" s="1"/>
  <c r="AH255" i="5"/>
  <c r="AQ255" i="5"/>
  <c r="AR255" i="5"/>
  <c r="BK255" i="5" s="1"/>
  <c r="AE255" i="5" s="1"/>
  <c r="BF255" i="5"/>
  <c r="BL255" i="5"/>
  <c r="K257" i="5"/>
  <c r="AN257" i="5" s="1"/>
  <c r="M257" i="5"/>
  <c r="BH257" i="5" s="1"/>
  <c r="AB257" i="5"/>
  <c r="AJ257" i="5"/>
  <c r="AL257" i="5"/>
  <c r="AM257" i="5"/>
  <c r="AQ257" i="5"/>
  <c r="AY257" i="5" s="1"/>
  <c r="AR257" i="5"/>
  <c r="BF257" i="5"/>
  <c r="BL257" i="5"/>
  <c r="K259" i="5"/>
  <c r="AN259" i="5" s="1"/>
  <c r="M259" i="5"/>
  <c r="AH259" i="5"/>
  <c r="AI259" i="5"/>
  <c r="AL259" i="5"/>
  <c r="AM259" i="5"/>
  <c r="AQ259" i="5"/>
  <c r="I259" i="5" s="1"/>
  <c r="AR259" i="5"/>
  <c r="AZ259" i="5" s="1"/>
  <c r="BF259" i="5"/>
  <c r="BH259" i="5"/>
  <c r="BL259" i="5"/>
  <c r="K264" i="5"/>
  <c r="M264" i="5"/>
  <c r="BH264" i="5" s="1"/>
  <c r="AB264" i="5"/>
  <c r="AJ264" i="5"/>
  <c r="AL264" i="5"/>
  <c r="AQ264" i="5"/>
  <c r="I264" i="5" s="1"/>
  <c r="AR264" i="5"/>
  <c r="AZ264" i="5" s="1"/>
  <c r="BF264" i="5"/>
  <c r="BL264" i="5"/>
  <c r="K268" i="5"/>
  <c r="AN268" i="5" s="1"/>
  <c r="M268" i="5"/>
  <c r="BH268" i="5" s="1"/>
  <c r="AH268" i="5"/>
  <c r="AI268" i="5"/>
  <c r="AJ268" i="5"/>
  <c r="AQ268" i="5"/>
  <c r="AR268" i="5"/>
  <c r="AZ268" i="5" s="1"/>
  <c r="BF268" i="5"/>
  <c r="BL268" i="5"/>
  <c r="AB268" i="5" s="1"/>
  <c r="K271" i="5"/>
  <c r="M271" i="5"/>
  <c r="BH271" i="5" s="1"/>
  <c r="AH271" i="5"/>
  <c r="AI271" i="5"/>
  <c r="AQ271" i="5"/>
  <c r="BJ271" i="5" s="1"/>
  <c r="AR271" i="5"/>
  <c r="J271" i="5" s="1"/>
  <c r="BF271" i="5"/>
  <c r="BL271" i="5"/>
  <c r="AB271" i="5" s="1"/>
  <c r="K274" i="5"/>
  <c r="AN274" i="5" s="1"/>
  <c r="M274" i="5"/>
  <c r="BH274" i="5" s="1"/>
  <c r="AB274" i="5"/>
  <c r="AH274" i="5"/>
  <c r="AJ274" i="5"/>
  <c r="AL274" i="5"/>
  <c r="AM274" i="5"/>
  <c r="AQ274" i="5"/>
  <c r="BJ274" i="5" s="1"/>
  <c r="AD274" i="5" s="1"/>
  <c r="AR274" i="5"/>
  <c r="J274" i="5" s="1"/>
  <c r="BF274" i="5"/>
  <c r="BL274" i="5"/>
  <c r="K276" i="5"/>
  <c r="M276" i="5"/>
  <c r="BH276" i="5" s="1"/>
  <c r="AI276" i="5"/>
  <c r="AQ276" i="5"/>
  <c r="I276" i="5" s="1"/>
  <c r="AR276" i="5"/>
  <c r="BF276" i="5"/>
  <c r="BL276" i="5"/>
  <c r="K278" i="5"/>
  <c r="AN278" i="5" s="1"/>
  <c r="M278" i="5"/>
  <c r="BH278" i="5" s="1"/>
  <c r="AB278" i="5"/>
  <c r="AJ278" i="5"/>
  <c r="AL278" i="5"/>
  <c r="AM278" i="5"/>
  <c r="AQ278" i="5"/>
  <c r="I278" i="5" s="1"/>
  <c r="AR278" i="5"/>
  <c r="AZ278" i="5" s="1"/>
  <c r="BF278" i="5"/>
  <c r="BL278" i="5"/>
  <c r="K280" i="5"/>
  <c r="AL280" i="5" s="1"/>
  <c r="M280" i="5"/>
  <c r="BH280" i="5" s="1"/>
  <c r="AH280" i="5"/>
  <c r="AI280" i="5"/>
  <c r="AJ280" i="5"/>
  <c r="AM280" i="5"/>
  <c r="AQ280" i="5"/>
  <c r="AR280" i="5"/>
  <c r="BK280" i="5" s="1"/>
  <c r="BF280" i="5"/>
  <c r="BL280" i="5"/>
  <c r="AB280" i="5" s="1"/>
  <c r="K282" i="5"/>
  <c r="AN282" i="5" s="1"/>
  <c r="M282" i="5"/>
  <c r="BH282" i="5" s="1"/>
  <c r="AB282" i="5"/>
  <c r="AL282" i="5"/>
  <c r="AM282" i="5"/>
  <c r="AQ282" i="5"/>
  <c r="AR282" i="5"/>
  <c r="BK282" i="5" s="1"/>
  <c r="AE282" i="5" s="1"/>
  <c r="BF282" i="5"/>
  <c r="BL282" i="5"/>
  <c r="AJ282" i="5" s="1"/>
  <c r="K284" i="5"/>
  <c r="M284" i="5"/>
  <c r="BH284" i="5" s="1"/>
  <c r="AI284" i="5"/>
  <c r="AM284" i="5"/>
  <c r="AQ284" i="5"/>
  <c r="AR284" i="5"/>
  <c r="J284" i="5" s="1"/>
  <c r="BF284" i="5"/>
  <c r="BL284" i="5"/>
  <c r="K286" i="5"/>
  <c r="AN286" i="5" s="1"/>
  <c r="M286" i="5"/>
  <c r="BH286" i="5" s="1"/>
  <c r="AB286" i="5"/>
  <c r="AJ286" i="5"/>
  <c r="AL286" i="5"/>
  <c r="AM286" i="5"/>
  <c r="AQ286" i="5"/>
  <c r="AR286" i="5"/>
  <c r="J286" i="5" s="1"/>
  <c r="BF286" i="5"/>
  <c r="BL286" i="5"/>
  <c r="K289" i="5"/>
  <c r="AL289" i="5" s="1"/>
  <c r="M289" i="5"/>
  <c r="BH289" i="5" s="1"/>
  <c r="AH289" i="5"/>
  <c r="AI289" i="5"/>
  <c r="AM289" i="5"/>
  <c r="AQ289" i="5"/>
  <c r="AR289" i="5"/>
  <c r="AZ289" i="5" s="1"/>
  <c r="BF289" i="5"/>
  <c r="BL289" i="5"/>
  <c r="K291" i="5"/>
  <c r="AN291" i="5" s="1"/>
  <c r="M291" i="5"/>
  <c r="BH291" i="5" s="1"/>
  <c r="AL291" i="5"/>
  <c r="AM291" i="5"/>
  <c r="AQ291" i="5"/>
  <c r="BJ291" i="5" s="1"/>
  <c r="AR291" i="5"/>
  <c r="BK291" i="5" s="1"/>
  <c r="AE291" i="5" s="1"/>
  <c r="BF291" i="5"/>
  <c r="BL291" i="5"/>
  <c r="K295" i="5"/>
  <c r="M295" i="5"/>
  <c r="AB295" i="5"/>
  <c r="AJ295" i="5"/>
  <c r="AQ295" i="5"/>
  <c r="I295" i="5" s="1"/>
  <c r="AR295" i="5"/>
  <c r="AZ295" i="5" s="1"/>
  <c r="BF295" i="5"/>
  <c r="BL295" i="5"/>
  <c r="K298" i="5"/>
  <c r="AN298" i="5" s="1"/>
  <c r="M298" i="5"/>
  <c r="BH298" i="5" s="1"/>
  <c r="AH298" i="5"/>
  <c r="AL298" i="5"/>
  <c r="AM298" i="5"/>
  <c r="AQ298" i="5"/>
  <c r="I298" i="5" s="1"/>
  <c r="AR298" i="5"/>
  <c r="AZ298" i="5" s="1"/>
  <c r="BF298" i="5"/>
  <c r="BL298" i="5"/>
  <c r="AJ298" i="5" s="1"/>
  <c r="K300" i="5"/>
  <c r="AM300" i="5" s="1"/>
  <c r="M300" i="5"/>
  <c r="BH300" i="5" s="1"/>
  <c r="AB300" i="5"/>
  <c r="AI300" i="5"/>
  <c r="AJ300" i="5"/>
  <c r="AQ300" i="5"/>
  <c r="I300" i="5" s="1"/>
  <c r="AR300" i="5"/>
  <c r="J300" i="5" s="1"/>
  <c r="BF300" i="5"/>
  <c r="BL300" i="5"/>
  <c r="K302" i="5"/>
  <c r="AN302" i="5" s="1"/>
  <c r="M302" i="5"/>
  <c r="BH302" i="5" s="1"/>
  <c r="AB302" i="5"/>
  <c r="AH302" i="5"/>
  <c r="AI302" i="5"/>
  <c r="AQ302" i="5"/>
  <c r="AR302" i="5"/>
  <c r="BK302" i="5" s="1"/>
  <c r="BF302" i="5"/>
  <c r="BL302" i="5"/>
  <c r="AJ302" i="5" s="1"/>
  <c r="K304" i="5"/>
  <c r="AN304" i="5" s="1"/>
  <c r="M304" i="5"/>
  <c r="BH304" i="5" s="1"/>
  <c r="AG304" i="5"/>
  <c r="AI304" i="5"/>
  <c r="AJ304" i="5"/>
  <c r="AQ304" i="5"/>
  <c r="AR304" i="5"/>
  <c r="J304" i="5" s="1"/>
  <c r="BF304" i="5"/>
  <c r="BL304" i="5"/>
  <c r="AB304" i="5" s="1"/>
  <c r="K306" i="5"/>
  <c r="AN306" i="5" s="1"/>
  <c r="M306" i="5"/>
  <c r="BH306" i="5" s="1"/>
  <c r="AH306" i="5"/>
  <c r="AL306" i="5"/>
  <c r="AM306" i="5"/>
  <c r="AQ306" i="5"/>
  <c r="I306" i="5" s="1"/>
  <c r="AR306" i="5"/>
  <c r="BF306" i="5"/>
  <c r="BL306" i="5"/>
  <c r="AJ306" i="5" s="1"/>
  <c r="K308" i="5"/>
  <c r="AM308" i="5" s="1"/>
  <c r="M308" i="5"/>
  <c r="BH308" i="5" s="1"/>
  <c r="AB308" i="5"/>
  <c r="AF308" i="5"/>
  <c r="AI308" i="5"/>
  <c r="AJ308" i="5"/>
  <c r="AL308" i="5"/>
  <c r="AQ308" i="5"/>
  <c r="I308" i="5" s="1"/>
  <c r="AR308" i="5"/>
  <c r="J308" i="5" s="1"/>
  <c r="BF308" i="5"/>
  <c r="BL308" i="5"/>
  <c r="K310" i="5"/>
  <c r="AN310" i="5" s="1"/>
  <c r="M310" i="5"/>
  <c r="BH310" i="5" s="1"/>
  <c r="AB310" i="5"/>
  <c r="AH310" i="5"/>
  <c r="AM310" i="5"/>
  <c r="AQ310" i="5"/>
  <c r="I310" i="5" s="1"/>
  <c r="AR310" i="5"/>
  <c r="BF310" i="5"/>
  <c r="BL310" i="5"/>
  <c r="AJ310" i="5" s="1"/>
  <c r="K313" i="5"/>
  <c r="AN313" i="5" s="1"/>
  <c r="AW312" i="5" s="1"/>
  <c r="M313" i="5"/>
  <c r="BH313" i="5" s="1"/>
  <c r="AB313" i="5"/>
  <c r="AL313" i="5"/>
  <c r="AU312" i="5" s="1"/>
  <c r="AM313" i="5"/>
  <c r="AV312" i="5" s="1"/>
  <c r="AQ313" i="5"/>
  <c r="AR313" i="5"/>
  <c r="J313" i="5" s="1"/>
  <c r="J312" i="5" s="1"/>
  <c r="BF313" i="5"/>
  <c r="BL313" i="5"/>
  <c r="AJ313" i="5" s="1"/>
  <c r="K317" i="5"/>
  <c r="K316" i="5" s="1"/>
  <c r="Q316" i="5" s="1"/>
  <c r="M317" i="5"/>
  <c r="M316" i="5" s="1"/>
  <c r="AJ317" i="5"/>
  <c r="AQ317" i="5"/>
  <c r="I317" i="5" s="1"/>
  <c r="I316" i="5" s="1"/>
  <c r="AR317" i="5"/>
  <c r="BF317" i="5"/>
  <c r="BL317" i="5"/>
  <c r="AB317" i="5" s="1"/>
  <c r="K320" i="5"/>
  <c r="M320" i="5"/>
  <c r="BH320" i="5" s="1"/>
  <c r="AI320" i="5"/>
  <c r="AM320" i="5"/>
  <c r="AQ320" i="5"/>
  <c r="BJ320" i="5" s="1"/>
  <c r="AR320" i="5"/>
  <c r="BK320" i="5" s="1"/>
  <c r="AG320" i="5" s="1"/>
  <c r="BF320" i="5"/>
  <c r="BL320" i="5"/>
  <c r="K322" i="5"/>
  <c r="AN322" i="5" s="1"/>
  <c r="M322" i="5"/>
  <c r="BH322" i="5" s="1"/>
  <c r="AB322" i="5"/>
  <c r="AG322" i="5"/>
  <c r="AJ322" i="5"/>
  <c r="AL322" i="5"/>
  <c r="AM322" i="5"/>
  <c r="AQ322" i="5"/>
  <c r="AY322" i="5" s="1"/>
  <c r="AR322" i="5"/>
  <c r="BF322" i="5"/>
  <c r="BL322" i="5"/>
  <c r="K324" i="5"/>
  <c r="AL324" i="5" s="1"/>
  <c r="M324" i="5"/>
  <c r="BH324" i="5" s="1"/>
  <c r="AH324" i="5"/>
  <c r="AI324" i="5"/>
  <c r="AM324" i="5"/>
  <c r="AQ324" i="5"/>
  <c r="I324" i="5" s="1"/>
  <c r="AR324" i="5"/>
  <c r="BK324" i="5" s="1"/>
  <c r="AG324" i="5" s="1"/>
  <c r="BF324" i="5"/>
  <c r="BL324" i="5"/>
  <c r="K327" i="5"/>
  <c r="AN327" i="5" s="1"/>
  <c r="M327" i="5"/>
  <c r="BH327" i="5" s="1"/>
  <c r="AL327" i="5"/>
  <c r="AM327" i="5"/>
  <c r="AQ327" i="5"/>
  <c r="BJ327" i="5" s="1"/>
  <c r="AR327" i="5"/>
  <c r="BF327" i="5"/>
  <c r="BL327" i="5"/>
  <c r="K329" i="5"/>
  <c r="M329" i="5"/>
  <c r="BH329" i="5" s="1"/>
  <c r="AI329" i="5"/>
  <c r="AM329" i="5"/>
  <c r="AQ329" i="5"/>
  <c r="I329" i="5" s="1"/>
  <c r="AR329" i="5"/>
  <c r="BK329" i="5" s="1"/>
  <c r="BF329" i="5"/>
  <c r="BL329" i="5"/>
  <c r="K331" i="5"/>
  <c r="AN331" i="5" s="1"/>
  <c r="M331" i="5"/>
  <c r="BH331" i="5" s="1"/>
  <c r="AB331" i="5"/>
  <c r="AJ331" i="5"/>
  <c r="AL331" i="5"/>
  <c r="AM331" i="5"/>
  <c r="AQ331" i="5"/>
  <c r="AR331" i="5"/>
  <c r="AZ331" i="5" s="1"/>
  <c r="BF331" i="5"/>
  <c r="BL331" i="5"/>
  <c r="K334" i="5"/>
  <c r="AN334" i="5" s="1"/>
  <c r="AW333" i="5" s="1"/>
  <c r="M334" i="5"/>
  <c r="AB334" i="5"/>
  <c r="AF334" i="5"/>
  <c r="AI334" i="5"/>
  <c r="AJ334" i="5"/>
  <c r="AL334" i="5"/>
  <c r="AU333" i="5" s="1"/>
  <c r="AQ334" i="5"/>
  <c r="AY334" i="5" s="1"/>
  <c r="AR334" i="5"/>
  <c r="BK334" i="5" s="1"/>
  <c r="BF334" i="5"/>
  <c r="BL334" i="5"/>
  <c r="K337" i="5"/>
  <c r="M337" i="5"/>
  <c r="BH337" i="5" s="1"/>
  <c r="AH337" i="5"/>
  <c r="AI337" i="5"/>
  <c r="AJ337" i="5"/>
  <c r="AM337" i="5"/>
  <c r="AQ337" i="5"/>
  <c r="AR337" i="5"/>
  <c r="J337" i="5" s="1"/>
  <c r="BF337" i="5"/>
  <c r="BL337" i="5"/>
  <c r="AB337" i="5" s="1"/>
  <c r="K339" i="5"/>
  <c r="M339" i="5"/>
  <c r="BH339" i="5" s="1"/>
  <c r="AB339" i="5"/>
  <c r="AL339" i="5"/>
  <c r="AM339" i="5"/>
  <c r="AQ339" i="5"/>
  <c r="AR339" i="5"/>
  <c r="J339" i="5" s="1"/>
  <c r="BF339" i="5"/>
  <c r="BL339" i="5"/>
  <c r="AJ339" i="5" s="1"/>
  <c r="K341" i="5"/>
  <c r="Q341" i="5" s="1"/>
  <c r="M341" i="5"/>
  <c r="BH341" i="5" s="1"/>
  <c r="AI341" i="5"/>
  <c r="AM341" i="5"/>
  <c r="AQ341" i="5"/>
  <c r="BJ341" i="5" s="1"/>
  <c r="AR341" i="5"/>
  <c r="J341" i="5" s="1"/>
  <c r="BF341" i="5"/>
  <c r="BL341" i="5"/>
  <c r="K343" i="5"/>
  <c r="M343" i="5"/>
  <c r="BH343" i="5" s="1"/>
  <c r="AB343" i="5"/>
  <c r="AJ343" i="5"/>
  <c r="AL343" i="5"/>
  <c r="AM343" i="5"/>
  <c r="AQ343" i="5"/>
  <c r="AY343" i="5" s="1"/>
  <c r="AR343" i="5"/>
  <c r="J343" i="5" s="1"/>
  <c r="BF343" i="5"/>
  <c r="BL343" i="5"/>
  <c r="K345" i="5"/>
  <c r="M345" i="5"/>
  <c r="BH345" i="5" s="1"/>
  <c r="AQ345" i="5"/>
  <c r="AR345" i="5"/>
  <c r="AZ345" i="5" s="1"/>
  <c r="BF345" i="5"/>
  <c r="BL345" i="5"/>
  <c r="K347" i="5"/>
  <c r="M347" i="5"/>
  <c r="BH347" i="5" s="1"/>
  <c r="AB347" i="5"/>
  <c r="AF347" i="5"/>
  <c r="AL347" i="5"/>
  <c r="AM347" i="5"/>
  <c r="AQ347" i="5"/>
  <c r="AY347" i="5" s="1"/>
  <c r="AR347" i="5"/>
  <c r="BF347" i="5"/>
  <c r="BL347" i="5"/>
  <c r="AJ347" i="5" s="1"/>
  <c r="K349" i="5"/>
  <c r="M349" i="5"/>
  <c r="BH349" i="5" s="1"/>
  <c r="AB349" i="5"/>
  <c r="AI349" i="5"/>
  <c r="AJ349" i="5"/>
  <c r="AL349" i="5"/>
  <c r="AM349" i="5"/>
  <c r="AQ349" i="5"/>
  <c r="AY349" i="5" s="1"/>
  <c r="AR349" i="5"/>
  <c r="BF349" i="5"/>
  <c r="BL349" i="5"/>
  <c r="K351" i="5"/>
  <c r="Q351" i="5" s="1"/>
  <c r="M351" i="5"/>
  <c r="BH351" i="5" s="1"/>
  <c r="AH351" i="5"/>
  <c r="AI351" i="5"/>
  <c r="AJ351" i="5"/>
  <c r="AQ351" i="5"/>
  <c r="I351" i="5" s="1"/>
  <c r="AR351" i="5"/>
  <c r="AZ351" i="5" s="1"/>
  <c r="BF351" i="5"/>
  <c r="BL351" i="5"/>
  <c r="AB351" i="5" s="1"/>
  <c r="K353" i="5"/>
  <c r="Q353" i="5" s="1"/>
  <c r="M353" i="5"/>
  <c r="BH353" i="5" s="1"/>
  <c r="AQ353" i="5"/>
  <c r="AY353" i="5" s="1"/>
  <c r="AR353" i="5"/>
  <c r="BF353" i="5"/>
  <c r="BL353" i="5"/>
  <c r="K355" i="5"/>
  <c r="M355" i="5"/>
  <c r="BH355" i="5" s="1"/>
  <c r="AB355" i="5"/>
  <c r="AL355" i="5"/>
  <c r="AM355" i="5"/>
  <c r="AQ355" i="5"/>
  <c r="I355" i="5" s="1"/>
  <c r="AR355" i="5"/>
  <c r="BK355" i="5" s="1"/>
  <c r="BF355" i="5"/>
  <c r="BL355" i="5"/>
  <c r="AJ355" i="5" s="1"/>
  <c r="K357" i="5"/>
  <c r="M357" i="5"/>
  <c r="BH357" i="5" s="1"/>
  <c r="AB357" i="5"/>
  <c r="AI357" i="5"/>
  <c r="AJ357" i="5"/>
  <c r="AL357" i="5"/>
  <c r="AM357" i="5"/>
  <c r="AQ357" i="5"/>
  <c r="AR357" i="5"/>
  <c r="BK357" i="5" s="1"/>
  <c r="BF357" i="5"/>
  <c r="BL357" i="5"/>
  <c r="K359" i="5"/>
  <c r="Q359" i="5" s="1"/>
  <c r="M359" i="5"/>
  <c r="BH359" i="5" s="1"/>
  <c r="AH359" i="5"/>
  <c r="AI359" i="5"/>
  <c r="AJ359" i="5"/>
  <c r="AL359" i="5"/>
  <c r="AQ359" i="5"/>
  <c r="AY359" i="5" s="1"/>
  <c r="AR359" i="5"/>
  <c r="BF359" i="5"/>
  <c r="BL359" i="5"/>
  <c r="AB359" i="5" s="1"/>
  <c r="K361" i="5"/>
  <c r="Q361" i="5" s="1"/>
  <c r="M361" i="5"/>
  <c r="BH361" i="5" s="1"/>
  <c r="AQ361" i="5"/>
  <c r="AY361" i="5" s="1"/>
  <c r="AR361" i="5"/>
  <c r="BF361" i="5"/>
  <c r="BL361" i="5"/>
  <c r="K363" i="5"/>
  <c r="M363" i="5"/>
  <c r="BH363" i="5" s="1"/>
  <c r="AB363" i="5"/>
  <c r="AL363" i="5"/>
  <c r="AM363" i="5"/>
  <c r="AQ363" i="5"/>
  <c r="AR363" i="5"/>
  <c r="BK363" i="5" s="1"/>
  <c r="BF363" i="5"/>
  <c r="BL363" i="5"/>
  <c r="AJ363" i="5" s="1"/>
  <c r="K365" i="5"/>
  <c r="M365" i="5"/>
  <c r="BH365" i="5" s="1"/>
  <c r="AB365" i="5"/>
  <c r="AI365" i="5"/>
  <c r="AJ365" i="5"/>
  <c r="AL365" i="5"/>
  <c r="AM365" i="5"/>
  <c r="AQ365" i="5"/>
  <c r="I365" i="5" s="1"/>
  <c r="AR365" i="5"/>
  <c r="J365" i="5" s="1"/>
  <c r="BF365" i="5"/>
  <c r="BL365" i="5"/>
  <c r="K367" i="5"/>
  <c r="M367" i="5"/>
  <c r="BH367" i="5" s="1"/>
  <c r="AB367" i="5"/>
  <c r="AG367" i="5"/>
  <c r="AH367" i="5"/>
  <c r="AI367" i="5"/>
  <c r="AJ367" i="5"/>
  <c r="AL367" i="5"/>
  <c r="AM367" i="5"/>
  <c r="AQ367" i="5"/>
  <c r="AY367" i="5" s="1"/>
  <c r="AR367" i="5"/>
  <c r="BF367" i="5"/>
  <c r="BL367" i="5"/>
  <c r="K369" i="5"/>
  <c r="M369" i="5"/>
  <c r="BH369" i="5" s="1"/>
  <c r="AJ369" i="5"/>
  <c r="AQ369" i="5"/>
  <c r="BJ369" i="5" s="1"/>
  <c r="AR369" i="5"/>
  <c r="J369" i="5" s="1"/>
  <c r="BF369" i="5"/>
  <c r="BL369" i="5"/>
  <c r="AB369" i="5" s="1"/>
  <c r="K371" i="5"/>
  <c r="M371" i="5"/>
  <c r="BH371" i="5" s="1"/>
  <c r="AL371" i="5"/>
  <c r="AM371" i="5"/>
  <c r="AQ371" i="5"/>
  <c r="I371" i="5" s="1"/>
  <c r="AR371" i="5"/>
  <c r="BF371" i="5"/>
  <c r="BL371" i="5"/>
  <c r="K373" i="5"/>
  <c r="M373" i="5"/>
  <c r="BH373" i="5" s="1"/>
  <c r="AB373" i="5"/>
  <c r="AF373" i="5"/>
  <c r="AI373" i="5"/>
  <c r="AJ373" i="5"/>
  <c r="AL373" i="5"/>
  <c r="AM373" i="5"/>
  <c r="AQ373" i="5"/>
  <c r="I373" i="5" s="1"/>
  <c r="AR373" i="5"/>
  <c r="AZ373" i="5" s="1"/>
  <c r="BF373" i="5"/>
  <c r="BL373" i="5"/>
  <c r="K375" i="5"/>
  <c r="P375" i="5" s="1"/>
  <c r="M375" i="5"/>
  <c r="BH375" i="5" s="1"/>
  <c r="AB375" i="5"/>
  <c r="AH375" i="5"/>
  <c r="AJ375" i="5"/>
  <c r="AL375" i="5"/>
  <c r="AQ375" i="5"/>
  <c r="I375" i="5" s="1"/>
  <c r="AR375" i="5"/>
  <c r="J375" i="5" s="1"/>
  <c r="BF375" i="5"/>
  <c r="BL375" i="5"/>
  <c r="K377" i="5"/>
  <c r="M377" i="5"/>
  <c r="BH377" i="5" s="1"/>
  <c r="AQ377" i="5"/>
  <c r="AY377" i="5" s="1"/>
  <c r="AR377" i="5"/>
  <c r="BK377" i="5" s="1"/>
  <c r="AI377" i="5" s="1"/>
  <c r="BF377" i="5"/>
  <c r="BL377" i="5"/>
  <c r="K379" i="5"/>
  <c r="M379" i="5"/>
  <c r="BH379" i="5" s="1"/>
  <c r="AL379" i="5"/>
  <c r="AM379" i="5"/>
  <c r="AQ379" i="5"/>
  <c r="AY379" i="5" s="1"/>
  <c r="AR379" i="5"/>
  <c r="BF379" i="5"/>
  <c r="BL379" i="5"/>
  <c r="AJ379" i="5" s="1"/>
  <c r="K384" i="5"/>
  <c r="M384" i="5"/>
  <c r="BH384" i="5" s="1"/>
  <c r="AB384" i="5"/>
  <c r="AI384" i="5"/>
  <c r="AJ384" i="5"/>
  <c r="AL384" i="5"/>
  <c r="AQ384" i="5"/>
  <c r="AR384" i="5"/>
  <c r="J384" i="5" s="1"/>
  <c r="BF384" i="5"/>
  <c r="BL384" i="5"/>
  <c r="K386" i="5"/>
  <c r="M386" i="5"/>
  <c r="BH386" i="5" s="1"/>
  <c r="AH386" i="5"/>
  <c r="AQ386" i="5"/>
  <c r="AR386" i="5"/>
  <c r="BF386" i="5"/>
  <c r="BL386" i="5"/>
  <c r="K388" i="5"/>
  <c r="M388" i="5"/>
  <c r="BH388" i="5" s="1"/>
  <c r="AQ388" i="5"/>
  <c r="AY388" i="5" s="1"/>
  <c r="AR388" i="5"/>
  <c r="AZ388" i="5" s="1"/>
  <c r="BF388" i="5"/>
  <c r="BL388" i="5"/>
  <c r="K390" i="5"/>
  <c r="M390" i="5"/>
  <c r="BH390" i="5" s="1"/>
  <c r="AL390" i="5"/>
  <c r="AM390" i="5"/>
  <c r="AQ390" i="5"/>
  <c r="AY390" i="5" s="1"/>
  <c r="AR390" i="5"/>
  <c r="AZ390" i="5" s="1"/>
  <c r="BF390" i="5"/>
  <c r="BL390" i="5"/>
  <c r="AJ390" i="5" s="1"/>
  <c r="K392" i="5"/>
  <c r="M392" i="5"/>
  <c r="BH392" i="5" s="1"/>
  <c r="AB392" i="5"/>
  <c r="AI392" i="5"/>
  <c r="AJ392" i="5"/>
  <c r="AL392" i="5"/>
  <c r="AM392" i="5"/>
  <c r="AQ392" i="5"/>
  <c r="AR392" i="5"/>
  <c r="AZ392" i="5" s="1"/>
  <c r="BF392" i="5"/>
  <c r="BL392" i="5"/>
  <c r="K394" i="5"/>
  <c r="M394" i="5"/>
  <c r="BH394" i="5" s="1"/>
  <c r="AB394" i="5"/>
  <c r="AG394" i="5"/>
  <c r="AH394" i="5"/>
  <c r="AJ394" i="5"/>
  <c r="AL394" i="5"/>
  <c r="AM394" i="5"/>
  <c r="AQ394" i="5"/>
  <c r="AY394" i="5" s="1"/>
  <c r="AR394" i="5"/>
  <c r="BF394" i="5"/>
  <c r="BL394" i="5"/>
  <c r="K396" i="5"/>
  <c r="M396" i="5"/>
  <c r="BH396" i="5" s="1"/>
  <c r="AF396" i="5"/>
  <c r="AQ396" i="5"/>
  <c r="AR396" i="5"/>
  <c r="AZ396" i="5" s="1"/>
  <c r="BF396" i="5"/>
  <c r="BL396" i="5"/>
  <c r="AB396" i="5" s="1"/>
  <c r="K398" i="5"/>
  <c r="M398" i="5"/>
  <c r="BH398" i="5" s="1"/>
  <c r="AB398" i="5"/>
  <c r="AH398" i="5"/>
  <c r="AL398" i="5"/>
  <c r="AM398" i="5"/>
  <c r="AQ398" i="5"/>
  <c r="AY398" i="5" s="1"/>
  <c r="AR398" i="5"/>
  <c r="AZ398" i="5" s="1"/>
  <c r="BF398" i="5"/>
  <c r="BL398" i="5"/>
  <c r="AJ398" i="5" s="1"/>
  <c r="K400" i="5"/>
  <c r="M400" i="5"/>
  <c r="BH400" i="5" s="1"/>
  <c r="AB400" i="5"/>
  <c r="AI400" i="5"/>
  <c r="AJ400" i="5"/>
  <c r="AL400" i="5"/>
  <c r="AM400" i="5"/>
  <c r="AQ400" i="5"/>
  <c r="I400" i="5" s="1"/>
  <c r="AR400" i="5"/>
  <c r="J400" i="5" s="1"/>
  <c r="BF400" i="5"/>
  <c r="BL400" i="5"/>
  <c r="K402" i="5"/>
  <c r="M402" i="5"/>
  <c r="BH402" i="5" s="1"/>
  <c r="AB402" i="5"/>
  <c r="AH402" i="5"/>
  <c r="AL402" i="5"/>
  <c r="AM402" i="5"/>
  <c r="AQ402" i="5"/>
  <c r="BJ402" i="5" s="1"/>
  <c r="AR402" i="5"/>
  <c r="BK402" i="5" s="1"/>
  <c r="BF402" i="5"/>
  <c r="BL402" i="5"/>
  <c r="AJ402" i="5" s="1"/>
  <c r="K404" i="5"/>
  <c r="M404" i="5"/>
  <c r="BH404" i="5" s="1"/>
  <c r="AJ404" i="5"/>
  <c r="AM404" i="5"/>
  <c r="AQ404" i="5"/>
  <c r="I404" i="5" s="1"/>
  <c r="AR404" i="5"/>
  <c r="AZ404" i="5" s="1"/>
  <c r="BF404" i="5"/>
  <c r="BL404" i="5"/>
  <c r="AB404" i="5" s="1"/>
  <c r="K406" i="5"/>
  <c r="M406" i="5"/>
  <c r="BH406" i="5" s="1"/>
  <c r="AH406" i="5"/>
  <c r="AJ406" i="5"/>
  <c r="AL406" i="5"/>
  <c r="AM406" i="5"/>
  <c r="AQ406" i="5"/>
  <c r="AY406" i="5" s="1"/>
  <c r="AR406" i="5"/>
  <c r="BF406" i="5"/>
  <c r="BL406" i="5"/>
  <c r="AB406" i="5" s="1"/>
  <c r="K408" i="5"/>
  <c r="M408" i="5"/>
  <c r="BH408" i="5" s="1"/>
  <c r="AI408" i="5"/>
  <c r="AL408" i="5"/>
  <c r="AM408" i="5"/>
  <c r="AQ408" i="5"/>
  <c r="AR408" i="5"/>
  <c r="BK408" i="5" s="1"/>
  <c r="BF408" i="5"/>
  <c r="BL408" i="5"/>
  <c r="K410" i="5"/>
  <c r="M410" i="5"/>
  <c r="BH410" i="5" s="1"/>
  <c r="AB410" i="5"/>
  <c r="AI410" i="5"/>
  <c r="AJ410" i="5"/>
  <c r="AL410" i="5"/>
  <c r="AM410" i="5"/>
  <c r="AQ410" i="5"/>
  <c r="BJ410" i="5" s="1"/>
  <c r="AR410" i="5"/>
  <c r="J410" i="5" s="1"/>
  <c r="BF410" i="5"/>
  <c r="BL410" i="5"/>
  <c r="K412" i="5"/>
  <c r="P412" i="5" s="1"/>
  <c r="M412" i="5"/>
  <c r="BH412" i="5" s="1"/>
  <c r="AH412" i="5"/>
  <c r="AI412" i="5"/>
  <c r="AJ412" i="5"/>
  <c r="AM412" i="5"/>
  <c r="AQ412" i="5"/>
  <c r="I412" i="5" s="1"/>
  <c r="AR412" i="5"/>
  <c r="BK412" i="5" s="1"/>
  <c r="AE412" i="5" s="1"/>
  <c r="BF412" i="5"/>
  <c r="BL412" i="5"/>
  <c r="AB412" i="5" s="1"/>
  <c r="K415" i="5"/>
  <c r="M415" i="5"/>
  <c r="BH415" i="5" s="1"/>
  <c r="AB415" i="5"/>
  <c r="AH415" i="5"/>
  <c r="AI415" i="5"/>
  <c r="AQ415" i="5"/>
  <c r="I415" i="5" s="1"/>
  <c r="AR415" i="5"/>
  <c r="AZ415" i="5" s="1"/>
  <c r="BF415" i="5"/>
  <c r="BL415" i="5"/>
  <c r="AJ415" i="5" s="1"/>
  <c r="K419" i="5"/>
  <c r="M419" i="5"/>
  <c r="BH419" i="5" s="1"/>
  <c r="AB419" i="5"/>
  <c r="AL419" i="5"/>
  <c r="AQ419" i="5"/>
  <c r="AR419" i="5"/>
  <c r="BK419" i="5" s="1"/>
  <c r="BF419" i="5"/>
  <c r="BL419" i="5"/>
  <c r="AJ419" i="5" s="1"/>
  <c r="K422" i="5"/>
  <c r="M422" i="5"/>
  <c r="BH422" i="5" s="1"/>
  <c r="AB422" i="5"/>
  <c r="AD422" i="5"/>
  <c r="AJ422" i="5"/>
  <c r="AQ422" i="5"/>
  <c r="BJ422" i="5" s="1"/>
  <c r="AF422" i="5" s="1"/>
  <c r="AR422" i="5"/>
  <c r="BK422" i="5" s="1"/>
  <c r="BF422" i="5"/>
  <c r="BL422" i="5"/>
  <c r="K425" i="5"/>
  <c r="AM425" i="5" s="1"/>
  <c r="M425" i="5"/>
  <c r="AB425" i="5"/>
  <c r="AH425" i="5"/>
  <c r="AJ425" i="5"/>
  <c r="AL425" i="5"/>
  <c r="AQ425" i="5"/>
  <c r="AR425" i="5"/>
  <c r="BF425" i="5"/>
  <c r="BH425" i="5"/>
  <c r="BL425" i="5"/>
  <c r="K427" i="5"/>
  <c r="M427" i="5"/>
  <c r="BH427" i="5" s="1"/>
  <c r="AB427" i="5"/>
  <c r="AE427" i="5"/>
  <c r="AH427" i="5"/>
  <c r="AI427" i="5"/>
  <c r="AQ427" i="5"/>
  <c r="BJ427" i="5" s="1"/>
  <c r="AD427" i="5" s="1"/>
  <c r="AR427" i="5"/>
  <c r="AZ427" i="5" s="1"/>
  <c r="BF427" i="5"/>
  <c r="BL427" i="5"/>
  <c r="AJ427" i="5" s="1"/>
  <c r="K430" i="5"/>
  <c r="M430" i="5"/>
  <c r="BH430" i="5" s="1"/>
  <c r="AB430" i="5"/>
  <c r="AQ430" i="5"/>
  <c r="AR430" i="5"/>
  <c r="BF430" i="5"/>
  <c r="BL430" i="5"/>
  <c r="AJ430" i="5" s="1"/>
  <c r="K432" i="5"/>
  <c r="AL432" i="5" s="1"/>
  <c r="M432" i="5"/>
  <c r="BH432" i="5" s="1"/>
  <c r="AB432" i="5"/>
  <c r="AD432" i="5"/>
  <c r="AJ432" i="5"/>
  <c r="AM432" i="5"/>
  <c r="AQ432" i="5"/>
  <c r="BJ432" i="5" s="1"/>
  <c r="AF432" i="5" s="1"/>
  <c r="AR432" i="5"/>
  <c r="BF432" i="5"/>
  <c r="BL432" i="5"/>
  <c r="K435" i="5"/>
  <c r="AM435" i="5" s="1"/>
  <c r="M435" i="5"/>
  <c r="AB435" i="5"/>
  <c r="AH435" i="5"/>
  <c r="AJ435" i="5"/>
  <c r="AL435" i="5"/>
  <c r="AQ435" i="5"/>
  <c r="BJ435" i="5" s="1"/>
  <c r="AD435" i="5" s="1"/>
  <c r="AR435" i="5"/>
  <c r="J435" i="5" s="1"/>
  <c r="BF435" i="5"/>
  <c r="BL435" i="5"/>
  <c r="K437" i="5"/>
  <c r="AM437" i="5" s="1"/>
  <c r="M437" i="5"/>
  <c r="BH437" i="5" s="1"/>
  <c r="AE437" i="5"/>
  <c r="AH437" i="5"/>
  <c r="AI437" i="5"/>
  <c r="AL437" i="5"/>
  <c r="AQ437" i="5"/>
  <c r="I437" i="5" s="1"/>
  <c r="AR437" i="5"/>
  <c r="AZ437" i="5" s="1"/>
  <c r="BF437" i="5"/>
  <c r="BL437" i="5"/>
  <c r="K439" i="5"/>
  <c r="M439" i="5"/>
  <c r="BH439" i="5" s="1"/>
  <c r="AB439" i="5"/>
  <c r="AL439" i="5"/>
  <c r="AQ439" i="5"/>
  <c r="BJ439" i="5" s="1"/>
  <c r="AR439" i="5"/>
  <c r="BK439" i="5" s="1"/>
  <c r="BF439" i="5"/>
  <c r="BL439" i="5"/>
  <c r="AJ439" i="5" s="1"/>
  <c r="K441" i="5"/>
  <c r="M441" i="5"/>
  <c r="BH441" i="5" s="1"/>
  <c r="AB441" i="5"/>
  <c r="AD441" i="5"/>
  <c r="AJ441" i="5"/>
  <c r="AM441" i="5"/>
  <c r="AQ441" i="5"/>
  <c r="I441" i="5" s="1"/>
  <c r="AR441" i="5"/>
  <c r="BK441" i="5" s="1"/>
  <c r="BF441" i="5"/>
  <c r="BL441" i="5"/>
  <c r="K444" i="5"/>
  <c r="AM444" i="5" s="1"/>
  <c r="M444" i="5"/>
  <c r="BH444" i="5" s="1"/>
  <c r="AB444" i="5"/>
  <c r="AH444" i="5"/>
  <c r="AJ444" i="5"/>
  <c r="AL444" i="5"/>
  <c r="AQ444" i="5"/>
  <c r="I444" i="5" s="1"/>
  <c r="AR444" i="5"/>
  <c r="BF444" i="5"/>
  <c r="BL444" i="5"/>
  <c r="K446" i="5"/>
  <c r="M446" i="5"/>
  <c r="AB446" i="5"/>
  <c r="AE446" i="5"/>
  <c r="AH446" i="5"/>
  <c r="AI446" i="5"/>
  <c r="AQ446" i="5"/>
  <c r="I446" i="5" s="1"/>
  <c r="AR446" i="5"/>
  <c r="AZ446" i="5" s="1"/>
  <c r="BF446" i="5"/>
  <c r="BH446" i="5"/>
  <c r="BL446" i="5"/>
  <c r="AJ446" i="5" s="1"/>
  <c r="K449" i="5"/>
  <c r="AN449" i="5" s="1"/>
  <c r="M449" i="5"/>
  <c r="AD449" i="5"/>
  <c r="AH449" i="5"/>
  <c r="AL449" i="5"/>
  <c r="AM449" i="5"/>
  <c r="AQ449" i="5"/>
  <c r="AY449" i="5" s="1"/>
  <c r="AR449" i="5"/>
  <c r="J449" i="5" s="1"/>
  <c r="BF449" i="5"/>
  <c r="BL449" i="5"/>
  <c r="AB449" i="5" s="1"/>
  <c r="K452" i="5"/>
  <c r="AN452" i="5" s="1"/>
  <c r="M452" i="5"/>
  <c r="BH452" i="5" s="1"/>
  <c r="AE452" i="5"/>
  <c r="AJ452" i="5"/>
  <c r="AL452" i="5"/>
  <c r="AM452" i="5"/>
  <c r="AQ452" i="5"/>
  <c r="BJ452" i="5" s="1"/>
  <c r="AR452" i="5"/>
  <c r="AZ452" i="5" s="1"/>
  <c r="BF452" i="5"/>
  <c r="BL452" i="5"/>
  <c r="AB452" i="5" s="1"/>
  <c r="K455" i="5"/>
  <c r="AN455" i="5" s="1"/>
  <c r="M455" i="5"/>
  <c r="BH455" i="5" s="1"/>
  <c r="AL455" i="5"/>
  <c r="AM455" i="5"/>
  <c r="AQ455" i="5"/>
  <c r="AR455" i="5"/>
  <c r="BF455" i="5"/>
  <c r="BL455" i="5"/>
  <c r="K458" i="5"/>
  <c r="M458" i="5"/>
  <c r="BH458" i="5" s="1"/>
  <c r="AI458" i="5"/>
  <c r="AJ458" i="5"/>
  <c r="AM458" i="5"/>
  <c r="AQ458" i="5"/>
  <c r="I458" i="5" s="1"/>
  <c r="AR458" i="5"/>
  <c r="BF458" i="5"/>
  <c r="BL458" i="5"/>
  <c r="AB458" i="5" s="1"/>
  <c r="K461" i="5"/>
  <c r="AN461" i="5" s="1"/>
  <c r="M461" i="5"/>
  <c r="BH461" i="5" s="1"/>
  <c r="AD461" i="5"/>
  <c r="AH461" i="5"/>
  <c r="AJ461" i="5"/>
  <c r="AL461" i="5"/>
  <c r="AM461" i="5"/>
  <c r="AQ461" i="5"/>
  <c r="AY461" i="5" s="1"/>
  <c r="AR461" i="5"/>
  <c r="AZ461" i="5" s="1"/>
  <c r="BF461" i="5"/>
  <c r="BL461" i="5"/>
  <c r="AB461" i="5" s="1"/>
  <c r="K464" i="5"/>
  <c r="AN464" i="5" s="1"/>
  <c r="M464" i="5"/>
  <c r="BH464" i="5" s="1"/>
  <c r="AE464" i="5"/>
  <c r="AJ464" i="5"/>
  <c r="AL464" i="5"/>
  <c r="AM464" i="5"/>
  <c r="AQ464" i="5"/>
  <c r="AR464" i="5"/>
  <c r="BF464" i="5"/>
  <c r="BL464" i="5"/>
  <c r="AB464" i="5" s="1"/>
  <c r="K466" i="5"/>
  <c r="AN466" i="5" s="1"/>
  <c r="M466" i="5"/>
  <c r="BH466" i="5" s="1"/>
  <c r="AL466" i="5"/>
  <c r="AM466" i="5"/>
  <c r="AQ466" i="5"/>
  <c r="BJ466" i="5" s="1"/>
  <c r="AR466" i="5"/>
  <c r="BF466" i="5"/>
  <c r="BL466" i="5"/>
  <c r="AJ466" i="5" s="1"/>
  <c r="K469" i="5"/>
  <c r="M469" i="5"/>
  <c r="BH469" i="5" s="1"/>
  <c r="AH469" i="5"/>
  <c r="AI469" i="5"/>
  <c r="AJ469" i="5"/>
  <c r="AM469" i="5"/>
  <c r="AQ469" i="5"/>
  <c r="I469" i="5" s="1"/>
  <c r="AR469" i="5"/>
  <c r="BK469" i="5" s="1"/>
  <c r="AE469" i="5" s="1"/>
  <c r="BF469" i="5"/>
  <c r="BL469" i="5"/>
  <c r="AB469" i="5" s="1"/>
  <c r="K471" i="5"/>
  <c r="AN471" i="5" s="1"/>
  <c r="M471" i="5"/>
  <c r="BH471" i="5" s="1"/>
  <c r="AL471" i="5"/>
  <c r="AM471" i="5"/>
  <c r="AQ471" i="5"/>
  <c r="AR471" i="5"/>
  <c r="AZ471" i="5" s="1"/>
  <c r="BF471" i="5"/>
  <c r="BL471" i="5"/>
  <c r="K474" i="5"/>
  <c r="AN474" i="5" s="1"/>
  <c r="M474" i="5"/>
  <c r="BH474" i="5" s="1"/>
  <c r="AB474" i="5"/>
  <c r="AE474" i="5"/>
  <c r="AI474" i="5"/>
  <c r="AL474" i="5"/>
  <c r="AM474" i="5"/>
  <c r="AQ474" i="5"/>
  <c r="BJ474" i="5" s="1"/>
  <c r="AR474" i="5"/>
  <c r="BF474" i="5"/>
  <c r="BL474" i="5"/>
  <c r="AJ474" i="5" s="1"/>
  <c r="K476" i="5"/>
  <c r="M476" i="5"/>
  <c r="BH476" i="5" s="1"/>
  <c r="AB476" i="5"/>
  <c r="AD476" i="5"/>
  <c r="AI476" i="5"/>
  <c r="AJ476" i="5"/>
  <c r="AM476" i="5"/>
  <c r="AQ476" i="5"/>
  <c r="AR476" i="5"/>
  <c r="J476" i="5" s="1"/>
  <c r="BF476" i="5"/>
  <c r="BL476" i="5"/>
  <c r="K480" i="5"/>
  <c r="AM480" i="5" s="1"/>
  <c r="M480" i="5"/>
  <c r="BH480" i="5" s="1"/>
  <c r="AB480" i="5"/>
  <c r="AE480" i="5"/>
  <c r="AH480" i="5"/>
  <c r="AI480" i="5"/>
  <c r="AL480" i="5"/>
  <c r="AQ480" i="5"/>
  <c r="AR480" i="5"/>
  <c r="BF480" i="5"/>
  <c r="BL480" i="5"/>
  <c r="AJ480" i="5" s="1"/>
  <c r="K482" i="5"/>
  <c r="M482" i="5"/>
  <c r="BH482" i="5" s="1"/>
  <c r="AI482" i="5"/>
  <c r="AQ482" i="5"/>
  <c r="I482" i="5" s="1"/>
  <c r="AR482" i="5"/>
  <c r="BF482" i="5"/>
  <c r="BL482" i="5"/>
  <c r="AJ482" i="5" s="1"/>
  <c r="K485" i="5"/>
  <c r="AL485" i="5" s="1"/>
  <c r="M485" i="5"/>
  <c r="BH485" i="5" s="1"/>
  <c r="AD485" i="5"/>
  <c r="AJ485" i="5"/>
  <c r="AM485" i="5"/>
  <c r="AQ485" i="5"/>
  <c r="AY485" i="5" s="1"/>
  <c r="AR485" i="5"/>
  <c r="BK485" i="5" s="1"/>
  <c r="BF485" i="5"/>
  <c r="BL485" i="5"/>
  <c r="AB485" i="5" s="1"/>
  <c r="K487" i="5"/>
  <c r="AN487" i="5" s="1"/>
  <c r="M487" i="5"/>
  <c r="BH487" i="5" s="1"/>
  <c r="AB487" i="5"/>
  <c r="AD487" i="5"/>
  <c r="AE487" i="5"/>
  <c r="AH487" i="5"/>
  <c r="AJ487" i="5"/>
  <c r="AL487" i="5"/>
  <c r="AM487" i="5"/>
  <c r="AQ487" i="5"/>
  <c r="AY487" i="5" s="1"/>
  <c r="AR487" i="5"/>
  <c r="J487" i="5" s="1"/>
  <c r="BF487" i="5"/>
  <c r="BL487" i="5"/>
  <c r="K490" i="5"/>
  <c r="AM490" i="5" s="1"/>
  <c r="M490" i="5"/>
  <c r="BH490" i="5" s="1"/>
  <c r="AB490" i="5"/>
  <c r="AE490" i="5"/>
  <c r="AH490" i="5"/>
  <c r="AI490" i="5"/>
  <c r="AL490" i="5"/>
  <c r="AQ490" i="5"/>
  <c r="AR490" i="5"/>
  <c r="J490" i="5" s="1"/>
  <c r="BF490" i="5"/>
  <c r="BL490" i="5"/>
  <c r="AJ490" i="5" s="1"/>
  <c r="K493" i="5"/>
  <c r="M493" i="5"/>
  <c r="BH493" i="5" s="1"/>
  <c r="AI493" i="5"/>
  <c r="AQ493" i="5"/>
  <c r="I493" i="5" s="1"/>
  <c r="AR493" i="5"/>
  <c r="AZ493" i="5" s="1"/>
  <c r="BF493" i="5"/>
  <c r="BL493" i="5"/>
  <c r="AJ493" i="5" s="1"/>
  <c r="K496" i="5"/>
  <c r="AL496" i="5" s="1"/>
  <c r="M496" i="5"/>
  <c r="BH496" i="5" s="1"/>
  <c r="AD496" i="5"/>
  <c r="AJ496" i="5"/>
  <c r="AM496" i="5"/>
  <c r="AQ496" i="5"/>
  <c r="AY496" i="5" s="1"/>
  <c r="AR496" i="5"/>
  <c r="BK496" i="5" s="1"/>
  <c r="BF496" i="5"/>
  <c r="BL496" i="5"/>
  <c r="AB496" i="5" s="1"/>
  <c r="K499" i="5"/>
  <c r="AN499" i="5" s="1"/>
  <c r="M499" i="5"/>
  <c r="BH499" i="5" s="1"/>
  <c r="AB499" i="5"/>
  <c r="AD499" i="5"/>
  <c r="AE499" i="5"/>
  <c r="AH499" i="5"/>
  <c r="AJ499" i="5"/>
  <c r="AL499" i="5"/>
  <c r="AM499" i="5"/>
  <c r="AQ499" i="5"/>
  <c r="AY499" i="5" s="1"/>
  <c r="AR499" i="5"/>
  <c r="J499" i="5" s="1"/>
  <c r="BF499" i="5"/>
  <c r="BL499" i="5"/>
  <c r="K501" i="5"/>
  <c r="AM501" i="5" s="1"/>
  <c r="M501" i="5"/>
  <c r="BH501" i="5" s="1"/>
  <c r="AB501" i="5"/>
  <c r="AE501" i="5"/>
  <c r="AH501" i="5"/>
  <c r="AI501" i="5"/>
  <c r="AL501" i="5"/>
  <c r="AQ501" i="5"/>
  <c r="I501" i="5" s="1"/>
  <c r="AR501" i="5"/>
  <c r="J501" i="5" s="1"/>
  <c r="BF501" i="5"/>
  <c r="BL501" i="5"/>
  <c r="AJ501" i="5" s="1"/>
  <c r="K504" i="5"/>
  <c r="AL504" i="5" s="1"/>
  <c r="M504" i="5"/>
  <c r="AD504" i="5"/>
  <c r="AH504" i="5"/>
  <c r="AJ504" i="5"/>
  <c r="AQ504" i="5"/>
  <c r="BJ504" i="5" s="1"/>
  <c r="AF504" i="5" s="1"/>
  <c r="AR504" i="5"/>
  <c r="BF504" i="5"/>
  <c r="BL504" i="5"/>
  <c r="AB504" i="5" s="1"/>
  <c r="K507" i="5"/>
  <c r="AN507" i="5" s="1"/>
  <c r="M507" i="5"/>
  <c r="BH507" i="5" s="1"/>
  <c r="AE507" i="5"/>
  <c r="AH507" i="5"/>
  <c r="AL507" i="5"/>
  <c r="AM507" i="5"/>
  <c r="AQ507" i="5"/>
  <c r="AY507" i="5" s="1"/>
  <c r="AR507" i="5"/>
  <c r="BF507" i="5"/>
  <c r="BL507" i="5"/>
  <c r="K509" i="5"/>
  <c r="AN509" i="5" s="1"/>
  <c r="M509" i="5"/>
  <c r="BH509" i="5" s="1"/>
  <c r="AB509" i="5"/>
  <c r="AE509" i="5"/>
  <c r="AI509" i="5"/>
  <c r="AL509" i="5"/>
  <c r="AM509" i="5"/>
  <c r="AQ509" i="5"/>
  <c r="BJ509" i="5" s="1"/>
  <c r="AR509" i="5"/>
  <c r="BF509" i="5"/>
  <c r="BL509" i="5"/>
  <c r="AJ509" i="5" s="1"/>
  <c r="K512" i="5"/>
  <c r="M512" i="5"/>
  <c r="BH512" i="5" s="1"/>
  <c r="AB512" i="5"/>
  <c r="AD512" i="5"/>
  <c r="AI512" i="5"/>
  <c r="AJ512" i="5"/>
  <c r="AQ512" i="5"/>
  <c r="I512" i="5" s="1"/>
  <c r="AR512" i="5"/>
  <c r="BF512" i="5"/>
  <c r="BL512" i="5"/>
  <c r="K515" i="5"/>
  <c r="M515" i="5"/>
  <c r="BH515" i="5" s="1"/>
  <c r="AB515" i="5"/>
  <c r="AE515" i="5"/>
  <c r="AH515" i="5"/>
  <c r="AI515" i="5"/>
  <c r="AL515" i="5"/>
  <c r="AQ515" i="5"/>
  <c r="I515" i="5" s="1"/>
  <c r="AR515" i="5"/>
  <c r="BF515" i="5"/>
  <c r="BL515" i="5"/>
  <c r="AJ515" i="5" s="1"/>
  <c r="K517" i="5"/>
  <c r="Q517" i="5" s="1"/>
  <c r="M517" i="5"/>
  <c r="BH517" i="5" s="1"/>
  <c r="AI517" i="5"/>
  <c r="AQ517" i="5"/>
  <c r="I517" i="5" s="1"/>
  <c r="AR517" i="5"/>
  <c r="BF517" i="5"/>
  <c r="BL517" i="5"/>
  <c r="AJ517" i="5" s="1"/>
  <c r="K519" i="5"/>
  <c r="M519" i="5"/>
  <c r="BH519" i="5" s="1"/>
  <c r="AD519" i="5"/>
  <c r="AM519" i="5"/>
  <c r="AQ519" i="5"/>
  <c r="AY519" i="5" s="1"/>
  <c r="AR519" i="5"/>
  <c r="BK519" i="5" s="1"/>
  <c r="BF519" i="5"/>
  <c r="BL519" i="5"/>
  <c r="AJ519" i="5" s="1"/>
  <c r="K521" i="5"/>
  <c r="M521" i="5"/>
  <c r="BH521" i="5" s="1"/>
  <c r="AB521" i="5"/>
  <c r="AD521" i="5"/>
  <c r="AE521" i="5"/>
  <c r="AJ521" i="5"/>
  <c r="AL521" i="5"/>
  <c r="AM521" i="5"/>
  <c r="AQ521" i="5"/>
  <c r="AY521" i="5" s="1"/>
  <c r="AR521" i="5"/>
  <c r="J521" i="5" s="1"/>
  <c r="BF521" i="5"/>
  <c r="BL521" i="5"/>
  <c r="K523" i="5"/>
  <c r="M523" i="5"/>
  <c r="BH523" i="5" s="1"/>
  <c r="AB523" i="5"/>
  <c r="AE523" i="5"/>
  <c r="AH523" i="5"/>
  <c r="AI523" i="5"/>
  <c r="AL523" i="5"/>
  <c r="AQ523" i="5"/>
  <c r="AR523" i="5"/>
  <c r="AZ523" i="5" s="1"/>
  <c r="BF523" i="5"/>
  <c r="BL523" i="5"/>
  <c r="AJ523" i="5" s="1"/>
  <c r="K525" i="5"/>
  <c r="U525" i="5" s="1"/>
  <c r="M525" i="5"/>
  <c r="BH525" i="5" s="1"/>
  <c r="AI525" i="5"/>
  <c r="AQ525" i="5"/>
  <c r="I525" i="5" s="1"/>
  <c r="AR525" i="5"/>
  <c r="AZ525" i="5" s="1"/>
  <c r="BF525" i="5"/>
  <c r="BL525" i="5"/>
  <c r="AJ525" i="5" s="1"/>
  <c r="K527" i="5"/>
  <c r="M527" i="5"/>
  <c r="BH527" i="5" s="1"/>
  <c r="AD527" i="5"/>
  <c r="AM527" i="5"/>
  <c r="AQ527" i="5"/>
  <c r="AR527" i="5"/>
  <c r="BK527" i="5" s="1"/>
  <c r="BF527" i="5"/>
  <c r="BL527" i="5"/>
  <c r="AJ527" i="5" s="1"/>
  <c r="K529" i="5"/>
  <c r="P529" i="5" s="1"/>
  <c r="M529" i="5"/>
  <c r="BH529" i="5" s="1"/>
  <c r="AB529" i="5"/>
  <c r="AD529" i="5"/>
  <c r="AE529" i="5"/>
  <c r="AJ529" i="5"/>
  <c r="AL529" i="5"/>
  <c r="AM529" i="5"/>
  <c r="AN529" i="5"/>
  <c r="AQ529" i="5"/>
  <c r="AR529" i="5"/>
  <c r="J529" i="5" s="1"/>
  <c r="BF529" i="5"/>
  <c r="BL529" i="5"/>
  <c r="K531" i="5"/>
  <c r="M531" i="5"/>
  <c r="BH531" i="5" s="1"/>
  <c r="AB531" i="5"/>
  <c r="AE531" i="5"/>
  <c r="AH531" i="5"/>
  <c r="AI531" i="5"/>
  <c r="AL531" i="5"/>
  <c r="AQ531" i="5"/>
  <c r="I531" i="5" s="1"/>
  <c r="AR531" i="5"/>
  <c r="BF531" i="5"/>
  <c r="BL531" i="5"/>
  <c r="AJ531" i="5" s="1"/>
  <c r="K534" i="5"/>
  <c r="P534" i="5" s="1"/>
  <c r="M534" i="5"/>
  <c r="BH534" i="5" s="1"/>
  <c r="AI534" i="5"/>
  <c r="AQ534" i="5"/>
  <c r="I534" i="5" s="1"/>
  <c r="AR534" i="5"/>
  <c r="BF534" i="5"/>
  <c r="BL534" i="5"/>
  <c r="AJ534" i="5" s="1"/>
  <c r="K536" i="5"/>
  <c r="P536" i="5" s="1"/>
  <c r="M536" i="5"/>
  <c r="BH536" i="5" s="1"/>
  <c r="AM536" i="5"/>
  <c r="AQ536" i="5"/>
  <c r="AR536" i="5"/>
  <c r="BK536" i="5" s="1"/>
  <c r="BF536" i="5"/>
  <c r="BL536" i="5"/>
  <c r="AJ536" i="5" s="1"/>
  <c r="K539" i="5"/>
  <c r="P539" i="5" s="1"/>
  <c r="M539" i="5"/>
  <c r="BH539" i="5" s="1"/>
  <c r="AB539" i="5"/>
  <c r="AD539" i="5"/>
  <c r="AE539" i="5"/>
  <c r="AJ539" i="5"/>
  <c r="AL539" i="5"/>
  <c r="AM539" i="5"/>
  <c r="AN539" i="5"/>
  <c r="AQ539" i="5"/>
  <c r="I539" i="5" s="1"/>
  <c r="AR539" i="5"/>
  <c r="J539" i="5" s="1"/>
  <c r="BF539" i="5"/>
  <c r="BL539" i="5"/>
  <c r="K542" i="5"/>
  <c r="M542" i="5"/>
  <c r="BH542" i="5" s="1"/>
  <c r="AB542" i="5"/>
  <c r="AE542" i="5"/>
  <c r="AH542" i="5"/>
  <c r="AI542" i="5"/>
  <c r="AL542" i="5"/>
  <c r="AQ542" i="5"/>
  <c r="I542" i="5" s="1"/>
  <c r="AR542" i="5"/>
  <c r="BF542" i="5"/>
  <c r="BL542" i="5"/>
  <c r="AJ542" i="5" s="1"/>
  <c r="K544" i="5"/>
  <c r="U544" i="5" s="1"/>
  <c r="M544" i="5"/>
  <c r="BH544" i="5" s="1"/>
  <c r="AI544" i="5"/>
  <c r="AQ544" i="5"/>
  <c r="I544" i="5" s="1"/>
  <c r="AR544" i="5"/>
  <c r="BF544" i="5"/>
  <c r="BL544" i="5"/>
  <c r="K546" i="5"/>
  <c r="M546" i="5"/>
  <c r="BH546" i="5" s="1"/>
  <c r="AM546" i="5"/>
  <c r="AQ546" i="5"/>
  <c r="AY546" i="5" s="1"/>
  <c r="AR546" i="5"/>
  <c r="BF546" i="5"/>
  <c r="BL546" i="5"/>
  <c r="AJ546" i="5" s="1"/>
  <c r="K549" i="5"/>
  <c r="Q549" i="5" s="1"/>
  <c r="M549" i="5"/>
  <c r="BH549" i="5" s="1"/>
  <c r="AB549" i="5"/>
  <c r="AD549" i="5"/>
  <c r="AE549" i="5"/>
  <c r="AJ549" i="5"/>
  <c r="AL549" i="5"/>
  <c r="AM549" i="5"/>
  <c r="AN549" i="5"/>
  <c r="AQ549" i="5"/>
  <c r="I549" i="5" s="1"/>
  <c r="AR549" i="5"/>
  <c r="BF549" i="5"/>
  <c r="BL549" i="5"/>
  <c r="K551" i="5"/>
  <c r="M551" i="5"/>
  <c r="BH551" i="5" s="1"/>
  <c r="AB551" i="5"/>
  <c r="AH551" i="5"/>
  <c r="AI551" i="5"/>
  <c r="AL551" i="5"/>
  <c r="AQ551" i="5"/>
  <c r="I551" i="5" s="1"/>
  <c r="AR551" i="5"/>
  <c r="J551" i="5" s="1"/>
  <c r="BF551" i="5"/>
  <c r="BL551" i="5"/>
  <c r="AJ551" i="5" s="1"/>
  <c r="K554" i="5"/>
  <c r="M554" i="5"/>
  <c r="AH554" i="5"/>
  <c r="AJ554" i="5"/>
  <c r="AQ554" i="5"/>
  <c r="AR554" i="5"/>
  <c r="BF554" i="5"/>
  <c r="BL554" i="5"/>
  <c r="AB554" i="5" s="1"/>
  <c r="K559" i="5"/>
  <c r="AN559" i="5" s="1"/>
  <c r="M559" i="5"/>
  <c r="BH559" i="5" s="1"/>
  <c r="AH559" i="5"/>
  <c r="AL559" i="5"/>
  <c r="AM559" i="5"/>
  <c r="AQ559" i="5"/>
  <c r="AY559" i="5" s="1"/>
  <c r="AR559" i="5"/>
  <c r="AZ559" i="5" s="1"/>
  <c r="BF559" i="5"/>
  <c r="BL559" i="5"/>
  <c r="K562" i="5"/>
  <c r="AN562" i="5" s="1"/>
  <c r="M562" i="5"/>
  <c r="BH562" i="5" s="1"/>
  <c r="AB562" i="5"/>
  <c r="AE562" i="5"/>
  <c r="AL562" i="5"/>
  <c r="AM562" i="5"/>
  <c r="AQ562" i="5"/>
  <c r="BJ562" i="5" s="1"/>
  <c r="AR562" i="5"/>
  <c r="BF562" i="5"/>
  <c r="BL562" i="5"/>
  <c r="AJ562" i="5" s="1"/>
  <c r="K565" i="5"/>
  <c r="AN565" i="5" s="1"/>
  <c r="M565" i="5"/>
  <c r="BH565" i="5" s="1"/>
  <c r="AB565" i="5"/>
  <c r="AD565" i="5"/>
  <c r="AI565" i="5"/>
  <c r="AJ565" i="5"/>
  <c r="AL565" i="5"/>
  <c r="AQ565" i="5"/>
  <c r="I565" i="5" s="1"/>
  <c r="AR565" i="5"/>
  <c r="J565" i="5" s="1"/>
  <c r="BF565" i="5"/>
  <c r="BL565" i="5"/>
  <c r="K567" i="5"/>
  <c r="M567" i="5"/>
  <c r="BH567" i="5" s="1"/>
  <c r="AH567" i="5"/>
  <c r="AI567" i="5"/>
  <c r="AQ567" i="5"/>
  <c r="AR567" i="5"/>
  <c r="J567" i="5" s="1"/>
  <c r="BF567" i="5"/>
  <c r="BL567" i="5"/>
  <c r="AB567" i="5" s="1"/>
  <c r="K570" i="5"/>
  <c r="AN570" i="5" s="1"/>
  <c r="M570" i="5"/>
  <c r="BH570" i="5" s="1"/>
  <c r="AL570" i="5"/>
  <c r="AM570" i="5"/>
  <c r="AQ570" i="5"/>
  <c r="AY570" i="5" s="1"/>
  <c r="AR570" i="5"/>
  <c r="AZ570" i="5" s="1"/>
  <c r="BF570" i="5"/>
  <c r="BL570" i="5"/>
  <c r="K572" i="5"/>
  <c r="AN572" i="5" s="1"/>
  <c r="M572" i="5"/>
  <c r="BH572" i="5" s="1"/>
  <c r="AB572" i="5"/>
  <c r="AE572" i="5"/>
  <c r="AL572" i="5"/>
  <c r="AM572" i="5"/>
  <c r="AQ572" i="5"/>
  <c r="AR572" i="5"/>
  <c r="J572" i="5" s="1"/>
  <c r="BF572" i="5"/>
  <c r="BL572" i="5"/>
  <c r="AJ572" i="5" s="1"/>
  <c r="K574" i="5"/>
  <c r="M574" i="5"/>
  <c r="BH574" i="5" s="1"/>
  <c r="AB574" i="5"/>
  <c r="AD574" i="5"/>
  <c r="AI574" i="5"/>
  <c r="AJ574" i="5"/>
  <c r="AQ574" i="5"/>
  <c r="I574" i="5" s="1"/>
  <c r="AR574" i="5"/>
  <c r="BF574" i="5"/>
  <c r="BL574" i="5"/>
  <c r="K578" i="5"/>
  <c r="M578" i="5"/>
  <c r="BH578" i="5" s="1"/>
  <c r="AH578" i="5"/>
  <c r="AQ578" i="5"/>
  <c r="AY578" i="5" s="1"/>
  <c r="AR578" i="5"/>
  <c r="BF578" i="5"/>
  <c r="BL578" i="5"/>
  <c r="AB578" i="5" s="1"/>
  <c r="K580" i="5"/>
  <c r="AN580" i="5" s="1"/>
  <c r="M580" i="5"/>
  <c r="BH580" i="5" s="1"/>
  <c r="AL580" i="5"/>
  <c r="AM580" i="5"/>
  <c r="AQ580" i="5"/>
  <c r="AY580" i="5" s="1"/>
  <c r="AR580" i="5"/>
  <c r="AZ580" i="5" s="1"/>
  <c r="BF580" i="5"/>
  <c r="BL580" i="5"/>
  <c r="K582" i="5"/>
  <c r="AN582" i="5" s="1"/>
  <c r="M582" i="5"/>
  <c r="AB582" i="5"/>
  <c r="AE582" i="5"/>
  <c r="AL582" i="5"/>
  <c r="AM582" i="5"/>
  <c r="AQ582" i="5"/>
  <c r="AR582" i="5"/>
  <c r="BF582" i="5"/>
  <c r="BH582" i="5"/>
  <c r="BL582" i="5"/>
  <c r="AJ582" i="5" s="1"/>
  <c r="K584" i="5"/>
  <c r="AN584" i="5" s="1"/>
  <c r="M584" i="5"/>
  <c r="BH584" i="5" s="1"/>
  <c r="AB584" i="5"/>
  <c r="AD584" i="5"/>
  <c r="AI584" i="5"/>
  <c r="AJ584" i="5"/>
  <c r="AM584" i="5"/>
  <c r="AQ584" i="5"/>
  <c r="I584" i="5" s="1"/>
  <c r="AR584" i="5"/>
  <c r="BF584" i="5"/>
  <c r="BL584" i="5"/>
  <c r="K586" i="5"/>
  <c r="M586" i="5"/>
  <c r="BH586" i="5" s="1"/>
  <c r="AH586" i="5"/>
  <c r="AQ586" i="5"/>
  <c r="I586" i="5" s="1"/>
  <c r="AR586" i="5"/>
  <c r="BF586" i="5"/>
  <c r="BL586" i="5"/>
  <c r="K592" i="5"/>
  <c r="AN592" i="5" s="1"/>
  <c r="M592" i="5"/>
  <c r="BH592" i="5" s="1"/>
  <c r="AL592" i="5"/>
  <c r="AM592" i="5"/>
  <c r="AQ592" i="5"/>
  <c r="AR592" i="5"/>
  <c r="AZ592" i="5" s="1"/>
  <c r="BF592" i="5"/>
  <c r="BL592" i="5"/>
  <c r="K595" i="5"/>
  <c r="AN595" i="5" s="1"/>
  <c r="M595" i="5"/>
  <c r="AB595" i="5"/>
  <c r="AE595" i="5"/>
  <c r="AL595" i="5"/>
  <c r="AM595" i="5"/>
  <c r="AQ595" i="5"/>
  <c r="BJ595" i="5" s="1"/>
  <c r="AH595" i="5" s="1"/>
  <c r="AR595" i="5"/>
  <c r="BF595" i="5"/>
  <c r="BH595" i="5"/>
  <c r="BL595" i="5"/>
  <c r="AJ595" i="5" s="1"/>
  <c r="K597" i="5"/>
  <c r="AN597" i="5" s="1"/>
  <c r="M597" i="5"/>
  <c r="BH597" i="5" s="1"/>
  <c r="AB597" i="5"/>
  <c r="AD597" i="5"/>
  <c r="AI597" i="5"/>
  <c r="AJ597" i="5"/>
  <c r="AQ597" i="5"/>
  <c r="AR597" i="5"/>
  <c r="J597" i="5" s="1"/>
  <c r="BF597" i="5"/>
  <c r="BL597" i="5"/>
  <c r="K599" i="5"/>
  <c r="M599" i="5"/>
  <c r="BH599" i="5" s="1"/>
  <c r="AH599" i="5"/>
  <c r="AJ599" i="5"/>
  <c r="AQ599" i="5"/>
  <c r="AY599" i="5" s="1"/>
  <c r="AR599" i="5"/>
  <c r="BF599" i="5"/>
  <c r="BL599" i="5"/>
  <c r="AB599" i="5" s="1"/>
  <c r="K601" i="5"/>
  <c r="AN601" i="5" s="1"/>
  <c r="M601" i="5"/>
  <c r="BH601" i="5" s="1"/>
  <c r="AL601" i="5"/>
  <c r="AM601" i="5"/>
  <c r="AQ601" i="5"/>
  <c r="AY601" i="5" s="1"/>
  <c r="AR601" i="5"/>
  <c r="AZ601" i="5" s="1"/>
  <c r="BF601" i="5"/>
  <c r="BL601" i="5"/>
  <c r="K604" i="5"/>
  <c r="AN604" i="5" s="1"/>
  <c r="M604" i="5"/>
  <c r="BH604" i="5" s="1"/>
  <c r="AB604" i="5"/>
  <c r="AE604" i="5"/>
  <c r="AL604" i="5"/>
  <c r="AM604" i="5"/>
  <c r="AQ604" i="5"/>
  <c r="AR604" i="5"/>
  <c r="J604" i="5" s="1"/>
  <c r="BF604" i="5"/>
  <c r="BL604" i="5"/>
  <c r="AJ604" i="5" s="1"/>
  <c r="K607" i="5"/>
  <c r="AN607" i="5" s="1"/>
  <c r="M607" i="5"/>
  <c r="BH607" i="5" s="1"/>
  <c r="AB607" i="5"/>
  <c r="AD607" i="5"/>
  <c r="AI607" i="5"/>
  <c r="AJ607" i="5"/>
  <c r="AL607" i="5"/>
  <c r="AQ607" i="5"/>
  <c r="I607" i="5" s="1"/>
  <c r="AR607" i="5"/>
  <c r="J607" i="5" s="1"/>
  <c r="BF607" i="5"/>
  <c r="BL607" i="5"/>
  <c r="K610" i="5"/>
  <c r="M610" i="5"/>
  <c r="BH610" i="5" s="1"/>
  <c r="AH610" i="5"/>
  <c r="AI610" i="5"/>
  <c r="AJ610" i="5"/>
  <c r="AL610" i="5"/>
  <c r="AQ610" i="5"/>
  <c r="I610" i="5" s="1"/>
  <c r="AR610" i="5"/>
  <c r="BF610" i="5"/>
  <c r="BL610" i="5"/>
  <c r="AB610" i="5" s="1"/>
  <c r="K613" i="5"/>
  <c r="M613" i="5"/>
  <c r="BH613" i="5" s="1"/>
  <c r="AQ613" i="5"/>
  <c r="BJ613" i="5" s="1"/>
  <c r="AF613" i="5" s="1"/>
  <c r="AR613" i="5"/>
  <c r="AZ613" i="5" s="1"/>
  <c r="BF613" i="5"/>
  <c r="BL613" i="5"/>
  <c r="K616" i="5"/>
  <c r="AN616" i="5" s="1"/>
  <c r="M616" i="5"/>
  <c r="BH616" i="5" s="1"/>
  <c r="AD616" i="5"/>
  <c r="AL616" i="5"/>
  <c r="AM616" i="5"/>
  <c r="AQ616" i="5"/>
  <c r="AR616" i="5"/>
  <c r="BF616" i="5"/>
  <c r="BL616" i="5"/>
  <c r="AJ616" i="5" s="1"/>
  <c r="K618" i="5"/>
  <c r="M618" i="5"/>
  <c r="BH618" i="5" s="1"/>
  <c r="AB618" i="5"/>
  <c r="AD618" i="5"/>
  <c r="AE618" i="5"/>
  <c r="AJ618" i="5"/>
  <c r="AL618" i="5"/>
  <c r="AM618" i="5"/>
  <c r="AN618" i="5"/>
  <c r="AQ618" i="5"/>
  <c r="I618" i="5" s="1"/>
  <c r="AR618" i="5"/>
  <c r="BF618" i="5"/>
  <c r="BL618" i="5"/>
  <c r="K621" i="5"/>
  <c r="M621" i="5"/>
  <c r="BH621" i="5" s="1"/>
  <c r="AB621" i="5"/>
  <c r="AH621" i="5"/>
  <c r="AI621" i="5"/>
  <c r="AJ621" i="5"/>
  <c r="AL621" i="5"/>
  <c r="AQ621" i="5"/>
  <c r="AR621" i="5"/>
  <c r="AZ621" i="5" s="1"/>
  <c r="BF621" i="5"/>
  <c r="BL621" i="5"/>
  <c r="K623" i="5"/>
  <c r="M623" i="5"/>
  <c r="BH623" i="5" s="1"/>
  <c r="AQ623" i="5"/>
  <c r="AR623" i="5"/>
  <c r="AZ623" i="5" s="1"/>
  <c r="BF623" i="5"/>
  <c r="BL623" i="5"/>
  <c r="K625" i="5"/>
  <c r="AN625" i="5" s="1"/>
  <c r="M625" i="5"/>
  <c r="BH625" i="5" s="1"/>
  <c r="AE625" i="5"/>
  <c r="AL625" i="5"/>
  <c r="AM625" i="5"/>
  <c r="AQ625" i="5"/>
  <c r="AR625" i="5"/>
  <c r="BK625" i="5" s="1"/>
  <c r="AI625" i="5" s="1"/>
  <c r="BF625" i="5"/>
  <c r="BL625" i="5"/>
  <c r="AJ625" i="5" s="1"/>
  <c r="K627" i="5"/>
  <c r="M627" i="5"/>
  <c r="BH627" i="5" s="1"/>
  <c r="AB627" i="5"/>
  <c r="AD627" i="5"/>
  <c r="AE627" i="5"/>
  <c r="AJ627" i="5"/>
  <c r="AL627" i="5"/>
  <c r="AM627" i="5"/>
  <c r="AN627" i="5"/>
  <c r="AQ627" i="5"/>
  <c r="I627" i="5" s="1"/>
  <c r="AR627" i="5"/>
  <c r="J627" i="5" s="1"/>
  <c r="BF627" i="5"/>
  <c r="BL627" i="5"/>
  <c r="K629" i="5"/>
  <c r="M629" i="5"/>
  <c r="BH629" i="5" s="1"/>
  <c r="AH629" i="5"/>
  <c r="AI629" i="5"/>
  <c r="AQ629" i="5"/>
  <c r="I629" i="5" s="1"/>
  <c r="AR629" i="5"/>
  <c r="BF629" i="5"/>
  <c r="BL629" i="5"/>
  <c r="AB629" i="5" s="1"/>
  <c r="K631" i="5"/>
  <c r="M631" i="5"/>
  <c r="BH631" i="5" s="1"/>
  <c r="AI631" i="5"/>
  <c r="AQ631" i="5"/>
  <c r="I631" i="5" s="1"/>
  <c r="AR631" i="5"/>
  <c r="AZ631" i="5" s="1"/>
  <c r="BF631" i="5"/>
  <c r="BL631" i="5"/>
  <c r="K633" i="5"/>
  <c r="AN633" i="5" s="1"/>
  <c r="M633" i="5"/>
  <c r="BH633" i="5" s="1"/>
  <c r="AL633" i="5"/>
  <c r="AM633" i="5"/>
  <c r="AQ633" i="5"/>
  <c r="AR633" i="5"/>
  <c r="BF633" i="5"/>
  <c r="BL633" i="5"/>
  <c r="K635" i="5"/>
  <c r="AL635" i="5" s="1"/>
  <c r="M635" i="5"/>
  <c r="BH635" i="5" s="1"/>
  <c r="AB635" i="5"/>
  <c r="AJ635" i="5"/>
  <c r="AM635" i="5"/>
  <c r="AQ635" i="5"/>
  <c r="AY635" i="5" s="1"/>
  <c r="AR635" i="5"/>
  <c r="BF635" i="5"/>
  <c r="BL635" i="5"/>
  <c r="K637" i="5"/>
  <c r="M637" i="5"/>
  <c r="BH637" i="5" s="1"/>
  <c r="AD637" i="5"/>
  <c r="AE637" i="5"/>
  <c r="AH637" i="5"/>
  <c r="AJ637" i="5"/>
  <c r="AM637" i="5"/>
  <c r="AQ637" i="5"/>
  <c r="AR637" i="5"/>
  <c r="J637" i="5" s="1"/>
  <c r="BF637" i="5"/>
  <c r="BL637" i="5"/>
  <c r="AB637" i="5" s="1"/>
  <c r="K640" i="5"/>
  <c r="AL640" i="5" s="1"/>
  <c r="M640" i="5"/>
  <c r="AB640" i="5"/>
  <c r="AD640" i="5"/>
  <c r="AI640" i="5"/>
  <c r="AQ640" i="5"/>
  <c r="I640" i="5" s="1"/>
  <c r="AR640" i="5"/>
  <c r="J640" i="5" s="1"/>
  <c r="BF640" i="5"/>
  <c r="BL640" i="5"/>
  <c r="AJ640" i="5" s="1"/>
  <c r="K643" i="5"/>
  <c r="M643" i="5"/>
  <c r="BH643" i="5" s="1"/>
  <c r="AD643" i="5"/>
  <c r="AJ643" i="5"/>
  <c r="AQ643" i="5"/>
  <c r="I643" i="5" s="1"/>
  <c r="AR643" i="5"/>
  <c r="BF643" i="5"/>
  <c r="BL643" i="5"/>
  <c r="AB643" i="5" s="1"/>
  <c r="K646" i="5"/>
  <c r="M646" i="5"/>
  <c r="BH646" i="5" s="1"/>
  <c r="AE646" i="5"/>
  <c r="AI646" i="5"/>
  <c r="AQ646" i="5"/>
  <c r="AR646" i="5"/>
  <c r="BF646" i="5"/>
  <c r="BL646" i="5"/>
  <c r="K648" i="5"/>
  <c r="AL648" i="5" s="1"/>
  <c r="M648" i="5"/>
  <c r="BH648" i="5" s="1"/>
  <c r="AB648" i="5"/>
  <c r="AJ648" i="5"/>
  <c r="AM648" i="5"/>
  <c r="AQ648" i="5"/>
  <c r="AY648" i="5" s="1"/>
  <c r="AR648" i="5"/>
  <c r="BF648" i="5"/>
  <c r="BL648" i="5"/>
  <c r="K650" i="5"/>
  <c r="AL650" i="5" s="1"/>
  <c r="M650" i="5"/>
  <c r="AD650" i="5"/>
  <c r="AE650" i="5"/>
  <c r="AH650" i="5"/>
  <c r="AJ650" i="5"/>
  <c r="AM650" i="5"/>
  <c r="AQ650" i="5"/>
  <c r="AR650" i="5"/>
  <c r="J650" i="5" s="1"/>
  <c r="BF650" i="5"/>
  <c r="BL650" i="5"/>
  <c r="AB650" i="5" s="1"/>
  <c r="K652" i="5"/>
  <c r="AM652" i="5" s="1"/>
  <c r="M652" i="5"/>
  <c r="BH652" i="5" s="1"/>
  <c r="AE652" i="5"/>
  <c r="AH652" i="5"/>
  <c r="AL652" i="5"/>
  <c r="AQ652" i="5"/>
  <c r="AR652" i="5"/>
  <c r="BF652" i="5"/>
  <c r="BL652" i="5"/>
  <c r="K655" i="5"/>
  <c r="M655" i="5"/>
  <c r="AD655" i="5"/>
  <c r="AJ655" i="5"/>
  <c r="AQ655" i="5"/>
  <c r="AY655" i="5" s="1"/>
  <c r="AR655" i="5"/>
  <c r="J655" i="5" s="1"/>
  <c r="BF655" i="5"/>
  <c r="BL655" i="5"/>
  <c r="AB655" i="5" s="1"/>
  <c r="K658" i="5"/>
  <c r="AN658" i="5" s="1"/>
  <c r="M658" i="5"/>
  <c r="BH658" i="5" s="1"/>
  <c r="AD658" i="5"/>
  <c r="AE658" i="5"/>
  <c r="AH658" i="5"/>
  <c r="AL658" i="5"/>
  <c r="AM658" i="5"/>
  <c r="AQ658" i="5"/>
  <c r="AY658" i="5" s="1"/>
  <c r="AR658" i="5"/>
  <c r="BF658" i="5"/>
  <c r="BL658" i="5"/>
  <c r="K661" i="5"/>
  <c r="AM661" i="5" s="1"/>
  <c r="M661" i="5"/>
  <c r="BH661" i="5" s="1"/>
  <c r="AB661" i="5"/>
  <c r="AE661" i="5"/>
  <c r="AI661" i="5"/>
  <c r="AL661" i="5"/>
  <c r="AQ661" i="5"/>
  <c r="AR661" i="5"/>
  <c r="BK661" i="5" s="1"/>
  <c r="AG661" i="5" s="1"/>
  <c r="BF661" i="5"/>
  <c r="BL661" i="5"/>
  <c r="AJ661" i="5" s="1"/>
  <c r="K663" i="5"/>
  <c r="AN663" i="5" s="1"/>
  <c r="M663" i="5"/>
  <c r="BH663" i="5" s="1"/>
  <c r="AB663" i="5"/>
  <c r="AD663" i="5"/>
  <c r="AI663" i="5"/>
  <c r="AM663" i="5"/>
  <c r="AQ663" i="5"/>
  <c r="I663" i="5" s="1"/>
  <c r="AR663" i="5"/>
  <c r="BF663" i="5"/>
  <c r="BL663" i="5"/>
  <c r="AJ663" i="5" s="1"/>
  <c r="K666" i="5"/>
  <c r="AM666" i="5" s="1"/>
  <c r="AV665" i="5" s="1"/>
  <c r="M666" i="5"/>
  <c r="BH666" i="5" s="1"/>
  <c r="AE666" i="5"/>
  <c r="AH666" i="5"/>
  <c r="AJ666" i="5"/>
  <c r="AL666" i="5"/>
  <c r="AU665" i="5" s="1"/>
  <c r="AQ666" i="5"/>
  <c r="I666" i="5" s="1"/>
  <c r="I665" i="5" s="1"/>
  <c r="AR666" i="5"/>
  <c r="J666" i="5" s="1"/>
  <c r="J665" i="5" s="1"/>
  <c r="BF666" i="5"/>
  <c r="BL666" i="5"/>
  <c r="AB666" i="5" s="1"/>
  <c r="K669" i="5"/>
  <c r="M669" i="5"/>
  <c r="AD669" i="5"/>
  <c r="AJ669" i="5"/>
  <c r="AQ669" i="5"/>
  <c r="AR669" i="5"/>
  <c r="J669" i="5" s="1"/>
  <c r="BF669" i="5"/>
  <c r="BL669" i="5"/>
  <c r="AB669" i="5" s="1"/>
  <c r="K671" i="5"/>
  <c r="AN671" i="5" s="1"/>
  <c r="M671" i="5"/>
  <c r="AD671" i="5"/>
  <c r="AH671" i="5"/>
  <c r="AL671" i="5"/>
  <c r="AM671" i="5"/>
  <c r="AQ671" i="5"/>
  <c r="AY671" i="5" s="1"/>
  <c r="AR671" i="5"/>
  <c r="BF671" i="5"/>
  <c r="BH671" i="5"/>
  <c r="BL671" i="5"/>
  <c r="K674" i="5"/>
  <c r="M674" i="5"/>
  <c r="AB674" i="5"/>
  <c r="AJ674" i="5"/>
  <c r="AM674" i="5"/>
  <c r="AQ674" i="5"/>
  <c r="AR674" i="5"/>
  <c r="BF674" i="5"/>
  <c r="BL674" i="5"/>
  <c r="K676" i="5"/>
  <c r="AL676" i="5" s="1"/>
  <c r="M676" i="5"/>
  <c r="BH676" i="5" s="1"/>
  <c r="AH676" i="5"/>
  <c r="AJ676" i="5"/>
  <c r="AM676" i="5"/>
  <c r="AQ676" i="5"/>
  <c r="BJ676" i="5" s="1"/>
  <c r="AF676" i="5" s="1"/>
  <c r="AR676" i="5"/>
  <c r="BF676" i="5"/>
  <c r="BL676" i="5"/>
  <c r="AB676" i="5" s="1"/>
  <c r="K678" i="5"/>
  <c r="M678" i="5"/>
  <c r="BH678" i="5" s="1"/>
  <c r="AB678" i="5"/>
  <c r="AH678" i="5"/>
  <c r="AJ678" i="5"/>
  <c r="AL678" i="5"/>
  <c r="AQ678" i="5"/>
  <c r="AR678" i="5"/>
  <c r="BF678" i="5"/>
  <c r="BL678" i="5"/>
  <c r="K680" i="5"/>
  <c r="M680" i="5"/>
  <c r="BH680" i="5" s="1"/>
  <c r="AF680" i="5"/>
  <c r="AI680" i="5"/>
  <c r="AQ680" i="5"/>
  <c r="I680" i="5" s="1"/>
  <c r="AR680" i="5"/>
  <c r="BF680" i="5"/>
  <c r="BL680" i="5"/>
  <c r="K682" i="5"/>
  <c r="AL682" i="5" s="1"/>
  <c r="M682" i="5"/>
  <c r="BH682" i="5" s="1"/>
  <c r="AB682" i="5"/>
  <c r="AJ682" i="5"/>
  <c r="AM682" i="5"/>
  <c r="AQ682" i="5"/>
  <c r="I682" i="5" s="1"/>
  <c r="AR682" i="5"/>
  <c r="BK682" i="5" s="1"/>
  <c r="BF682" i="5"/>
  <c r="BL682" i="5"/>
  <c r="K685" i="5"/>
  <c r="M685" i="5"/>
  <c r="AF685" i="5"/>
  <c r="AI685" i="5"/>
  <c r="AL685" i="5"/>
  <c r="AU684" i="5" s="1"/>
  <c r="AQ685" i="5"/>
  <c r="BJ685" i="5" s="1"/>
  <c r="AD685" i="5" s="1"/>
  <c r="AR685" i="5"/>
  <c r="J685" i="5" s="1"/>
  <c r="J684" i="5" s="1"/>
  <c r="BF685" i="5"/>
  <c r="BL685" i="5"/>
  <c r="AJ685" i="5" s="1"/>
  <c r="K688" i="5"/>
  <c r="AL688" i="5" s="1"/>
  <c r="AU687" i="5" s="1"/>
  <c r="M688" i="5"/>
  <c r="M687" i="5" s="1"/>
  <c r="AH688" i="5"/>
  <c r="AJ688" i="5"/>
  <c r="AM688" i="5"/>
  <c r="AV687" i="5" s="1"/>
  <c r="AQ688" i="5"/>
  <c r="I688" i="5" s="1"/>
  <c r="I687" i="5" s="1"/>
  <c r="AR688" i="5"/>
  <c r="J688" i="5" s="1"/>
  <c r="J687" i="5" s="1"/>
  <c r="BF688" i="5"/>
  <c r="BL688" i="5"/>
  <c r="AB688" i="5" s="1"/>
  <c r="K691" i="5"/>
  <c r="M691" i="5"/>
  <c r="BH691" i="5" s="1"/>
  <c r="AD691" i="5"/>
  <c r="AF691" i="5"/>
  <c r="AI691" i="5"/>
  <c r="AM691" i="5"/>
  <c r="AV690" i="5" s="1"/>
  <c r="AQ691" i="5"/>
  <c r="AR691" i="5"/>
  <c r="BF691" i="5"/>
  <c r="BL691" i="5"/>
  <c r="AJ691" i="5" s="1"/>
  <c r="K694" i="5"/>
  <c r="AM694" i="5" s="1"/>
  <c r="AV693" i="5" s="1"/>
  <c r="M694" i="5"/>
  <c r="M693" i="5" s="1"/>
  <c r="AE694" i="5"/>
  <c r="AH694" i="5"/>
  <c r="AJ694" i="5"/>
  <c r="AL694" i="5"/>
  <c r="AU693" i="5" s="1"/>
  <c r="AQ694" i="5"/>
  <c r="I694" i="5" s="1"/>
  <c r="I693" i="5" s="1"/>
  <c r="AR694" i="5"/>
  <c r="J694" i="5" s="1"/>
  <c r="J693" i="5" s="1"/>
  <c r="BF694" i="5"/>
  <c r="BH694" i="5"/>
  <c r="BL694" i="5"/>
  <c r="AB694" i="5" s="1"/>
  <c r="K697" i="5"/>
  <c r="M697" i="5"/>
  <c r="AD697" i="5"/>
  <c r="AJ697" i="5"/>
  <c r="AM697" i="5"/>
  <c r="AV696" i="5" s="1"/>
  <c r="AQ697" i="5"/>
  <c r="I697" i="5" s="1"/>
  <c r="I696" i="5" s="1"/>
  <c r="AR697" i="5"/>
  <c r="J697" i="5" s="1"/>
  <c r="J696" i="5" s="1"/>
  <c r="BF697" i="5"/>
  <c r="BL697" i="5"/>
  <c r="AB697" i="5" s="1"/>
  <c r="K700" i="5"/>
  <c r="M700" i="5"/>
  <c r="M699" i="5" s="1"/>
  <c r="AE700" i="5"/>
  <c r="AI700" i="5"/>
  <c r="AM700" i="5"/>
  <c r="AV699" i="5" s="1"/>
  <c r="AQ700" i="5"/>
  <c r="BJ700" i="5" s="1"/>
  <c r="AD700" i="5" s="1"/>
  <c r="AR700" i="5"/>
  <c r="AZ700" i="5" s="1"/>
  <c r="BF700" i="5"/>
  <c r="BL700" i="5"/>
  <c r="AJ700" i="5" s="1"/>
  <c r="K703" i="5"/>
  <c r="K702" i="5" s="1"/>
  <c r="P702" i="5" s="1"/>
  <c r="M703" i="5"/>
  <c r="M702" i="5" s="1"/>
  <c r="AD703" i="5"/>
  <c r="AH703" i="5"/>
  <c r="AJ703" i="5"/>
  <c r="AL703" i="5"/>
  <c r="AU702" i="5" s="1"/>
  <c r="AM703" i="5"/>
  <c r="AV702" i="5" s="1"/>
  <c r="AQ703" i="5"/>
  <c r="BJ703" i="5" s="1"/>
  <c r="AF703" i="5" s="1"/>
  <c r="AR703" i="5"/>
  <c r="BF703" i="5"/>
  <c r="BL703" i="5"/>
  <c r="AB703" i="5" s="1"/>
  <c r="K706" i="5"/>
  <c r="M706" i="5"/>
  <c r="AG706" i="5"/>
  <c r="AJ706" i="5"/>
  <c r="AM706" i="5"/>
  <c r="AV705" i="5" s="1"/>
  <c r="AQ706" i="5"/>
  <c r="BJ706" i="5" s="1"/>
  <c r="AR706" i="5"/>
  <c r="J706" i="5" s="1"/>
  <c r="J705" i="5" s="1"/>
  <c r="BF706" i="5"/>
  <c r="BL706" i="5"/>
  <c r="AB706" i="5" s="1"/>
  <c r="K709" i="5"/>
  <c r="AN709" i="5" s="1"/>
  <c r="AW708" i="5" s="1"/>
  <c r="M709" i="5"/>
  <c r="M708" i="5" s="1"/>
  <c r="AE709" i="5"/>
  <c r="AI709" i="5"/>
  <c r="AQ709" i="5"/>
  <c r="AR709" i="5"/>
  <c r="J709" i="5" s="1"/>
  <c r="J708" i="5" s="1"/>
  <c r="BF709" i="5"/>
  <c r="BL709" i="5"/>
  <c r="AJ709" i="5" s="1"/>
  <c r="K712" i="5"/>
  <c r="M712" i="5"/>
  <c r="M711" i="5" s="1"/>
  <c r="AD712" i="5"/>
  <c r="AG712" i="5"/>
  <c r="AH712" i="5"/>
  <c r="AJ712" i="5"/>
  <c r="AM712" i="5"/>
  <c r="AV711" i="5" s="1"/>
  <c r="AQ712" i="5"/>
  <c r="AR712" i="5"/>
  <c r="AZ712" i="5" s="1"/>
  <c r="BF712" i="5"/>
  <c r="BL712" i="5"/>
  <c r="AB712" i="5" s="1"/>
  <c r="K715" i="5"/>
  <c r="M715" i="5"/>
  <c r="BH715" i="5" s="1"/>
  <c r="AL715" i="5"/>
  <c r="AU714" i="5" s="1"/>
  <c r="AQ715" i="5"/>
  <c r="AY715" i="5" s="1"/>
  <c r="AR715" i="5"/>
  <c r="AZ715" i="5" s="1"/>
  <c r="BF715" i="5"/>
  <c r="BL715" i="5"/>
  <c r="AJ715" i="5" s="1"/>
  <c r="K718" i="5"/>
  <c r="M718" i="5"/>
  <c r="M717" i="5" s="1"/>
  <c r="AL718" i="5"/>
  <c r="AU717" i="5" s="1"/>
  <c r="AQ718" i="5"/>
  <c r="AY718" i="5" s="1"/>
  <c r="AR718" i="5"/>
  <c r="BF718" i="5"/>
  <c r="BL718" i="5"/>
  <c r="K721" i="5"/>
  <c r="AL721" i="5" s="1"/>
  <c r="AU720" i="5" s="1"/>
  <c r="M721" i="5"/>
  <c r="AJ721" i="5"/>
  <c r="AM721" i="5"/>
  <c r="AV720" i="5" s="1"/>
  <c r="AQ721" i="5"/>
  <c r="I721" i="5" s="1"/>
  <c r="I720" i="5" s="1"/>
  <c r="AR721" i="5"/>
  <c r="J721" i="5" s="1"/>
  <c r="J720" i="5" s="1"/>
  <c r="BF721" i="5"/>
  <c r="BL721" i="5"/>
  <c r="AB721" i="5" s="1"/>
  <c r="K724" i="5"/>
  <c r="AN724" i="5" s="1"/>
  <c r="M724" i="5"/>
  <c r="BH724" i="5" s="1"/>
  <c r="AE724" i="5"/>
  <c r="AH724" i="5"/>
  <c r="AI724" i="5"/>
  <c r="AL724" i="5"/>
  <c r="AM724" i="5"/>
  <c r="AQ724" i="5"/>
  <c r="I724" i="5" s="1"/>
  <c r="AR724" i="5"/>
  <c r="AZ724" i="5" s="1"/>
  <c r="BF724" i="5"/>
  <c r="BL724" i="5"/>
  <c r="K726" i="5"/>
  <c r="AN726" i="5" s="1"/>
  <c r="M726" i="5"/>
  <c r="AJ726" i="5"/>
  <c r="AL726" i="5"/>
  <c r="AM726" i="5"/>
  <c r="AQ726" i="5"/>
  <c r="I726" i="5" s="1"/>
  <c r="AR726" i="5"/>
  <c r="J726" i="5" s="1"/>
  <c r="BF726" i="5"/>
  <c r="BL726" i="5"/>
  <c r="AB726" i="5" s="1"/>
  <c r="K728" i="5"/>
  <c r="AL728" i="5" s="1"/>
  <c r="M728" i="5"/>
  <c r="BH728" i="5" s="1"/>
  <c r="AD728" i="5"/>
  <c r="AG728" i="5"/>
  <c r="AH728" i="5"/>
  <c r="AM728" i="5"/>
  <c r="AQ728" i="5"/>
  <c r="I728" i="5" s="1"/>
  <c r="AR728" i="5"/>
  <c r="BK728" i="5" s="1"/>
  <c r="BF728" i="5"/>
  <c r="BL728" i="5"/>
  <c r="AB728" i="5" s="1"/>
  <c r="K730" i="5"/>
  <c r="AM730" i="5" s="1"/>
  <c r="M730" i="5"/>
  <c r="BH730" i="5" s="1"/>
  <c r="AH730" i="5"/>
  <c r="AL730" i="5"/>
  <c r="AQ730" i="5"/>
  <c r="AY730" i="5" s="1"/>
  <c r="AR730" i="5"/>
  <c r="BF730" i="5"/>
  <c r="BL730" i="5"/>
  <c r="K734" i="5"/>
  <c r="M734" i="5"/>
  <c r="BH734" i="5" s="1"/>
  <c r="AB734" i="5"/>
  <c r="AI734" i="5"/>
  <c r="AL734" i="5"/>
  <c r="AQ734" i="5"/>
  <c r="I734" i="5" s="1"/>
  <c r="AR734" i="5"/>
  <c r="J734" i="5" s="1"/>
  <c r="BF734" i="5"/>
  <c r="BL734" i="5"/>
  <c r="AJ734" i="5" s="1"/>
  <c r="K736" i="5"/>
  <c r="AN736" i="5" s="1"/>
  <c r="M736" i="5"/>
  <c r="BH736" i="5" s="1"/>
  <c r="AI736" i="5"/>
  <c r="AL736" i="5"/>
  <c r="AM736" i="5"/>
  <c r="AQ736" i="5"/>
  <c r="AR736" i="5"/>
  <c r="AZ736" i="5" s="1"/>
  <c r="BF736" i="5"/>
  <c r="BL736" i="5"/>
  <c r="AJ736" i="5" s="1"/>
  <c r="K738" i="5"/>
  <c r="AL738" i="5" s="1"/>
  <c r="M738" i="5"/>
  <c r="BH738" i="5" s="1"/>
  <c r="AJ738" i="5"/>
  <c r="AM738" i="5"/>
  <c r="AQ738" i="5"/>
  <c r="AR738" i="5"/>
  <c r="BF738" i="5"/>
  <c r="BL738" i="5"/>
  <c r="AB738" i="5" s="1"/>
  <c r="K741" i="5"/>
  <c r="AN741" i="5" s="1"/>
  <c r="M741" i="5"/>
  <c r="BH741" i="5" s="1"/>
  <c r="AB741" i="5"/>
  <c r="AH741" i="5"/>
  <c r="AL741" i="5"/>
  <c r="AM741" i="5"/>
  <c r="AQ741" i="5"/>
  <c r="AR741" i="5"/>
  <c r="J741" i="5" s="1"/>
  <c r="BF741" i="5"/>
  <c r="BL741" i="5"/>
  <c r="AJ741" i="5" s="1"/>
  <c r="K744" i="5"/>
  <c r="M744" i="5"/>
  <c r="BH744" i="5" s="1"/>
  <c r="AB744" i="5"/>
  <c r="AI744" i="5"/>
  <c r="AQ744" i="5"/>
  <c r="I744" i="5" s="1"/>
  <c r="AR744" i="5"/>
  <c r="BF744" i="5"/>
  <c r="BL744" i="5"/>
  <c r="AJ744" i="5" s="1"/>
  <c r="K748" i="5"/>
  <c r="M748" i="5"/>
  <c r="AG748" i="5"/>
  <c r="AH748" i="5"/>
  <c r="AI748" i="5"/>
  <c r="AJ748" i="5"/>
  <c r="AM748" i="5"/>
  <c r="AQ748" i="5"/>
  <c r="AY748" i="5" s="1"/>
  <c r="AR748" i="5"/>
  <c r="BK748" i="5" s="1"/>
  <c r="AE748" i="5" s="1"/>
  <c r="BF748" i="5"/>
  <c r="BL748" i="5"/>
  <c r="AB748" i="5" s="1"/>
  <c r="K754" i="5"/>
  <c r="M754" i="5"/>
  <c r="BH754" i="5" s="1"/>
  <c r="AL754" i="5"/>
  <c r="AQ754" i="5"/>
  <c r="AY754" i="5" s="1"/>
  <c r="AR754" i="5"/>
  <c r="AZ754" i="5" s="1"/>
  <c r="BF754" i="5"/>
  <c r="BL754" i="5"/>
  <c r="AJ754" i="5" s="1"/>
  <c r="K757" i="5"/>
  <c r="M757" i="5"/>
  <c r="BH757" i="5" s="1"/>
  <c r="AF757" i="5"/>
  <c r="AI757" i="5"/>
  <c r="AJ757" i="5"/>
  <c r="AM757" i="5"/>
  <c r="AQ757" i="5"/>
  <c r="I757" i="5" s="1"/>
  <c r="AR757" i="5"/>
  <c r="BF757" i="5"/>
  <c r="BL757" i="5"/>
  <c r="AB757" i="5" s="1"/>
  <c r="K760" i="5"/>
  <c r="M760" i="5"/>
  <c r="BH760" i="5" s="1"/>
  <c r="AB760" i="5"/>
  <c r="AH760" i="5"/>
  <c r="AJ760" i="5"/>
  <c r="AL760" i="5"/>
  <c r="AM760" i="5"/>
  <c r="AQ760" i="5"/>
  <c r="AY760" i="5" s="1"/>
  <c r="AR760" i="5"/>
  <c r="AZ760" i="5" s="1"/>
  <c r="BF760" i="5"/>
  <c r="BL760" i="5"/>
  <c r="K763" i="5"/>
  <c r="M763" i="5"/>
  <c r="AF763" i="5"/>
  <c r="AH763" i="5"/>
  <c r="AI763" i="5"/>
  <c r="AL763" i="5"/>
  <c r="AQ763" i="5"/>
  <c r="I763" i="5" s="1"/>
  <c r="AR763" i="5"/>
  <c r="BF763" i="5"/>
  <c r="BH763" i="5"/>
  <c r="BL763" i="5"/>
  <c r="K765" i="5"/>
  <c r="M765" i="5"/>
  <c r="BH765" i="5" s="1"/>
  <c r="AL765" i="5"/>
  <c r="AQ765" i="5"/>
  <c r="AY765" i="5" s="1"/>
  <c r="AR765" i="5"/>
  <c r="AZ765" i="5" s="1"/>
  <c r="BF765" i="5"/>
  <c r="BL765" i="5"/>
  <c r="K769" i="5"/>
  <c r="M769" i="5"/>
  <c r="BH769" i="5" s="1"/>
  <c r="AB769" i="5"/>
  <c r="AG769" i="5"/>
  <c r="AJ769" i="5"/>
  <c r="AQ769" i="5"/>
  <c r="BJ769" i="5" s="1"/>
  <c r="AR769" i="5"/>
  <c r="BF769" i="5"/>
  <c r="BL769" i="5"/>
  <c r="K772" i="5"/>
  <c r="AL772" i="5" s="1"/>
  <c r="M772" i="5"/>
  <c r="BH772" i="5" s="1"/>
  <c r="AB772" i="5"/>
  <c r="AQ772" i="5"/>
  <c r="AR772" i="5"/>
  <c r="AZ772" i="5" s="1"/>
  <c r="BF772" i="5"/>
  <c r="BL772" i="5"/>
  <c r="AJ772" i="5" s="1"/>
  <c r="K774" i="5"/>
  <c r="AN774" i="5" s="1"/>
  <c r="M774" i="5"/>
  <c r="BH774" i="5" s="1"/>
  <c r="AB774" i="5"/>
  <c r="AJ774" i="5"/>
  <c r="AL774" i="5"/>
  <c r="AM774" i="5"/>
  <c r="AQ774" i="5"/>
  <c r="BJ774" i="5" s="1"/>
  <c r="AR774" i="5"/>
  <c r="J774" i="5" s="1"/>
  <c r="BF774" i="5"/>
  <c r="BL774" i="5"/>
  <c r="K776" i="5"/>
  <c r="AN776" i="5" s="1"/>
  <c r="M776" i="5"/>
  <c r="BH776" i="5" s="1"/>
  <c r="AH776" i="5"/>
  <c r="AL776" i="5"/>
  <c r="AM776" i="5"/>
  <c r="AQ776" i="5"/>
  <c r="AR776" i="5"/>
  <c r="BF776" i="5"/>
  <c r="BL776" i="5"/>
  <c r="AJ776" i="5" s="1"/>
  <c r="K779" i="5"/>
  <c r="M779" i="5"/>
  <c r="AB779" i="5"/>
  <c r="AF779" i="5"/>
  <c r="AM779" i="5"/>
  <c r="AV778" i="5" s="1"/>
  <c r="AQ779" i="5"/>
  <c r="BJ779" i="5" s="1"/>
  <c r="AR779" i="5"/>
  <c r="BK779" i="5" s="1"/>
  <c r="BF779" i="5"/>
  <c r="BL779" i="5"/>
  <c r="AJ779" i="5" s="1"/>
  <c r="K782" i="5"/>
  <c r="AN782" i="5" s="1"/>
  <c r="M782" i="5"/>
  <c r="BH782" i="5" s="1"/>
  <c r="AB782" i="5"/>
  <c r="AL782" i="5"/>
  <c r="AM782" i="5"/>
  <c r="AQ782" i="5"/>
  <c r="AR782" i="5"/>
  <c r="BF782" i="5"/>
  <c r="BL782" i="5"/>
  <c r="AJ782" i="5" s="1"/>
  <c r="K785" i="5"/>
  <c r="AN785" i="5" s="1"/>
  <c r="M785" i="5"/>
  <c r="BH785" i="5" s="1"/>
  <c r="AB785" i="5"/>
  <c r="AI785" i="5"/>
  <c r="AJ785" i="5"/>
  <c r="AL785" i="5"/>
  <c r="AM785" i="5"/>
  <c r="AQ785" i="5"/>
  <c r="I785" i="5" s="1"/>
  <c r="AR785" i="5"/>
  <c r="J785" i="5" s="1"/>
  <c r="BF785" i="5"/>
  <c r="BL785" i="5"/>
  <c r="K787" i="5"/>
  <c r="M787" i="5"/>
  <c r="BH787" i="5" s="1"/>
  <c r="AG787" i="5"/>
  <c r="AH787" i="5"/>
  <c r="AJ787" i="5"/>
  <c r="AQ787" i="5"/>
  <c r="AR787" i="5"/>
  <c r="BF787" i="5"/>
  <c r="BL787" i="5"/>
  <c r="AB787" i="5" s="1"/>
  <c r="K789" i="5"/>
  <c r="M789" i="5"/>
  <c r="BH789" i="5" s="1"/>
  <c r="AG789" i="5"/>
  <c r="AH789" i="5"/>
  <c r="AQ789" i="5"/>
  <c r="AY789" i="5" s="1"/>
  <c r="AR789" i="5"/>
  <c r="AZ789" i="5" s="1"/>
  <c r="BF789" i="5"/>
  <c r="BL789" i="5"/>
  <c r="K791" i="5"/>
  <c r="AN791" i="5" s="1"/>
  <c r="M791" i="5"/>
  <c r="BH791" i="5" s="1"/>
  <c r="AB791" i="5"/>
  <c r="AF791" i="5"/>
  <c r="AL791" i="5"/>
  <c r="AM791" i="5"/>
  <c r="AQ791" i="5"/>
  <c r="BJ791" i="5" s="1"/>
  <c r="AR791" i="5"/>
  <c r="BF791" i="5"/>
  <c r="BL791" i="5"/>
  <c r="AJ791" i="5" s="1"/>
  <c r="K793" i="5"/>
  <c r="AN793" i="5" s="1"/>
  <c r="M793" i="5"/>
  <c r="BH793" i="5" s="1"/>
  <c r="AB793" i="5"/>
  <c r="AI793" i="5"/>
  <c r="AJ793" i="5"/>
  <c r="AL793" i="5"/>
  <c r="AM793" i="5"/>
  <c r="AQ793" i="5"/>
  <c r="AR793" i="5"/>
  <c r="J793" i="5" s="1"/>
  <c r="BF793" i="5"/>
  <c r="BL793" i="5"/>
  <c r="K796" i="5"/>
  <c r="AM796" i="5" s="1"/>
  <c r="M796" i="5"/>
  <c r="AH796" i="5"/>
  <c r="AI796" i="5"/>
  <c r="AJ796" i="5"/>
  <c r="AL796" i="5"/>
  <c r="AQ796" i="5"/>
  <c r="I796" i="5" s="1"/>
  <c r="AR796" i="5"/>
  <c r="BF796" i="5"/>
  <c r="BL796" i="5"/>
  <c r="AB796" i="5" s="1"/>
  <c r="K798" i="5"/>
  <c r="M798" i="5"/>
  <c r="BH798" i="5" s="1"/>
  <c r="AI798" i="5"/>
  <c r="AQ798" i="5"/>
  <c r="AR798" i="5"/>
  <c r="BF798" i="5"/>
  <c r="BL798" i="5"/>
  <c r="K801" i="5"/>
  <c r="AL801" i="5" s="1"/>
  <c r="M801" i="5"/>
  <c r="BH801" i="5" s="1"/>
  <c r="AG801" i="5"/>
  <c r="AM801" i="5"/>
  <c r="AQ801" i="5"/>
  <c r="I801" i="5" s="1"/>
  <c r="AR801" i="5"/>
  <c r="BK801" i="5" s="1"/>
  <c r="BF801" i="5"/>
  <c r="BL801" i="5"/>
  <c r="AB801" i="5" s="1"/>
  <c r="K804" i="5"/>
  <c r="M804" i="5"/>
  <c r="BH804" i="5" s="1"/>
  <c r="AB804" i="5"/>
  <c r="AL804" i="5"/>
  <c r="AM804" i="5"/>
  <c r="AQ804" i="5"/>
  <c r="BJ804" i="5" s="1"/>
  <c r="AR804" i="5"/>
  <c r="AZ804" i="5" s="1"/>
  <c r="BF804" i="5"/>
  <c r="BL804" i="5"/>
  <c r="AJ804" i="5" s="1"/>
  <c r="K806" i="5"/>
  <c r="M806" i="5"/>
  <c r="BH806" i="5" s="1"/>
  <c r="AB806" i="5"/>
  <c r="AI806" i="5"/>
  <c r="AJ806" i="5"/>
  <c r="AL806" i="5"/>
  <c r="AM806" i="5"/>
  <c r="AQ806" i="5"/>
  <c r="I806" i="5" s="1"/>
  <c r="AR806" i="5"/>
  <c r="J806" i="5" s="1"/>
  <c r="BF806" i="5"/>
  <c r="BL806" i="5"/>
  <c r="K808" i="5"/>
  <c r="Q808" i="5" s="1"/>
  <c r="M808" i="5"/>
  <c r="BH808" i="5" s="1"/>
  <c r="AH808" i="5"/>
  <c r="AJ808" i="5"/>
  <c r="AQ808" i="5"/>
  <c r="BJ808" i="5" s="1"/>
  <c r="AR808" i="5"/>
  <c r="J808" i="5" s="1"/>
  <c r="BF808" i="5"/>
  <c r="BL808" i="5"/>
  <c r="AB808" i="5" s="1"/>
  <c r="K810" i="5"/>
  <c r="M810" i="5"/>
  <c r="BH810" i="5" s="1"/>
  <c r="AH810" i="5"/>
  <c r="AQ810" i="5"/>
  <c r="AR810" i="5"/>
  <c r="AZ810" i="5" s="1"/>
  <c r="BF810" i="5"/>
  <c r="BL810" i="5"/>
  <c r="K812" i="5"/>
  <c r="M812" i="5"/>
  <c r="BH812" i="5" s="1"/>
  <c r="AB812" i="5"/>
  <c r="AL812" i="5"/>
  <c r="AM812" i="5"/>
  <c r="AQ812" i="5"/>
  <c r="AR812" i="5"/>
  <c r="AZ812" i="5" s="1"/>
  <c r="BF812" i="5"/>
  <c r="BL812" i="5"/>
  <c r="AJ812" i="5" s="1"/>
  <c r="K814" i="5"/>
  <c r="M814" i="5"/>
  <c r="BH814" i="5" s="1"/>
  <c r="AB814" i="5"/>
  <c r="AI814" i="5"/>
  <c r="AJ814" i="5"/>
  <c r="AL814" i="5"/>
  <c r="AM814" i="5"/>
  <c r="AQ814" i="5"/>
  <c r="I814" i="5" s="1"/>
  <c r="AR814" i="5"/>
  <c r="J814" i="5" s="1"/>
  <c r="BF814" i="5"/>
  <c r="BL814" i="5"/>
  <c r="K816" i="5"/>
  <c r="Q816" i="5" s="1"/>
  <c r="M816" i="5"/>
  <c r="BH816" i="5" s="1"/>
  <c r="AH816" i="5"/>
  <c r="AJ816" i="5"/>
  <c r="AQ816" i="5"/>
  <c r="I816" i="5" s="1"/>
  <c r="AR816" i="5"/>
  <c r="J816" i="5" s="1"/>
  <c r="BF816" i="5"/>
  <c r="BL816" i="5"/>
  <c r="AB816" i="5" s="1"/>
  <c r="K818" i="5"/>
  <c r="M818" i="5"/>
  <c r="BH818" i="5" s="1"/>
  <c r="AG818" i="5"/>
  <c r="AH818" i="5"/>
  <c r="AQ818" i="5"/>
  <c r="AY818" i="5" s="1"/>
  <c r="AR818" i="5"/>
  <c r="AZ818" i="5" s="1"/>
  <c r="BF818" i="5"/>
  <c r="BL818" i="5"/>
  <c r="K821" i="5"/>
  <c r="M821" i="5"/>
  <c r="BH821" i="5" s="1"/>
  <c r="AD821" i="5"/>
  <c r="AM821" i="5"/>
  <c r="AQ821" i="5"/>
  <c r="AR821" i="5"/>
  <c r="BK821" i="5" s="1"/>
  <c r="BF821" i="5"/>
  <c r="BL821" i="5"/>
  <c r="AB821" i="5" s="1"/>
  <c r="K823" i="5"/>
  <c r="M823" i="5"/>
  <c r="BH823" i="5" s="1"/>
  <c r="AB823" i="5"/>
  <c r="AD823" i="5"/>
  <c r="AE823" i="5"/>
  <c r="AJ823" i="5"/>
  <c r="AL823" i="5"/>
  <c r="AM823" i="5"/>
  <c r="AN823" i="5"/>
  <c r="AQ823" i="5"/>
  <c r="AY823" i="5" s="1"/>
  <c r="AR823" i="5"/>
  <c r="J823" i="5" s="1"/>
  <c r="BF823" i="5"/>
  <c r="BL823" i="5"/>
  <c r="K826" i="5"/>
  <c r="M826" i="5"/>
  <c r="BH826" i="5" s="1"/>
  <c r="AD826" i="5"/>
  <c r="AE826" i="5"/>
  <c r="AH826" i="5"/>
  <c r="AI826" i="5"/>
  <c r="AJ826" i="5"/>
  <c r="AL826" i="5"/>
  <c r="AQ826" i="5"/>
  <c r="I826" i="5" s="1"/>
  <c r="AR826" i="5"/>
  <c r="BF826" i="5"/>
  <c r="BL826" i="5"/>
  <c r="AB826" i="5" s="1"/>
  <c r="K829" i="5"/>
  <c r="M829" i="5"/>
  <c r="BH829" i="5" s="1"/>
  <c r="AQ829" i="5"/>
  <c r="AY829" i="5" s="1"/>
  <c r="AR829" i="5"/>
  <c r="AZ829" i="5" s="1"/>
  <c r="BF829" i="5"/>
  <c r="BL829" i="5"/>
  <c r="K831" i="5"/>
  <c r="AL831" i="5" s="1"/>
  <c r="M831" i="5"/>
  <c r="BH831" i="5" s="1"/>
  <c r="AM831" i="5"/>
  <c r="AQ831" i="5"/>
  <c r="AR831" i="5"/>
  <c r="BK831" i="5" s="1"/>
  <c r="AI831" i="5" s="1"/>
  <c r="BF831" i="5"/>
  <c r="BL831" i="5"/>
  <c r="AB831" i="5" s="1"/>
  <c r="K835" i="5"/>
  <c r="K834" i="5" s="1"/>
  <c r="P834" i="5" s="1"/>
  <c r="M835" i="5"/>
  <c r="AB835" i="5"/>
  <c r="AE835" i="5"/>
  <c r="AL835" i="5"/>
  <c r="AU834" i="5" s="1"/>
  <c r="AM835" i="5"/>
  <c r="AV834" i="5" s="1"/>
  <c r="AQ835" i="5"/>
  <c r="AR835" i="5"/>
  <c r="BF835" i="5"/>
  <c r="BL835" i="5"/>
  <c r="AJ835" i="5" s="1"/>
  <c r="K840" i="5"/>
  <c r="M840" i="5"/>
  <c r="BH840" i="5" s="1"/>
  <c r="AB840" i="5"/>
  <c r="AD840" i="5"/>
  <c r="AE840" i="5"/>
  <c r="AJ840" i="5"/>
  <c r="AL840" i="5"/>
  <c r="AM840" i="5"/>
  <c r="AN840" i="5"/>
  <c r="AQ840" i="5"/>
  <c r="AY840" i="5" s="1"/>
  <c r="AR840" i="5"/>
  <c r="J840" i="5" s="1"/>
  <c r="BF840" i="5"/>
  <c r="BL840" i="5"/>
  <c r="K845" i="5"/>
  <c r="M845" i="5"/>
  <c r="BH845" i="5" s="1"/>
  <c r="AB845" i="5"/>
  <c r="AD845" i="5"/>
  <c r="AE845" i="5"/>
  <c r="AH845" i="5"/>
  <c r="AI845" i="5"/>
  <c r="AL845" i="5"/>
  <c r="AQ845" i="5"/>
  <c r="I845" i="5" s="1"/>
  <c r="AR845" i="5"/>
  <c r="J845" i="5" s="1"/>
  <c r="BF845" i="5"/>
  <c r="BL845" i="5"/>
  <c r="AJ845" i="5" s="1"/>
  <c r="K850" i="5"/>
  <c r="M850" i="5"/>
  <c r="BH850" i="5" s="1"/>
  <c r="AQ850" i="5"/>
  <c r="AR850" i="5"/>
  <c r="AZ850" i="5" s="1"/>
  <c r="BF850" i="5"/>
  <c r="BL850" i="5"/>
  <c r="K855" i="5"/>
  <c r="M855" i="5"/>
  <c r="BH855" i="5" s="1"/>
  <c r="AE855" i="5"/>
  <c r="AM855" i="5"/>
  <c r="AQ855" i="5"/>
  <c r="AR855" i="5"/>
  <c r="BK855" i="5" s="1"/>
  <c r="AI855" i="5" s="1"/>
  <c r="BF855" i="5"/>
  <c r="BL855" i="5"/>
  <c r="AB855" i="5" s="1"/>
  <c r="K857" i="5"/>
  <c r="M857" i="5"/>
  <c r="BH857" i="5" s="1"/>
  <c r="AB857" i="5"/>
  <c r="AD857" i="5"/>
  <c r="AE857" i="5"/>
  <c r="AJ857" i="5"/>
  <c r="AL857" i="5"/>
  <c r="AM857" i="5"/>
  <c r="AN857" i="5"/>
  <c r="AQ857" i="5"/>
  <c r="AY857" i="5" s="1"/>
  <c r="AR857" i="5"/>
  <c r="J857" i="5" s="1"/>
  <c r="BF857" i="5"/>
  <c r="BL857" i="5"/>
  <c r="K860" i="5"/>
  <c r="M860" i="5"/>
  <c r="BH860" i="5" s="1"/>
  <c r="AB860" i="5"/>
  <c r="AD860" i="5"/>
  <c r="AE860" i="5"/>
  <c r="AH860" i="5"/>
  <c r="AI860" i="5"/>
  <c r="AJ860" i="5"/>
  <c r="AL860" i="5"/>
  <c r="AQ860" i="5"/>
  <c r="AR860" i="5"/>
  <c r="J860" i="5" s="1"/>
  <c r="BF860" i="5"/>
  <c r="BL860" i="5"/>
  <c r="K863" i="5"/>
  <c r="M863" i="5"/>
  <c r="BH863" i="5" s="1"/>
  <c r="AB863" i="5"/>
  <c r="AQ863" i="5"/>
  <c r="I863" i="5" s="1"/>
  <c r="AR863" i="5"/>
  <c r="BF863" i="5"/>
  <c r="BL863" i="5"/>
  <c r="AJ863" i="5" s="1"/>
  <c r="K866" i="5"/>
  <c r="AL866" i="5" s="1"/>
  <c r="M866" i="5"/>
  <c r="BH866" i="5" s="1"/>
  <c r="AD866" i="5"/>
  <c r="AM866" i="5"/>
  <c r="AQ866" i="5"/>
  <c r="AY866" i="5" s="1"/>
  <c r="AR866" i="5"/>
  <c r="BK866" i="5" s="1"/>
  <c r="BF866" i="5"/>
  <c r="BL866" i="5"/>
  <c r="AB866" i="5" s="1"/>
  <c r="K868" i="5"/>
  <c r="M868" i="5"/>
  <c r="BH868" i="5" s="1"/>
  <c r="AB868" i="5"/>
  <c r="AD868" i="5"/>
  <c r="AE868" i="5"/>
  <c r="AJ868" i="5"/>
  <c r="AL868" i="5"/>
  <c r="AM868" i="5"/>
  <c r="AN868" i="5"/>
  <c r="AQ868" i="5"/>
  <c r="AY868" i="5" s="1"/>
  <c r="AR868" i="5"/>
  <c r="J868" i="5" s="1"/>
  <c r="BF868" i="5"/>
  <c r="BL868" i="5"/>
  <c r="K873" i="5"/>
  <c r="AN873" i="5" s="1"/>
  <c r="M873" i="5"/>
  <c r="BH873" i="5" s="1"/>
  <c r="AB873" i="5"/>
  <c r="AD873" i="5"/>
  <c r="AE873" i="5"/>
  <c r="AH873" i="5"/>
  <c r="AI873" i="5"/>
  <c r="AL873" i="5"/>
  <c r="AM873" i="5"/>
  <c r="AQ873" i="5"/>
  <c r="AR873" i="5"/>
  <c r="AZ873" i="5" s="1"/>
  <c r="BF873" i="5"/>
  <c r="BL873" i="5"/>
  <c r="AJ873" i="5" s="1"/>
  <c r="K876" i="5"/>
  <c r="M876" i="5"/>
  <c r="BH876" i="5" s="1"/>
  <c r="AL876" i="5"/>
  <c r="AQ876" i="5"/>
  <c r="AY876" i="5" s="1"/>
  <c r="AR876" i="5"/>
  <c r="AZ876" i="5" s="1"/>
  <c r="BF876" i="5"/>
  <c r="BL876" i="5"/>
  <c r="AJ876" i="5" s="1"/>
  <c r="K879" i="5"/>
  <c r="AL879" i="5" s="1"/>
  <c r="M879" i="5"/>
  <c r="BH879" i="5" s="1"/>
  <c r="AH879" i="5"/>
  <c r="AM879" i="5"/>
  <c r="AQ879" i="5"/>
  <c r="I879" i="5" s="1"/>
  <c r="AR879" i="5"/>
  <c r="AZ879" i="5" s="1"/>
  <c r="BF879" i="5"/>
  <c r="BL879" i="5"/>
  <c r="K881" i="5"/>
  <c r="AN881" i="5" s="1"/>
  <c r="M881" i="5"/>
  <c r="BH881" i="5" s="1"/>
  <c r="AB881" i="5"/>
  <c r="AJ881" i="5"/>
  <c r="AL881" i="5"/>
  <c r="AM881" i="5"/>
  <c r="AQ881" i="5"/>
  <c r="AR881" i="5"/>
  <c r="BF881" i="5"/>
  <c r="BL881" i="5"/>
  <c r="K883" i="5"/>
  <c r="AM883" i="5" s="1"/>
  <c r="M883" i="5"/>
  <c r="BH883" i="5" s="1"/>
  <c r="AB883" i="5"/>
  <c r="AD883" i="5"/>
  <c r="AE883" i="5"/>
  <c r="AH883" i="5"/>
  <c r="AI883" i="5"/>
  <c r="AL883" i="5"/>
  <c r="AN883" i="5"/>
  <c r="AQ883" i="5"/>
  <c r="AR883" i="5"/>
  <c r="AZ883" i="5" s="1"/>
  <c r="BF883" i="5"/>
  <c r="BL883" i="5"/>
  <c r="AJ883" i="5" s="1"/>
  <c r="K885" i="5"/>
  <c r="M885" i="5"/>
  <c r="BH885" i="5" s="1"/>
  <c r="AL885" i="5"/>
  <c r="AQ885" i="5"/>
  <c r="AR885" i="5"/>
  <c r="J885" i="5" s="1"/>
  <c r="BF885" i="5"/>
  <c r="BL885" i="5"/>
  <c r="AJ885" i="5" s="1"/>
  <c r="K888" i="5"/>
  <c r="M888" i="5"/>
  <c r="BH888" i="5" s="1"/>
  <c r="AH888" i="5"/>
  <c r="AM888" i="5"/>
  <c r="AQ888" i="5"/>
  <c r="BJ888" i="5" s="1"/>
  <c r="AD888" i="5" s="1"/>
  <c r="AR888" i="5"/>
  <c r="AZ888" i="5" s="1"/>
  <c r="BF888" i="5"/>
  <c r="BL888" i="5"/>
  <c r="K890" i="5"/>
  <c r="AN890" i="5" s="1"/>
  <c r="M890" i="5"/>
  <c r="BH890" i="5" s="1"/>
  <c r="AB890" i="5"/>
  <c r="AD890" i="5"/>
  <c r="AH890" i="5"/>
  <c r="AL890" i="5"/>
  <c r="AM890" i="5"/>
  <c r="AQ890" i="5"/>
  <c r="I890" i="5" s="1"/>
  <c r="AR890" i="5"/>
  <c r="BF890" i="5"/>
  <c r="BL890" i="5"/>
  <c r="AJ890" i="5" s="1"/>
  <c r="K892" i="5"/>
  <c r="AM892" i="5" s="1"/>
  <c r="M892" i="5"/>
  <c r="BH892" i="5" s="1"/>
  <c r="AB892" i="5"/>
  <c r="AD892" i="5"/>
  <c r="AE892" i="5"/>
  <c r="AI892" i="5"/>
  <c r="AJ892" i="5"/>
  <c r="AL892" i="5"/>
  <c r="AN892" i="5"/>
  <c r="AQ892" i="5"/>
  <c r="AR892" i="5"/>
  <c r="J892" i="5" s="1"/>
  <c r="BF892" i="5"/>
  <c r="BL892" i="5"/>
  <c r="K894" i="5"/>
  <c r="AM894" i="5" s="1"/>
  <c r="M894" i="5"/>
  <c r="BH894" i="5" s="1"/>
  <c r="AD894" i="5"/>
  <c r="AH894" i="5"/>
  <c r="AI894" i="5"/>
  <c r="AL894" i="5"/>
  <c r="AQ894" i="5"/>
  <c r="I894" i="5" s="1"/>
  <c r="AR894" i="5"/>
  <c r="AZ894" i="5" s="1"/>
  <c r="BF894" i="5"/>
  <c r="BL894" i="5"/>
  <c r="K896" i="5"/>
  <c r="M896" i="5"/>
  <c r="BH896" i="5" s="1"/>
  <c r="AB896" i="5"/>
  <c r="AI896" i="5"/>
  <c r="AQ896" i="5"/>
  <c r="I896" i="5" s="1"/>
  <c r="AR896" i="5"/>
  <c r="AZ896" i="5" s="1"/>
  <c r="BF896" i="5"/>
  <c r="BL896" i="5"/>
  <c r="AJ896" i="5" s="1"/>
  <c r="K899" i="5"/>
  <c r="AN899" i="5" s="1"/>
  <c r="M899" i="5"/>
  <c r="AB899" i="5"/>
  <c r="AD899" i="5"/>
  <c r="AL899" i="5"/>
  <c r="AM899" i="5"/>
  <c r="AQ899" i="5"/>
  <c r="BJ899" i="5" s="1"/>
  <c r="AH899" i="5" s="1"/>
  <c r="AR899" i="5"/>
  <c r="BK899" i="5" s="1"/>
  <c r="BF899" i="5"/>
  <c r="BH899" i="5"/>
  <c r="BL899" i="5"/>
  <c r="AJ899" i="5" s="1"/>
  <c r="K902" i="5"/>
  <c r="AM902" i="5" s="1"/>
  <c r="M902" i="5"/>
  <c r="BH902" i="5" s="1"/>
  <c r="AB902" i="5"/>
  <c r="AD902" i="5"/>
  <c r="AE902" i="5"/>
  <c r="AI902" i="5"/>
  <c r="AJ902" i="5"/>
  <c r="AL902" i="5"/>
  <c r="AN902" i="5"/>
  <c r="AQ902" i="5"/>
  <c r="AY902" i="5" s="1"/>
  <c r="AR902" i="5"/>
  <c r="BF902" i="5"/>
  <c r="BL902" i="5"/>
  <c r="K905" i="5"/>
  <c r="AM905" i="5" s="1"/>
  <c r="M905" i="5"/>
  <c r="BH905" i="5" s="1"/>
  <c r="AH905" i="5"/>
  <c r="AI905" i="5"/>
  <c r="AL905" i="5"/>
  <c r="AQ905" i="5"/>
  <c r="I905" i="5" s="1"/>
  <c r="AR905" i="5"/>
  <c r="BF905" i="5"/>
  <c r="BL905" i="5"/>
  <c r="AJ905" i="5" s="1"/>
  <c r="K908" i="5"/>
  <c r="M908" i="5"/>
  <c r="BH908" i="5" s="1"/>
  <c r="AB908" i="5"/>
  <c r="AI908" i="5"/>
  <c r="AQ908" i="5"/>
  <c r="I908" i="5" s="1"/>
  <c r="AR908" i="5"/>
  <c r="BF908" i="5"/>
  <c r="BL908" i="5"/>
  <c r="AJ908" i="5" s="1"/>
  <c r="K911" i="5"/>
  <c r="AN911" i="5" s="1"/>
  <c r="M911" i="5"/>
  <c r="BH911" i="5" s="1"/>
  <c r="AB911" i="5"/>
  <c r="AD911" i="5"/>
  <c r="AL911" i="5"/>
  <c r="AM911" i="5"/>
  <c r="AQ911" i="5"/>
  <c r="BJ911" i="5" s="1"/>
  <c r="AH911" i="5" s="1"/>
  <c r="AR911" i="5"/>
  <c r="BK911" i="5" s="1"/>
  <c r="BF911" i="5"/>
  <c r="BL911" i="5"/>
  <c r="AJ911" i="5" s="1"/>
  <c r="K914" i="5"/>
  <c r="AM914" i="5" s="1"/>
  <c r="M914" i="5"/>
  <c r="BH914" i="5" s="1"/>
  <c r="AB914" i="5"/>
  <c r="AD914" i="5"/>
  <c r="AE914" i="5"/>
  <c r="AI914" i="5"/>
  <c r="AJ914" i="5"/>
  <c r="AL914" i="5"/>
  <c r="AN914" i="5"/>
  <c r="AQ914" i="5"/>
  <c r="AR914" i="5"/>
  <c r="BF914" i="5"/>
  <c r="BL914" i="5"/>
  <c r="K916" i="5"/>
  <c r="AM916" i="5" s="1"/>
  <c r="M916" i="5"/>
  <c r="BH916" i="5" s="1"/>
  <c r="AH916" i="5"/>
  <c r="AI916" i="5"/>
  <c r="AL916" i="5"/>
  <c r="AQ916" i="5"/>
  <c r="AR916" i="5"/>
  <c r="AZ916" i="5" s="1"/>
  <c r="BF916" i="5"/>
  <c r="BL916" i="5"/>
  <c r="AJ916" i="5" s="1"/>
  <c r="K919" i="5"/>
  <c r="M919" i="5"/>
  <c r="AH919" i="5"/>
  <c r="AJ919" i="5"/>
  <c r="AM919" i="5"/>
  <c r="AQ919" i="5"/>
  <c r="AY919" i="5" s="1"/>
  <c r="AR919" i="5"/>
  <c r="BF919" i="5"/>
  <c r="BL919" i="5"/>
  <c r="AB919" i="5" s="1"/>
  <c r="K921" i="5"/>
  <c r="M921" i="5"/>
  <c r="BH921" i="5" s="1"/>
  <c r="AE921" i="5"/>
  <c r="AH921" i="5"/>
  <c r="AL921" i="5"/>
  <c r="AM921" i="5"/>
  <c r="AQ921" i="5"/>
  <c r="AY921" i="5" s="1"/>
  <c r="AR921" i="5"/>
  <c r="BF921" i="5"/>
  <c r="BL921" i="5"/>
  <c r="K924" i="5"/>
  <c r="M924" i="5"/>
  <c r="BH924" i="5" s="1"/>
  <c r="AB924" i="5"/>
  <c r="AE924" i="5"/>
  <c r="AJ924" i="5"/>
  <c r="AL924" i="5"/>
  <c r="AM924" i="5"/>
  <c r="AQ924" i="5"/>
  <c r="BJ924" i="5" s="1"/>
  <c r="AF924" i="5" s="1"/>
  <c r="AR924" i="5"/>
  <c r="J924" i="5" s="1"/>
  <c r="BF924" i="5"/>
  <c r="BL924" i="5"/>
  <c r="K927" i="5"/>
  <c r="Q927" i="5" s="1"/>
  <c r="M927" i="5"/>
  <c r="BH927" i="5" s="1"/>
  <c r="AD927" i="5"/>
  <c r="AH927" i="5"/>
  <c r="AI927" i="5"/>
  <c r="AJ927" i="5"/>
  <c r="AM927" i="5"/>
  <c r="AQ927" i="5"/>
  <c r="AR927" i="5"/>
  <c r="BK927" i="5" s="1"/>
  <c r="AE927" i="5" s="1"/>
  <c r="BF927" i="5"/>
  <c r="BL927" i="5"/>
  <c r="AB927" i="5" s="1"/>
  <c r="K929" i="5"/>
  <c r="M929" i="5"/>
  <c r="BH929" i="5" s="1"/>
  <c r="AH929" i="5"/>
  <c r="AJ929" i="5"/>
  <c r="AM929" i="5"/>
  <c r="AQ929" i="5"/>
  <c r="AR929" i="5"/>
  <c r="J929" i="5" s="1"/>
  <c r="BF929" i="5"/>
  <c r="BL929" i="5"/>
  <c r="AB929" i="5" s="1"/>
  <c r="K931" i="5"/>
  <c r="M931" i="5"/>
  <c r="BH931" i="5" s="1"/>
  <c r="AE931" i="5"/>
  <c r="AH931" i="5"/>
  <c r="AL931" i="5"/>
  <c r="AM931" i="5"/>
  <c r="AQ931" i="5"/>
  <c r="AR931" i="5"/>
  <c r="BF931" i="5"/>
  <c r="BL931" i="5"/>
  <c r="K933" i="5"/>
  <c r="M933" i="5"/>
  <c r="BH933" i="5" s="1"/>
  <c r="AB933" i="5"/>
  <c r="AE933" i="5"/>
  <c r="AJ933" i="5"/>
  <c r="AL933" i="5"/>
  <c r="AM933" i="5"/>
  <c r="AQ933" i="5"/>
  <c r="BJ933" i="5" s="1"/>
  <c r="AF933" i="5" s="1"/>
  <c r="AR933" i="5"/>
  <c r="AZ933" i="5" s="1"/>
  <c r="BF933" i="5"/>
  <c r="BL933" i="5"/>
  <c r="K935" i="5"/>
  <c r="Q935" i="5" s="1"/>
  <c r="M935" i="5"/>
  <c r="BH935" i="5" s="1"/>
  <c r="AD935" i="5"/>
  <c r="AH935" i="5"/>
  <c r="AI935" i="5"/>
  <c r="AJ935" i="5"/>
  <c r="AQ935" i="5"/>
  <c r="AR935" i="5"/>
  <c r="BF935" i="5"/>
  <c r="BL935" i="5"/>
  <c r="AB935" i="5" s="1"/>
  <c r="K938" i="5"/>
  <c r="AM938" i="5" s="1"/>
  <c r="M938" i="5"/>
  <c r="AB938" i="5"/>
  <c r="AH938" i="5"/>
  <c r="AI938" i="5"/>
  <c r="AL938" i="5"/>
  <c r="AQ938" i="5"/>
  <c r="BJ938" i="5" s="1"/>
  <c r="AD938" i="5" s="1"/>
  <c r="AR938" i="5"/>
  <c r="BF938" i="5"/>
  <c r="BH938" i="5"/>
  <c r="BL938" i="5"/>
  <c r="AJ938" i="5" s="1"/>
  <c r="K941" i="5"/>
  <c r="M941" i="5"/>
  <c r="BH941" i="5" s="1"/>
  <c r="AB941" i="5"/>
  <c r="AQ941" i="5"/>
  <c r="I941" i="5" s="1"/>
  <c r="AR941" i="5"/>
  <c r="BF941" i="5"/>
  <c r="BL941" i="5"/>
  <c r="AJ941" i="5" s="1"/>
  <c r="K944" i="5"/>
  <c r="AN944" i="5" s="1"/>
  <c r="M944" i="5"/>
  <c r="BH944" i="5" s="1"/>
  <c r="AB944" i="5"/>
  <c r="AD944" i="5"/>
  <c r="AE944" i="5"/>
  <c r="AL944" i="5"/>
  <c r="AM944" i="5"/>
  <c r="AQ944" i="5"/>
  <c r="I944" i="5" s="1"/>
  <c r="AR944" i="5"/>
  <c r="BK944" i="5" s="1"/>
  <c r="AI944" i="5" s="1"/>
  <c r="BF944" i="5"/>
  <c r="BL944" i="5"/>
  <c r="AJ944" i="5" s="1"/>
  <c r="K947" i="5"/>
  <c r="AM947" i="5" s="1"/>
  <c r="M947" i="5"/>
  <c r="BH947" i="5" s="1"/>
  <c r="AB947" i="5"/>
  <c r="AD947" i="5"/>
  <c r="AE947" i="5"/>
  <c r="AI947" i="5"/>
  <c r="AJ947" i="5"/>
  <c r="AL947" i="5"/>
  <c r="AN947" i="5"/>
  <c r="AQ947" i="5"/>
  <c r="AR947" i="5"/>
  <c r="J947" i="5" s="1"/>
  <c r="BF947" i="5"/>
  <c r="BL947" i="5"/>
  <c r="K949" i="5"/>
  <c r="M949" i="5"/>
  <c r="BH949" i="5" s="1"/>
  <c r="AB949" i="5"/>
  <c r="AH949" i="5"/>
  <c r="AI949" i="5"/>
  <c r="AL949" i="5"/>
  <c r="AQ949" i="5"/>
  <c r="I949" i="5" s="1"/>
  <c r="AR949" i="5"/>
  <c r="BF949" i="5"/>
  <c r="BL949" i="5"/>
  <c r="AJ949" i="5" s="1"/>
  <c r="K951" i="5"/>
  <c r="M951" i="5"/>
  <c r="BH951" i="5" s="1"/>
  <c r="AB951" i="5"/>
  <c r="AQ951" i="5"/>
  <c r="AY951" i="5" s="1"/>
  <c r="AR951" i="5"/>
  <c r="BK951" i="5" s="1"/>
  <c r="AG951" i="5" s="1"/>
  <c r="BF951" i="5"/>
  <c r="BL951" i="5"/>
  <c r="AJ951" i="5" s="1"/>
  <c r="K952" i="5"/>
  <c r="AN952" i="5" s="1"/>
  <c r="M952" i="5"/>
  <c r="BH952" i="5" s="1"/>
  <c r="AB952" i="5"/>
  <c r="AD952" i="5"/>
  <c r="AL952" i="5"/>
  <c r="AM952" i="5"/>
  <c r="AQ952" i="5"/>
  <c r="BJ952" i="5" s="1"/>
  <c r="AH952" i="5" s="1"/>
  <c r="AR952" i="5"/>
  <c r="BF952" i="5"/>
  <c r="BL952" i="5"/>
  <c r="AJ952" i="5" s="1"/>
  <c r="K954" i="5"/>
  <c r="AM954" i="5" s="1"/>
  <c r="M954" i="5"/>
  <c r="BH954" i="5" s="1"/>
  <c r="AB954" i="5"/>
  <c r="AD954" i="5"/>
  <c r="AE954" i="5"/>
  <c r="AI954" i="5"/>
  <c r="AJ954" i="5"/>
  <c r="AL954" i="5"/>
  <c r="AQ954" i="5"/>
  <c r="I954" i="5" s="1"/>
  <c r="AR954" i="5"/>
  <c r="BF954" i="5"/>
  <c r="BL954" i="5"/>
  <c r="K956" i="5"/>
  <c r="M956" i="5"/>
  <c r="AB956" i="5"/>
  <c r="AH956" i="5"/>
  <c r="AI956" i="5"/>
  <c r="AL956" i="5"/>
  <c r="AQ956" i="5"/>
  <c r="I956" i="5" s="1"/>
  <c r="AR956" i="5"/>
  <c r="AZ956" i="5" s="1"/>
  <c r="BF956" i="5"/>
  <c r="BH956" i="5"/>
  <c r="BL956" i="5"/>
  <c r="AJ956" i="5" s="1"/>
  <c r="K958" i="5"/>
  <c r="M958" i="5"/>
  <c r="BH958" i="5" s="1"/>
  <c r="AB958" i="5"/>
  <c r="AI958" i="5"/>
  <c r="AQ958" i="5"/>
  <c r="I958" i="5" s="1"/>
  <c r="AR958" i="5"/>
  <c r="BK958" i="5" s="1"/>
  <c r="AE958" i="5" s="1"/>
  <c r="BF958" i="5"/>
  <c r="BL958" i="5"/>
  <c r="AJ958" i="5" s="1"/>
  <c r="K960" i="5"/>
  <c r="AN960" i="5" s="1"/>
  <c r="M960" i="5"/>
  <c r="BH960" i="5" s="1"/>
  <c r="AB960" i="5"/>
  <c r="AD960" i="5"/>
  <c r="AL960" i="5"/>
  <c r="AM960" i="5"/>
  <c r="AQ960" i="5"/>
  <c r="BJ960" i="5" s="1"/>
  <c r="AH960" i="5" s="1"/>
  <c r="AR960" i="5"/>
  <c r="BF960" i="5"/>
  <c r="BL960" i="5"/>
  <c r="AJ960" i="5" s="1"/>
  <c r="K962" i="5"/>
  <c r="AM962" i="5" s="1"/>
  <c r="M962" i="5"/>
  <c r="AB962" i="5"/>
  <c r="AD962" i="5"/>
  <c r="AE962" i="5"/>
  <c r="AI962" i="5"/>
  <c r="AJ962" i="5"/>
  <c r="AL962" i="5"/>
  <c r="AN962" i="5"/>
  <c r="AQ962" i="5"/>
  <c r="I962" i="5" s="1"/>
  <c r="AR962" i="5"/>
  <c r="J962" i="5" s="1"/>
  <c r="BF962" i="5"/>
  <c r="BL962" i="5"/>
  <c r="K964" i="5"/>
  <c r="M964" i="5"/>
  <c r="BH964" i="5" s="1"/>
  <c r="AH964" i="5"/>
  <c r="AI964" i="5"/>
  <c r="AL964" i="5"/>
  <c r="AQ964" i="5"/>
  <c r="BJ964" i="5" s="1"/>
  <c r="AD964" i="5" s="1"/>
  <c r="AR964" i="5"/>
  <c r="AZ964" i="5" s="1"/>
  <c r="BF964" i="5"/>
  <c r="BL964" i="5"/>
  <c r="K967" i="5"/>
  <c r="M967" i="5"/>
  <c r="BH967" i="5" s="1"/>
  <c r="AB967" i="5"/>
  <c r="AI967" i="5"/>
  <c r="AQ967" i="5"/>
  <c r="AR967" i="5"/>
  <c r="BK967" i="5" s="1"/>
  <c r="AE967" i="5" s="1"/>
  <c r="BF967" i="5"/>
  <c r="BL967" i="5"/>
  <c r="AJ967" i="5" s="1"/>
  <c r="K970" i="5"/>
  <c r="AN970" i="5" s="1"/>
  <c r="M970" i="5"/>
  <c r="BH970" i="5" s="1"/>
  <c r="AB970" i="5"/>
  <c r="AD970" i="5"/>
  <c r="AL970" i="5"/>
  <c r="AM970" i="5"/>
  <c r="AQ970" i="5"/>
  <c r="BJ970" i="5" s="1"/>
  <c r="AH970" i="5" s="1"/>
  <c r="AR970" i="5"/>
  <c r="BK970" i="5" s="1"/>
  <c r="BF970" i="5"/>
  <c r="BL970" i="5"/>
  <c r="AJ970" i="5" s="1"/>
  <c r="K972" i="5"/>
  <c r="AM972" i="5" s="1"/>
  <c r="M972" i="5"/>
  <c r="BH972" i="5" s="1"/>
  <c r="AB972" i="5"/>
  <c r="AE972" i="5"/>
  <c r="AI972" i="5"/>
  <c r="AJ972" i="5"/>
  <c r="AL972" i="5"/>
  <c r="AQ972" i="5"/>
  <c r="AR972" i="5"/>
  <c r="BF972" i="5"/>
  <c r="BL972" i="5"/>
  <c r="K974" i="5"/>
  <c r="M974" i="5"/>
  <c r="BH974" i="5" s="1"/>
  <c r="AH974" i="5"/>
  <c r="AI974" i="5"/>
  <c r="AL974" i="5"/>
  <c r="AQ974" i="5"/>
  <c r="AR974" i="5"/>
  <c r="BF974" i="5"/>
  <c r="BL974" i="5"/>
  <c r="AJ974" i="5" s="1"/>
  <c r="K976" i="5"/>
  <c r="M976" i="5"/>
  <c r="BH976" i="5" s="1"/>
  <c r="AB976" i="5"/>
  <c r="AI976" i="5"/>
  <c r="AQ976" i="5"/>
  <c r="AR976" i="5"/>
  <c r="BK976" i="5" s="1"/>
  <c r="AE976" i="5" s="1"/>
  <c r="BF976" i="5"/>
  <c r="BL976" i="5"/>
  <c r="AJ976" i="5" s="1"/>
  <c r="K978" i="5"/>
  <c r="AN978" i="5" s="1"/>
  <c r="M978" i="5"/>
  <c r="BH978" i="5" s="1"/>
  <c r="AB978" i="5"/>
  <c r="AD978" i="5"/>
  <c r="AE978" i="5"/>
  <c r="AL978" i="5"/>
  <c r="AM978" i="5"/>
  <c r="AQ978" i="5"/>
  <c r="I978" i="5" s="1"/>
  <c r="AR978" i="5"/>
  <c r="BK978" i="5" s="1"/>
  <c r="BF978" i="5"/>
  <c r="BL978" i="5"/>
  <c r="AJ978" i="5" s="1"/>
  <c r="K980" i="5"/>
  <c r="AM980" i="5" s="1"/>
  <c r="M980" i="5"/>
  <c r="BH980" i="5" s="1"/>
  <c r="AB980" i="5"/>
  <c r="AE980" i="5"/>
  <c r="AI980" i="5"/>
  <c r="AJ980" i="5"/>
  <c r="AL980" i="5"/>
  <c r="AQ980" i="5"/>
  <c r="I980" i="5" s="1"/>
  <c r="AR980" i="5"/>
  <c r="BF980" i="5"/>
  <c r="BL980" i="5"/>
  <c r="K983" i="5"/>
  <c r="M983" i="5"/>
  <c r="AD983" i="5"/>
  <c r="AH983" i="5"/>
  <c r="AI983" i="5"/>
  <c r="AJ983" i="5"/>
  <c r="AM983" i="5"/>
  <c r="AQ983" i="5"/>
  <c r="I983" i="5" s="1"/>
  <c r="AR983" i="5"/>
  <c r="BK983" i="5" s="1"/>
  <c r="AE983" i="5" s="1"/>
  <c r="BF983" i="5"/>
  <c r="BL983" i="5"/>
  <c r="AB983" i="5" s="1"/>
  <c r="K985" i="5"/>
  <c r="AN985" i="5" s="1"/>
  <c r="M985" i="5"/>
  <c r="BH985" i="5" s="1"/>
  <c r="AH985" i="5"/>
  <c r="AJ985" i="5"/>
  <c r="AL985" i="5"/>
  <c r="AM985" i="5"/>
  <c r="AQ985" i="5"/>
  <c r="AY985" i="5" s="1"/>
  <c r="AR985" i="5"/>
  <c r="BF985" i="5"/>
  <c r="BL985" i="5"/>
  <c r="AB985" i="5" s="1"/>
  <c r="K987" i="5"/>
  <c r="AN987" i="5" s="1"/>
  <c r="M987" i="5"/>
  <c r="BH987" i="5" s="1"/>
  <c r="AE987" i="5"/>
  <c r="AH987" i="5"/>
  <c r="AL987" i="5"/>
  <c r="AM987" i="5"/>
  <c r="AQ987" i="5"/>
  <c r="BJ987" i="5" s="1"/>
  <c r="AR987" i="5"/>
  <c r="J987" i="5" s="1"/>
  <c r="BF987" i="5"/>
  <c r="BL987" i="5"/>
  <c r="K989" i="5"/>
  <c r="AN989" i="5" s="1"/>
  <c r="M989" i="5"/>
  <c r="BH989" i="5" s="1"/>
  <c r="AB989" i="5"/>
  <c r="AJ989" i="5"/>
  <c r="AL989" i="5"/>
  <c r="AM989" i="5"/>
  <c r="AQ989" i="5"/>
  <c r="AR989" i="5"/>
  <c r="BF989" i="5"/>
  <c r="BL989" i="5"/>
  <c r="K991" i="5"/>
  <c r="M991" i="5"/>
  <c r="BH991" i="5" s="1"/>
  <c r="AD991" i="5"/>
  <c r="AH991" i="5"/>
  <c r="AI991" i="5"/>
  <c r="AJ991" i="5"/>
  <c r="AQ991" i="5"/>
  <c r="I991" i="5" s="1"/>
  <c r="AR991" i="5"/>
  <c r="BF991" i="5"/>
  <c r="BL991" i="5"/>
  <c r="AB991" i="5" s="1"/>
  <c r="K993" i="5"/>
  <c r="AN993" i="5" s="1"/>
  <c r="M993" i="5"/>
  <c r="BH993" i="5" s="1"/>
  <c r="AH993" i="5"/>
  <c r="AL993" i="5"/>
  <c r="AM993" i="5"/>
  <c r="AQ993" i="5"/>
  <c r="AR993" i="5"/>
  <c r="BF993" i="5"/>
  <c r="BL993" i="5"/>
  <c r="K995" i="5"/>
  <c r="AN995" i="5" s="1"/>
  <c r="M995" i="5"/>
  <c r="BH995" i="5" s="1"/>
  <c r="AE995" i="5"/>
  <c r="AL995" i="5"/>
  <c r="AM995" i="5"/>
  <c r="AQ995" i="5"/>
  <c r="BJ995" i="5" s="1"/>
  <c r="AR995" i="5"/>
  <c r="J995" i="5" s="1"/>
  <c r="BF995" i="5"/>
  <c r="BL995" i="5"/>
  <c r="K997" i="5"/>
  <c r="AN997" i="5" s="1"/>
  <c r="M997" i="5"/>
  <c r="BH997" i="5" s="1"/>
  <c r="AB997" i="5"/>
  <c r="AD997" i="5"/>
  <c r="AJ997" i="5"/>
  <c r="AL997" i="5"/>
  <c r="AM997" i="5"/>
  <c r="AQ997" i="5"/>
  <c r="BJ997" i="5" s="1"/>
  <c r="AR997" i="5"/>
  <c r="AZ997" i="5" s="1"/>
  <c r="BF997" i="5"/>
  <c r="BL997" i="5"/>
  <c r="K999" i="5"/>
  <c r="M999" i="5"/>
  <c r="BH999" i="5" s="1"/>
  <c r="AD999" i="5"/>
  <c r="AH999" i="5"/>
  <c r="AI999" i="5"/>
  <c r="AJ999" i="5"/>
  <c r="AQ999" i="5"/>
  <c r="I999" i="5" s="1"/>
  <c r="AR999" i="5"/>
  <c r="J999" i="5" s="1"/>
  <c r="BF999" i="5"/>
  <c r="BL999" i="5"/>
  <c r="AB999" i="5" s="1"/>
  <c r="K1001" i="5"/>
  <c r="AN1001" i="5" s="1"/>
  <c r="M1001" i="5"/>
  <c r="BH1001" i="5" s="1"/>
  <c r="AL1001" i="5"/>
  <c r="AM1001" i="5"/>
  <c r="AQ1001" i="5"/>
  <c r="AY1001" i="5" s="1"/>
  <c r="AR1001" i="5"/>
  <c r="BF1001" i="5"/>
  <c r="BL1001" i="5"/>
  <c r="K1003" i="5"/>
  <c r="AN1003" i="5" s="1"/>
  <c r="M1003" i="5"/>
  <c r="BH1003" i="5" s="1"/>
  <c r="AE1003" i="5"/>
  <c r="AL1003" i="5"/>
  <c r="AM1003" i="5"/>
  <c r="AQ1003" i="5"/>
  <c r="AR1003" i="5"/>
  <c r="AZ1003" i="5" s="1"/>
  <c r="BF1003" i="5"/>
  <c r="BL1003" i="5"/>
  <c r="K1006" i="5"/>
  <c r="AN1006" i="5" s="1"/>
  <c r="M1006" i="5"/>
  <c r="BH1006" i="5" s="1"/>
  <c r="AB1006" i="5"/>
  <c r="AD1006" i="5"/>
  <c r="AL1006" i="5"/>
  <c r="AM1006" i="5"/>
  <c r="AQ1006" i="5"/>
  <c r="I1006" i="5" s="1"/>
  <c r="AR1006" i="5"/>
  <c r="BK1006" i="5" s="1"/>
  <c r="BF1006" i="5"/>
  <c r="BL1006" i="5"/>
  <c r="AJ1006" i="5" s="1"/>
  <c r="K1008" i="5"/>
  <c r="AM1008" i="5" s="1"/>
  <c r="M1008" i="5"/>
  <c r="AB1008" i="5"/>
  <c r="AE1008" i="5"/>
  <c r="AI1008" i="5"/>
  <c r="AJ1008" i="5"/>
  <c r="AL1008" i="5"/>
  <c r="AQ1008" i="5"/>
  <c r="I1008" i="5" s="1"/>
  <c r="AR1008" i="5"/>
  <c r="J1008" i="5" s="1"/>
  <c r="BF1008" i="5"/>
  <c r="BL1008" i="5"/>
  <c r="K1010" i="5"/>
  <c r="M1010" i="5"/>
  <c r="BH1010" i="5" s="1"/>
  <c r="AB1010" i="5"/>
  <c r="AH1010" i="5"/>
  <c r="AQ1010" i="5"/>
  <c r="I1010" i="5" s="1"/>
  <c r="AR1010" i="5"/>
  <c r="AZ1010" i="5" s="1"/>
  <c r="BF1010" i="5"/>
  <c r="BL1010" i="5"/>
  <c r="AJ1010" i="5" s="1"/>
  <c r="K1012" i="5"/>
  <c r="M1012" i="5"/>
  <c r="BH1012" i="5" s="1"/>
  <c r="AQ1012" i="5"/>
  <c r="BJ1012" i="5" s="1"/>
  <c r="AR1012" i="5"/>
  <c r="BF1012" i="5"/>
  <c r="BL1012" i="5"/>
  <c r="AJ1012" i="5" s="1"/>
  <c r="K1014" i="5"/>
  <c r="AN1014" i="5" s="1"/>
  <c r="M1014" i="5"/>
  <c r="AB1014" i="5"/>
  <c r="AD1014" i="5"/>
  <c r="AL1014" i="5"/>
  <c r="AM1014" i="5"/>
  <c r="AQ1014" i="5"/>
  <c r="BJ1014" i="5" s="1"/>
  <c r="AH1014" i="5" s="1"/>
  <c r="AR1014" i="5"/>
  <c r="BK1014" i="5" s="1"/>
  <c r="BF1014" i="5"/>
  <c r="BH1014" i="5"/>
  <c r="BL1014" i="5"/>
  <c r="AJ1014" i="5" s="1"/>
  <c r="K1016" i="5"/>
  <c r="AM1016" i="5" s="1"/>
  <c r="M1016" i="5"/>
  <c r="BH1016" i="5" s="1"/>
  <c r="AE1016" i="5"/>
  <c r="AI1016" i="5"/>
  <c r="AL1016" i="5"/>
  <c r="AQ1016" i="5"/>
  <c r="I1016" i="5" s="1"/>
  <c r="AR1016" i="5"/>
  <c r="BF1016" i="5"/>
  <c r="BL1016" i="5"/>
  <c r="K1018" i="5"/>
  <c r="AM1018" i="5" s="1"/>
  <c r="M1018" i="5"/>
  <c r="BH1018" i="5" s="1"/>
  <c r="AB1018" i="5"/>
  <c r="AE1018" i="5"/>
  <c r="AI1018" i="5"/>
  <c r="AJ1018" i="5"/>
  <c r="AL1018" i="5"/>
  <c r="AQ1018" i="5"/>
  <c r="BJ1018" i="5" s="1"/>
  <c r="AR1018" i="5"/>
  <c r="BF1018" i="5"/>
  <c r="BL1018" i="5"/>
  <c r="K1020" i="5"/>
  <c r="M1020" i="5"/>
  <c r="BH1020" i="5" s="1"/>
  <c r="AD1020" i="5"/>
  <c r="AH1020" i="5"/>
  <c r="AI1020" i="5"/>
  <c r="AQ1020" i="5"/>
  <c r="BJ1020" i="5" s="1"/>
  <c r="AF1020" i="5" s="1"/>
  <c r="AR1020" i="5"/>
  <c r="J1020" i="5" s="1"/>
  <c r="BF1020" i="5"/>
  <c r="BL1020" i="5"/>
  <c r="AJ1020" i="5" s="1"/>
  <c r="K1022" i="5"/>
  <c r="M1022" i="5"/>
  <c r="BH1022" i="5" s="1"/>
  <c r="AJ1022" i="5"/>
  <c r="AQ1022" i="5"/>
  <c r="AR1022" i="5"/>
  <c r="BF1022" i="5"/>
  <c r="BL1022" i="5"/>
  <c r="AB1022" i="5" s="1"/>
  <c r="K1025" i="5"/>
  <c r="M1025" i="5"/>
  <c r="BH1025" i="5" s="1"/>
  <c r="AE1025" i="5"/>
  <c r="AI1025" i="5"/>
  <c r="AQ1025" i="5"/>
  <c r="I1025" i="5" s="1"/>
  <c r="AR1025" i="5"/>
  <c r="AZ1025" i="5" s="1"/>
  <c r="BF1025" i="5"/>
  <c r="BL1025" i="5"/>
  <c r="AJ1025" i="5" s="1"/>
  <c r="K1027" i="5"/>
  <c r="AN1027" i="5" s="1"/>
  <c r="M1027" i="5"/>
  <c r="BH1027" i="5" s="1"/>
  <c r="AB1027" i="5"/>
  <c r="AD1027" i="5"/>
  <c r="AJ1027" i="5"/>
  <c r="AL1027" i="5"/>
  <c r="AM1027" i="5"/>
  <c r="AQ1027" i="5"/>
  <c r="AY1027" i="5" s="1"/>
  <c r="AR1027" i="5"/>
  <c r="BK1027" i="5" s="1"/>
  <c r="BF1027" i="5"/>
  <c r="BL1027" i="5"/>
  <c r="K1031" i="5"/>
  <c r="AM1031" i="5" s="1"/>
  <c r="M1031" i="5"/>
  <c r="BH1031" i="5" s="1"/>
  <c r="AB1031" i="5"/>
  <c r="AE1031" i="5"/>
  <c r="AI1031" i="5"/>
  <c r="AJ1031" i="5"/>
  <c r="AL1031" i="5"/>
  <c r="AQ1031" i="5"/>
  <c r="AR1031" i="5"/>
  <c r="BF1031" i="5"/>
  <c r="BL1031" i="5"/>
  <c r="K1033" i="5"/>
  <c r="M1033" i="5"/>
  <c r="BH1033" i="5" s="1"/>
  <c r="AD1033" i="5"/>
  <c r="AH1033" i="5"/>
  <c r="AI1033" i="5"/>
  <c r="AM1033" i="5"/>
  <c r="AQ1033" i="5"/>
  <c r="I1033" i="5" s="1"/>
  <c r="AR1033" i="5"/>
  <c r="AZ1033" i="5" s="1"/>
  <c r="BF1033" i="5"/>
  <c r="BL1033" i="5"/>
  <c r="AJ1033" i="5" s="1"/>
  <c r="K1036" i="5"/>
  <c r="AL1036" i="5" s="1"/>
  <c r="M1036" i="5"/>
  <c r="BH1036" i="5" s="1"/>
  <c r="AJ1036" i="5"/>
  <c r="AQ1036" i="5"/>
  <c r="AY1036" i="5" s="1"/>
  <c r="AR1036" i="5"/>
  <c r="AZ1036" i="5" s="1"/>
  <c r="BF1036" i="5"/>
  <c r="BL1036" i="5"/>
  <c r="AB1036" i="5" s="1"/>
  <c r="K1038" i="5"/>
  <c r="AN1038" i="5" s="1"/>
  <c r="M1038" i="5"/>
  <c r="BH1038" i="5" s="1"/>
  <c r="AD1038" i="5"/>
  <c r="AE1038" i="5"/>
  <c r="AH1038" i="5"/>
  <c r="AL1038" i="5"/>
  <c r="AM1038" i="5"/>
  <c r="AQ1038" i="5"/>
  <c r="AR1038" i="5"/>
  <c r="AZ1038" i="5" s="1"/>
  <c r="BF1038" i="5"/>
  <c r="BL1038" i="5"/>
  <c r="K1040" i="5"/>
  <c r="AM1040" i="5" s="1"/>
  <c r="M1040" i="5"/>
  <c r="AB1040" i="5"/>
  <c r="AE1040" i="5"/>
  <c r="AI1040" i="5"/>
  <c r="AJ1040" i="5"/>
  <c r="AL1040" i="5"/>
  <c r="AQ1040" i="5"/>
  <c r="AR1040" i="5"/>
  <c r="J1040" i="5" s="1"/>
  <c r="BF1040" i="5"/>
  <c r="BL1040" i="5"/>
  <c r="K1044" i="5"/>
  <c r="AN1044" i="5" s="1"/>
  <c r="M1044" i="5"/>
  <c r="BH1044" i="5" s="1"/>
  <c r="AD1044" i="5"/>
  <c r="AE1044" i="5"/>
  <c r="AH1044" i="5"/>
  <c r="AI1044" i="5"/>
  <c r="AJ1044" i="5"/>
  <c r="AQ1044" i="5"/>
  <c r="I1044" i="5" s="1"/>
  <c r="AR1044" i="5"/>
  <c r="AZ1044" i="5" s="1"/>
  <c r="BF1044" i="5"/>
  <c r="BL1044" i="5"/>
  <c r="AB1044" i="5" s="1"/>
  <c r="K1046" i="5"/>
  <c r="AM1046" i="5" s="1"/>
  <c r="M1046" i="5"/>
  <c r="BH1046" i="5" s="1"/>
  <c r="AB1046" i="5"/>
  <c r="AH1046" i="5"/>
  <c r="AL1046" i="5"/>
  <c r="AQ1046" i="5"/>
  <c r="AY1046" i="5" s="1"/>
  <c r="AR1046" i="5"/>
  <c r="AZ1046" i="5" s="1"/>
  <c r="BF1046" i="5"/>
  <c r="BL1046" i="5"/>
  <c r="AJ1046" i="5" s="1"/>
  <c r="K1049" i="5"/>
  <c r="AL1049" i="5" s="1"/>
  <c r="M1049" i="5"/>
  <c r="AJ1049" i="5"/>
  <c r="AQ1049" i="5"/>
  <c r="AY1049" i="5" s="1"/>
  <c r="AR1049" i="5"/>
  <c r="J1049" i="5" s="1"/>
  <c r="BF1049" i="5"/>
  <c r="BL1049" i="5"/>
  <c r="AB1049" i="5" s="1"/>
  <c r="K1051" i="5"/>
  <c r="M1051" i="5"/>
  <c r="BH1051" i="5" s="1"/>
  <c r="AD1051" i="5"/>
  <c r="AE1051" i="5"/>
  <c r="AH1051" i="5"/>
  <c r="AL1051" i="5"/>
  <c r="AM1051" i="5"/>
  <c r="AQ1051" i="5"/>
  <c r="AY1051" i="5" s="1"/>
  <c r="AR1051" i="5"/>
  <c r="BK1051" i="5" s="1"/>
  <c r="AI1051" i="5" s="1"/>
  <c r="BF1051" i="5"/>
  <c r="BL1051" i="5"/>
  <c r="K1053" i="5"/>
  <c r="AM1053" i="5" s="1"/>
  <c r="M1053" i="5"/>
  <c r="BH1053" i="5" s="1"/>
  <c r="AB1053" i="5"/>
  <c r="AE1053" i="5"/>
  <c r="AI1053" i="5"/>
  <c r="AJ1053" i="5"/>
  <c r="AL1053" i="5"/>
  <c r="AQ1053" i="5"/>
  <c r="AR1053" i="5"/>
  <c r="J1053" i="5" s="1"/>
  <c r="BF1053" i="5"/>
  <c r="BL1053" i="5"/>
  <c r="K1056" i="5"/>
  <c r="M1056" i="5"/>
  <c r="BH1056" i="5" s="1"/>
  <c r="AD1056" i="5"/>
  <c r="AE1056" i="5"/>
  <c r="AH1056" i="5"/>
  <c r="AI1056" i="5"/>
  <c r="AJ1056" i="5"/>
  <c r="AQ1056" i="5"/>
  <c r="I1056" i="5" s="1"/>
  <c r="AR1056" i="5"/>
  <c r="BF1056" i="5"/>
  <c r="BL1056" i="5"/>
  <c r="AB1056" i="5" s="1"/>
  <c r="K1058" i="5"/>
  <c r="AM1058" i="5" s="1"/>
  <c r="M1058" i="5"/>
  <c r="BH1058" i="5" s="1"/>
  <c r="AB1058" i="5"/>
  <c r="AH1058" i="5"/>
  <c r="AL1058" i="5"/>
  <c r="AQ1058" i="5"/>
  <c r="AY1058" i="5" s="1"/>
  <c r="AR1058" i="5"/>
  <c r="AZ1058" i="5" s="1"/>
  <c r="BF1058" i="5"/>
  <c r="BL1058" i="5"/>
  <c r="AJ1058" i="5" s="1"/>
  <c r="K1061" i="5"/>
  <c r="M1061" i="5"/>
  <c r="AF1061" i="5"/>
  <c r="AJ1061" i="5"/>
  <c r="AQ1061" i="5"/>
  <c r="AY1061" i="5" s="1"/>
  <c r="AR1061" i="5"/>
  <c r="J1061" i="5" s="1"/>
  <c r="J1060" i="5" s="1"/>
  <c r="BF1061" i="5"/>
  <c r="BL1061" i="5"/>
  <c r="AB1061" i="5" s="1"/>
  <c r="K1064" i="5"/>
  <c r="M1064" i="5"/>
  <c r="M1063" i="5" s="1"/>
  <c r="AE1064" i="5"/>
  <c r="AI1064" i="5"/>
  <c r="AQ1064" i="5"/>
  <c r="AR1064" i="5"/>
  <c r="AZ1064" i="5" s="1"/>
  <c r="BF1064" i="5"/>
  <c r="BL1064" i="5"/>
  <c r="AJ1064" i="5" s="1"/>
  <c r="K1067" i="5"/>
  <c r="M1067" i="5"/>
  <c r="AD1067" i="5"/>
  <c r="AE1067" i="5"/>
  <c r="AH1067" i="5"/>
  <c r="AL1067" i="5"/>
  <c r="AU1066" i="5" s="1"/>
  <c r="AM1067" i="5"/>
  <c r="AV1066" i="5" s="1"/>
  <c r="AQ1067" i="5"/>
  <c r="AY1067" i="5" s="1"/>
  <c r="AR1067" i="5"/>
  <c r="BK1067" i="5" s="1"/>
  <c r="AI1067" i="5" s="1"/>
  <c r="BF1067" i="5"/>
  <c r="BL1067" i="5"/>
  <c r="K1070" i="5"/>
  <c r="K1069" i="5" s="1"/>
  <c r="P1069" i="5" s="1"/>
  <c r="M1070" i="5"/>
  <c r="AD1070" i="5"/>
  <c r="AJ1070" i="5"/>
  <c r="AL1070" i="5"/>
  <c r="AU1069" i="5" s="1"/>
  <c r="AM1070" i="5"/>
  <c r="AV1069" i="5" s="1"/>
  <c r="AQ1070" i="5"/>
  <c r="AR1070" i="5"/>
  <c r="BK1070" i="5" s="1"/>
  <c r="BF1070" i="5"/>
  <c r="BL1070" i="5"/>
  <c r="AB1070" i="5" s="1"/>
  <c r="K1073" i="5"/>
  <c r="AM1073" i="5" s="1"/>
  <c r="AV1072" i="5" s="1"/>
  <c r="M1073" i="5"/>
  <c r="BH1073" i="5" s="1"/>
  <c r="AE1073" i="5"/>
  <c r="AI1073" i="5"/>
  <c r="AJ1073" i="5"/>
  <c r="AL1073" i="5"/>
  <c r="AU1072" i="5" s="1"/>
  <c r="AQ1073" i="5"/>
  <c r="BJ1073" i="5" s="1"/>
  <c r="AR1073" i="5"/>
  <c r="BF1073" i="5"/>
  <c r="BL1073" i="5"/>
  <c r="AB1073" i="5" s="1"/>
  <c r="K1076" i="5"/>
  <c r="M1076" i="5"/>
  <c r="AD1076" i="5"/>
  <c r="AE1076" i="5"/>
  <c r="AH1076" i="5"/>
  <c r="AI1076" i="5"/>
  <c r="AJ1076" i="5"/>
  <c r="AQ1076" i="5"/>
  <c r="AR1076" i="5"/>
  <c r="AZ1076" i="5" s="1"/>
  <c r="BF1076" i="5"/>
  <c r="BL1076" i="5"/>
  <c r="AB1076" i="5" s="1"/>
  <c r="K1079" i="5"/>
  <c r="M1079" i="5"/>
  <c r="BH1079" i="5" s="1"/>
  <c r="AD1079" i="5"/>
  <c r="AH1079" i="5"/>
  <c r="AI1079" i="5"/>
  <c r="AQ1079" i="5"/>
  <c r="I1079" i="5" s="1"/>
  <c r="I1078" i="5" s="1"/>
  <c r="AR1079" i="5"/>
  <c r="BF1079" i="5"/>
  <c r="BL1079" i="5"/>
  <c r="K1082" i="5"/>
  <c r="AM1082" i="5" s="1"/>
  <c r="AV1081" i="5" s="1"/>
  <c r="M1082" i="5"/>
  <c r="BH1082" i="5" s="1"/>
  <c r="AH1082" i="5"/>
  <c r="AL1082" i="5"/>
  <c r="AU1081" i="5" s="1"/>
  <c r="AQ1082" i="5"/>
  <c r="AR1082" i="5"/>
  <c r="J1082" i="5" s="1"/>
  <c r="J1081" i="5" s="1"/>
  <c r="BF1082" i="5"/>
  <c r="BL1082" i="5"/>
  <c r="AJ1082" i="5" s="1"/>
  <c r="M1086" i="5"/>
  <c r="BH1086" i="5" s="1"/>
  <c r="L45" i="4" s="1"/>
  <c r="AB1086" i="5"/>
  <c r="AJ1086" i="5"/>
  <c r="J1085" i="5"/>
  <c r="J1084" i="5" s="1"/>
  <c r="AZ1086" i="5"/>
  <c r="J45" i="4" s="1"/>
  <c r="BK1086" i="5"/>
  <c r="J1090" i="5"/>
  <c r="J1089" i="5" s="1"/>
  <c r="J1088" i="5" s="1"/>
  <c r="K1090" i="5"/>
  <c r="AN1090" i="5" s="1"/>
  <c r="AW1089" i="5" s="1"/>
  <c r="M1090" i="5"/>
  <c r="M1089" i="5" s="1"/>
  <c r="M1088" i="5" s="1"/>
  <c r="AZ1090" i="5"/>
  <c r="J47" i="4" s="1"/>
  <c r="BF1090" i="5"/>
  <c r="BK1090" i="5"/>
  <c r="AG1090" i="5" s="1"/>
  <c r="BL1090" i="5"/>
  <c r="AJ1090" i="5" s="1"/>
  <c r="M1094" i="5"/>
  <c r="BH1094" i="5" s="1"/>
  <c r="L49" i="4" s="1"/>
  <c r="AD1094" i="5"/>
  <c r="K1098" i="5"/>
  <c r="AN1098" i="5" s="1"/>
  <c r="AW1097" i="5" s="1"/>
  <c r="M1098" i="5"/>
  <c r="BH1098" i="5" s="1"/>
  <c r="AB1098" i="5"/>
  <c r="AG1098" i="5"/>
  <c r="AJ1098" i="5"/>
  <c r="AL1098" i="5"/>
  <c r="AU1097" i="5" s="1"/>
  <c r="AM1098" i="5"/>
  <c r="AV1097" i="5" s="1"/>
  <c r="AQ1098" i="5"/>
  <c r="AR1098" i="5"/>
  <c r="AZ1098" i="5" s="1"/>
  <c r="BF1098" i="5"/>
  <c r="BL1098" i="5"/>
  <c r="K1101" i="5"/>
  <c r="M1101" i="5"/>
  <c r="BH1101" i="5" s="1"/>
  <c r="AB1101" i="5"/>
  <c r="AI1101" i="5"/>
  <c r="AJ1101" i="5"/>
  <c r="AL1101" i="5"/>
  <c r="AQ1101" i="5"/>
  <c r="AY1101" i="5" s="1"/>
  <c r="AR1101" i="5"/>
  <c r="AZ1101" i="5" s="1"/>
  <c r="BF1101" i="5"/>
  <c r="BL1101" i="5"/>
  <c r="K1103" i="5"/>
  <c r="M1103" i="5"/>
  <c r="BH1103" i="5" s="1"/>
  <c r="AH1103" i="5"/>
  <c r="AQ1103" i="5"/>
  <c r="I1103" i="5" s="1"/>
  <c r="AR1103" i="5"/>
  <c r="AZ1103" i="5" s="1"/>
  <c r="BF1103" i="5"/>
  <c r="BL1103" i="5"/>
  <c r="K1106" i="5"/>
  <c r="M1106" i="5"/>
  <c r="AG1106" i="5"/>
  <c r="AL1106" i="5"/>
  <c r="AU1105" i="5" s="1"/>
  <c r="AQ1106" i="5"/>
  <c r="I1106" i="5" s="1"/>
  <c r="I1105" i="5" s="1"/>
  <c r="AR1106" i="5"/>
  <c r="AZ1106" i="5" s="1"/>
  <c r="BF1106" i="5"/>
  <c r="BL1106" i="5"/>
  <c r="AJ1106" i="5" s="1"/>
  <c r="K1109" i="5"/>
  <c r="M1109" i="5"/>
  <c r="BH1109" i="5" s="1"/>
  <c r="AJ1109" i="5"/>
  <c r="AQ1109" i="5"/>
  <c r="AY1109" i="5" s="1"/>
  <c r="AR1109" i="5"/>
  <c r="J1109" i="5" s="1"/>
  <c r="BF1109" i="5"/>
  <c r="BL1109" i="5"/>
  <c r="AB1109" i="5" s="1"/>
  <c r="K1111" i="5"/>
  <c r="AN1111" i="5" s="1"/>
  <c r="M1111" i="5"/>
  <c r="BH1111" i="5" s="1"/>
  <c r="AB1111" i="5"/>
  <c r="AH1111" i="5"/>
  <c r="AL1111" i="5"/>
  <c r="AM1111" i="5"/>
  <c r="AQ1111" i="5"/>
  <c r="AR1111" i="5"/>
  <c r="BF1111" i="5"/>
  <c r="BL1111" i="5"/>
  <c r="AJ1111" i="5" s="1"/>
  <c r="K1113" i="5"/>
  <c r="M1113" i="5"/>
  <c r="BH1113" i="5" s="1"/>
  <c r="AB1113" i="5"/>
  <c r="AI1113" i="5"/>
  <c r="AJ1113" i="5"/>
  <c r="AQ1113" i="5"/>
  <c r="AR1113" i="5"/>
  <c r="J1113" i="5" s="1"/>
  <c r="BF1113" i="5"/>
  <c r="BL1113" i="5"/>
  <c r="K1116" i="5"/>
  <c r="AN1116" i="5" s="1"/>
  <c r="AW1115" i="5" s="1"/>
  <c r="M1116" i="5"/>
  <c r="M1115" i="5" s="1"/>
  <c r="AH1116" i="5"/>
  <c r="AI1116" i="5"/>
  <c r="AJ1116" i="5"/>
  <c r="AQ1116" i="5"/>
  <c r="I1116" i="5" s="1"/>
  <c r="I1115" i="5" s="1"/>
  <c r="AR1116" i="5"/>
  <c r="J1116" i="5" s="1"/>
  <c r="J1115" i="5" s="1"/>
  <c r="BF1116" i="5"/>
  <c r="BL1116" i="5"/>
  <c r="AB1116" i="5" s="1"/>
  <c r="K1119" i="5"/>
  <c r="M1119" i="5"/>
  <c r="BH1119" i="5" s="1"/>
  <c r="AD1119" i="5"/>
  <c r="AH1119" i="5"/>
  <c r="AQ1119" i="5"/>
  <c r="I1119" i="5" s="1"/>
  <c r="AR1119" i="5"/>
  <c r="AZ1119" i="5" s="1"/>
  <c r="BF1119" i="5"/>
  <c r="BL1119" i="5"/>
  <c r="K1121" i="5"/>
  <c r="AM1121" i="5" s="1"/>
  <c r="M1121" i="5"/>
  <c r="BH1121" i="5" s="1"/>
  <c r="AB1121" i="5"/>
  <c r="AJ1121" i="5"/>
  <c r="AL1121" i="5"/>
  <c r="AQ1121" i="5"/>
  <c r="I1121" i="5" s="1"/>
  <c r="AR1121" i="5"/>
  <c r="BF1121" i="5"/>
  <c r="BL1121" i="5"/>
  <c r="K1123" i="5"/>
  <c r="AN1123" i="5" s="1"/>
  <c r="M1123" i="5"/>
  <c r="BH1123" i="5" s="1"/>
  <c r="AB1123" i="5"/>
  <c r="AD1123" i="5"/>
  <c r="AE1123" i="5"/>
  <c r="AH1123" i="5"/>
  <c r="AI1123" i="5"/>
  <c r="AL1123" i="5"/>
  <c r="AM1123" i="5"/>
  <c r="AQ1123" i="5"/>
  <c r="AY1123" i="5" s="1"/>
  <c r="AR1123" i="5"/>
  <c r="AZ1123" i="5" s="1"/>
  <c r="BF1123" i="5"/>
  <c r="BL1123" i="5"/>
  <c r="AJ1123" i="5" s="1"/>
  <c r="K1125" i="5"/>
  <c r="M1125" i="5"/>
  <c r="BH1125" i="5" s="1"/>
  <c r="AB1125" i="5"/>
  <c r="AJ1125" i="5"/>
  <c r="AL1125" i="5"/>
  <c r="AQ1125" i="5"/>
  <c r="AR1125" i="5"/>
  <c r="BF1125" i="5"/>
  <c r="BL1125" i="5"/>
  <c r="K1127" i="5"/>
  <c r="AL1127" i="5" s="1"/>
  <c r="M1127" i="5"/>
  <c r="BH1127" i="5" s="1"/>
  <c r="AD1127" i="5"/>
  <c r="AH1127" i="5"/>
  <c r="AM1127" i="5"/>
  <c r="AQ1127" i="5"/>
  <c r="BJ1127" i="5" s="1"/>
  <c r="AF1127" i="5" s="1"/>
  <c r="AR1127" i="5"/>
  <c r="J1127" i="5" s="1"/>
  <c r="BF1127" i="5"/>
  <c r="BL1127" i="5"/>
  <c r="K1129" i="5"/>
  <c r="AM1129" i="5" s="1"/>
  <c r="M1129" i="5"/>
  <c r="BH1129" i="5" s="1"/>
  <c r="AB1129" i="5"/>
  <c r="AE1129" i="5"/>
  <c r="AJ1129" i="5"/>
  <c r="AL1129" i="5"/>
  <c r="AQ1129" i="5"/>
  <c r="AR1129" i="5"/>
  <c r="AZ1129" i="5" s="1"/>
  <c r="BF1129" i="5"/>
  <c r="BL1129" i="5"/>
  <c r="K1131" i="5"/>
  <c r="AN1131" i="5" s="1"/>
  <c r="M1131" i="5"/>
  <c r="BH1131" i="5" s="1"/>
  <c r="AD1131" i="5"/>
  <c r="AE1131" i="5"/>
  <c r="AH1131" i="5"/>
  <c r="AI1131" i="5"/>
  <c r="AQ1131" i="5"/>
  <c r="BJ1131" i="5" s="1"/>
  <c r="AF1131" i="5" s="1"/>
  <c r="AR1131" i="5"/>
  <c r="BF1131" i="5"/>
  <c r="BL1131" i="5"/>
  <c r="K1133" i="5"/>
  <c r="M1133" i="5"/>
  <c r="BH1133" i="5" s="1"/>
  <c r="AB1133" i="5"/>
  <c r="AJ1133" i="5"/>
  <c r="AL1133" i="5"/>
  <c r="AQ1133" i="5"/>
  <c r="BJ1133" i="5" s="1"/>
  <c r="AR1133" i="5"/>
  <c r="BF1133" i="5"/>
  <c r="BL1133" i="5"/>
  <c r="K1135" i="5"/>
  <c r="AL1135" i="5" s="1"/>
  <c r="M1135" i="5"/>
  <c r="BH1135" i="5" s="1"/>
  <c r="AD1135" i="5"/>
  <c r="AE1135" i="5"/>
  <c r="AH1135" i="5"/>
  <c r="AM1135" i="5"/>
  <c r="AQ1135" i="5"/>
  <c r="I1135" i="5" s="1"/>
  <c r="AR1135" i="5"/>
  <c r="AZ1135" i="5" s="1"/>
  <c r="BF1135" i="5"/>
  <c r="BL1135" i="5"/>
  <c r="K1137" i="5"/>
  <c r="AM1137" i="5" s="1"/>
  <c r="M1137" i="5"/>
  <c r="BH1137" i="5" s="1"/>
  <c r="AB1137" i="5"/>
  <c r="AJ1137" i="5"/>
  <c r="AL1137" i="5"/>
  <c r="AQ1137" i="5"/>
  <c r="AY1137" i="5" s="1"/>
  <c r="AR1137" i="5"/>
  <c r="J1137" i="5" s="1"/>
  <c r="BF1137" i="5"/>
  <c r="BL1137" i="5"/>
  <c r="K1139" i="5"/>
  <c r="AL1139" i="5" s="1"/>
  <c r="M1139" i="5"/>
  <c r="BH1139" i="5" s="1"/>
  <c r="AD1139" i="5"/>
  <c r="AE1139" i="5"/>
  <c r="AH1139" i="5"/>
  <c r="AI1139" i="5"/>
  <c r="AQ1139" i="5"/>
  <c r="AY1139" i="5" s="1"/>
  <c r="AR1139" i="5"/>
  <c r="AZ1139" i="5" s="1"/>
  <c r="BF1139" i="5"/>
  <c r="BL1139" i="5"/>
  <c r="AJ1139" i="5" s="1"/>
  <c r="K1141" i="5"/>
  <c r="M1141" i="5"/>
  <c r="BH1141" i="5" s="1"/>
  <c r="AB1141" i="5"/>
  <c r="AJ1141" i="5"/>
  <c r="AL1141" i="5"/>
  <c r="AQ1141" i="5"/>
  <c r="BJ1141" i="5" s="1"/>
  <c r="AF1141" i="5" s="1"/>
  <c r="AR1141" i="5"/>
  <c r="BF1141" i="5"/>
  <c r="BL1141" i="5"/>
  <c r="K1143" i="5"/>
  <c r="AN1143" i="5" s="1"/>
  <c r="M1143" i="5"/>
  <c r="BH1143" i="5" s="1"/>
  <c r="AD1143" i="5"/>
  <c r="AH1143" i="5"/>
  <c r="AQ1143" i="5"/>
  <c r="BJ1143" i="5" s="1"/>
  <c r="AF1143" i="5" s="1"/>
  <c r="AR1143" i="5"/>
  <c r="BF1143" i="5"/>
  <c r="BL1143" i="5"/>
  <c r="K1145" i="5"/>
  <c r="M1145" i="5"/>
  <c r="BH1145" i="5" s="1"/>
  <c r="AB1145" i="5"/>
  <c r="AJ1145" i="5"/>
  <c r="AL1145" i="5"/>
  <c r="AQ1145" i="5"/>
  <c r="AR1145" i="5"/>
  <c r="J1145" i="5" s="1"/>
  <c r="BF1145" i="5"/>
  <c r="BL1145" i="5"/>
  <c r="K1147" i="5"/>
  <c r="AN1147" i="5" s="1"/>
  <c r="M1147" i="5"/>
  <c r="BH1147" i="5" s="1"/>
  <c r="AB1147" i="5"/>
  <c r="AD1147" i="5"/>
  <c r="AE1147" i="5"/>
  <c r="AH1147" i="5"/>
  <c r="AI1147" i="5"/>
  <c r="AL1147" i="5"/>
  <c r="AM1147" i="5"/>
  <c r="AQ1147" i="5"/>
  <c r="BJ1147" i="5" s="1"/>
  <c r="AF1147" i="5" s="1"/>
  <c r="AR1147" i="5"/>
  <c r="BF1147" i="5"/>
  <c r="BL1147" i="5"/>
  <c r="AJ1147" i="5" s="1"/>
  <c r="K1149" i="5"/>
  <c r="M1149" i="5"/>
  <c r="BH1149" i="5" s="1"/>
  <c r="AB1149" i="5"/>
  <c r="AJ1149" i="5"/>
  <c r="AQ1149" i="5"/>
  <c r="AR1149" i="5"/>
  <c r="J1149" i="5" s="1"/>
  <c r="BF1149" i="5"/>
  <c r="BL1149" i="5"/>
  <c r="K1151" i="5"/>
  <c r="M1151" i="5"/>
  <c r="BH1151" i="5" s="1"/>
  <c r="AD1151" i="5"/>
  <c r="AH1151" i="5"/>
  <c r="AM1151" i="5"/>
  <c r="AQ1151" i="5"/>
  <c r="I1151" i="5" s="1"/>
  <c r="AR1151" i="5"/>
  <c r="BF1151" i="5"/>
  <c r="BL1151" i="5"/>
  <c r="K1153" i="5"/>
  <c r="AM1153" i="5" s="1"/>
  <c r="M1153" i="5"/>
  <c r="BH1153" i="5" s="1"/>
  <c r="AB1153" i="5"/>
  <c r="AJ1153" i="5"/>
  <c r="AL1153" i="5"/>
  <c r="AQ1153" i="5"/>
  <c r="AY1153" i="5" s="1"/>
  <c r="AR1153" i="5"/>
  <c r="BF1153" i="5"/>
  <c r="BL1153" i="5"/>
  <c r="K1155" i="5"/>
  <c r="AN1155" i="5" s="1"/>
  <c r="M1155" i="5"/>
  <c r="BH1155" i="5" s="1"/>
  <c r="AD1155" i="5"/>
  <c r="AE1155" i="5"/>
  <c r="AH1155" i="5"/>
  <c r="AI1155" i="5"/>
  <c r="AL1155" i="5"/>
  <c r="AM1155" i="5"/>
  <c r="AQ1155" i="5"/>
  <c r="BJ1155" i="5" s="1"/>
  <c r="AF1155" i="5" s="1"/>
  <c r="AR1155" i="5"/>
  <c r="AZ1155" i="5" s="1"/>
  <c r="BF1155" i="5"/>
  <c r="BL1155" i="5"/>
  <c r="K1158" i="5"/>
  <c r="AN1158" i="5" s="1"/>
  <c r="M1158" i="5"/>
  <c r="AB1158" i="5"/>
  <c r="AJ1158" i="5"/>
  <c r="AL1158" i="5"/>
  <c r="AM1158" i="5"/>
  <c r="AQ1158" i="5"/>
  <c r="AR1158" i="5"/>
  <c r="BF1158" i="5"/>
  <c r="BL1158" i="5"/>
  <c r="K1160" i="5"/>
  <c r="M1160" i="5"/>
  <c r="BH1160" i="5" s="1"/>
  <c r="AB1160" i="5"/>
  <c r="AD1160" i="5"/>
  <c r="AH1160" i="5"/>
  <c r="AL1160" i="5"/>
  <c r="AM1160" i="5"/>
  <c r="AQ1160" i="5"/>
  <c r="AR1160" i="5"/>
  <c r="BK1160" i="5" s="1"/>
  <c r="BF1160" i="5"/>
  <c r="BL1160" i="5"/>
  <c r="AJ1160" i="5" s="1"/>
  <c r="K1162" i="5"/>
  <c r="AN1162" i="5" s="1"/>
  <c r="M1162" i="5"/>
  <c r="BH1162" i="5" s="1"/>
  <c r="AE1162" i="5"/>
  <c r="AI1162" i="5"/>
  <c r="AJ1162" i="5"/>
  <c r="AQ1162" i="5"/>
  <c r="AY1162" i="5" s="1"/>
  <c r="AR1162" i="5"/>
  <c r="AZ1162" i="5" s="1"/>
  <c r="BF1162" i="5"/>
  <c r="BL1162" i="5"/>
  <c r="AB1162" i="5" s="1"/>
  <c r="K1164" i="5"/>
  <c r="AN1164" i="5" s="1"/>
  <c r="M1164" i="5"/>
  <c r="BH1164" i="5" s="1"/>
  <c r="AD1164" i="5"/>
  <c r="AH1164" i="5"/>
  <c r="AL1164" i="5"/>
  <c r="AM1164" i="5"/>
  <c r="AQ1164" i="5"/>
  <c r="AR1164" i="5"/>
  <c r="BF1164" i="5"/>
  <c r="BL1164" i="5"/>
  <c r="AJ1164" i="5" s="1"/>
  <c r="K1166" i="5"/>
  <c r="M1166" i="5"/>
  <c r="BH1166" i="5" s="1"/>
  <c r="AB1166" i="5"/>
  <c r="AE1166" i="5"/>
  <c r="AI1166" i="5"/>
  <c r="AJ1166" i="5"/>
  <c r="AQ1166" i="5"/>
  <c r="AY1166" i="5" s="1"/>
  <c r="AR1166" i="5"/>
  <c r="BK1166" i="5" s="1"/>
  <c r="AG1166" i="5" s="1"/>
  <c r="BF1166" i="5"/>
  <c r="BL1166" i="5"/>
  <c r="K1168" i="5"/>
  <c r="AN1168" i="5" s="1"/>
  <c r="M1168" i="5"/>
  <c r="BH1168" i="5" s="1"/>
  <c r="AB1168" i="5"/>
  <c r="AD1168" i="5"/>
  <c r="AH1168" i="5"/>
  <c r="AL1168" i="5"/>
  <c r="AM1168" i="5"/>
  <c r="AQ1168" i="5"/>
  <c r="BJ1168" i="5" s="1"/>
  <c r="AF1168" i="5" s="1"/>
  <c r="AR1168" i="5"/>
  <c r="BK1168" i="5" s="1"/>
  <c r="BF1168" i="5"/>
  <c r="BL1168" i="5"/>
  <c r="AJ1168" i="5" s="1"/>
  <c r="K1170" i="5"/>
  <c r="M1170" i="5"/>
  <c r="BH1170" i="5" s="1"/>
  <c r="AE1170" i="5"/>
  <c r="AI1170" i="5"/>
  <c r="AJ1170" i="5"/>
  <c r="AQ1170" i="5"/>
  <c r="BJ1170" i="5" s="1"/>
  <c r="AD1170" i="5" s="1"/>
  <c r="AR1170" i="5"/>
  <c r="J1170" i="5" s="1"/>
  <c r="BF1170" i="5"/>
  <c r="BL1170" i="5"/>
  <c r="AB1170" i="5" s="1"/>
  <c r="K1172" i="5"/>
  <c r="AN1172" i="5" s="1"/>
  <c r="M1172" i="5"/>
  <c r="BH1172" i="5" s="1"/>
  <c r="AB1172" i="5"/>
  <c r="AD1172" i="5"/>
  <c r="AH1172" i="5"/>
  <c r="AL1172" i="5"/>
  <c r="AM1172" i="5"/>
  <c r="AQ1172" i="5"/>
  <c r="AR1172" i="5"/>
  <c r="BF1172" i="5"/>
  <c r="BL1172" i="5"/>
  <c r="AJ1172" i="5" s="1"/>
  <c r="K1174" i="5"/>
  <c r="AN1174" i="5" s="1"/>
  <c r="M1174" i="5"/>
  <c r="BH1174" i="5" s="1"/>
  <c r="AB1174" i="5"/>
  <c r="AE1174" i="5"/>
  <c r="AI1174" i="5"/>
  <c r="AJ1174" i="5"/>
  <c r="AQ1174" i="5"/>
  <c r="I1174" i="5" s="1"/>
  <c r="AR1174" i="5"/>
  <c r="BK1174" i="5" s="1"/>
  <c r="AG1174" i="5" s="1"/>
  <c r="BF1174" i="5"/>
  <c r="BL1174" i="5"/>
  <c r="K1176" i="5"/>
  <c r="AN1176" i="5" s="1"/>
  <c r="M1176" i="5"/>
  <c r="BH1176" i="5" s="1"/>
  <c r="AB1176" i="5"/>
  <c r="AD1176" i="5"/>
  <c r="AH1176" i="5"/>
  <c r="AL1176" i="5"/>
  <c r="AM1176" i="5"/>
  <c r="AQ1176" i="5"/>
  <c r="AY1176" i="5" s="1"/>
  <c r="AR1176" i="5"/>
  <c r="BF1176" i="5"/>
  <c r="BL1176" i="5"/>
  <c r="AJ1176" i="5" s="1"/>
  <c r="K1178" i="5"/>
  <c r="AN1178" i="5" s="1"/>
  <c r="M1178" i="5"/>
  <c r="BH1178" i="5" s="1"/>
  <c r="AE1178" i="5"/>
  <c r="AI1178" i="5"/>
  <c r="AJ1178" i="5"/>
  <c r="AQ1178" i="5"/>
  <c r="AY1178" i="5" s="1"/>
  <c r="AR1178" i="5"/>
  <c r="AZ1178" i="5" s="1"/>
  <c r="BF1178" i="5"/>
  <c r="BL1178" i="5"/>
  <c r="AB1178" i="5" s="1"/>
  <c r="K1180" i="5"/>
  <c r="AN1180" i="5" s="1"/>
  <c r="M1180" i="5"/>
  <c r="BH1180" i="5" s="1"/>
  <c r="AD1180" i="5"/>
  <c r="AH1180" i="5"/>
  <c r="AL1180" i="5"/>
  <c r="AM1180" i="5"/>
  <c r="AQ1180" i="5"/>
  <c r="AR1180" i="5"/>
  <c r="BF1180" i="5"/>
  <c r="BL1180" i="5"/>
  <c r="K1182" i="5"/>
  <c r="AN1182" i="5" s="1"/>
  <c r="M1182" i="5"/>
  <c r="BH1182" i="5" s="1"/>
  <c r="AB1182" i="5"/>
  <c r="AE1182" i="5"/>
  <c r="AI1182" i="5"/>
  <c r="AJ1182" i="5"/>
  <c r="AQ1182" i="5"/>
  <c r="I1182" i="5" s="1"/>
  <c r="AR1182" i="5"/>
  <c r="AZ1182" i="5" s="1"/>
  <c r="BF1182" i="5"/>
  <c r="BL1182" i="5"/>
  <c r="K1184" i="5"/>
  <c r="AN1184" i="5" s="1"/>
  <c r="M1184" i="5"/>
  <c r="BH1184" i="5" s="1"/>
  <c r="AB1184" i="5"/>
  <c r="AD1184" i="5"/>
  <c r="AH1184" i="5"/>
  <c r="AL1184" i="5"/>
  <c r="AM1184" i="5"/>
  <c r="AQ1184" i="5"/>
  <c r="I1184" i="5" s="1"/>
  <c r="AR1184" i="5"/>
  <c r="BF1184" i="5"/>
  <c r="BL1184" i="5"/>
  <c r="AJ1184" i="5" s="1"/>
  <c r="K1186" i="5"/>
  <c r="AN1186" i="5" s="1"/>
  <c r="M1186" i="5"/>
  <c r="BH1186" i="5" s="1"/>
  <c r="AE1186" i="5"/>
  <c r="AI1186" i="5"/>
  <c r="AJ1186" i="5"/>
  <c r="AQ1186" i="5"/>
  <c r="BJ1186" i="5" s="1"/>
  <c r="AD1186" i="5" s="1"/>
  <c r="AR1186" i="5"/>
  <c r="J1186" i="5" s="1"/>
  <c r="BF1186" i="5"/>
  <c r="BL1186" i="5"/>
  <c r="AB1186" i="5" s="1"/>
  <c r="K1188" i="5"/>
  <c r="AN1188" i="5" s="1"/>
  <c r="M1188" i="5"/>
  <c r="BH1188" i="5" s="1"/>
  <c r="AB1188" i="5"/>
  <c r="AD1188" i="5"/>
  <c r="AH1188" i="5"/>
  <c r="AL1188" i="5"/>
  <c r="AM1188" i="5"/>
  <c r="AQ1188" i="5"/>
  <c r="I1188" i="5" s="1"/>
  <c r="AR1188" i="5"/>
  <c r="BF1188" i="5"/>
  <c r="BL1188" i="5"/>
  <c r="AJ1188" i="5" s="1"/>
  <c r="K1190" i="5"/>
  <c r="M1190" i="5"/>
  <c r="AB1190" i="5"/>
  <c r="AE1190" i="5"/>
  <c r="AI1190" i="5"/>
  <c r="AJ1190" i="5"/>
  <c r="AQ1190" i="5"/>
  <c r="AR1190" i="5"/>
  <c r="AZ1190" i="5" s="1"/>
  <c r="BF1190" i="5"/>
  <c r="BH1190" i="5"/>
  <c r="BL1190" i="5"/>
  <c r="K1192" i="5"/>
  <c r="AN1192" i="5" s="1"/>
  <c r="M1192" i="5"/>
  <c r="BH1192" i="5" s="1"/>
  <c r="AB1192" i="5"/>
  <c r="AD1192" i="5"/>
  <c r="AH1192" i="5"/>
  <c r="AL1192" i="5"/>
  <c r="AM1192" i="5"/>
  <c r="AQ1192" i="5"/>
  <c r="AR1192" i="5"/>
  <c r="BK1192" i="5" s="1"/>
  <c r="BF1192" i="5"/>
  <c r="BL1192" i="5"/>
  <c r="AJ1192" i="5" s="1"/>
  <c r="K1194" i="5"/>
  <c r="AN1194" i="5" s="1"/>
  <c r="M1194" i="5"/>
  <c r="BH1194" i="5" s="1"/>
  <c r="AE1194" i="5"/>
  <c r="AI1194" i="5"/>
  <c r="AJ1194" i="5"/>
  <c r="AQ1194" i="5"/>
  <c r="I1194" i="5" s="1"/>
  <c r="AR1194" i="5"/>
  <c r="AZ1194" i="5" s="1"/>
  <c r="BF1194" i="5"/>
  <c r="BL1194" i="5"/>
  <c r="AB1194" i="5" s="1"/>
  <c r="K1196" i="5"/>
  <c r="AN1196" i="5" s="1"/>
  <c r="M1196" i="5"/>
  <c r="AD1196" i="5"/>
  <c r="AH1196" i="5"/>
  <c r="AL1196" i="5"/>
  <c r="AM1196" i="5"/>
  <c r="AQ1196" i="5"/>
  <c r="AR1196" i="5"/>
  <c r="BF1196" i="5"/>
  <c r="BH1196" i="5"/>
  <c r="BL1196" i="5"/>
  <c r="AJ1196" i="5" s="1"/>
  <c r="K1198" i="5"/>
  <c r="M1198" i="5"/>
  <c r="AB1198" i="5"/>
  <c r="AE1198" i="5"/>
  <c r="AI1198" i="5"/>
  <c r="AJ1198" i="5"/>
  <c r="AQ1198" i="5"/>
  <c r="AR1198" i="5"/>
  <c r="BK1198" i="5" s="1"/>
  <c r="AG1198" i="5" s="1"/>
  <c r="BF1198" i="5"/>
  <c r="BH1198" i="5"/>
  <c r="BL1198" i="5"/>
  <c r="K1200" i="5"/>
  <c r="AN1200" i="5" s="1"/>
  <c r="M1200" i="5"/>
  <c r="BH1200" i="5" s="1"/>
  <c r="AB1200" i="5"/>
  <c r="AD1200" i="5"/>
  <c r="AH1200" i="5"/>
  <c r="AL1200" i="5"/>
  <c r="AM1200" i="5"/>
  <c r="AQ1200" i="5"/>
  <c r="AR1200" i="5"/>
  <c r="BK1200" i="5" s="1"/>
  <c r="BF1200" i="5"/>
  <c r="BL1200" i="5"/>
  <c r="AJ1200" i="5" s="1"/>
  <c r="K1202" i="5"/>
  <c r="M1202" i="5"/>
  <c r="BH1202" i="5" s="1"/>
  <c r="AE1202" i="5"/>
  <c r="AI1202" i="5"/>
  <c r="AJ1202" i="5"/>
  <c r="AQ1202" i="5"/>
  <c r="BJ1202" i="5" s="1"/>
  <c r="AD1202" i="5" s="1"/>
  <c r="AR1202" i="5"/>
  <c r="BK1202" i="5" s="1"/>
  <c r="AG1202" i="5" s="1"/>
  <c r="BF1202" i="5"/>
  <c r="BL1202" i="5"/>
  <c r="AB1202" i="5" s="1"/>
  <c r="K1204" i="5"/>
  <c r="AN1204" i="5" s="1"/>
  <c r="M1204" i="5"/>
  <c r="BH1204" i="5" s="1"/>
  <c r="AB1204" i="5"/>
  <c r="AD1204" i="5"/>
  <c r="AH1204" i="5"/>
  <c r="AL1204" i="5"/>
  <c r="AM1204" i="5"/>
  <c r="AQ1204" i="5"/>
  <c r="I1204" i="5" s="1"/>
  <c r="AR1204" i="5"/>
  <c r="AZ1204" i="5" s="1"/>
  <c r="BF1204" i="5"/>
  <c r="BL1204" i="5"/>
  <c r="AJ1204" i="5" s="1"/>
  <c r="K1206" i="5"/>
  <c r="M1206" i="5"/>
  <c r="BH1206" i="5" s="1"/>
  <c r="AB1206" i="5"/>
  <c r="AE1206" i="5"/>
  <c r="AI1206" i="5"/>
  <c r="AJ1206" i="5"/>
  <c r="AQ1206" i="5"/>
  <c r="I1206" i="5" s="1"/>
  <c r="AR1206" i="5"/>
  <c r="AZ1206" i="5" s="1"/>
  <c r="BF1206" i="5"/>
  <c r="BL1206" i="5"/>
  <c r="K1208" i="5"/>
  <c r="AN1208" i="5" s="1"/>
  <c r="M1208" i="5"/>
  <c r="BH1208" i="5" s="1"/>
  <c r="AB1208" i="5"/>
  <c r="AD1208" i="5"/>
  <c r="AH1208" i="5"/>
  <c r="AL1208" i="5"/>
  <c r="AM1208" i="5"/>
  <c r="AQ1208" i="5"/>
  <c r="BJ1208" i="5" s="1"/>
  <c r="AF1208" i="5" s="1"/>
  <c r="AR1208" i="5"/>
  <c r="BK1208" i="5" s="1"/>
  <c r="BF1208" i="5"/>
  <c r="BL1208" i="5"/>
  <c r="AJ1208" i="5" s="1"/>
  <c r="K1210" i="5"/>
  <c r="M1210" i="5"/>
  <c r="BH1210" i="5" s="1"/>
  <c r="AE1210" i="5"/>
  <c r="AI1210" i="5"/>
  <c r="AJ1210" i="5"/>
  <c r="AQ1210" i="5"/>
  <c r="I1210" i="5" s="1"/>
  <c r="AR1210" i="5"/>
  <c r="J1210" i="5" s="1"/>
  <c r="BF1210" i="5"/>
  <c r="BL1210" i="5"/>
  <c r="AB1210" i="5" s="1"/>
  <c r="K1212" i="5"/>
  <c r="AN1212" i="5" s="1"/>
  <c r="M1212" i="5"/>
  <c r="BH1212" i="5" s="1"/>
  <c r="AD1212" i="5"/>
  <c r="AH1212" i="5"/>
  <c r="AL1212" i="5"/>
  <c r="AM1212" i="5"/>
  <c r="AQ1212" i="5"/>
  <c r="AY1212" i="5" s="1"/>
  <c r="AR1212" i="5"/>
  <c r="BF1212" i="5"/>
  <c r="BL1212" i="5"/>
  <c r="AJ1212" i="5" s="1"/>
  <c r="K1214" i="5"/>
  <c r="AN1214" i="5" s="1"/>
  <c r="M1214" i="5"/>
  <c r="BH1214" i="5" s="1"/>
  <c r="AB1214" i="5"/>
  <c r="AE1214" i="5"/>
  <c r="AI1214" i="5"/>
  <c r="AJ1214" i="5"/>
  <c r="AQ1214" i="5"/>
  <c r="AR1214" i="5"/>
  <c r="BK1214" i="5" s="1"/>
  <c r="AG1214" i="5" s="1"/>
  <c r="BF1214" i="5"/>
  <c r="BL1214" i="5"/>
  <c r="K1216" i="5"/>
  <c r="AN1216" i="5" s="1"/>
  <c r="M1216" i="5"/>
  <c r="BH1216" i="5" s="1"/>
  <c r="AB1216" i="5"/>
  <c r="AD1216" i="5"/>
  <c r="AH1216" i="5"/>
  <c r="AL1216" i="5"/>
  <c r="AM1216" i="5"/>
  <c r="AQ1216" i="5"/>
  <c r="BJ1216" i="5" s="1"/>
  <c r="AF1216" i="5" s="1"/>
  <c r="AR1216" i="5"/>
  <c r="BF1216" i="5"/>
  <c r="BL1216" i="5"/>
  <c r="AJ1216" i="5" s="1"/>
  <c r="K1218" i="5"/>
  <c r="AN1218" i="5" s="1"/>
  <c r="M1218" i="5"/>
  <c r="BH1218" i="5" s="1"/>
  <c r="AE1218" i="5"/>
  <c r="AI1218" i="5"/>
  <c r="AJ1218" i="5"/>
  <c r="AQ1218" i="5"/>
  <c r="I1218" i="5" s="1"/>
  <c r="AR1218" i="5"/>
  <c r="AZ1218" i="5" s="1"/>
  <c r="BF1218" i="5"/>
  <c r="BL1218" i="5"/>
  <c r="AB1218" i="5" s="1"/>
  <c r="K1220" i="5"/>
  <c r="AN1220" i="5" s="1"/>
  <c r="M1220" i="5"/>
  <c r="BH1220" i="5" s="1"/>
  <c r="AD1220" i="5"/>
  <c r="AH1220" i="5"/>
  <c r="AL1220" i="5"/>
  <c r="AM1220" i="5"/>
  <c r="AQ1220" i="5"/>
  <c r="AR1220" i="5"/>
  <c r="AZ1220" i="5" s="1"/>
  <c r="BF1220" i="5"/>
  <c r="BL1220" i="5"/>
  <c r="AJ1220" i="5" s="1"/>
  <c r="K1221" i="5"/>
  <c r="M1221" i="5"/>
  <c r="BH1221" i="5" s="1"/>
  <c r="AB1221" i="5"/>
  <c r="AE1221" i="5"/>
  <c r="AI1221" i="5"/>
  <c r="AJ1221" i="5"/>
  <c r="AQ1221" i="5"/>
  <c r="AR1221" i="5"/>
  <c r="J1221" i="5" s="1"/>
  <c r="BF1221" i="5"/>
  <c r="BL1221" i="5"/>
  <c r="K1223" i="5"/>
  <c r="AN1223" i="5" s="1"/>
  <c r="M1223" i="5"/>
  <c r="BH1223" i="5" s="1"/>
  <c r="AD1223" i="5"/>
  <c r="AH1223" i="5"/>
  <c r="AL1223" i="5"/>
  <c r="AM1223" i="5"/>
  <c r="AQ1223" i="5"/>
  <c r="BJ1223" i="5" s="1"/>
  <c r="AF1223" i="5" s="1"/>
  <c r="AR1223" i="5"/>
  <c r="AZ1223" i="5" s="1"/>
  <c r="BF1223" i="5"/>
  <c r="BL1223" i="5"/>
  <c r="AJ1223" i="5" s="1"/>
  <c r="K1226" i="5"/>
  <c r="M1226" i="5"/>
  <c r="BH1226" i="5" s="1"/>
  <c r="AE1226" i="5"/>
  <c r="AI1226" i="5"/>
  <c r="AJ1226" i="5"/>
  <c r="AQ1226" i="5"/>
  <c r="I1226" i="5" s="1"/>
  <c r="AR1226" i="5"/>
  <c r="AZ1226" i="5" s="1"/>
  <c r="BF1226" i="5"/>
  <c r="BL1226" i="5"/>
  <c r="AB1226" i="5" s="1"/>
  <c r="K1228" i="5"/>
  <c r="AN1228" i="5" s="1"/>
  <c r="M1228" i="5"/>
  <c r="BH1228" i="5" s="1"/>
  <c r="AD1228" i="5"/>
  <c r="AH1228" i="5"/>
  <c r="AL1228" i="5"/>
  <c r="AM1228" i="5"/>
  <c r="AQ1228" i="5"/>
  <c r="I1228" i="5" s="1"/>
  <c r="AR1228" i="5"/>
  <c r="BK1228" i="5" s="1"/>
  <c r="BF1228" i="5"/>
  <c r="BL1228" i="5"/>
  <c r="AJ1228" i="5" s="1"/>
  <c r="K1230" i="5"/>
  <c r="AN1230" i="5" s="1"/>
  <c r="M1230" i="5"/>
  <c r="BH1230" i="5" s="1"/>
  <c r="AB1230" i="5"/>
  <c r="AE1230" i="5"/>
  <c r="AI1230" i="5"/>
  <c r="AJ1230" i="5"/>
  <c r="AQ1230" i="5"/>
  <c r="AR1230" i="5"/>
  <c r="J1230" i="5" s="1"/>
  <c r="BF1230" i="5"/>
  <c r="BL1230" i="5"/>
  <c r="K1232" i="5"/>
  <c r="AN1232" i="5" s="1"/>
  <c r="M1232" i="5"/>
  <c r="BH1232" i="5" s="1"/>
  <c r="AB1232" i="5"/>
  <c r="AD1232" i="5"/>
  <c r="AH1232" i="5"/>
  <c r="AL1232" i="5"/>
  <c r="AM1232" i="5"/>
  <c r="AQ1232" i="5"/>
  <c r="AR1232" i="5"/>
  <c r="BK1232" i="5" s="1"/>
  <c r="AG1232" i="5" s="1"/>
  <c r="BF1232" i="5"/>
  <c r="BL1232" i="5"/>
  <c r="AJ1232" i="5" s="1"/>
  <c r="K1234" i="5"/>
  <c r="AN1234" i="5" s="1"/>
  <c r="M1234" i="5"/>
  <c r="BH1234" i="5" s="1"/>
  <c r="AE1234" i="5"/>
  <c r="AI1234" i="5"/>
  <c r="AJ1234" i="5"/>
  <c r="AQ1234" i="5"/>
  <c r="AY1234" i="5" s="1"/>
  <c r="AR1234" i="5"/>
  <c r="AZ1234" i="5" s="1"/>
  <c r="BF1234" i="5"/>
  <c r="BL1234" i="5"/>
  <c r="AB1234" i="5" s="1"/>
  <c r="K1236" i="5"/>
  <c r="AN1236" i="5" s="1"/>
  <c r="M1236" i="5"/>
  <c r="BH1236" i="5" s="1"/>
  <c r="AD1236" i="5"/>
  <c r="AH1236" i="5"/>
  <c r="AL1236" i="5"/>
  <c r="AM1236" i="5"/>
  <c r="AQ1236" i="5"/>
  <c r="I1236" i="5" s="1"/>
  <c r="AR1236" i="5"/>
  <c r="AZ1236" i="5" s="1"/>
  <c r="BF1236" i="5"/>
  <c r="BL1236" i="5"/>
  <c r="AJ1236" i="5" s="1"/>
  <c r="K1238" i="5"/>
  <c r="M1238" i="5"/>
  <c r="BH1238" i="5" s="1"/>
  <c r="AB1238" i="5"/>
  <c r="AE1238" i="5"/>
  <c r="AI1238" i="5"/>
  <c r="AJ1238" i="5"/>
  <c r="AQ1238" i="5"/>
  <c r="I1238" i="5" s="1"/>
  <c r="AR1238" i="5"/>
  <c r="AZ1238" i="5" s="1"/>
  <c r="BF1238" i="5"/>
  <c r="BL1238" i="5"/>
  <c r="K1241" i="5"/>
  <c r="AN1241" i="5" s="1"/>
  <c r="M1241" i="5"/>
  <c r="BH1241" i="5" s="1"/>
  <c r="AD1241" i="5"/>
  <c r="AE1241" i="5"/>
  <c r="AH1241" i="5"/>
  <c r="AI1241" i="5"/>
  <c r="AM1241" i="5"/>
  <c r="AQ1241" i="5"/>
  <c r="I1241" i="5" s="1"/>
  <c r="AR1241" i="5"/>
  <c r="AZ1241" i="5" s="1"/>
  <c r="BF1241" i="5"/>
  <c r="BL1241" i="5"/>
  <c r="K1243" i="5"/>
  <c r="AN1243" i="5" s="1"/>
  <c r="M1243" i="5"/>
  <c r="BH1243" i="5" s="1"/>
  <c r="AB1243" i="5"/>
  <c r="AJ1243" i="5"/>
  <c r="AL1243" i="5"/>
  <c r="AM1243" i="5"/>
  <c r="AQ1243" i="5"/>
  <c r="AY1243" i="5" s="1"/>
  <c r="AR1243" i="5"/>
  <c r="J1243" i="5" s="1"/>
  <c r="BF1243" i="5"/>
  <c r="BL1243" i="5"/>
  <c r="K1246" i="5"/>
  <c r="M1246" i="5"/>
  <c r="AE1246" i="5"/>
  <c r="AI1246" i="5"/>
  <c r="AJ1246" i="5"/>
  <c r="AQ1246" i="5"/>
  <c r="AR1246" i="5"/>
  <c r="AZ1246" i="5" s="1"/>
  <c r="BF1246" i="5"/>
  <c r="BL1246" i="5"/>
  <c r="AB1246" i="5" s="1"/>
  <c r="K1249" i="5"/>
  <c r="M1249" i="5"/>
  <c r="BH1249" i="5" s="1"/>
  <c r="AD1249" i="5"/>
  <c r="AE1249" i="5"/>
  <c r="AH1249" i="5"/>
  <c r="AI1249" i="5"/>
  <c r="AM1249" i="5"/>
  <c r="AQ1249" i="5"/>
  <c r="AR1249" i="5"/>
  <c r="J1249" i="5" s="1"/>
  <c r="BF1249" i="5"/>
  <c r="BL1249" i="5"/>
  <c r="K1251" i="5"/>
  <c r="AN1251" i="5" s="1"/>
  <c r="M1251" i="5"/>
  <c r="BH1251" i="5" s="1"/>
  <c r="AB1251" i="5"/>
  <c r="AJ1251" i="5"/>
  <c r="AL1251" i="5"/>
  <c r="AM1251" i="5"/>
  <c r="AQ1251" i="5"/>
  <c r="AR1251" i="5"/>
  <c r="BF1251" i="5"/>
  <c r="BL1251" i="5"/>
  <c r="K1253" i="5"/>
  <c r="AL1253" i="5" s="1"/>
  <c r="M1253" i="5"/>
  <c r="BH1253" i="5" s="1"/>
  <c r="AD1253" i="5"/>
  <c r="AE1253" i="5"/>
  <c r="AH1253" i="5"/>
  <c r="AI1253" i="5"/>
  <c r="AQ1253" i="5"/>
  <c r="AY1253" i="5" s="1"/>
  <c r="AR1253" i="5"/>
  <c r="BK1253" i="5" s="1"/>
  <c r="AG1253" i="5" s="1"/>
  <c r="BF1253" i="5"/>
  <c r="BL1253" i="5"/>
  <c r="K1255" i="5"/>
  <c r="AN1255" i="5" s="1"/>
  <c r="M1255" i="5"/>
  <c r="BH1255" i="5" s="1"/>
  <c r="AB1255" i="5"/>
  <c r="AJ1255" i="5"/>
  <c r="AL1255" i="5"/>
  <c r="AM1255" i="5"/>
  <c r="AQ1255" i="5"/>
  <c r="AR1255" i="5"/>
  <c r="BF1255" i="5"/>
  <c r="BL1255" i="5"/>
  <c r="K1257" i="5"/>
  <c r="AN1257" i="5" s="1"/>
  <c r="M1257" i="5"/>
  <c r="BH1257" i="5" s="1"/>
  <c r="AD1257" i="5"/>
  <c r="AE1257" i="5"/>
  <c r="AH1257" i="5"/>
  <c r="AI1257" i="5"/>
  <c r="AQ1257" i="5"/>
  <c r="BJ1257" i="5" s="1"/>
  <c r="AF1257" i="5" s="1"/>
  <c r="AR1257" i="5"/>
  <c r="AZ1257" i="5" s="1"/>
  <c r="BF1257" i="5"/>
  <c r="BL1257" i="5"/>
  <c r="K1259" i="5"/>
  <c r="AN1259" i="5" s="1"/>
  <c r="M1259" i="5"/>
  <c r="BH1259" i="5" s="1"/>
  <c r="AB1259" i="5"/>
  <c r="AJ1259" i="5"/>
  <c r="AL1259" i="5"/>
  <c r="AM1259" i="5"/>
  <c r="AQ1259" i="5"/>
  <c r="AR1259" i="5"/>
  <c r="BF1259" i="5"/>
  <c r="BL1259" i="5"/>
  <c r="K1261" i="5"/>
  <c r="AL1261" i="5" s="1"/>
  <c r="M1261" i="5"/>
  <c r="BH1261" i="5" s="1"/>
  <c r="AD1261" i="5"/>
  <c r="AE1261" i="5"/>
  <c r="AH1261" i="5"/>
  <c r="AI1261" i="5"/>
  <c r="AQ1261" i="5"/>
  <c r="AY1261" i="5" s="1"/>
  <c r="AR1261" i="5"/>
  <c r="AZ1261" i="5" s="1"/>
  <c r="BF1261" i="5"/>
  <c r="BL1261" i="5"/>
  <c r="K1263" i="5"/>
  <c r="AN1263" i="5" s="1"/>
  <c r="M1263" i="5"/>
  <c r="BH1263" i="5" s="1"/>
  <c r="AB1263" i="5"/>
  <c r="AJ1263" i="5"/>
  <c r="AL1263" i="5"/>
  <c r="AM1263" i="5"/>
  <c r="AQ1263" i="5"/>
  <c r="AR1263" i="5"/>
  <c r="J1263" i="5" s="1"/>
  <c r="BF1263" i="5"/>
  <c r="BL1263" i="5"/>
  <c r="K1265" i="5"/>
  <c r="AL1265" i="5" s="1"/>
  <c r="M1265" i="5"/>
  <c r="BH1265" i="5" s="1"/>
  <c r="AD1265" i="5"/>
  <c r="AE1265" i="5"/>
  <c r="AH1265" i="5"/>
  <c r="AI1265" i="5"/>
  <c r="AM1265" i="5"/>
  <c r="AQ1265" i="5"/>
  <c r="I1265" i="5" s="1"/>
  <c r="AR1265" i="5"/>
  <c r="AZ1265" i="5" s="1"/>
  <c r="BF1265" i="5"/>
  <c r="BL1265" i="5"/>
  <c r="K1267" i="5"/>
  <c r="AN1267" i="5" s="1"/>
  <c r="M1267" i="5"/>
  <c r="BH1267" i="5" s="1"/>
  <c r="AB1267" i="5"/>
  <c r="AJ1267" i="5"/>
  <c r="AL1267" i="5"/>
  <c r="AM1267" i="5"/>
  <c r="AQ1267" i="5"/>
  <c r="AY1267" i="5" s="1"/>
  <c r="AR1267" i="5"/>
  <c r="BF1267" i="5"/>
  <c r="BL1267" i="5"/>
  <c r="K1269" i="5"/>
  <c r="AL1269" i="5" s="1"/>
  <c r="M1269" i="5"/>
  <c r="BH1269" i="5" s="1"/>
  <c r="AD1269" i="5"/>
  <c r="AE1269" i="5"/>
  <c r="AH1269" i="5"/>
  <c r="AI1269" i="5"/>
  <c r="AM1269" i="5"/>
  <c r="AQ1269" i="5"/>
  <c r="I1269" i="5" s="1"/>
  <c r="AR1269" i="5"/>
  <c r="BF1269" i="5"/>
  <c r="BL1269" i="5"/>
  <c r="K1271" i="5"/>
  <c r="AN1271" i="5" s="1"/>
  <c r="M1271" i="5"/>
  <c r="BH1271" i="5" s="1"/>
  <c r="AB1271" i="5"/>
  <c r="AJ1271" i="5"/>
  <c r="AL1271" i="5"/>
  <c r="AM1271" i="5"/>
  <c r="AQ1271" i="5"/>
  <c r="AY1271" i="5" s="1"/>
  <c r="AR1271" i="5"/>
  <c r="J1271" i="5" s="1"/>
  <c r="BF1271" i="5"/>
  <c r="BL1271" i="5"/>
  <c r="K1273" i="5"/>
  <c r="M1273" i="5"/>
  <c r="BH1273" i="5" s="1"/>
  <c r="AD1273" i="5"/>
  <c r="AE1273" i="5"/>
  <c r="AH1273" i="5"/>
  <c r="AI1273" i="5"/>
  <c r="AM1273" i="5"/>
  <c r="AQ1273" i="5"/>
  <c r="AY1273" i="5" s="1"/>
  <c r="AR1273" i="5"/>
  <c r="BK1273" i="5" s="1"/>
  <c r="AG1273" i="5" s="1"/>
  <c r="BF1273" i="5"/>
  <c r="BL1273" i="5"/>
  <c r="K1275" i="5"/>
  <c r="AN1275" i="5" s="1"/>
  <c r="M1275" i="5"/>
  <c r="BH1275" i="5" s="1"/>
  <c r="AB1275" i="5"/>
  <c r="AJ1275" i="5"/>
  <c r="AL1275" i="5"/>
  <c r="AM1275" i="5"/>
  <c r="AQ1275" i="5"/>
  <c r="AR1275" i="5"/>
  <c r="J1275" i="5" s="1"/>
  <c r="BF1275" i="5"/>
  <c r="BL1275" i="5"/>
  <c r="K1277" i="5"/>
  <c r="AL1277" i="5" s="1"/>
  <c r="M1277" i="5"/>
  <c r="BH1277" i="5" s="1"/>
  <c r="AD1277" i="5"/>
  <c r="AE1277" i="5"/>
  <c r="AH1277" i="5"/>
  <c r="AI1277" i="5"/>
  <c r="AM1277" i="5"/>
  <c r="AQ1277" i="5"/>
  <c r="I1277" i="5" s="1"/>
  <c r="AR1277" i="5"/>
  <c r="AZ1277" i="5" s="1"/>
  <c r="BF1277" i="5"/>
  <c r="BL1277" i="5"/>
  <c r="K1279" i="5"/>
  <c r="AN1279" i="5" s="1"/>
  <c r="M1279" i="5"/>
  <c r="BH1279" i="5" s="1"/>
  <c r="AB1279" i="5"/>
  <c r="AJ1279" i="5"/>
  <c r="AL1279" i="5"/>
  <c r="AM1279" i="5"/>
  <c r="AQ1279" i="5"/>
  <c r="AY1279" i="5" s="1"/>
  <c r="AR1279" i="5"/>
  <c r="J1279" i="5" s="1"/>
  <c r="BF1279" i="5"/>
  <c r="BL1279" i="5"/>
  <c r="K1281" i="5"/>
  <c r="AL1281" i="5" s="1"/>
  <c r="M1281" i="5"/>
  <c r="BH1281" i="5" s="1"/>
  <c r="AD1281" i="5"/>
  <c r="AE1281" i="5"/>
  <c r="AH1281" i="5"/>
  <c r="AI1281" i="5"/>
  <c r="AQ1281" i="5"/>
  <c r="I1281" i="5" s="1"/>
  <c r="AR1281" i="5"/>
  <c r="AZ1281" i="5" s="1"/>
  <c r="BF1281" i="5"/>
  <c r="BL1281" i="5"/>
  <c r="K1283" i="5"/>
  <c r="AN1283" i="5" s="1"/>
  <c r="M1283" i="5"/>
  <c r="BH1283" i="5" s="1"/>
  <c r="AB1283" i="5"/>
  <c r="AJ1283" i="5"/>
  <c r="AL1283" i="5"/>
  <c r="AM1283" i="5"/>
  <c r="AQ1283" i="5"/>
  <c r="AR1283" i="5"/>
  <c r="J1283" i="5" s="1"/>
  <c r="BF1283" i="5"/>
  <c r="BL1283" i="5"/>
  <c r="K1285" i="5"/>
  <c r="AL1285" i="5" s="1"/>
  <c r="M1285" i="5"/>
  <c r="BH1285" i="5" s="1"/>
  <c r="AD1285" i="5"/>
  <c r="AE1285" i="5"/>
  <c r="AH1285" i="5"/>
  <c r="AI1285" i="5"/>
  <c r="AM1285" i="5"/>
  <c r="AQ1285" i="5"/>
  <c r="AR1285" i="5"/>
  <c r="AZ1285" i="5" s="1"/>
  <c r="BF1285" i="5"/>
  <c r="BL1285" i="5"/>
  <c r="K1287" i="5"/>
  <c r="AN1287" i="5" s="1"/>
  <c r="M1287" i="5"/>
  <c r="BH1287" i="5" s="1"/>
  <c r="AB1287" i="5"/>
  <c r="AJ1287" i="5"/>
  <c r="AL1287" i="5"/>
  <c r="AM1287" i="5"/>
  <c r="AQ1287" i="5"/>
  <c r="AY1287" i="5" s="1"/>
  <c r="AR1287" i="5"/>
  <c r="BF1287" i="5"/>
  <c r="BL1287" i="5"/>
  <c r="K1289" i="5"/>
  <c r="AL1289" i="5" s="1"/>
  <c r="M1289" i="5"/>
  <c r="BH1289" i="5" s="1"/>
  <c r="AD1289" i="5"/>
  <c r="AE1289" i="5"/>
  <c r="AH1289" i="5"/>
  <c r="AI1289" i="5"/>
  <c r="AQ1289" i="5"/>
  <c r="I1289" i="5" s="1"/>
  <c r="AR1289" i="5"/>
  <c r="J1289" i="5" s="1"/>
  <c r="BF1289" i="5"/>
  <c r="BL1289" i="5"/>
  <c r="K1291" i="5"/>
  <c r="AN1291" i="5" s="1"/>
  <c r="M1291" i="5"/>
  <c r="BH1291" i="5" s="1"/>
  <c r="AB1291" i="5"/>
  <c r="AJ1291" i="5"/>
  <c r="AL1291" i="5"/>
  <c r="AM1291" i="5"/>
  <c r="AQ1291" i="5"/>
  <c r="AR1291" i="5"/>
  <c r="BF1291" i="5"/>
  <c r="BL1291" i="5"/>
  <c r="K1293" i="5"/>
  <c r="AN1293" i="5" s="1"/>
  <c r="M1293" i="5"/>
  <c r="BH1293" i="5" s="1"/>
  <c r="AD1293" i="5"/>
  <c r="AE1293" i="5"/>
  <c r="AH1293" i="5"/>
  <c r="AI1293" i="5"/>
  <c r="AQ1293" i="5"/>
  <c r="AR1293" i="5"/>
  <c r="J1293" i="5" s="1"/>
  <c r="BF1293" i="5"/>
  <c r="BL1293" i="5"/>
  <c r="K1295" i="5"/>
  <c r="AN1295" i="5" s="1"/>
  <c r="M1295" i="5"/>
  <c r="BH1295" i="5" s="1"/>
  <c r="AB1295" i="5"/>
  <c r="AJ1295" i="5"/>
  <c r="AL1295" i="5"/>
  <c r="AM1295" i="5"/>
  <c r="AQ1295" i="5"/>
  <c r="AR1295" i="5"/>
  <c r="J1295" i="5" s="1"/>
  <c r="BF1295" i="5"/>
  <c r="BL1295" i="5"/>
  <c r="K1297" i="5"/>
  <c r="AL1297" i="5" s="1"/>
  <c r="M1297" i="5"/>
  <c r="BH1297" i="5" s="1"/>
  <c r="AD1297" i="5"/>
  <c r="AE1297" i="5"/>
  <c r="AH1297" i="5"/>
  <c r="AI1297" i="5"/>
  <c r="AM1297" i="5"/>
  <c r="AQ1297" i="5"/>
  <c r="I1297" i="5" s="1"/>
  <c r="AR1297" i="5"/>
  <c r="BF1297" i="5"/>
  <c r="BL1297" i="5"/>
  <c r="K1299" i="5"/>
  <c r="AN1299" i="5" s="1"/>
  <c r="M1299" i="5"/>
  <c r="BH1299" i="5" s="1"/>
  <c r="AB1299" i="5"/>
  <c r="AJ1299" i="5"/>
  <c r="AL1299" i="5"/>
  <c r="AM1299" i="5"/>
  <c r="AQ1299" i="5"/>
  <c r="AR1299" i="5"/>
  <c r="J1299" i="5" s="1"/>
  <c r="BF1299" i="5"/>
  <c r="BL1299" i="5"/>
  <c r="K1301" i="5"/>
  <c r="AL1301" i="5" s="1"/>
  <c r="M1301" i="5"/>
  <c r="BH1301" i="5" s="1"/>
  <c r="AD1301" i="5"/>
  <c r="AE1301" i="5"/>
  <c r="AH1301" i="5"/>
  <c r="AI1301" i="5"/>
  <c r="AM1301" i="5"/>
  <c r="AQ1301" i="5"/>
  <c r="AR1301" i="5"/>
  <c r="BF1301" i="5"/>
  <c r="BL1301" i="5"/>
  <c r="K1303" i="5"/>
  <c r="AN1303" i="5" s="1"/>
  <c r="M1303" i="5"/>
  <c r="BH1303" i="5" s="1"/>
  <c r="AB1303" i="5"/>
  <c r="AJ1303" i="5"/>
  <c r="AL1303" i="5"/>
  <c r="AM1303" i="5"/>
  <c r="AQ1303" i="5"/>
  <c r="AY1303" i="5" s="1"/>
  <c r="AR1303" i="5"/>
  <c r="J1303" i="5" s="1"/>
  <c r="BF1303" i="5"/>
  <c r="BL1303" i="5"/>
  <c r="K1305" i="5"/>
  <c r="AL1305" i="5" s="1"/>
  <c r="M1305" i="5"/>
  <c r="BH1305" i="5" s="1"/>
  <c r="AD1305" i="5"/>
  <c r="AE1305" i="5"/>
  <c r="AH1305" i="5"/>
  <c r="AI1305" i="5"/>
  <c r="AM1305" i="5"/>
  <c r="AQ1305" i="5"/>
  <c r="AR1305" i="5"/>
  <c r="AZ1305" i="5" s="1"/>
  <c r="BF1305" i="5"/>
  <c r="BL1305" i="5"/>
  <c r="K1307" i="5"/>
  <c r="AN1307" i="5" s="1"/>
  <c r="M1307" i="5"/>
  <c r="BH1307" i="5" s="1"/>
  <c r="AB1307" i="5"/>
  <c r="AJ1307" i="5"/>
  <c r="AL1307" i="5"/>
  <c r="AM1307" i="5"/>
  <c r="AQ1307" i="5"/>
  <c r="AY1307" i="5" s="1"/>
  <c r="AR1307" i="5"/>
  <c r="J1307" i="5" s="1"/>
  <c r="BF1307" i="5"/>
  <c r="BL1307" i="5"/>
  <c r="K1309" i="5"/>
  <c r="AL1309" i="5" s="1"/>
  <c r="M1309" i="5"/>
  <c r="BH1309" i="5" s="1"/>
  <c r="AD1309" i="5"/>
  <c r="AE1309" i="5"/>
  <c r="AH1309" i="5"/>
  <c r="AI1309" i="5"/>
  <c r="AM1309" i="5"/>
  <c r="AQ1309" i="5"/>
  <c r="BJ1309" i="5" s="1"/>
  <c r="AF1309" i="5" s="1"/>
  <c r="AR1309" i="5"/>
  <c r="BK1309" i="5" s="1"/>
  <c r="AG1309" i="5" s="1"/>
  <c r="BF1309" i="5"/>
  <c r="BL1309" i="5"/>
  <c r="K1311" i="5"/>
  <c r="AN1311" i="5" s="1"/>
  <c r="M1311" i="5"/>
  <c r="BH1311" i="5" s="1"/>
  <c r="AB1311" i="5"/>
  <c r="AJ1311" i="5"/>
  <c r="AL1311" i="5"/>
  <c r="AM1311" i="5"/>
  <c r="AQ1311" i="5"/>
  <c r="AY1311" i="5" s="1"/>
  <c r="AR1311" i="5"/>
  <c r="AZ1311" i="5" s="1"/>
  <c r="BF1311" i="5"/>
  <c r="BL1311" i="5"/>
  <c r="K1313" i="5"/>
  <c r="M1313" i="5"/>
  <c r="BH1313" i="5" s="1"/>
  <c r="AD1313" i="5"/>
  <c r="AE1313" i="5"/>
  <c r="AH1313" i="5"/>
  <c r="AI1313" i="5"/>
  <c r="AQ1313" i="5"/>
  <c r="AY1313" i="5" s="1"/>
  <c r="AR1313" i="5"/>
  <c r="BF1313" i="5"/>
  <c r="BL1313" i="5"/>
  <c r="K1315" i="5"/>
  <c r="AN1315" i="5" s="1"/>
  <c r="M1315" i="5"/>
  <c r="BH1315" i="5" s="1"/>
  <c r="AB1315" i="5"/>
  <c r="AJ1315" i="5"/>
  <c r="AL1315" i="5"/>
  <c r="AM1315" i="5"/>
  <c r="AQ1315" i="5"/>
  <c r="AR1315" i="5"/>
  <c r="BF1315" i="5"/>
  <c r="BL1315" i="5"/>
  <c r="K1318" i="5"/>
  <c r="M1318" i="5"/>
  <c r="AB1318" i="5"/>
  <c r="AI1318" i="5"/>
  <c r="AJ1318" i="5"/>
  <c r="AQ1318" i="5"/>
  <c r="I1318" i="5" s="1"/>
  <c r="AR1318" i="5"/>
  <c r="BF1318" i="5"/>
  <c r="BL1318" i="5"/>
  <c r="K1320" i="5"/>
  <c r="M1320" i="5"/>
  <c r="AH1320" i="5"/>
  <c r="AI1320" i="5"/>
  <c r="AL1320" i="5"/>
  <c r="AM1320" i="5"/>
  <c r="AQ1320" i="5"/>
  <c r="AR1320" i="5"/>
  <c r="BF1320" i="5"/>
  <c r="BH1320" i="5"/>
  <c r="BL1320" i="5"/>
  <c r="AJ1320" i="5" s="1"/>
  <c r="K1322" i="5"/>
  <c r="M1322" i="5"/>
  <c r="BH1322" i="5" s="1"/>
  <c r="AF1322" i="5"/>
  <c r="AJ1322" i="5"/>
  <c r="AQ1322" i="5"/>
  <c r="BJ1322" i="5" s="1"/>
  <c r="AR1322" i="5"/>
  <c r="BF1322" i="5"/>
  <c r="BL1322" i="5"/>
  <c r="AB1322" i="5" s="1"/>
  <c r="K1324" i="5"/>
  <c r="AN1324" i="5" s="1"/>
  <c r="M1324" i="5"/>
  <c r="BH1324" i="5" s="1"/>
  <c r="AB1324" i="5"/>
  <c r="AH1324" i="5"/>
  <c r="AL1324" i="5"/>
  <c r="AM1324" i="5"/>
  <c r="AQ1324" i="5"/>
  <c r="AY1324" i="5" s="1"/>
  <c r="AR1324" i="5"/>
  <c r="BF1324" i="5"/>
  <c r="BL1324" i="5"/>
  <c r="AJ1324" i="5" s="1"/>
  <c r="K1326" i="5"/>
  <c r="M1326" i="5"/>
  <c r="BH1326" i="5" s="1"/>
  <c r="AB1326" i="5"/>
  <c r="AI1326" i="5"/>
  <c r="AJ1326" i="5"/>
  <c r="AL1326" i="5"/>
  <c r="AQ1326" i="5"/>
  <c r="AR1326" i="5"/>
  <c r="BF1326" i="5"/>
  <c r="BL1326" i="5"/>
  <c r="K1329" i="5"/>
  <c r="M1329" i="5"/>
  <c r="AD1329" i="5"/>
  <c r="AE1329" i="5"/>
  <c r="AH1329" i="5"/>
  <c r="AI1329" i="5"/>
  <c r="AQ1329" i="5"/>
  <c r="I1329" i="5" s="1"/>
  <c r="I1328" i="5" s="1"/>
  <c r="AR1329" i="5"/>
  <c r="AZ1329" i="5" s="1"/>
  <c r="BF1329" i="5"/>
  <c r="BL1329" i="5"/>
  <c r="K1332" i="5"/>
  <c r="M1332" i="5"/>
  <c r="BH1332" i="5" s="1"/>
  <c r="AD1332" i="5"/>
  <c r="AH1332" i="5"/>
  <c r="AM1332" i="5"/>
  <c r="AV1331" i="5" s="1"/>
  <c r="AQ1332" i="5"/>
  <c r="I1332" i="5" s="1"/>
  <c r="I1331" i="5" s="1"/>
  <c r="AR1332" i="5"/>
  <c r="BF1332" i="5"/>
  <c r="BL1332" i="5"/>
  <c r="AJ1332" i="5" s="1"/>
  <c r="K1335" i="5"/>
  <c r="M1335" i="5"/>
  <c r="M1334" i="5" s="1"/>
  <c r="AF1335" i="5"/>
  <c r="AL1335" i="5"/>
  <c r="AU1334" i="5" s="1"/>
  <c r="AM1335" i="5"/>
  <c r="AV1334" i="5" s="1"/>
  <c r="AQ1335" i="5"/>
  <c r="AR1335" i="5"/>
  <c r="BF1335" i="5"/>
  <c r="BL1335" i="5"/>
  <c r="K1338" i="5"/>
  <c r="K1337" i="5" s="1"/>
  <c r="M1338" i="5"/>
  <c r="AB1338" i="5"/>
  <c r="AD1338" i="5"/>
  <c r="AH1338" i="5"/>
  <c r="AL1338" i="5"/>
  <c r="AU1337" i="5" s="1"/>
  <c r="AM1338" i="5"/>
  <c r="AV1337" i="5" s="1"/>
  <c r="AQ1338" i="5"/>
  <c r="BJ1338" i="5" s="1"/>
  <c r="AF1338" i="5" s="1"/>
  <c r="AR1338" i="5"/>
  <c r="BF1338" i="5"/>
  <c r="BL1338" i="5"/>
  <c r="AJ1338" i="5" s="1"/>
  <c r="K1342" i="5"/>
  <c r="K1341" i="5" s="1"/>
  <c r="K1340" i="5" s="1"/>
  <c r="P1340" i="5" s="1"/>
  <c r="M1342" i="5"/>
  <c r="AF1342" i="5"/>
  <c r="AG1342" i="5"/>
  <c r="AJ1342" i="5"/>
  <c r="AL1342" i="5"/>
  <c r="AU1341" i="5" s="1"/>
  <c r="AM1342" i="5"/>
  <c r="AV1341" i="5" s="1"/>
  <c r="AQ1342" i="5"/>
  <c r="AY1342" i="5" s="1"/>
  <c r="AR1342" i="5"/>
  <c r="BF1342" i="5"/>
  <c r="BL1342" i="5"/>
  <c r="AB1342" i="5" s="1"/>
  <c r="K1346" i="5"/>
  <c r="K1345" i="5" s="1"/>
  <c r="K1344" i="5" s="1"/>
  <c r="P1344" i="5" s="1"/>
  <c r="M1346" i="5"/>
  <c r="M1345" i="5" s="1"/>
  <c r="M1344" i="5" s="1"/>
  <c r="AB1346" i="5"/>
  <c r="AE1346" i="5"/>
  <c r="AJ1346" i="5"/>
  <c r="I1346" i="5"/>
  <c r="I1345" i="5" s="1"/>
  <c r="I1344" i="5" s="1"/>
  <c r="J1346" i="5"/>
  <c r="J1345" i="5" s="1"/>
  <c r="J1344" i="5" s="1"/>
  <c r="AY1346" i="5"/>
  <c r="AZ1346" i="5"/>
  <c r="J60" i="4" s="1"/>
  <c r="BF1346" i="5"/>
  <c r="BJ1346" i="5"/>
  <c r="AD1346" i="5" s="1"/>
  <c r="BK1346" i="5"/>
  <c r="AG1346" i="5" s="1"/>
  <c r="BL1346" i="5"/>
  <c r="K1350" i="5"/>
  <c r="AN1350" i="5" s="1"/>
  <c r="M1350" i="5"/>
  <c r="BH1350" i="5" s="1"/>
  <c r="AH1350" i="5"/>
  <c r="AI1350" i="5"/>
  <c r="AL1350" i="5"/>
  <c r="AM1350" i="5"/>
  <c r="AQ1350" i="5"/>
  <c r="AR1350" i="5"/>
  <c r="J1350" i="5" s="1"/>
  <c r="BF1350" i="5"/>
  <c r="BL1350" i="5"/>
  <c r="K1352" i="5"/>
  <c r="AN1352" i="5" s="1"/>
  <c r="M1352" i="5"/>
  <c r="AB1352" i="5"/>
  <c r="AJ1352" i="5"/>
  <c r="AL1352" i="5"/>
  <c r="AM1352" i="5"/>
  <c r="AQ1352" i="5"/>
  <c r="BJ1352" i="5" s="1"/>
  <c r="AR1352" i="5"/>
  <c r="BF1352" i="5"/>
  <c r="BL1352" i="5"/>
  <c r="K1354" i="5"/>
  <c r="M1354" i="5"/>
  <c r="BH1354" i="5" s="1"/>
  <c r="AH1354" i="5"/>
  <c r="AI1354" i="5"/>
  <c r="AM1354" i="5"/>
  <c r="AQ1354" i="5"/>
  <c r="AY1354" i="5" s="1"/>
  <c r="AR1354" i="5"/>
  <c r="J1354" i="5" s="1"/>
  <c r="BF1354" i="5"/>
  <c r="BL1354" i="5"/>
  <c r="K1357" i="5"/>
  <c r="M1357" i="5"/>
  <c r="BH1357" i="5" s="1"/>
  <c r="AB1357" i="5"/>
  <c r="AH1357" i="5"/>
  <c r="AL1357" i="5"/>
  <c r="AQ1357" i="5"/>
  <c r="AR1357" i="5"/>
  <c r="AZ1357" i="5" s="1"/>
  <c r="BF1357" i="5"/>
  <c r="BL1357" i="5"/>
  <c r="AJ1357" i="5" s="1"/>
  <c r="K1359" i="5"/>
  <c r="M1359" i="5"/>
  <c r="BH1359" i="5" s="1"/>
  <c r="AB1359" i="5"/>
  <c r="AI1359" i="5"/>
  <c r="AJ1359" i="5"/>
  <c r="AQ1359" i="5"/>
  <c r="AR1359" i="5"/>
  <c r="J1359" i="5" s="1"/>
  <c r="BF1359" i="5"/>
  <c r="BL1359" i="5"/>
  <c r="K1361" i="5"/>
  <c r="AN1361" i="5" s="1"/>
  <c r="M1361" i="5"/>
  <c r="BH1361" i="5" s="1"/>
  <c r="AB1361" i="5"/>
  <c r="AH1361" i="5"/>
  <c r="AL1361" i="5"/>
  <c r="AM1361" i="5"/>
  <c r="AQ1361" i="5"/>
  <c r="I1361" i="5" s="1"/>
  <c r="AR1361" i="5"/>
  <c r="BF1361" i="5"/>
  <c r="BL1361" i="5"/>
  <c r="AJ1361" i="5" s="1"/>
  <c r="K1363" i="5"/>
  <c r="AN1363" i="5" s="1"/>
  <c r="M1363" i="5"/>
  <c r="AB1363" i="5"/>
  <c r="AI1363" i="5"/>
  <c r="AJ1363" i="5"/>
  <c r="AQ1363" i="5"/>
  <c r="AY1363" i="5" s="1"/>
  <c r="AR1363" i="5"/>
  <c r="J1363" i="5" s="1"/>
  <c r="BF1363" i="5"/>
  <c r="BL1363" i="5"/>
  <c r="K1366" i="5"/>
  <c r="M1366" i="5"/>
  <c r="M1365" i="5" s="1"/>
  <c r="AH1366" i="5"/>
  <c r="AI1366" i="5"/>
  <c r="AQ1366" i="5"/>
  <c r="AR1366" i="5"/>
  <c r="BK1366" i="5" s="1"/>
  <c r="AE1366" i="5" s="1"/>
  <c r="BF1366" i="5"/>
  <c r="BL1366" i="5"/>
  <c r="K1369" i="5"/>
  <c r="M1369" i="5"/>
  <c r="BH1369" i="5" s="1"/>
  <c r="AH1369" i="5"/>
  <c r="AL1369" i="5"/>
  <c r="AQ1369" i="5"/>
  <c r="BJ1369" i="5" s="1"/>
  <c r="AD1369" i="5" s="1"/>
  <c r="AR1369" i="5"/>
  <c r="AZ1369" i="5" s="1"/>
  <c r="BF1369" i="5"/>
  <c r="BL1369" i="5"/>
  <c r="AJ1369" i="5" s="1"/>
  <c r="K1371" i="5"/>
  <c r="M1371" i="5"/>
  <c r="AB1371" i="5"/>
  <c r="AI1371" i="5"/>
  <c r="AJ1371" i="5"/>
  <c r="AQ1371" i="5"/>
  <c r="I1371" i="5" s="1"/>
  <c r="AR1371" i="5"/>
  <c r="J1371" i="5" s="1"/>
  <c r="BF1371" i="5"/>
  <c r="BL1371" i="5"/>
  <c r="K1374" i="5"/>
  <c r="M1374" i="5"/>
  <c r="BH1374" i="5" s="1"/>
  <c r="AI1374" i="5"/>
  <c r="AM1374" i="5"/>
  <c r="AQ1374" i="5"/>
  <c r="AR1374" i="5"/>
  <c r="AZ1374" i="5" s="1"/>
  <c r="BF1374" i="5"/>
  <c r="BL1374" i="5"/>
  <c r="K1376" i="5"/>
  <c r="AN1376" i="5" s="1"/>
  <c r="M1376" i="5"/>
  <c r="BH1376" i="5" s="1"/>
  <c r="AB1376" i="5"/>
  <c r="AJ1376" i="5"/>
  <c r="AL1376" i="5"/>
  <c r="AM1376" i="5"/>
  <c r="AQ1376" i="5"/>
  <c r="BJ1376" i="5" s="1"/>
  <c r="AR1376" i="5"/>
  <c r="BF1376" i="5"/>
  <c r="BL1376" i="5"/>
  <c r="K1378" i="5"/>
  <c r="AM1378" i="5" s="1"/>
  <c r="M1378" i="5"/>
  <c r="BH1378" i="5" s="1"/>
  <c r="AH1378" i="5"/>
  <c r="AI1378" i="5"/>
  <c r="AQ1378" i="5"/>
  <c r="AR1378" i="5"/>
  <c r="BF1378" i="5"/>
  <c r="BL1378" i="5"/>
  <c r="AB1378" i="5" s="1"/>
  <c r="K1381" i="5"/>
  <c r="AN1381" i="5" s="1"/>
  <c r="M1381" i="5"/>
  <c r="BH1381" i="5" s="1"/>
  <c r="AJ1381" i="5"/>
  <c r="AL1381" i="5"/>
  <c r="AM1381" i="5"/>
  <c r="AQ1381" i="5"/>
  <c r="AY1381" i="5" s="1"/>
  <c r="AR1381" i="5"/>
  <c r="J1381" i="5" s="1"/>
  <c r="BF1381" i="5"/>
  <c r="BL1381" i="5"/>
  <c r="AB1381" i="5" s="1"/>
  <c r="K1383" i="5"/>
  <c r="M1383" i="5"/>
  <c r="BH1383" i="5" s="1"/>
  <c r="AI1383" i="5"/>
  <c r="AM1383" i="5"/>
  <c r="AQ1383" i="5"/>
  <c r="AR1383" i="5"/>
  <c r="BK1383" i="5" s="1"/>
  <c r="BF1383" i="5"/>
  <c r="BL1383" i="5"/>
  <c r="K1386" i="5"/>
  <c r="M1386" i="5"/>
  <c r="BH1386" i="5" s="1"/>
  <c r="AB1386" i="5"/>
  <c r="AD1386" i="5"/>
  <c r="AH1386" i="5"/>
  <c r="AL1386" i="5"/>
  <c r="AM1386" i="5"/>
  <c r="AQ1386" i="5"/>
  <c r="AR1386" i="5"/>
  <c r="BF1386" i="5"/>
  <c r="BL1386" i="5"/>
  <c r="AJ1386" i="5" s="1"/>
  <c r="K1388" i="5"/>
  <c r="M1388" i="5"/>
  <c r="BH1388" i="5" s="1"/>
  <c r="AB1388" i="5"/>
  <c r="AJ1388" i="5"/>
  <c r="AL1388" i="5"/>
  <c r="AQ1388" i="5"/>
  <c r="AR1388" i="5"/>
  <c r="J1388" i="5" s="1"/>
  <c r="BF1388" i="5"/>
  <c r="BL1388" i="5"/>
  <c r="K1391" i="5"/>
  <c r="M1391" i="5"/>
  <c r="AI1391" i="5"/>
  <c r="AQ1391" i="5"/>
  <c r="I1391" i="5" s="1"/>
  <c r="I1390" i="5" s="1"/>
  <c r="AR1391" i="5"/>
  <c r="J1391" i="5" s="1"/>
  <c r="J1390" i="5" s="1"/>
  <c r="BF1391" i="5"/>
  <c r="BL1391" i="5"/>
  <c r="AB1391" i="5" s="1"/>
  <c r="K1394" i="5"/>
  <c r="AN1394" i="5" s="1"/>
  <c r="M1394" i="5"/>
  <c r="BH1394" i="5" s="1"/>
  <c r="AB1394" i="5"/>
  <c r="AG1394" i="5"/>
  <c r="AH1394" i="5"/>
  <c r="AL1394" i="5"/>
  <c r="AQ1394" i="5"/>
  <c r="BJ1394" i="5" s="1"/>
  <c r="AF1394" i="5" s="1"/>
  <c r="AR1394" i="5"/>
  <c r="AZ1394" i="5" s="1"/>
  <c r="BF1394" i="5"/>
  <c r="BL1394" i="5"/>
  <c r="AJ1394" i="5" s="1"/>
  <c r="K1396" i="5"/>
  <c r="AM1396" i="5" s="1"/>
  <c r="M1396" i="5"/>
  <c r="BH1396" i="5" s="1"/>
  <c r="AB1396" i="5"/>
  <c r="AF1396" i="5"/>
  <c r="AJ1396" i="5"/>
  <c r="AL1396" i="5"/>
  <c r="AQ1396" i="5"/>
  <c r="AR1396" i="5"/>
  <c r="BK1396" i="5" s="1"/>
  <c r="BF1396" i="5"/>
  <c r="BL1396" i="5"/>
  <c r="K1399" i="5"/>
  <c r="AM1399" i="5" s="1"/>
  <c r="M1399" i="5"/>
  <c r="BH1399" i="5" s="1"/>
  <c r="AB1399" i="5"/>
  <c r="AH1399" i="5"/>
  <c r="AL1399" i="5"/>
  <c r="AQ1399" i="5"/>
  <c r="BJ1399" i="5" s="1"/>
  <c r="AR1399" i="5"/>
  <c r="BF1399" i="5"/>
  <c r="BL1399" i="5"/>
  <c r="AJ1399" i="5" s="1"/>
  <c r="K1402" i="5"/>
  <c r="M1402" i="5"/>
  <c r="BH1402" i="5" s="1"/>
  <c r="AB1402" i="5"/>
  <c r="AJ1402" i="5"/>
  <c r="AL1402" i="5"/>
  <c r="AQ1402" i="5"/>
  <c r="AY1402" i="5" s="1"/>
  <c r="AR1402" i="5"/>
  <c r="J1402" i="5" s="1"/>
  <c r="BF1402" i="5"/>
  <c r="BL1402" i="5"/>
  <c r="K1405" i="5"/>
  <c r="AM1405" i="5" s="1"/>
  <c r="M1405" i="5"/>
  <c r="BH1405" i="5" s="1"/>
  <c r="AB1405" i="5"/>
  <c r="AG1405" i="5"/>
  <c r="AH1405" i="5"/>
  <c r="AL1405" i="5"/>
  <c r="AQ1405" i="5"/>
  <c r="I1405" i="5" s="1"/>
  <c r="AR1405" i="5"/>
  <c r="BF1405" i="5"/>
  <c r="BL1405" i="5"/>
  <c r="AJ1405" i="5" s="1"/>
  <c r="K1407" i="5"/>
  <c r="M1407" i="5"/>
  <c r="BH1407" i="5" s="1"/>
  <c r="AB1407" i="5"/>
  <c r="AJ1407" i="5"/>
  <c r="AL1407" i="5"/>
  <c r="AQ1407" i="5"/>
  <c r="AY1407" i="5" s="1"/>
  <c r="AR1407" i="5"/>
  <c r="BK1407" i="5" s="1"/>
  <c r="AE1407" i="5" s="1"/>
  <c r="BF1407" i="5"/>
  <c r="BL1407" i="5"/>
  <c r="K1409" i="5"/>
  <c r="AN1409" i="5" s="1"/>
  <c r="M1409" i="5"/>
  <c r="BH1409" i="5" s="1"/>
  <c r="AB1409" i="5"/>
  <c r="AH1409" i="5"/>
  <c r="AL1409" i="5"/>
  <c r="AM1409" i="5"/>
  <c r="AQ1409" i="5"/>
  <c r="I1409" i="5" s="1"/>
  <c r="AR1409" i="5"/>
  <c r="BK1409" i="5" s="1"/>
  <c r="BF1409" i="5"/>
  <c r="BL1409" i="5"/>
  <c r="AJ1409" i="5" s="1"/>
  <c r="K1411" i="5"/>
  <c r="AM1411" i="5" s="1"/>
  <c r="M1411" i="5"/>
  <c r="BH1411" i="5" s="1"/>
  <c r="AB1411" i="5"/>
  <c r="AG1411" i="5"/>
  <c r="AI1411" i="5"/>
  <c r="AJ1411" i="5"/>
  <c r="AQ1411" i="5"/>
  <c r="BJ1411" i="5" s="1"/>
  <c r="AD1411" i="5" s="1"/>
  <c r="AR1411" i="5"/>
  <c r="J1411" i="5" s="1"/>
  <c r="BF1411" i="5"/>
  <c r="BL1411" i="5"/>
  <c r="K1413" i="5"/>
  <c r="AM1413" i="5" s="1"/>
  <c r="M1413" i="5"/>
  <c r="BH1413" i="5" s="1"/>
  <c r="AH1413" i="5"/>
  <c r="AL1413" i="5"/>
  <c r="AQ1413" i="5"/>
  <c r="AR1413" i="5"/>
  <c r="AZ1413" i="5" s="1"/>
  <c r="BF1413" i="5"/>
  <c r="BL1413" i="5"/>
  <c r="AJ1413" i="5" s="1"/>
  <c r="K1415" i="5"/>
  <c r="AM1415" i="5" s="1"/>
  <c r="M1415" i="5"/>
  <c r="BH1415" i="5" s="1"/>
  <c r="AB1415" i="5"/>
  <c r="AJ1415" i="5"/>
  <c r="AL1415" i="5"/>
  <c r="AQ1415" i="5"/>
  <c r="I1415" i="5" s="1"/>
  <c r="AR1415" i="5"/>
  <c r="BF1415" i="5"/>
  <c r="BL1415" i="5"/>
  <c r="K1417" i="5"/>
  <c r="AN1417" i="5" s="1"/>
  <c r="M1417" i="5"/>
  <c r="BH1417" i="5" s="1"/>
  <c r="AB1417" i="5"/>
  <c r="AH1417" i="5"/>
  <c r="AL1417" i="5"/>
  <c r="AM1417" i="5"/>
  <c r="AQ1417" i="5"/>
  <c r="AR1417" i="5"/>
  <c r="BK1417" i="5" s="1"/>
  <c r="AE1417" i="5" s="1"/>
  <c r="BF1417" i="5"/>
  <c r="BL1417" i="5"/>
  <c r="AJ1417" i="5" s="1"/>
  <c r="K1419" i="5"/>
  <c r="AM1419" i="5" s="1"/>
  <c r="M1419" i="5"/>
  <c r="BH1419" i="5" s="1"/>
  <c r="AB1419" i="5"/>
  <c r="AG1419" i="5"/>
  <c r="AI1419" i="5"/>
  <c r="AJ1419" i="5"/>
  <c r="AL1419" i="5"/>
  <c r="AQ1419" i="5"/>
  <c r="I1419" i="5" s="1"/>
  <c r="AR1419" i="5"/>
  <c r="J1419" i="5" s="1"/>
  <c r="BF1419" i="5"/>
  <c r="BL1419" i="5"/>
  <c r="K1421" i="5"/>
  <c r="AM1421" i="5" s="1"/>
  <c r="M1421" i="5"/>
  <c r="BH1421" i="5" s="1"/>
  <c r="AB1421" i="5"/>
  <c r="AG1421" i="5"/>
  <c r="AH1421" i="5"/>
  <c r="AI1421" i="5"/>
  <c r="AL1421" i="5"/>
  <c r="AQ1421" i="5"/>
  <c r="BJ1421" i="5" s="1"/>
  <c r="AR1421" i="5"/>
  <c r="BF1421" i="5"/>
  <c r="BL1421" i="5"/>
  <c r="AJ1421" i="5" s="1"/>
  <c r="K1424" i="5"/>
  <c r="AN1424" i="5" s="1"/>
  <c r="M1424" i="5"/>
  <c r="AJ1424" i="5"/>
  <c r="AL1424" i="5"/>
  <c r="AM1424" i="5"/>
  <c r="AQ1424" i="5"/>
  <c r="AY1424" i="5" s="1"/>
  <c r="AR1424" i="5"/>
  <c r="J1424" i="5" s="1"/>
  <c r="BF1424" i="5"/>
  <c r="BL1424" i="5"/>
  <c r="AB1424" i="5" s="1"/>
  <c r="K1426" i="5"/>
  <c r="M1426" i="5"/>
  <c r="BH1426" i="5" s="1"/>
  <c r="AI1426" i="5"/>
  <c r="AM1426" i="5"/>
  <c r="AQ1426" i="5"/>
  <c r="BJ1426" i="5" s="1"/>
  <c r="AR1426" i="5"/>
  <c r="J1426" i="5" s="1"/>
  <c r="BF1426" i="5"/>
  <c r="BL1426" i="5"/>
  <c r="AB1426" i="5" s="1"/>
  <c r="K1428" i="5"/>
  <c r="AN1428" i="5" s="1"/>
  <c r="M1428" i="5"/>
  <c r="BH1428" i="5" s="1"/>
  <c r="AJ1428" i="5"/>
  <c r="AL1428" i="5"/>
  <c r="AM1428" i="5"/>
  <c r="AQ1428" i="5"/>
  <c r="BJ1428" i="5" s="1"/>
  <c r="AD1428" i="5" s="1"/>
  <c r="AR1428" i="5"/>
  <c r="BK1428" i="5" s="1"/>
  <c r="AE1428" i="5" s="1"/>
  <c r="BF1428" i="5"/>
  <c r="BL1428" i="5"/>
  <c r="AB1428" i="5" s="1"/>
  <c r="K1430" i="5"/>
  <c r="M1430" i="5"/>
  <c r="BH1430" i="5" s="1"/>
  <c r="AI1430" i="5"/>
  <c r="AM1430" i="5"/>
  <c r="AQ1430" i="5"/>
  <c r="I1430" i="5" s="1"/>
  <c r="AR1430" i="5"/>
  <c r="AZ1430" i="5" s="1"/>
  <c r="BF1430" i="5"/>
  <c r="BL1430" i="5"/>
  <c r="AB1430" i="5" s="1"/>
  <c r="K1432" i="5"/>
  <c r="AN1432" i="5" s="1"/>
  <c r="M1432" i="5"/>
  <c r="BH1432" i="5" s="1"/>
  <c r="AL1432" i="5"/>
  <c r="AM1432" i="5"/>
  <c r="AQ1432" i="5"/>
  <c r="AY1432" i="5" s="1"/>
  <c r="AR1432" i="5"/>
  <c r="BF1432" i="5"/>
  <c r="BL1432" i="5"/>
  <c r="AB1432" i="5" s="1"/>
  <c r="K1434" i="5"/>
  <c r="AL1434" i="5" s="1"/>
  <c r="M1434" i="5"/>
  <c r="BH1434" i="5" s="1"/>
  <c r="AI1434" i="5"/>
  <c r="AM1434" i="5"/>
  <c r="AQ1434" i="5"/>
  <c r="AR1434" i="5"/>
  <c r="J1434" i="5" s="1"/>
  <c r="BF1434" i="5"/>
  <c r="BL1434" i="5"/>
  <c r="AB1434" i="5" s="1"/>
  <c r="K1436" i="5"/>
  <c r="AN1436" i="5" s="1"/>
  <c r="M1436" i="5"/>
  <c r="BH1436" i="5" s="1"/>
  <c r="AL1436" i="5"/>
  <c r="AM1436" i="5"/>
  <c r="AQ1436" i="5"/>
  <c r="BJ1436" i="5" s="1"/>
  <c r="AR1436" i="5"/>
  <c r="AZ1436" i="5" s="1"/>
  <c r="BF1436" i="5"/>
  <c r="BL1436" i="5"/>
  <c r="AB1436" i="5" s="1"/>
  <c r="K1438" i="5"/>
  <c r="M1438" i="5"/>
  <c r="BH1438" i="5" s="1"/>
  <c r="AH1438" i="5"/>
  <c r="AI1438" i="5"/>
  <c r="AJ1438" i="5"/>
  <c r="AM1438" i="5"/>
  <c r="AQ1438" i="5"/>
  <c r="I1438" i="5" s="1"/>
  <c r="AR1438" i="5"/>
  <c r="J1438" i="5" s="1"/>
  <c r="BF1438" i="5"/>
  <c r="BL1438" i="5"/>
  <c r="AB1438" i="5" s="1"/>
  <c r="K1441" i="5"/>
  <c r="AN1441" i="5" s="1"/>
  <c r="AW1440" i="5" s="1"/>
  <c r="M1441" i="5"/>
  <c r="M1440" i="5" s="1"/>
  <c r="AD1441" i="5"/>
  <c r="AG1441" i="5"/>
  <c r="AH1441" i="5"/>
  <c r="AL1441" i="5"/>
  <c r="AU1440" i="5" s="1"/>
  <c r="AQ1441" i="5"/>
  <c r="AR1441" i="5"/>
  <c r="BF1441" i="5"/>
  <c r="BL1441" i="5"/>
  <c r="AJ1441" i="5" s="1"/>
  <c r="K1444" i="5"/>
  <c r="K1443" i="5" s="1"/>
  <c r="M1444" i="5"/>
  <c r="AF1444" i="5"/>
  <c r="AH1444" i="5"/>
  <c r="AL1444" i="5"/>
  <c r="AU1443" i="5" s="1"/>
  <c r="AM1444" i="5"/>
  <c r="AV1443" i="5" s="1"/>
  <c r="AQ1444" i="5"/>
  <c r="AY1444" i="5" s="1"/>
  <c r="AR1444" i="5"/>
  <c r="AZ1444" i="5" s="1"/>
  <c r="BF1444" i="5"/>
  <c r="BL1444" i="5"/>
  <c r="AB1444" i="5" s="1"/>
  <c r="K1448" i="5"/>
  <c r="AM1448" i="5" s="1"/>
  <c r="M1448" i="5"/>
  <c r="BH1448" i="5" s="1"/>
  <c r="AB1448" i="5"/>
  <c r="AJ1448" i="5"/>
  <c r="AQ1448" i="5"/>
  <c r="I1448" i="5" s="1"/>
  <c r="AR1448" i="5"/>
  <c r="J1448" i="5" s="1"/>
  <c r="BF1448" i="5"/>
  <c r="BL1448" i="5"/>
  <c r="K1450" i="5"/>
  <c r="AM1450" i="5" s="1"/>
  <c r="M1450" i="5"/>
  <c r="BH1450" i="5" s="1"/>
  <c r="AB1450" i="5"/>
  <c r="AG1450" i="5"/>
  <c r="AH1450" i="5"/>
  <c r="AL1450" i="5"/>
  <c r="AQ1450" i="5"/>
  <c r="AY1450" i="5" s="1"/>
  <c r="AR1450" i="5"/>
  <c r="AZ1450" i="5" s="1"/>
  <c r="BF1450" i="5"/>
  <c r="BL1450" i="5"/>
  <c r="AJ1450" i="5" s="1"/>
  <c r="K1453" i="5"/>
  <c r="K1452" i="5" s="1"/>
  <c r="M1453" i="5"/>
  <c r="AF1453" i="5"/>
  <c r="AH1453" i="5"/>
  <c r="AL1453" i="5"/>
  <c r="AU1452" i="5" s="1"/>
  <c r="AM1453" i="5"/>
  <c r="AV1452" i="5" s="1"/>
  <c r="AQ1453" i="5"/>
  <c r="AY1453" i="5" s="1"/>
  <c r="AR1453" i="5"/>
  <c r="AZ1453" i="5" s="1"/>
  <c r="BF1453" i="5"/>
  <c r="BL1453" i="5"/>
  <c r="AB1453" i="5" s="1"/>
  <c r="K1456" i="5"/>
  <c r="AN1456" i="5" s="1"/>
  <c r="M1456" i="5"/>
  <c r="BH1456" i="5" s="1"/>
  <c r="AB1456" i="5"/>
  <c r="AG1456" i="5"/>
  <c r="AJ1456" i="5"/>
  <c r="AL1456" i="5"/>
  <c r="AQ1456" i="5"/>
  <c r="AR1456" i="5"/>
  <c r="BK1456" i="5" s="1"/>
  <c r="AI1456" i="5" s="1"/>
  <c r="BF1456" i="5"/>
  <c r="BL1456" i="5"/>
  <c r="K1458" i="5"/>
  <c r="AN1458" i="5" s="1"/>
  <c r="M1458" i="5"/>
  <c r="BH1458" i="5" s="1"/>
  <c r="AB1458" i="5"/>
  <c r="AG1458" i="5"/>
  <c r="AH1458" i="5"/>
  <c r="AL1458" i="5"/>
  <c r="AM1458" i="5"/>
  <c r="AQ1458" i="5"/>
  <c r="I1458" i="5" s="1"/>
  <c r="AR1458" i="5"/>
  <c r="BK1458" i="5" s="1"/>
  <c r="AE1458" i="5" s="1"/>
  <c r="BF1458" i="5"/>
  <c r="BL1458" i="5"/>
  <c r="AJ1458" i="5" s="1"/>
  <c r="K1461" i="5"/>
  <c r="AN1461" i="5" s="1"/>
  <c r="M1461" i="5"/>
  <c r="BH1461" i="5" s="1"/>
  <c r="AJ1461" i="5"/>
  <c r="AL1461" i="5"/>
  <c r="AM1461" i="5"/>
  <c r="AQ1461" i="5"/>
  <c r="BJ1461" i="5" s="1"/>
  <c r="AD1461" i="5" s="1"/>
  <c r="AR1461" i="5"/>
  <c r="BK1461" i="5" s="1"/>
  <c r="AE1461" i="5" s="1"/>
  <c r="BF1461" i="5"/>
  <c r="BL1461" i="5"/>
  <c r="AB1461" i="5" s="1"/>
  <c r="K1463" i="5"/>
  <c r="M1463" i="5"/>
  <c r="BH1463" i="5" s="1"/>
  <c r="AI1463" i="5"/>
  <c r="AM1463" i="5"/>
  <c r="AQ1463" i="5"/>
  <c r="AR1463" i="5"/>
  <c r="BF1463" i="5"/>
  <c r="BL1463" i="5"/>
  <c r="AB1463" i="5" s="1"/>
  <c r="K1466" i="5"/>
  <c r="AN1466" i="5" s="1"/>
  <c r="AW1465" i="5" s="1"/>
  <c r="M1466" i="5"/>
  <c r="AH1466" i="5"/>
  <c r="AL1466" i="5"/>
  <c r="AU1465" i="5" s="1"/>
  <c r="AQ1466" i="5"/>
  <c r="AY1466" i="5" s="1"/>
  <c r="AR1466" i="5"/>
  <c r="AZ1466" i="5" s="1"/>
  <c r="BF1466" i="5"/>
  <c r="BL1466" i="5"/>
  <c r="AJ1466" i="5" s="1"/>
  <c r="K1469" i="5"/>
  <c r="AN1469" i="5" s="1"/>
  <c r="M1469" i="5"/>
  <c r="AL1469" i="5"/>
  <c r="AM1469" i="5"/>
  <c r="AQ1469" i="5"/>
  <c r="AY1469" i="5" s="1"/>
  <c r="AR1469" i="5"/>
  <c r="AZ1469" i="5" s="1"/>
  <c r="BF1469" i="5"/>
  <c r="BL1469" i="5"/>
  <c r="AB1469" i="5" s="1"/>
  <c r="K1471" i="5"/>
  <c r="M1471" i="5"/>
  <c r="BH1471" i="5" s="1"/>
  <c r="AF1471" i="5"/>
  <c r="AI1471" i="5"/>
  <c r="AJ1471" i="5"/>
  <c r="AM1471" i="5"/>
  <c r="AQ1471" i="5"/>
  <c r="BJ1471" i="5" s="1"/>
  <c r="AD1471" i="5" s="1"/>
  <c r="AR1471" i="5"/>
  <c r="J1471" i="5" s="1"/>
  <c r="BF1471" i="5"/>
  <c r="BL1471" i="5"/>
  <c r="AB1471" i="5" s="1"/>
  <c r="K1473" i="5"/>
  <c r="AN1473" i="5" s="1"/>
  <c r="M1473" i="5"/>
  <c r="BH1473" i="5" s="1"/>
  <c r="AB1473" i="5"/>
  <c r="AJ1473" i="5"/>
  <c r="AL1473" i="5"/>
  <c r="AM1473" i="5"/>
  <c r="AQ1473" i="5"/>
  <c r="BJ1473" i="5" s="1"/>
  <c r="AR1473" i="5"/>
  <c r="BK1473" i="5" s="1"/>
  <c r="AE1473" i="5" s="1"/>
  <c r="BF1473" i="5"/>
  <c r="BL1473" i="5"/>
  <c r="K1476" i="5"/>
  <c r="AM1476" i="5" s="1"/>
  <c r="AV1475" i="5" s="1"/>
  <c r="M1476" i="5"/>
  <c r="M1475" i="5" s="1"/>
  <c r="AB1476" i="5"/>
  <c r="AG1476" i="5"/>
  <c r="AJ1476" i="5"/>
  <c r="AQ1476" i="5"/>
  <c r="AY1476" i="5" s="1"/>
  <c r="AR1476" i="5"/>
  <c r="BF1476" i="5"/>
  <c r="BL1476" i="5"/>
  <c r="K1479" i="5"/>
  <c r="AL1479" i="5" s="1"/>
  <c r="M1479" i="5"/>
  <c r="BH1479" i="5" s="1"/>
  <c r="AI1479" i="5"/>
  <c r="AM1479" i="5"/>
  <c r="AQ1479" i="5"/>
  <c r="I1479" i="5" s="1"/>
  <c r="AR1479" i="5"/>
  <c r="BK1479" i="5" s="1"/>
  <c r="BF1479" i="5"/>
  <c r="BL1479" i="5"/>
  <c r="AB1479" i="5" s="1"/>
  <c r="K1481" i="5"/>
  <c r="AN1481" i="5" s="1"/>
  <c r="M1481" i="5"/>
  <c r="BH1481" i="5" s="1"/>
  <c r="AB1481" i="5"/>
  <c r="AF1481" i="5"/>
  <c r="AJ1481" i="5"/>
  <c r="AL1481" i="5"/>
  <c r="AM1481" i="5"/>
  <c r="AQ1481" i="5"/>
  <c r="AY1481" i="5" s="1"/>
  <c r="AR1481" i="5"/>
  <c r="AZ1481" i="5" s="1"/>
  <c r="BF1481" i="5"/>
  <c r="BL1481" i="5"/>
  <c r="K1484" i="5"/>
  <c r="M1484" i="5"/>
  <c r="BH1484" i="5" s="1"/>
  <c r="AB1484" i="5"/>
  <c r="AJ1484" i="5"/>
  <c r="AL1484" i="5"/>
  <c r="AQ1484" i="5"/>
  <c r="AY1484" i="5" s="1"/>
  <c r="AR1484" i="5"/>
  <c r="J1484" i="5" s="1"/>
  <c r="BF1484" i="5"/>
  <c r="BL1484" i="5"/>
  <c r="K1486" i="5"/>
  <c r="AM1486" i="5" s="1"/>
  <c r="M1486" i="5"/>
  <c r="AH1486" i="5"/>
  <c r="AI1486" i="5"/>
  <c r="AJ1486" i="5"/>
  <c r="AL1486" i="5"/>
  <c r="AQ1486" i="5"/>
  <c r="AY1486" i="5" s="1"/>
  <c r="AR1486" i="5"/>
  <c r="BF1486" i="5"/>
  <c r="BL1486" i="5"/>
  <c r="AB1486" i="5" s="1"/>
  <c r="K1488" i="5"/>
  <c r="AM1488" i="5" s="1"/>
  <c r="M1488" i="5"/>
  <c r="BH1488" i="5" s="1"/>
  <c r="AB1488" i="5"/>
  <c r="AG1488" i="5"/>
  <c r="AI1488" i="5"/>
  <c r="AJ1488" i="5"/>
  <c r="AQ1488" i="5"/>
  <c r="I1488" i="5" s="1"/>
  <c r="AR1488" i="5"/>
  <c r="BF1488" i="5"/>
  <c r="BL1488" i="5"/>
  <c r="K1491" i="5"/>
  <c r="M1491" i="5"/>
  <c r="AM1491" i="5"/>
  <c r="AQ1491" i="5"/>
  <c r="AR1491" i="5"/>
  <c r="J1491" i="5" s="1"/>
  <c r="BF1491" i="5"/>
  <c r="BL1491" i="5"/>
  <c r="AB1491" i="5" s="1"/>
  <c r="K1493" i="5"/>
  <c r="AN1493" i="5" s="1"/>
  <c r="M1493" i="5"/>
  <c r="BH1493" i="5" s="1"/>
  <c r="AL1493" i="5"/>
  <c r="AM1493" i="5"/>
  <c r="AQ1493" i="5"/>
  <c r="I1493" i="5" s="1"/>
  <c r="AR1493" i="5"/>
  <c r="J1493" i="5" s="1"/>
  <c r="BF1493" i="5"/>
  <c r="BL1493" i="5"/>
  <c r="AJ1493" i="5" s="1"/>
  <c r="K1496" i="5"/>
  <c r="M1496" i="5"/>
  <c r="BH1496" i="5" s="1"/>
  <c r="AB1496" i="5"/>
  <c r="AF1496" i="5"/>
  <c r="AJ1496" i="5"/>
  <c r="AL1496" i="5"/>
  <c r="AQ1496" i="5"/>
  <c r="I1496" i="5" s="1"/>
  <c r="AR1496" i="5"/>
  <c r="J1496" i="5" s="1"/>
  <c r="BF1496" i="5"/>
  <c r="BL1496" i="5"/>
  <c r="K1498" i="5"/>
  <c r="AM1498" i="5" s="1"/>
  <c r="M1498" i="5"/>
  <c r="BH1498" i="5" s="1"/>
  <c r="AH1498" i="5"/>
  <c r="AJ1498" i="5"/>
  <c r="AL1498" i="5"/>
  <c r="AQ1498" i="5"/>
  <c r="AR1498" i="5"/>
  <c r="BK1498" i="5" s="1"/>
  <c r="AE1498" i="5" s="1"/>
  <c r="BF1498" i="5"/>
  <c r="BL1498" i="5"/>
  <c r="AB1498" i="5" s="1"/>
  <c r="K1501" i="5"/>
  <c r="AM1501" i="5" s="1"/>
  <c r="M1501" i="5"/>
  <c r="BH1501" i="5" s="1"/>
  <c r="AF1501" i="5"/>
  <c r="AG1501" i="5"/>
  <c r="AI1501" i="5"/>
  <c r="AJ1501" i="5"/>
  <c r="AQ1501" i="5"/>
  <c r="I1501" i="5" s="1"/>
  <c r="AR1501" i="5"/>
  <c r="J1501" i="5" s="1"/>
  <c r="BF1501" i="5"/>
  <c r="BL1501" i="5"/>
  <c r="AB1501" i="5" s="1"/>
  <c r="K1503" i="5"/>
  <c r="AL1503" i="5" s="1"/>
  <c r="M1503" i="5"/>
  <c r="BH1503" i="5" s="1"/>
  <c r="AQ1503" i="5"/>
  <c r="BJ1503" i="5" s="1"/>
  <c r="AR1503" i="5"/>
  <c r="AZ1503" i="5" s="1"/>
  <c r="BF1503" i="5"/>
  <c r="BL1503" i="5"/>
  <c r="AJ1503" i="5" s="1"/>
  <c r="K1506" i="5"/>
  <c r="AN1506" i="5" s="1"/>
  <c r="M1506" i="5"/>
  <c r="BH1506" i="5" s="1"/>
  <c r="AB1506" i="5"/>
  <c r="AG1506" i="5"/>
  <c r="AL1506" i="5"/>
  <c r="AM1506" i="5"/>
  <c r="AQ1506" i="5"/>
  <c r="AY1506" i="5" s="1"/>
  <c r="AR1506" i="5"/>
  <c r="BK1506" i="5" s="1"/>
  <c r="AI1506" i="5" s="1"/>
  <c r="BF1506" i="5"/>
  <c r="BL1506" i="5"/>
  <c r="AJ1506" i="5" s="1"/>
  <c r="K1508" i="5"/>
  <c r="AL1508" i="5" s="1"/>
  <c r="M1508" i="5"/>
  <c r="BH1508" i="5" s="1"/>
  <c r="AB1508" i="5"/>
  <c r="AF1508" i="5"/>
  <c r="AH1508" i="5"/>
  <c r="AI1508" i="5"/>
  <c r="AJ1508" i="5"/>
  <c r="AM1508" i="5"/>
  <c r="AQ1508" i="5"/>
  <c r="I1508" i="5" s="1"/>
  <c r="AR1508" i="5"/>
  <c r="BF1508" i="5"/>
  <c r="BL1508" i="5"/>
  <c r="K1510" i="5"/>
  <c r="AN1510" i="5" s="1"/>
  <c r="M1510" i="5"/>
  <c r="BH1510" i="5" s="1"/>
  <c r="AB1510" i="5"/>
  <c r="AL1510" i="5"/>
  <c r="AM1510" i="5"/>
  <c r="AQ1510" i="5"/>
  <c r="BJ1510" i="5" s="1"/>
  <c r="AD1510" i="5" s="1"/>
  <c r="AR1510" i="5"/>
  <c r="J1510" i="5" s="1"/>
  <c r="BF1510" i="5"/>
  <c r="BL1510" i="5"/>
  <c r="AJ1510" i="5" s="1"/>
  <c r="K1512" i="5"/>
  <c r="M1512" i="5"/>
  <c r="BH1512" i="5" s="1"/>
  <c r="AJ1512" i="5"/>
  <c r="AQ1512" i="5"/>
  <c r="I1512" i="5" s="1"/>
  <c r="AR1512" i="5"/>
  <c r="AZ1512" i="5" s="1"/>
  <c r="BF1512" i="5"/>
  <c r="BL1512" i="5"/>
  <c r="AB1512" i="5" s="1"/>
  <c r="K1514" i="5"/>
  <c r="AN1514" i="5" s="1"/>
  <c r="M1514" i="5"/>
  <c r="BH1514" i="5" s="1"/>
  <c r="AJ1514" i="5"/>
  <c r="AL1514" i="5"/>
  <c r="AM1514" i="5"/>
  <c r="AQ1514" i="5"/>
  <c r="AY1514" i="5" s="1"/>
  <c r="AR1514" i="5"/>
  <c r="J1514" i="5" s="1"/>
  <c r="BF1514" i="5"/>
  <c r="BL1514" i="5"/>
  <c r="AB1514" i="5" s="1"/>
  <c r="K1516" i="5"/>
  <c r="AL1516" i="5" s="1"/>
  <c r="M1516" i="5"/>
  <c r="BH1516" i="5" s="1"/>
  <c r="AH1516" i="5"/>
  <c r="AI1516" i="5"/>
  <c r="AJ1516" i="5"/>
  <c r="AM1516" i="5"/>
  <c r="AQ1516" i="5"/>
  <c r="AR1516" i="5"/>
  <c r="AZ1516" i="5" s="1"/>
  <c r="BF1516" i="5"/>
  <c r="BL1516" i="5"/>
  <c r="AB1516" i="5" s="1"/>
  <c r="K1518" i="5"/>
  <c r="AN1518" i="5" s="1"/>
  <c r="M1518" i="5"/>
  <c r="BH1518" i="5" s="1"/>
  <c r="AB1518" i="5"/>
  <c r="AH1518" i="5"/>
  <c r="AJ1518" i="5"/>
  <c r="AL1518" i="5"/>
  <c r="AM1518" i="5"/>
  <c r="AQ1518" i="5"/>
  <c r="AY1518" i="5" s="1"/>
  <c r="AR1518" i="5"/>
  <c r="BF1518" i="5"/>
  <c r="BL1518" i="5"/>
  <c r="K1520" i="5"/>
  <c r="AL1520" i="5" s="1"/>
  <c r="M1520" i="5"/>
  <c r="BH1520" i="5" s="1"/>
  <c r="AH1520" i="5"/>
  <c r="AI1520" i="5"/>
  <c r="AQ1520" i="5"/>
  <c r="BJ1520" i="5" s="1"/>
  <c r="AD1520" i="5" s="1"/>
  <c r="AR1520" i="5"/>
  <c r="BK1520" i="5" s="1"/>
  <c r="BF1520" i="5"/>
  <c r="BL1520" i="5"/>
  <c r="AJ1520" i="5" s="1"/>
  <c r="K1522" i="5"/>
  <c r="AN1522" i="5" s="1"/>
  <c r="M1522" i="5"/>
  <c r="BH1522" i="5" s="1"/>
  <c r="AB1522" i="5"/>
  <c r="AF1522" i="5"/>
  <c r="AJ1522" i="5"/>
  <c r="AL1522" i="5"/>
  <c r="AM1522" i="5"/>
  <c r="AQ1522" i="5"/>
  <c r="AY1522" i="5" s="1"/>
  <c r="AR1522" i="5"/>
  <c r="J1522" i="5" s="1"/>
  <c r="BF1522" i="5"/>
  <c r="BL1522" i="5"/>
  <c r="K1524" i="5"/>
  <c r="AL1524" i="5" s="1"/>
  <c r="M1524" i="5"/>
  <c r="BH1524" i="5" s="1"/>
  <c r="AH1524" i="5"/>
  <c r="AI1524" i="5"/>
  <c r="AJ1524" i="5"/>
  <c r="AM1524" i="5"/>
  <c r="AQ1524" i="5"/>
  <c r="BJ1524" i="5" s="1"/>
  <c r="AR1524" i="5"/>
  <c r="J1524" i="5" s="1"/>
  <c r="BF1524" i="5"/>
  <c r="BL1524" i="5"/>
  <c r="AB1524" i="5" s="1"/>
  <c r="K1526" i="5"/>
  <c r="AN1526" i="5" s="1"/>
  <c r="M1526" i="5"/>
  <c r="BH1526" i="5" s="1"/>
  <c r="AB1526" i="5"/>
  <c r="AH1526" i="5"/>
  <c r="AJ1526" i="5"/>
  <c r="AL1526" i="5"/>
  <c r="AM1526" i="5"/>
  <c r="AQ1526" i="5"/>
  <c r="BJ1526" i="5" s="1"/>
  <c r="AD1526" i="5" s="1"/>
  <c r="AR1526" i="5"/>
  <c r="BK1526" i="5" s="1"/>
  <c r="AE1526" i="5" s="1"/>
  <c r="BF1526" i="5"/>
  <c r="BL1526" i="5"/>
  <c r="K1528" i="5"/>
  <c r="AL1528" i="5" s="1"/>
  <c r="M1528" i="5"/>
  <c r="BH1528" i="5" s="1"/>
  <c r="AH1528" i="5"/>
  <c r="AI1528" i="5"/>
  <c r="AQ1528" i="5"/>
  <c r="AR1528" i="5"/>
  <c r="BK1528" i="5" s="1"/>
  <c r="AG1528" i="5" s="1"/>
  <c r="BF1528" i="5"/>
  <c r="BL1528" i="5"/>
  <c r="AJ1528" i="5" s="1"/>
  <c r="K1530" i="5"/>
  <c r="AN1530" i="5" s="1"/>
  <c r="M1530" i="5"/>
  <c r="BH1530" i="5" s="1"/>
  <c r="AB1530" i="5"/>
  <c r="AJ1530" i="5"/>
  <c r="AL1530" i="5"/>
  <c r="AM1530" i="5"/>
  <c r="AQ1530" i="5"/>
  <c r="AY1530" i="5" s="1"/>
  <c r="AR1530" i="5"/>
  <c r="J1530" i="5" s="1"/>
  <c r="BF1530" i="5"/>
  <c r="BL1530" i="5"/>
  <c r="K1532" i="5"/>
  <c r="AL1532" i="5" s="1"/>
  <c r="M1532" i="5"/>
  <c r="BH1532" i="5" s="1"/>
  <c r="AH1532" i="5"/>
  <c r="AI1532" i="5"/>
  <c r="AJ1532" i="5"/>
  <c r="AM1532" i="5"/>
  <c r="AQ1532" i="5"/>
  <c r="AY1532" i="5" s="1"/>
  <c r="AR1532" i="5"/>
  <c r="J1532" i="5" s="1"/>
  <c r="BF1532" i="5"/>
  <c r="BL1532" i="5"/>
  <c r="AB1532" i="5" s="1"/>
  <c r="K1534" i="5"/>
  <c r="AN1534" i="5" s="1"/>
  <c r="M1534" i="5"/>
  <c r="BH1534" i="5" s="1"/>
  <c r="AB1534" i="5"/>
  <c r="AH1534" i="5"/>
  <c r="AJ1534" i="5"/>
  <c r="AL1534" i="5"/>
  <c r="AM1534" i="5"/>
  <c r="AQ1534" i="5"/>
  <c r="AY1534" i="5" s="1"/>
  <c r="AR1534" i="5"/>
  <c r="BK1534" i="5" s="1"/>
  <c r="AE1534" i="5" s="1"/>
  <c r="BF1534" i="5"/>
  <c r="BL1534" i="5"/>
  <c r="K1536" i="5"/>
  <c r="AL1536" i="5" s="1"/>
  <c r="M1536" i="5"/>
  <c r="BH1536" i="5" s="1"/>
  <c r="AH1536" i="5"/>
  <c r="AI1536" i="5"/>
  <c r="AQ1536" i="5"/>
  <c r="BJ1536" i="5" s="1"/>
  <c r="AD1536" i="5" s="1"/>
  <c r="AR1536" i="5"/>
  <c r="BF1536" i="5"/>
  <c r="BL1536" i="5"/>
  <c r="AJ1536" i="5" s="1"/>
  <c r="K1539" i="5"/>
  <c r="M1539" i="5"/>
  <c r="BH1539" i="5" s="1"/>
  <c r="AH1539" i="5"/>
  <c r="AL1539" i="5"/>
  <c r="AM1539" i="5"/>
  <c r="AQ1539" i="5"/>
  <c r="AY1539" i="5" s="1"/>
  <c r="AR1539" i="5"/>
  <c r="BF1539" i="5"/>
  <c r="BL1539" i="5"/>
  <c r="AJ1539" i="5" s="1"/>
  <c r="K1541" i="5"/>
  <c r="AM1541" i="5" s="1"/>
  <c r="M1541" i="5"/>
  <c r="BH1541" i="5" s="1"/>
  <c r="AB1541" i="5"/>
  <c r="AJ1541" i="5"/>
  <c r="AL1541" i="5"/>
  <c r="AQ1541" i="5"/>
  <c r="I1541" i="5" s="1"/>
  <c r="AR1541" i="5"/>
  <c r="J1541" i="5" s="1"/>
  <c r="BF1541" i="5"/>
  <c r="BL1541" i="5"/>
  <c r="K1544" i="5"/>
  <c r="AL1544" i="5" s="1"/>
  <c r="AU1543" i="5" s="1"/>
  <c r="M1544" i="5"/>
  <c r="M1543" i="5" s="1"/>
  <c r="AD1544" i="5"/>
  <c r="AE1544" i="5"/>
  <c r="AI1544" i="5"/>
  <c r="AJ1544" i="5"/>
  <c r="AM1544" i="5"/>
  <c r="AV1543" i="5" s="1"/>
  <c r="AQ1544" i="5"/>
  <c r="BJ1544" i="5" s="1"/>
  <c r="AF1544" i="5" s="1"/>
  <c r="AR1544" i="5"/>
  <c r="J1544" i="5" s="1"/>
  <c r="J1543" i="5" s="1"/>
  <c r="BF1544" i="5"/>
  <c r="BL1544" i="5"/>
  <c r="AB1544" i="5" s="1"/>
  <c r="K1547" i="5"/>
  <c r="AN1547" i="5" s="1"/>
  <c r="M1547" i="5"/>
  <c r="BH1547" i="5" s="1"/>
  <c r="AD1547" i="5"/>
  <c r="AE1547" i="5"/>
  <c r="AH1547" i="5"/>
  <c r="AI1547" i="5"/>
  <c r="AL1547" i="5"/>
  <c r="AM1547" i="5"/>
  <c r="AQ1547" i="5"/>
  <c r="AR1547" i="5"/>
  <c r="BF1547" i="5"/>
  <c r="BL1547" i="5"/>
  <c r="AJ1547" i="5" s="1"/>
  <c r="K1549" i="5"/>
  <c r="AL1549" i="5" s="1"/>
  <c r="M1549" i="5"/>
  <c r="AJ1549" i="5"/>
  <c r="AQ1549" i="5"/>
  <c r="I1549" i="5" s="1"/>
  <c r="AR1549" i="5"/>
  <c r="BK1549" i="5" s="1"/>
  <c r="BF1549" i="5"/>
  <c r="BL1549" i="5"/>
  <c r="AB1549" i="5" s="1"/>
  <c r="K1553" i="5"/>
  <c r="AL1553" i="5" s="1"/>
  <c r="M1553" i="5"/>
  <c r="BH1553" i="5" s="1"/>
  <c r="AD1553" i="5"/>
  <c r="AE1553" i="5"/>
  <c r="AI1553" i="5"/>
  <c r="AJ1553" i="5"/>
  <c r="AM1553" i="5"/>
  <c r="AQ1553" i="5"/>
  <c r="AR1553" i="5"/>
  <c r="J1553" i="5" s="1"/>
  <c r="BF1553" i="5"/>
  <c r="BL1553" i="5"/>
  <c r="AB1553" i="5" s="1"/>
  <c r="K1555" i="5"/>
  <c r="AN1555" i="5" s="1"/>
  <c r="M1555" i="5"/>
  <c r="BH1555" i="5" s="1"/>
  <c r="AB1555" i="5"/>
  <c r="AD1555" i="5"/>
  <c r="AH1555" i="5"/>
  <c r="AJ1555" i="5"/>
  <c r="AL1555" i="5"/>
  <c r="AM1555" i="5"/>
  <c r="AQ1555" i="5"/>
  <c r="AR1555" i="5"/>
  <c r="BF1555" i="5"/>
  <c r="BL1555" i="5"/>
  <c r="K1557" i="5"/>
  <c r="AL1557" i="5" s="1"/>
  <c r="M1557" i="5"/>
  <c r="BH1557" i="5" s="1"/>
  <c r="AE1557" i="5"/>
  <c r="AH1557" i="5"/>
  <c r="AI1557" i="5"/>
  <c r="AQ1557" i="5"/>
  <c r="I1557" i="5" s="1"/>
  <c r="AR1557" i="5"/>
  <c r="J1557" i="5" s="1"/>
  <c r="BF1557" i="5"/>
  <c r="BL1557" i="5"/>
  <c r="AJ1557" i="5" s="1"/>
  <c r="K1559" i="5"/>
  <c r="AN1559" i="5" s="1"/>
  <c r="M1559" i="5"/>
  <c r="BH1559" i="5" s="1"/>
  <c r="AB1559" i="5"/>
  <c r="AL1559" i="5"/>
  <c r="AM1559" i="5"/>
  <c r="AQ1559" i="5"/>
  <c r="AR1559" i="5"/>
  <c r="J1559" i="5" s="1"/>
  <c r="BF1559" i="5"/>
  <c r="BL1559" i="5"/>
  <c r="AJ1559" i="5" s="1"/>
  <c r="K1561" i="5"/>
  <c r="M1561" i="5"/>
  <c r="BH1561" i="5" s="1"/>
  <c r="AD1561" i="5"/>
  <c r="AE1561" i="5"/>
  <c r="AI1561" i="5"/>
  <c r="AJ1561" i="5"/>
  <c r="AM1561" i="5"/>
  <c r="AQ1561" i="5"/>
  <c r="AY1561" i="5" s="1"/>
  <c r="AR1561" i="5"/>
  <c r="BK1561" i="5" s="1"/>
  <c r="AG1561" i="5" s="1"/>
  <c r="BF1561" i="5"/>
  <c r="BL1561" i="5"/>
  <c r="AB1561" i="5" s="1"/>
  <c r="K1563" i="5"/>
  <c r="M1563" i="5"/>
  <c r="BH1563" i="5" s="1"/>
  <c r="AB1563" i="5"/>
  <c r="AD1563" i="5"/>
  <c r="AH1563" i="5"/>
  <c r="AJ1563" i="5"/>
  <c r="AL1563" i="5"/>
  <c r="AM1563" i="5"/>
  <c r="AN1563" i="5"/>
  <c r="AQ1563" i="5"/>
  <c r="BJ1563" i="5" s="1"/>
  <c r="AF1563" i="5" s="1"/>
  <c r="AR1563" i="5"/>
  <c r="BK1563" i="5" s="1"/>
  <c r="AG1563" i="5" s="1"/>
  <c r="BF1563" i="5"/>
  <c r="BL1563" i="5"/>
  <c r="E25" i="10" l="1"/>
  <c r="F25" i="10" s="1"/>
  <c r="E26" i="10"/>
  <c r="F26" i="10" s="1"/>
  <c r="F27" i="10" s="1"/>
  <c r="F42" i="10" s="1"/>
  <c r="F41" i="10"/>
  <c r="AQ1094" i="5" s="1"/>
  <c r="AN954" i="5"/>
  <c r="AM94" i="5"/>
  <c r="R94" i="5"/>
  <c r="AM102" i="5"/>
  <c r="R102" i="5"/>
  <c r="AN100" i="5"/>
  <c r="R100" i="5"/>
  <c r="AL757" i="5"/>
  <c r="AU756" i="5" s="1"/>
  <c r="BP757" i="5"/>
  <c r="AN104" i="5"/>
  <c r="R104" i="5"/>
  <c r="AN120" i="5"/>
  <c r="K119" i="5"/>
  <c r="Q119" i="5" s="1"/>
  <c r="AN804" i="5"/>
  <c r="P804" i="5"/>
  <c r="AL748" i="5"/>
  <c r="AU747" i="5" s="1"/>
  <c r="BP747" i="5"/>
  <c r="K174" i="5"/>
  <c r="AN96" i="5"/>
  <c r="R96" i="5"/>
  <c r="BK1049" i="5"/>
  <c r="AG1049" i="5" s="1"/>
  <c r="M1368" i="5"/>
  <c r="BJ962" i="5"/>
  <c r="AF962" i="5" s="1"/>
  <c r="AY962" i="5"/>
  <c r="AY944" i="5"/>
  <c r="AN721" i="5"/>
  <c r="AW720" i="5" s="1"/>
  <c r="AY534" i="5"/>
  <c r="BJ534" i="5"/>
  <c r="AF534" i="5" s="1"/>
  <c r="BJ398" i="5"/>
  <c r="AD398" i="5" s="1"/>
  <c r="AY160" i="5"/>
  <c r="AN806" i="5"/>
  <c r="Q806" i="5"/>
  <c r="AM523" i="5"/>
  <c r="U523" i="5"/>
  <c r="AM542" i="5"/>
  <c r="P542" i="5"/>
  <c r="AM531" i="5"/>
  <c r="P531" i="5"/>
  <c r="AN406" i="5"/>
  <c r="P406" i="5"/>
  <c r="AL404" i="5"/>
  <c r="P404" i="5"/>
  <c r="AN396" i="5"/>
  <c r="P396" i="5"/>
  <c r="AN88" i="5"/>
  <c r="P88" i="5"/>
  <c r="AM818" i="5"/>
  <c r="P818" i="5"/>
  <c r="AN398" i="5"/>
  <c r="P398" i="5"/>
  <c r="AN369" i="5"/>
  <c r="Q369" i="5"/>
  <c r="AN349" i="5"/>
  <c r="Q349" i="5"/>
  <c r="AN765" i="5"/>
  <c r="Q765" i="5"/>
  <c r="AL337" i="5"/>
  <c r="Q337" i="5"/>
  <c r="BE1311" i="5"/>
  <c r="BK1249" i="5"/>
  <c r="AG1249" i="5" s="1"/>
  <c r="AN933" i="5"/>
  <c r="Q933" i="5"/>
  <c r="AM763" i="5"/>
  <c r="P763" i="5"/>
  <c r="AN652" i="5"/>
  <c r="AY551" i="5"/>
  <c r="AM551" i="5"/>
  <c r="Q551" i="5"/>
  <c r="AN402" i="5"/>
  <c r="P402" i="5"/>
  <c r="AX398" i="5"/>
  <c r="AN373" i="5"/>
  <c r="Q373" i="5"/>
  <c r="AN371" i="5"/>
  <c r="Q371" i="5"/>
  <c r="AN365" i="5"/>
  <c r="Q365" i="5"/>
  <c r="AL345" i="5"/>
  <c r="Q345" i="5"/>
  <c r="AN243" i="5"/>
  <c r="P243" i="5"/>
  <c r="AN924" i="5"/>
  <c r="P924" i="5"/>
  <c r="AN521" i="5"/>
  <c r="U521" i="5"/>
  <c r="AL519" i="5"/>
  <c r="U519" i="5"/>
  <c r="AN363" i="5"/>
  <c r="Q363" i="5"/>
  <c r="AN237" i="5"/>
  <c r="Q237" i="5"/>
  <c r="AN392" i="5"/>
  <c r="P392" i="5"/>
  <c r="AN355" i="5"/>
  <c r="Q355" i="5"/>
  <c r="AN931" i="5"/>
  <c r="Q931" i="5"/>
  <c r="AN814" i="5"/>
  <c r="Q814" i="5"/>
  <c r="AM810" i="5"/>
  <c r="P810" i="5"/>
  <c r="AN394" i="5"/>
  <c r="P394" i="5"/>
  <c r="AN386" i="5"/>
  <c r="P386" i="5"/>
  <c r="AN377" i="5"/>
  <c r="P377" i="5"/>
  <c r="AN347" i="5"/>
  <c r="Q347" i="5"/>
  <c r="AN343" i="5"/>
  <c r="Q343" i="5"/>
  <c r="AL234" i="5"/>
  <c r="P234" i="5"/>
  <c r="AN390" i="5"/>
  <c r="P390" i="5"/>
  <c r="AL929" i="5"/>
  <c r="Q929" i="5"/>
  <c r="AN921" i="5"/>
  <c r="P921" i="5"/>
  <c r="AN812" i="5"/>
  <c r="Q812" i="5"/>
  <c r="AN760" i="5"/>
  <c r="P760" i="5"/>
  <c r="AL527" i="5"/>
  <c r="P527" i="5"/>
  <c r="AM515" i="5"/>
  <c r="Q515" i="5"/>
  <c r="AN410" i="5"/>
  <c r="P410" i="5"/>
  <c r="AN400" i="5"/>
  <c r="P400" i="5"/>
  <c r="AN388" i="5"/>
  <c r="P388" i="5"/>
  <c r="AN339" i="5"/>
  <c r="Q339" i="5"/>
  <c r="AZ1541" i="5"/>
  <c r="AL919" i="5"/>
  <c r="P919" i="5"/>
  <c r="BK734" i="5"/>
  <c r="AN688" i="5"/>
  <c r="AW687" i="5" s="1"/>
  <c r="AL546" i="5"/>
  <c r="U546" i="5"/>
  <c r="AY439" i="5"/>
  <c r="AN408" i="5"/>
  <c r="P408" i="5"/>
  <c r="AM384" i="5"/>
  <c r="P384" i="5"/>
  <c r="AN379" i="5"/>
  <c r="P379" i="5"/>
  <c r="AN367" i="5"/>
  <c r="Q367" i="5"/>
  <c r="AN357" i="5"/>
  <c r="Q357" i="5"/>
  <c r="BK1541" i="5"/>
  <c r="AY1503" i="5"/>
  <c r="BE1503" i="5" s="1"/>
  <c r="BK1557" i="5"/>
  <c r="AG1557" i="5" s="1"/>
  <c r="BK212" i="5"/>
  <c r="AE212" i="5" s="1"/>
  <c r="AY98" i="5"/>
  <c r="I45" i="2"/>
  <c r="I24" i="1" s="1"/>
  <c r="BH168" i="5"/>
  <c r="AY116" i="5"/>
  <c r="I18" i="4" s="1"/>
  <c r="BE760" i="5"/>
  <c r="BJ519" i="5"/>
  <c r="AH519" i="5" s="1"/>
  <c r="AY1218" i="5"/>
  <c r="AX1218" i="5" s="1"/>
  <c r="AY542" i="5"/>
  <c r="AY517" i="5"/>
  <c r="I902" i="5"/>
  <c r="AZ1524" i="5"/>
  <c r="J1469" i="5"/>
  <c r="AN1297" i="5"/>
  <c r="BK104" i="5"/>
  <c r="AE104" i="5" s="1"/>
  <c r="AZ1283" i="5"/>
  <c r="BJ902" i="5"/>
  <c r="AF902" i="5" s="1"/>
  <c r="BJ666" i="5"/>
  <c r="AD666" i="5" s="1"/>
  <c r="AN300" i="5"/>
  <c r="AZ1557" i="5"/>
  <c r="BK1293" i="5"/>
  <c r="AG1293" i="5" s="1"/>
  <c r="AY402" i="5"/>
  <c r="BK240" i="5"/>
  <c r="AG240" i="5" s="1"/>
  <c r="K1385" i="5"/>
  <c r="BJ1361" i="5"/>
  <c r="AF1361" i="5" s="1"/>
  <c r="BJ1297" i="5"/>
  <c r="AF1297" i="5" s="1"/>
  <c r="BJ485" i="5"/>
  <c r="AH485" i="5" s="1"/>
  <c r="AN345" i="5"/>
  <c r="BK271" i="5"/>
  <c r="AE271" i="5" s="1"/>
  <c r="BK613" i="5"/>
  <c r="AE613" i="5" s="1"/>
  <c r="AY610" i="5"/>
  <c r="AY216" i="5"/>
  <c r="BK154" i="5"/>
  <c r="AG154" i="5" s="1"/>
  <c r="AX1058" i="5"/>
  <c r="AZ661" i="5"/>
  <c r="BJ635" i="5"/>
  <c r="AH635" i="5" s="1"/>
  <c r="BJ525" i="5"/>
  <c r="AF525" i="5" s="1"/>
  <c r="BJ415" i="5"/>
  <c r="AD415" i="5" s="1"/>
  <c r="BK384" i="5"/>
  <c r="AZ785" i="5"/>
  <c r="BJ680" i="5"/>
  <c r="AD680" i="5" s="1"/>
  <c r="AZ384" i="5"/>
  <c r="I1530" i="5"/>
  <c r="J1309" i="5"/>
  <c r="BJ1194" i="5"/>
  <c r="AD1194" i="5" s="1"/>
  <c r="AN214" i="5"/>
  <c r="BJ1496" i="5"/>
  <c r="AH1496" i="5" s="1"/>
  <c r="BK1434" i="5"/>
  <c r="AG1434" i="5" s="1"/>
  <c r="AY1297" i="5"/>
  <c r="AN748" i="5"/>
  <c r="AY640" i="5"/>
  <c r="BK572" i="5"/>
  <c r="AG572" i="5" s="1"/>
  <c r="BJ487" i="5"/>
  <c r="AF487" i="5" s="1"/>
  <c r="AY25" i="5"/>
  <c r="BH1544" i="5"/>
  <c r="BJ1212" i="5"/>
  <c r="AF1212" i="5" s="1"/>
  <c r="BE1123" i="5"/>
  <c r="AN519" i="5"/>
  <c r="AN128" i="5"/>
  <c r="BJ125" i="5"/>
  <c r="AF125" i="5" s="1"/>
  <c r="I25" i="5"/>
  <c r="AZ806" i="5"/>
  <c r="BJ599" i="5"/>
  <c r="AD599" i="5" s="1"/>
  <c r="AN234" i="5"/>
  <c r="M1331" i="5"/>
  <c r="BK1307" i="5"/>
  <c r="AZ1303" i="5"/>
  <c r="AX1303" i="5" s="1"/>
  <c r="BK1135" i="5"/>
  <c r="AG1135" i="5" s="1"/>
  <c r="AZ845" i="5"/>
  <c r="AN435" i="5"/>
  <c r="AY329" i="5"/>
  <c r="BJ253" i="5"/>
  <c r="AD253" i="5" s="1"/>
  <c r="BJ216" i="5"/>
  <c r="AF216" i="5" s="1"/>
  <c r="AY177" i="5"/>
  <c r="BE177" i="5" s="1"/>
  <c r="BJ160" i="5"/>
  <c r="AD160" i="5" s="1"/>
  <c r="AN866" i="5"/>
  <c r="BK829" i="5"/>
  <c r="AG829" i="5" s="1"/>
  <c r="BK721" i="5"/>
  <c r="AN703" i="5"/>
  <c r="AW702" i="5" s="1"/>
  <c r="I487" i="5"/>
  <c r="AY458" i="5"/>
  <c r="AY432" i="5"/>
  <c r="BK369" i="5"/>
  <c r="BJ322" i="5"/>
  <c r="AD322" i="5" s="1"/>
  <c r="BK268" i="5"/>
  <c r="AE268" i="5" s="1"/>
  <c r="BJ243" i="5"/>
  <c r="AY130" i="5"/>
  <c r="AN41" i="5"/>
  <c r="AW40" i="5" s="1"/>
  <c r="BK38" i="5"/>
  <c r="AE38" i="5" s="1"/>
  <c r="BJ1444" i="5"/>
  <c r="AD1444" i="5" s="1"/>
  <c r="BJ1534" i="5"/>
  <c r="AD1534" i="5" s="1"/>
  <c r="AY1216" i="5"/>
  <c r="AN1127" i="5"/>
  <c r="BJ954" i="5"/>
  <c r="AF954" i="5" s="1"/>
  <c r="BK631" i="5"/>
  <c r="AG631" i="5" s="1"/>
  <c r="BK487" i="5"/>
  <c r="AG487" i="5" s="1"/>
  <c r="AZ253" i="5"/>
  <c r="K233" i="5"/>
  <c r="AN1516" i="5"/>
  <c r="BK1514" i="5"/>
  <c r="AI1514" i="5" s="1"/>
  <c r="BJ1501" i="5"/>
  <c r="AD1501" i="5" s="1"/>
  <c r="BK1391" i="5"/>
  <c r="AG1391" i="5" s="1"/>
  <c r="BH1346" i="5"/>
  <c r="L60" i="4" s="1"/>
  <c r="AY1338" i="5"/>
  <c r="I56" i="4" s="1"/>
  <c r="BK1243" i="5"/>
  <c r="AG1243" i="5" s="1"/>
  <c r="BJ1228" i="5"/>
  <c r="AF1228" i="5" s="1"/>
  <c r="BJ1119" i="5"/>
  <c r="AF1119" i="5" s="1"/>
  <c r="BK1064" i="5"/>
  <c r="AG1064" i="5" s="1"/>
  <c r="J1064" i="5"/>
  <c r="J1063" i="5" s="1"/>
  <c r="BK1025" i="5"/>
  <c r="AG1025" i="5" s="1"/>
  <c r="J1025" i="5"/>
  <c r="BK814" i="5"/>
  <c r="AG814" i="5" s="1"/>
  <c r="BJ760" i="5"/>
  <c r="AD760" i="5" s="1"/>
  <c r="AZ1526" i="5"/>
  <c r="BK1116" i="5"/>
  <c r="AG1116" i="5" s="1"/>
  <c r="BK1040" i="5"/>
  <c r="AG1040" i="5" s="1"/>
  <c r="BJ949" i="5"/>
  <c r="AD949" i="5" s="1"/>
  <c r="BJ944" i="5"/>
  <c r="AH944" i="5" s="1"/>
  <c r="BK823" i="5"/>
  <c r="AI823" i="5" s="1"/>
  <c r="BK789" i="5"/>
  <c r="AE789" i="5" s="1"/>
  <c r="BH700" i="5"/>
  <c r="AY618" i="5"/>
  <c r="BE601" i="5"/>
  <c r="BK461" i="5"/>
  <c r="AG461" i="5" s="1"/>
  <c r="J452" i="5"/>
  <c r="AY427" i="5"/>
  <c r="BE427" i="5" s="1"/>
  <c r="AY168" i="5"/>
  <c r="AX168" i="5" s="1"/>
  <c r="AZ1514" i="5"/>
  <c r="AX1514" i="5" s="1"/>
  <c r="AN1309" i="5"/>
  <c r="BK1303" i="5"/>
  <c r="AG1303" i="5" s="1"/>
  <c r="BJ1289" i="5"/>
  <c r="AF1289" i="5" s="1"/>
  <c r="AY954" i="5"/>
  <c r="BJ789" i="5"/>
  <c r="AD789" i="5" s="1"/>
  <c r="AZ435" i="5"/>
  <c r="AZ156" i="5"/>
  <c r="BK785" i="5"/>
  <c r="AE785" i="5" s="1"/>
  <c r="BH709" i="5"/>
  <c r="K693" i="5"/>
  <c r="P693" i="5" s="1"/>
  <c r="AY629" i="5"/>
  <c r="BJ565" i="5"/>
  <c r="AF565" i="5" s="1"/>
  <c r="AZ469" i="5"/>
  <c r="AY404" i="5"/>
  <c r="BE404" i="5" s="1"/>
  <c r="BK313" i="5"/>
  <c r="AE313" i="5" s="1"/>
  <c r="AY21" i="5"/>
  <c r="AX21" i="5" s="1"/>
  <c r="AN694" i="5"/>
  <c r="AW693" i="5" s="1"/>
  <c r="AZ501" i="5"/>
  <c r="BK449" i="5"/>
  <c r="BE185" i="5"/>
  <c r="AN172" i="5"/>
  <c r="AW171" i="5" s="1"/>
  <c r="AU110" i="5"/>
  <c r="AN1265" i="5"/>
  <c r="J1265" i="5"/>
  <c r="K1097" i="5"/>
  <c r="AN980" i="5"/>
  <c r="J250" i="5"/>
  <c r="BJ1182" i="5"/>
  <c r="AF1182" i="5" s="1"/>
  <c r="BJ1151" i="5"/>
  <c r="AF1151" i="5" s="1"/>
  <c r="AN1137" i="5"/>
  <c r="BJ1135" i="5"/>
  <c r="AF1135" i="5" s="1"/>
  <c r="BJ1109" i="5"/>
  <c r="AD1109" i="5" s="1"/>
  <c r="BK1044" i="5"/>
  <c r="AG1044" i="5" s="1"/>
  <c r="AY1025" i="5"/>
  <c r="AZ962" i="5"/>
  <c r="AX962" i="5" s="1"/>
  <c r="BJ826" i="5"/>
  <c r="AF826" i="5" s="1"/>
  <c r="AN818" i="5"/>
  <c r="AZ814" i="5"/>
  <c r="BJ643" i="5"/>
  <c r="AF643" i="5" s="1"/>
  <c r="BJ549" i="5"/>
  <c r="AF549" i="5" s="1"/>
  <c r="J523" i="5"/>
  <c r="BK493" i="5"/>
  <c r="AE493" i="5" s="1"/>
  <c r="AY435" i="5"/>
  <c r="BJ375" i="5"/>
  <c r="AF375" i="5" s="1"/>
  <c r="AN317" i="5"/>
  <c r="AW316" i="5" s="1"/>
  <c r="AZ77" i="5"/>
  <c r="M1546" i="5"/>
  <c r="BJ1458" i="5"/>
  <c r="AF1458" i="5" s="1"/>
  <c r="BK1350" i="5"/>
  <c r="AE1350" i="5" s="1"/>
  <c r="BJ1324" i="5"/>
  <c r="AY1318" i="5"/>
  <c r="BK1265" i="5"/>
  <c r="AG1265" i="5" s="1"/>
  <c r="AY1228" i="5"/>
  <c r="BK1186" i="5"/>
  <c r="AG1186" i="5" s="1"/>
  <c r="AN1153" i="5"/>
  <c r="BJ1139" i="5"/>
  <c r="AF1139" i="5" s="1"/>
  <c r="BK1106" i="5"/>
  <c r="AE1106" i="5" s="1"/>
  <c r="J1106" i="5"/>
  <c r="J1105" i="5" s="1"/>
  <c r="AX1046" i="5"/>
  <c r="BJ1044" i="5"/>
  <c r="AF1044" i="5" s="1"/>
  <c r="BJ1027" i="5"/>
  <c r="AH1027" i="5" s="1"/>
  <c r="BK999" i="5"/>
  <c r="AE999" i="5" s="1"/>
  <c r="BJ905" i="5"/>
  <c r="AD905" i="5" s="1"/>
  <c r="AN835" i="5"/>
  <c r="AW834" i="5" s="1"/>
  <c r="BJ796" i="5"/>
  <c r="AF796" i="5" s="1"/>
  <c r="BJ757" i="5"/>
  <c r="AH757" i="5" s="1"/>
  <c r="AN730" i="5"/>
  <c r="BJ726" i="5"/>
  <c r="AH726" i="5" s="1"/>
  <c r="BK712" i="5"/>
  <c r="AI712" i="5" s="1"/>
  <c r="AN666" i="5"/>
  <c r="AW665" i="5" s="1"/>
  <c r="I507" i="5"/>
  <c r="AZ490" i="5"/>
  <c r="AN444" i="5"/>
  <c r="BJ412" i="5"/>
  <c r="AF412" i="5" s="1"/>
  <c r="AZ400" i="5"/>
  <c r="BK274" i="5"/>
  <c r="AE274" i="5" s="1"/>
  <c r="AZ240" i="5"/>
  <c r="K153" i="5"/>
  <c r="P153" i="5" s="1"/>
  <c r="J137" i="5"/>
  <c r="BK120" i="5"/>
  <c r="AE120" i="5" s="1"/>
  <c r="AY33" i="5"/>
  <c r="BJ1549" i="5"/>
  <c r="AD1549" i="5" s="1"/>
  <c r="I1524" i="5"/>
  <c r="BJ1508" i="5"/>
  <c r="AD1508" i="5" s="1"/>
  <c r="J1503" i="5"/>
  <c r="BK1450" i="5"/>
  <c r="AI1450" i="5" s="1"/>
  <c r="AN1448" i="5"/>
  <c r="AY1409" i="5"/>
  <c r="AZ1391" i="5"/>
  <c r="BK1374" i="5"/>
  <c r="AE1374" i="5" s="1"/>
  <c r="AY1361" i="5"/>
  <c r="BK1285" i="5"/>
  <c r="AG1285" i="5" s="1"/>
  <c r="BK1275" i="5"/>
  <c r="AG1275" i="5" s="1"/>
  <c r="BJ1265" i="5"/>
  <c r="AF1265" i="5" s="1"/>
  <c r="AY1182" i="5"/>
  <c r="AX1182" i="5" s="1"/>
  <c r="BK1113" i="5"/>
  <c r="AG1113" i="5" s="1"/>
  <c r="BJ1056" i="5"/>
  <c r="AF1056" i="5" s="1"/>
  <c r="AN1049" i="5"/>
  <c r="BK987" i="5"/>
  <c r="AI987" i="5" s="1"/>
  <c r="BJ980" i="5"/>
  <c r="AF980" i="5" s="1"/>
  <c r="AY978" i="5"/>
  <c r="BK896" i="5"/>
  <c r="AE896" i="5" s="1"/>
  <c r="I866" i="5"/>
  <c r="AY826" i="5"/>
  <c r="BH718" i="5"/>
  <c r="AY643" i="5"/>
  <c r="BJ640" i="5"/>
  <c r="AF640" i="5" s="1"/>
  <c r="BK521" i="5"/>
  <c r="AG521" i="5" s="1"/>
  <c r="AN485" i="5"/>
  <c r="BK471" i="5"/>
  <c r="AG471" i="5" s="1"/>
  <c r="AZ375" i="5"/>
  <c r="AZ365" i="5"/>
  <c r="BK339" i="5"/>
  <c r="AE339" i="5" s="1"/>
  <c r="BK284" i="5"/>
  <c r="AG284" i="5" s="1"/>
  <c r="BJ259" i="5"/>
  <c r="AF259" i="5" s="1"/>
  <c r="M192" i="5"/>
  <c r="AY145" i="5"/>
  <c r="BE145" i="5" s="1"/>
  <c r="BK96" i="5"/>
  <c r="AY88" i="5"/>
  <c r="BK86" i="5"/>
  <c r="AG86" i="5" s="1"/>
  <c r="K40" i="5"/>
  <c r="P40" i="5" s="1"/>
  <c r="BJ23" i="5"/>
  <c r="AF23" i="5" s="1"/>
  <c r="AY1458" i="5"/>
  <c r="BJ1450" i="5"/>
  <c r="AF1450" i="5" s="1"/>
  <c r="BK1279" i="5"/>
  <c r="AY1208" i="5"/>
  <c r="K1108" i="5"/>
  <c r="AZ999" i="5"/>
  <c r="BJ941" i="5"/>
  <c r="AF941" i="5" s="1"/>
  <c r="BJ890" i="5"/>
  <c r="AF890" i="5" s="1"/>
  <c r="BK845" i="5"/>
  <c r="AG845" i="5" s="1"/>
  <c r="BK806" i="5"/>
  <c r="AG806" i="5" s="1"/>
  <c r="BJ748" i="5"/>
  <c r="AF748" i="5" s="1"/>
  <c r="BJ724" i="5"/>
  <c r="AD724" i="5" s="1"/>
  <c r="BJ629" i="5"/>
  <c r="AD629" i="5" s="1"/>
  <c r="BJ521" i="5"/>
  <c r="AF521" i="5" s="1"/>
  <c r="BJ469" i="5"/>
  <c r="AD469" i="5" s="1"/>
  <c r="AZ120" i="5"/>
  <c r="AZ102" i="5"/>
  <c r="I21" i="5"/>
  <c r="AY1549" i="5"/>
  <c r="BK1532" i="5"/>
  <c r="AE1532" i="5" s="1"/>
  <c r="AY1508" i="5"/>
  <c r="AZ1426" i="5"/>
  <c r="AY1265" i="5"/>
  <c r="AX1265" i="5" s="1"/>
  <c r="AZ1174" i="5"/>
  <c r="AY1133" i="5"/>
  <c r="I1133" i="5"/>
  <c r="AZ1113" i="5"/>
  <c r="K1048" i="5"/>
  <c r="V1048" i="5" s="1"/>
  <c r="AY999" i="5"/>
  <c r="AY980" i="5"/>
  <c r="BK964" i="5"/>
  <c r="AE964" i="5" s="1"/>
  <c r="AY905" i="5"/>
  <c r="AN772" i="5"/>
  <c r="BK501" i="5"/>
  <c r="AG501" i="5" s="1"/>
  <c r="BJ231" i="5"/>
  <c r="AD231" i="5" s="1"/>
  <c r="J102" i="5"/>
  <c r="AY1417" i="5"/>
  <c r="BJ1417" i="5"/>
  <c r="J1326" i="5"/>
  <c r="AZ1326" i="5"/>
  <c r="J787" i="5"/>
  <c r="AZ787" i="5"/>
  <c r="BK787" i="5"/>
  <c r="AE787" i="5" s="1"/>
  <c r="I1553" i="5"/>
  <c r="BJ1553" i="5"/>
  <c r="AF1553" i="5" s="1"/>
  <c r="AL1273" i="5"/>
  <c r="AN1273" i="5"/>
  <c r="AZ1001" i="5"/>
  <c r="AX1001" i="5" s="1"/>
  <c r="BK1001" i="5"/>
  <c r="AG1001" i="5" s="1"/>
  <c r="AY1555" i="5"/>
  <c r="BJ1555" i="5"/>
  <c r="AF1555" i="5" s="1"/>
  <c r="I1544" i="5"/>
  <c r="I1543" i="5" s="1"/>
  <c r="AY1544" i="5"/>
  <c r="J1516" i="5"/>
  <c r="BK1516" i="5"/>
  <c r="AE1516" i="5" s="1"/>
  <c r="I1463" i="5"/>
  <c r="AY1463" i="5"/>
  <c r="J1432" i="5"/>
  <c r="AZ1432" i="5"/>
  <c r="AX1432" i="5" s="1"/>
  <c r="BK1430" i="5"/>
  <c r="AG1430" i="5" s="1"/>
  <c r="J1430" i="5"/>
  <c r="J1342" i="5"/>
  <c r="J1341" i="5" s="1"/>
  <c r="J1340" i="5" s="1"/>
  <c r="J57" i="4" s="1"/>
  <c r="BK1342" i="5"/>
  <c r="AI1342" i="5" s="1"/>
  <c r="I1293" i="5"/>
  <c r="AY1293" i="5"/>
  <c r="BJ1293" i="5"/>
  <c r="AF1293" i="5" s="1"/>
  <c r="J1267" i="5"/>
  <c r="AZ1267" i="5"/>
  <c r="BE1267" i="5" s="1"/>
  <c r="AY1180" i="5"/>
  <c r="BJ1180" i="5"/>
  <c r="AF1180" i="5" s="1"/>
  <c r="J1133" i="5"/>
  <c r="AZ1133" i="5"/>
  <c r="BK1133" i="5"/>
  <c r="AE1133" i="5" s="1"/>
  <c r="AZ1079" i="5"/>
  <c r="BK1079" i="5"/>
  <c r="AE1079" i="5" s="1"/>
  <c r="K1066" i="5"/>
  <c r="P1066" i="5" s="1"/>
  <c r="AN1067" i="5"/>
  <c r="AW1066" i="5" s="1"/>
  <c r="AZ1051" i="5"/>
  <c r="BE1051" i="5" s="1"/>
  <c r="J1051" i="5"/>
  <c r="J1048" i="5" s="1"/>
  <c r="J914" i="5"/>
  <c r="BK914" i="5"/>
  <c r="AG914" i="5" s="1"/>
  <c r="AZ791" i="5"/>
  <c r="BK791" i="5"/>
  <c r="AG791" i="5" s="1"/>
  <c r="I1528" i="5"/>
  <c r="BJ1528" i="5"/>
  <c r="AD1528" i="5" s="1"/>
  <c r="AL1491" i="5"/>
  <c r="AU1490" i="5" s="1"/>
  <c r="AN1491" i="5"/>
  <c r="AW1490" i="5" s="1"/>
  <c r="I1320" i="5"/>
  <c r="BJ1320" i="5"/>
  <c r="AF1320" i="5" s="1"/>
  <c r="BK1269" i="5"/>
  <c r="AG1269" i="5" s="1"/>
  <c r="J1269" i="5"/>
  <c r="I1200" i="5"/>
  <c r="BJ1200" i="5"/>
  <c r="AF1200" i="5" s="1"/>
  <c r="I927" i="5"/>
  <c r="BJ927" i="5"/>
  <c r="AF927" i="5" s="1"/>
  <c r="M834" i="5"/>
  <c r="BH835" i="5"/>
  <c r="L39" i="4" s="1"/>
  <c r="AG785" i="5"/>
  <c r="I1417" i="5"/>
  <c r="AZ1297" i="5"/>
  <c r="BK1297" i="5"/>
  <c r="AG1297" i="5" s="1"/>
  <c r="J1297" i="5"/>
  <c r="J1204" i="5"/>
  <c r="J1287" i="5"/>
  <c r="BK1287" i="5"/>
  <c r="AG1287" i="5" s="1"/>
  <c r="I1273" i="5"/>
  <c r="BJ1273" i="5"/>
  <c r="AF1273" i="5" s="1"/>
  <c r="I1253" i="5"/>
  <c r="BJ1253" i="5"/>
  <c r="AF1253" i="5" s="1"/>
  <c r="AY1070" i="5"/>
  <c r="BJ1070" i="5"/>
  <c r="AH1070" i="5" s="1"/>
  <c r="I1555" i="5"/>
  <c r="J1520" i="5"/>
  <c r="AY1516" i="5"/>
  <c r="AX1516" i="5" s="1"/>
  <c r="BJ1516" i="5"/>
  <c r="AD1516" i="5" s="1"/>
  <c r="BJ1388" i="5"/>
  <c r="AD1388" i="5" s="1"/>
  <c r="I1388" i="5"/>
  <c r="AY1388" i="5"/>
  <c r="AY1315" i="5"/>
  <c r="BJ1315" i="5"/>
  <c r="AF1315" i="5" s="1"/>
  <c r="I1198" i="5"/>
  <c r="BJ1198" i="5"/>
  <c r="AF1198" i="5" s="1"/>
  <c r="BJ1192" i="5"/>
  <c r="AF1192" i="5" s="1"/>
  <c r="AY1192" i="5"/>
  <c r="AY914" i="5"/>
  <c r="I914" i="5"/>
  <c r="I883" i="5"/>
  <c r="AY883" i="5"/>
  <c r="AX883" i="5" s="1"/>
  <c r="BJ883" i="5"/>
  <c r="AF883" i="5" s="1"/>
  <c r="AL1374" i="5"/>
  <c r="AN1374" i="5"/>
  <c r="AY1204" i="5"/>
  <c r="AX1204" i="5" s="1"/>
  <c r="BJ1204" i="5"/>
  <c r="AF1204" i="5" s="1"/>
  <c r="J1174" i="5"/>
  <c r="I850" i="5"/>
  <c r="AY850" i="5"/>
  <c r="BE850" i="5" s="1"/>
  <c r="BJ850" i="5"/>
  <c r="AD850" i="5" s="1"/>
  <c r="J1561" i="5"/>
  <c r="AZ1561" i="5"/>
  <c r="AX1561" i="5" s="1"/>
  <c r="J1512" i="5"/>
  <c r="BK1512" i="5"/>
  <c r="AG1512" i="5" s="1"/>
  <c r="J1463" i="5"/>
  <c r="BK1463" i="5"/>
  <c r="AG1463" i="5" s="1"/>
  <c r="I1378" i="5"/>
  <c r="BJ1378" i="5"/>
  <c r="AF1378" i="5" s="1"/>
  <c r="AZ1301" i="5"/>
  <c r="BK1301" i="5"/>
  <c r="AG1301" i="5" s="1"/>
  <c r="AY1188" i="5"/>
  <c r="BJ1188" i="5"/>
  <c r="AF1188" i="5" s="1"/>
  <c r="I1547" i="5"/>
  <c r="I1546" i="5" s="1"/>
  <c r="AY1547" i="5"/>
  <c r="BJ1547" i="5"/>
  <c r="AF1547" i="5" s="1"/>
  <c r="AZ1528" i="5"/>
  <c r="J1528" i="5"/>
  <c r="AZ1520" i="5"/>
  <c r="J1486" i="5"/>
  <c r="BK1486" i="5"/>
  <c r="AG1486" i="5" s="1"/>
  <c r="AZ1441" i="5"/>
  <c r="J66" i="4" s="1"/>
  <c r="BK1441" i="5"/>
  <c r="AI1441" i="5" s="1"/>
  <c r="AY1394" i="5"/>
  <c r="AX1394" i="5" s="1"/>
  <c r="I1230" i="5"/>
  <c r="BJ1230" i="5"/>
  <c r="AF1230" i="5" s="1"/>
  <c r="BK1158" i="5"/>
  <c r="AG1158" i="5" s="1"/>
  <c r="AZ1158" i="5"/>
  <c r="BK921" i="5"/>
  <c r="AI921" i="5" s="1"/>
  <c r="AZ921" i="5"/>
  <c r="AX921" i="5" s="1"/>
  <c r="AL855" i="5"/>
  <c r="AN855" i="5"/>
  <c r="I935" i="5"/>
  <c r="AY935" i="5"/>
  <c r="BJ935" i="5"/>
  <c r="AF935" i="5" s="1"/>
  <c r="I1456" i="5"/>
  <c r="I1455" i="5" s="1"/>
  <c r="AY1456" i="5"/>
  <c r="AY1528" i="5"/>
  <c r="M1465" i="5"/>
  <c r="BH1466" i="5"/>
  <c r="BJ1441" i="5"/>
  <c r="AF1441" i="5" s="1"/>
  <c r="AY1441" i="5"/>
  <c r="I1359" i="5"/>
  <c r="AY1359" i="5"/>
  <c r="AY1295" i="5"/>
  <c r="BJ1295" i="5"/>
  <c r="AF1295" i="5" s="1"/>
  <c r="AY1200" i="5"/>
  <c r="AY1172" i="5"/>
  <c r="BJ1172" i="5"/>
  <c r="AF1172" i="5" s="1"/>
  <c r="J1016" i="5"/>
  <c r="BK1016" i="5"/>
  <c r="AG1016" i="5" s="1"/>
  <c r="J921" i="5"/>
  <c r="AZ782" i="5"/>
  <c r="BK782" i="5"/>
  <c r="AG782" i="5" s="1"/>
  <c r="J763" i="5"/>
  <c r="BK763" i="5"/>
  <c r="AG763" i="5" s="1"/>
  <c r="BK1536" i="5"/>
  <c r="AE1536" i="5" s="1"/>
  <c r="AZ1536" i="5"/>
  <c r="J1536" i="5"/>
  <c r="AY1553" i="5"/>
  <c r="BK1530" i="5"/>
  <c r="AI1530" i="5" s="1"/>
  <c r="M1490" i="5"/>
  <c r="AZ1484" i="5"/>
  <c r="BE1484" i="5" s="1"/>
  <c r="AZ1438" i="5"/>
  <c r="AY1357" i="5"/>
  <c r="AX1357" i="5" s="1"/>
  <c r="I1357" i="5"/>
  <c r="AZ1269" i="5"/>
  <c r="K1245" i="5"/>
  <c r="AN1246" i="5"/>
  <c r="AW1245" i="5" s="1"/>
  <c r="J989" i="5"/>
  <c r="BK989" i="5"/>
  <c r="AG989" i="5" s="1"/>
  <c r="I974" i="5"/>
  <c r="BJ974" i="5"/>
  <c r="AD974" i="5" s="1"/>
  <c r="AY929" i="5"/>
  <c r="BJ929" i="5"/>
  <c r="AD929" i="5" s="1"/>
  <c r="I860" i="5"/>
  <c r="BJ860" i="5"/>
  <c r="AF860" i="5" s="1"/>
  <c r="BK627" i="5"/>
  <c r="AG627" i="5" s="1"/>
  <c r="BJ517" i="5"/>
  <c r="AF517" i="5" s="1"/>
  <c r="BK410" i="5"/>
  <c r="AE410" i="5" s="1"/>
  <c r="BJ365" i="5"/>
  <c r="AD365" i="5" s="1"/>
  <c r="BK345" i="5"/>
  <c r="J345" i="5"/>
  <c r="AY324" i="5"/>
  <c r="BK308" i="5"/>
  <c r="AG308" i="5" s="1"/>
  <c r="BK231" i="5"/>
  <c r="AE231" i="5" s="1"/>
  <c r="BJ226" i="5"/>
  <c r="AD226" i="5" s="1"/>
  <c r="BJ168" i="5"/>
  <c r="AF168" i="5" s="1"/>
  <c r="BJ150" i="5"/>
  <c r="AF150" i="5" s="1"/>
  <c r="BJ145" i="5"/>
  <c r="AD145" i="5" s="1"/>
  <c r="BJ116" i="5"/>
  <c r="AF116" i="5" s="1"/>
  <c r="BH108" i="5"/>
  <c r="L16" i="4" s="1"/>
  <c r="BJ60" i="5"/>
  <c r="AD60" i="5" s="1"/>
  <c r="BK876" i="5"/>
  <c r="AG876" i="5" s="1"/>
  <c r="BJ823" i="5"/>
  <c r="AF823" i="5" s="1"/>
  <c r="BK812" i="5"/>
  <c r="AG812" i="5" s="1"/>
  <c r="BK804" i="5"/>
  <c r="AE804" i="5" s="1"/>
  <c r="AX765" i="5"/>
  <c r="BK700" i="5"/>
  <c r="AG700" i="5" s="1"/>
  <c r="BJ671" i="5"/>
  <c r="AF671" i="5" s="1"/>
  <c r="BJ663" i="5"/>
  <c r="AF663" i="5" s="1"/>
  <c r="BK621" i="5"/>
  <c r="AE621" i="5" s="1"/>
  <c r="I599" i="5"/>
  <c r="BJ501" i="5"/>
  <c r="AD501" i="5" s="1"/>
  <c r="AY422" i="5"/>
  <c r="AY400" i="5"/>
  <c r="AX390" i="5"/>
  <c r="I359" i="5"/>
  <c r="AY317" i="5"/>
  <c r="BJ308" i="5"/>
  <c r="AD308" i="5" s="1"/>
  <c r="AZ286" i="5"/>
  <c r="BK259" i="5"/>
  <c r="AG259" i="5" s="1"/>
  <c r="AZ33" i="5"/>
  <c r="AZ627" i="5"/>
  <c r="BJ584" i="5"/>
  <c r="AF584" i="5" s="1"/>
  <c r="BJ578" i="5"/>
  <c r="AD578" i="5" s="1"/>
  <c r="BK565" i="5"/>
  <c r="AE565" i="5" s="1"/>
  <c r="BJ559" i="5"/>
  <c r="AD559" i="5" s="1"/>
  <c r="BK539" i="5"/>
  <c r="AG539" i="5" s="1"/>
  <c r="J404" i="5"/>
  <c r="AY373" i="5"/>
  <c r="BE373" i="5" s="1"/>
  <c r="BJ343" i="5"/>
  <c r="AD343" i="5" s="1"/>
  <c r="AZ337" i="5"/>
  <c r="BJ298" i="5"/>
  <c r="AD298" i="5" s="1"/>
  <c r="BK199" i="5"/>
  <c r="AG199" i="5" s="1"/>
  <c r="AX1051" i="5"/>
  <c r="AY1044" i="5"/>
  <c r="BE1044" i="5" s="1"/>
  <c r="AY949" i="5"/>
  <c r="AY663" i="5"/>
  <c r="BK655" i="5"/>
  <c r="AG655" i="5" s="1"/>
  <c r="AY607" i="5"/>
  <c r="I1324" i="5"/>
  <c r="AZ1307" i="5"/>
  <c r="AX1307" i="5" s="1"/>
  <c r="BH1116" i="5"/>
  <c r="L52" i="4" s="1"/>
  <c r="K1081" i="5"/>
  <c r="P1081" i="5" s="1"/>
  <c r="BK1003" i="5"/>
  <c r="AI1003" i="5" s="1"/>
  <c r="AZ987" i="5"/>
  <c r="AZ983" i="5"/>
  <c r="J916" i="5"/>
  <c r="BH712" i="5"/>
  <c r="J621" i="5"/>
  <c r="AX559" i="5"/>
  <c r="BJ551" i="5"/>
  <c r="AD551" i="5" s="1"/>
  <c r="AY365" i="5"/>
  <c r="BJ310" i="5"/>
  <c r="AF310" i="5" s="1"/>
  <c r="AZ199" i="5"/>
  <c r="AY175" i="5"/>
  <c r="BJ172" i="5"/>
  <c r="AF172" i="5" s="1"/>
  <c r="AZ137" i="5"/>
  <c r="AX137" i="5" s="1"/>
  <c r="J1236" i="5"/>
  <c r="AN337" i="5"/>
  <c r="AZ1532" i="5"/>
  <c r="AX1532" i="5" s="1"/>
  <c r="J1526" i="5"/>
  <c r="AZ1434" i="5"/>
  <c r="AZ1350" i="5"/>
  <c r="BH1335" i="5"/>
  <c r="J1261" i="5"/>
  <c r="AZ1210" i="5"/>
  <c r="AZ1116" i="5"/>
  <c r="J52" i="4" s="1"/>
  <c r="M1093" i="5"/>
  <c r="M1092" i="5" s="1"/>
  <c r="L48" i="4" s="1"/>
  <c r="J1044" i="5"/>
  <c r="J983" i="5"/>
  <c r="BK868" i="5"/>
  <c r="AI868" i="5" s="1"/>
  <c r="AZ857" i="5"/>
  <c r="AX857" i="5" s="1"/>
  <c r="M768" i="5"/>
  <c r="BK694" i="5"/>
  <c r="AG694" i="5" s="1"/>
  <c r="J493" i="5"/>
  <c r="BJ437" i="5"/>
  <c r="AD437" i="5" s="1"/>
  <c r="AZ408" i="5"/>
  <c r="AY375" i="5"/>
  <c r="BJ306" i="5"/>
  <c r="AD306" i="5" s="1"/>
  <c r="AY295" i="5"/>
  <c r="BE295" i="5" s="1"/>
  <c r="AZ282" i="5"/>
  <c r="J282" i="5"/>
  <c r="BJ218" i="5"/>
  <c r="AD218" i="5" s="1"/>
  <c r="AZ214" i="5"/>
  <c r="BK209" i="5"/>
  <c r="AE209" i="5" s="1"/>
  <c r="AN168" i="5"/>
  <c r="AW167" i="5" s="1"/>
  <c r="AN102" i="5"/>
  <c r="BK80" i="5"/>
  <c r="AE80" i="5" s="1"/>
  <c r="AN67" i="5"/>
  <c r="AZ44" i="5"/>
  <c r="AX1466" i="5"/>
  <c r="BJ1409" i="5"/>
  <c r="AD1409" i="5" s="1"/>
  <c r="BJ978" i="5"/>
  <c r="AH978" i="5" s="1"/>
  <c r="AY890" i="5"/>
  <c r="BJ879" i="5"/>
  <c r="AF879" i="5" s="1"/>
  <c r="AY796" i="5"/>
  <c r="I760" i="5"/>
  <c r="J748" i="5"/>
  <c r="BJ730" i="5"/>
  <c r="AD730" i="5" s="1"/>
  <c r="BJ694" i="5"/>
  <c r="AD694" i="5" s="1"/>
  <c r="AZ499" i="5"/>
  <c r="AX499" i="5" s="1"/>
  <c r="BK365" i="5"/>
  <c r="AE365" i="5" s="1"/>
  <c r="BJ359" i="5"/>
  <c r="AD359" i="5" s="1"/>
  <c r="J351" i="5"/>
  <c r="BK337" i="5"/>
  <c r="AG337" i="5" s="1"/>
  <c r="AZ324" i="5"/>
  <c r="BH317" i="5"/>
  <c r="AY310" i="5"/>
  <c r="BK250" i="5"/>
  <c r="AG250" i="5" s="1"/>
  <c r="BK226" i="5"/>
  <c r="AG226" i="5" s="1"/>
  <c r="K195" i="5"/>
  <c r="P195" i="5" s="1"/>
  <c r="AY44" i="5"/>
  <c r="AY29" i="5"/>
  <c r="BK629" i="5"/>
  <c r="AE629" i="5" s="1"/>
  <c r="J629" i="5"/>
  <c r="AZ629" i="5"/>
  <c r="BE629" i="5" s="1"/>
  <c r="AZ193" i="5"/>
  <c r="J193" i="5"/>
  <c r="J192" i="5" s="1"/>
  <c r="BK193" i="5"/>
  <c r="AE193" i="5" s="1"/>
  <c r="AV1373" i="5"/>
  <c r="AN1342" i="5"/>
  <c r="AW1341" i="5" s="1"/>
  <c r="I1342" i="5"/>
  <c r="I1341" i="5" s="1"/>
  <c r="I1340" i="5" s="1"/>
  <c r="I20" i="3" s="1"/>
  <c r="AN1269" i="5"/>
  <c r="AN1051" i="5"/>
  <c r="AN972" i="5"/>
  <c r="I916" i="5"/>
  <c r="BJ916" i="5"/>
  <c r="AD916" i="5" s="1"/>
  <c r="J902" i="5"/>
  <c r="AZ902" i="5"/>
  <c r="BE902" i="5" s="1"/>
  <c r="AZ798" i="5"/>
  <c r="J798" i="5"/>
  <c r="AY741" i="5"/>
  <c r="I741" i="5"/>
  <c r="BJ741" i="5"/>
  <c r="J582" i="5"/>
  <c r="AZ582" i="5"/>
  <c r="BK582" i="5"/>
  <c r="AG582" i="5" s="1"/>
  <c r="I554" i="5"/>
  <c r="AY554" i="5"/>
  <c r="AL536" i="5"/>
  <c r="AN536" i="5"/>
  <c r="AZ507" i="5"/>
  <c r="BE507" i="5" s="1"/>
  <c r="J507" i="5"/>
  <c r="I490" i="5"/>
  <c r="AY490" i="5"/>
  <c r="BJ396" i="5"/>
  <c r="AD396" i="5" s="1"/>
  <c r="AY396" i="5"/>
  <c r="AX396" i="5" s="1"/>
  <c r="I396" i="5"/>
  <c r="J322" i="5"/>
  <c r="AZ322" i="5"/>
  <c r="AX322" i="5" s="1"/>
  <c r="BK322" i="5"/>
  <c r="AE322" i="5" s="1"/>
  <c r="I250" i="5"/>
  <c r="BJ250" i="5"/>
  <c r="AF250" i="5" s="1"/>
  <c r="AY206" i="5"/>
  <c r="I206" i="5"/>
  <c r="BJ206" i="5"/>
  <c r="AD206" i="5" s="1"/>
  <c r="AZ148" i="5"/>
  <c r="BE148" i="5" s="1"/>
  <c r="J148" i="5"/>
  <c r="BK148" i="5"/>
  <c r="AG148" i="5" s="1"/>
  <c r="BH1090" i="5"/>
  <c r="L47" i="4" s="1"/>
  <c r="BJ1079" i="5"/>
  <c r="AF1079" i="5" s="1"/>
  <c r="J1076" i="5"/>
  <c r="J1075" i="5" s="1"/>
  <c r="AU1048" i="5"/>
  <c r="AZ1040" i="5"/>
  <c r="BJ1036" i="5"/>
  <c r="AF1036" i="5" s="1"/>
  <c r="I1036" i="5"/>
  <c r="BJ1016" i="5"/>
  <c r="AF1016" i="5" s="1"/>
  <c r="BJ1010" i="5"/>
  <c r="AD1010" i="5" s="1"/>
  <c r="BJ1006" i="5"/>
  <c r="AH1006" i="5" s="1"/>
  <c r="AZ995" i="5"/>
  <c r="BJ914" i="5"/>
  <c r="AF914" i="5" s="1"/>
  <c r="BK883" i="5"/>
  <c r="AG883" i="5" s="1"/>
  <c r="J883" i="5"/>
  <c r="AZ835" i="5"/>
  <c r="J835" i="5"/>
  <c r="J834" i="5" s="1"/>
  <c r="BH779" i="5"/>
  <c r="M778" i="5"/>
  <c r="AN757" i="5"/>
  <c r="J663" i="5"/>
  <c r="BK663" i="5"/>
  <c r="AE663" i="5" s="1"/>
  <c r="AZ607" i="5"/>
  <c r="I337" i="5"/>
  <c r="AY337" i="5"/>
  <c r="J1155" i="5"/>
  <c r="AN1129" i="5"/>
  <c r="AZ1563" i="5"/>
  <c r="AZ1553" i="5"/>
  <c r="AY1524" i="5"/>
  <c r="BE1524" i="5" s="1"/>
  <c r="AY1496" i="5"/>
  <c r="AV1490" i="5"/>
  <c r="AZ1486" i="5"/>
  <c r="AX1486" i="5" s="1"/>
  <c r="BJ1481" i="5"/>
  <c r="AH1481" i="5" s="1"/>
  <c r="AZ1479" i="5"/>
  <c r="BJ1476" i="5"/>
  <c r="AD1476" i="5" s="1"/>
  <c r="AZ1463" i="5"/>
  <c r="BJ1453" i="5"/>
  <c r="AD1453" i="5" s="1"/>
  <c r="AX1444" i="5"/>
  <c r="I1441" i="5"/>
  <c r="I1440" i="5" s="1"/>
  <c r="BK1363" i="5"/>
  <c r="AN1338" i="5"/>
  <c r="AW1337" i="5" s="1"/>
  <c r="I1338" i="5"/>
  <c r="I1337" i="5" s="1"/>
  <c r="BK1281" i="5"/>
  <c r="AG1281" i="5" s="1"/>
  <c r="BJ1267" i="5"/>
  <c r="AF1267" i="5" s="1"/>
  <c r="AZ1249" i="5"/>
  <c r="BK1236" i="5"/>
  <c r="AG1236" i="5" s="1"/>
  <c r="AZ1230" i="5"/>
  <c r="AY1198" i="5"/>
  <c r="AY1194" i="5"/>
  <c r="BE1194" i="5" s="1"/>
  <c r="J1158" i="5"/>
  <c r="AY1151" i="5"/>
  <c r="I1147" i="5"/>
  <c r="AY1127" i="5"/>
  <c r="AY1116" i="5"/>
  <c r="AN1070" i="5"/>
  <c r="AW1069" i="5" s="1"/>
  <c r="BH1064" i="5"/>
  <c r="AZ905" i="5"/>
  <c r="J905" i="5"/>
  <c r="AG804" i="5"/>
  <c r="I787" i="5"/>
  <c r="BJ787" i="5"/>
  <c r="AL779" i="5"/>
  <c r="AU778" i="5" s="1"/>
  <c r="K778" i="5"/>
  <c r="Q778" i="5" s="1"/>
  <c r="AY772" i="5"/>
  <c r="BE772" i="5" s="1"/>
  <c r="BJ772" i="5"/>
  <c r="AD772" i="5" s="1"/>
  <c r="AM734" i="5"/>
  <c r="AN734" i="5"/>
  <c r="I621" i="5"/>
  <c r="BJ621" i="5"/>
  <c r="AD621" i="5" s="1"/>
  <c r="J542" i="5"/>
  <c r="BK542" i="5"/>
  <c r="AG542" i="5" s="1"/>
  <c r="AY471" i="5"/>
  <c r="BE471" i="5" s="1"/>
  <c r="BJ471" i="5"/>
  <c r="AH471" i="5" s="1"/>
  <c r="I255" i="5"/>
  <c r="BJ255" i="5"/>
  <c r="AD255" i="5" s="1"/>
  <c r="J222" i="5"/>
  <c r="AZ222" i="5"/>
  <c r="BK222" i="5"/>
  <c r="AY212" i="5"/>
  <c r="AX212" i="5" s="1"/>
  <c r="BJ212" i="5"/>
  <c r="AD212" i="5" s="1"/>
  <c r="AU1478" i="5"/>
  <c r="AV1538" i="5"/>
  <c r="BJ1269" i="5"/>
  <c r="AF1269" i="5" s="1"/>
  <c r="BJ1466" i="5"/>
  <c r="BJ1448" i="5"/>
  <c r="AD1448" i="5" s="1"/>
  <c r="BK1411" i="5"/>
  <c r="AE1411" i="5" s="1"/>
  <c r="BK1354" i="5"/>
  <c r="AE1354" i="5" s="1"/>
  <c r="AY1320" i="5"/>
  <c r="AZ1293" i="5"/>
  <c r="BJ1281" i="5"/>
  <c r="AF1281" i="5" s="1"/>
  <c r="BJ1277" i="5"/>
  <c r="AF1277" i="5" s="1"/>
  <c r="BK1241" i="5"/>
  <c r="AG1241" i="5" s="1"/>
  <c r="BK1210" i="5"/>
  <c r="AG1210" i="5" s="1"/>
  <c r="BJ1153" i="5"/>
  <c r="AF1153" i="5" s="1"/>
  <c r="J1139" i="5"/>
  <c r="AY1135" i="5"/>
  <c r="BE1135" i="5" s="1"/>
  <c r="J1119" i="5"/>
  <c r="AY1079" i="5"/>
  <c r="J1079" i="5"/>
  <c r="J1078" i="5" s="1"/>
  <c r="AY1056" i="5"/>
  <c r="BJ1051" i="5"/>
  <c r="AF1051" i="5" s="1"/>
  <c r="BK1033" i="5"/>
  <c r="AE1033" i="5" s="1"/>
  <c r="AY1010" i="5"/>
  <c r="AX1010" i="5" s="1"/>
  <c r="BK1008" i="5"/>
  <c r="AG1008" i="5" s="1"/>
  <c r="AY1006" i="5"/>
  <c r="BJ1001" i="5"/>
  <c r="AD1001" i="5" s="1"/>
  <c r="AZ993" i="5"/>
  <c r="J993" i="5"/>
  <c r="BJ991" i="5"/>
  <c r="AF991" i="5" s="1"/>
  <c r="J985" i="5"/>
  <c r="AZ985" i="5"/>
  <c r="AX985" i="5" s="1"/>
  <c r="BJ951" i="5"/>
  <c r="AF951" i="5" s="1"/>
  <c r="I951" i="5"/>
  <c r="BK924" i="5"/>
  <c r="AG924" i="5" s="1"/>
  <c r="BK902" i="5"/>
  <c r="AG902" i="5" s="1"/>
  <c r="AY821" i="5"/>
  <c r="BJ821" i="5"/>
  <c r="AH821" i="5" s="1"/>
  <c r="BK816" i="5"/>
  <c r="AE816" i="5" s="1"/>
  <c r="AI789" i="5"/>
  <c r="AY738" i="5"/>
  <c r="I738" i="5"/>
  <c r="BJ738" i="5"/>
  <c r="AH738" i="5" s="1"/>
  <c r="AL712" i="5"/>
  <c r="AU711" i="5" s="1"/>
  <c r="K711" i="5"/>
  <c r="U711" i="5" s="1"/>
  <c r="AN712" i="5"/>
  <c r="AW711" i="5" s="1"/>
  <c r="AZ680" i="5"/>
  <c r="J680" i="5"/>
  <c r="BK680" i="5"/>
  <c r="AG680" i="5" s="1"/>
  <c r="BK650" i="5"/>
  <c r="AG650" i="5" s="1"/>
  <c r="BH640" i="5"/>
  <c r="M639" i="5"/>
  <c r="I623" i="5"/>
  <c r="AY623" i="5"/>
  <c r="AX623" i="5" s="1"/>
  <c r="BJ623" i="5"/>
  <c r="AH623" i="5" s="1"/>
  <c r="AY592" i="5"/>
  <c r="AX592" i="5" s="1"/>
  <c r="BJ592" i="5"/>
  <c r="AF592" i="5" s="1"/>
  <c r="AY586" i="5"/>
  <c r="J562" i="5"/>
  <c r="BK562" i="5"/>
  <c r="AG562" i="5" s="1"/>
  <c r="I199" i="5"/>
  <c r="AY199" i="5"/>
  <c r="BJ199" i="5"/>
  <c r="AD199" i="5" s="1"/>
  <c r="I947" i="5"/>
  <c r="BJ947" i="5"/>
  <c r="AF947" i="5" s="1"/>
  <c r="AM718" i="5"/>
  <c r="AV717" i="5" s="1"/>
  <c r="AN718" i="5"/>
  <c r="AW717" i="5" s="1"/>
  <c r="AY539" i="5"/>
  <c r="BJ539" i="5"/>
  <c r="AF539" i="5" s="1"/>
  <c r="AE1528" i="5"/>
  <c r="BK1438" i="5"/>
  <c r="AE1438" i="5" s="1"/>
  <c r="BK1432" i="5"/>
  <c r="AG1432" i="5" s="1"/>
  <c r="BJ1419" i="5"/>
  <c r="AD1419" i="5" s="1"/>
  <c r="BK1394" i="5"/>
  <c r="AE1394" i="5" s="1"/>
  <c r="AZ1363" i="5"/>
  <c r="BE1363" i="5" s="1"/>
  <c r="BK1305" i="5"/>
  <c r="AG1305" i="5" s="1"/>
  <c r="AZ1295" i="5"/>
  <c r="J1285" i="5"/>
  <c r="BK1271" i="5"/>
  <c r="AG1271" i="5" s="1"/>
  <c r="BK1261" i="5"/>
  <c r="AG1261" i="5" s="1"/>
  <c r="BJ1218" i="5"/>
  <c r="AF1218" i="5" s="1"/>
  <c r="BJ1210" i="5"/>
  <c r="AD1210" i="5" s="1"/>
  <c r="BJ1176" i="5"/>
  <c r="AF1176" i="5" s="1"/>
  <c r="I1172" i="5"/>
  <c r="AZ1166" i="5"/>
  <c r="AX1166" i="5" s="1"/>
  <c r="BK1155" i="5"/>
  <c r="AG1155" i="5" s="1"/>
  <c r="AN1121" i="5"/>
  <c r="BJ1103" i="5"/>
  <c r="K1072" i="5"/>
  <c r="P1072" i="5" s="1"/>
  <c r="BJ1061" i="5"/>
  <c r="K1055" i="5"/>
  <c r="V1055" i="5" s="1"/>
  <c r="BK1046" i="5"/>
  <c r="AG1046" i="5" s="1"/>
  <c r="BK1038" i="5"/>
  <c r="AI1038" i="5" s="1"/>
  <c r="AZ1016" i="5"/>
  <c r="I985" i="5"/>
  <c r="I938" i="5"/>
  <c r="AY938" i="5"/>
  <c r="AM789" i="5"/>
  <c r="AN789" i="5"/>
  <c r="AY763" i="5"/>
  <c r="BJ712" i="5"/>
  <c r="AF712" i="5" s="1"/>
  <c r="I712" i="5"/>
  <c r="I711" i="5" s="1"/>
  <c r="M684" i="5"/>
  <c r="BH685" i="5"/>
  <c r="J643" i="5"/>
  <c r="J639" i="5" s="1"/>
  <c r="BK643" i="5"/>
  <c r="J584" i="5"/>
  <c r="BK584" i="5"/>
  <c r="AE584" i="5" s="1"/>
  <c r="AY574" i="5"/>
  <c r="AZ509" i="5"/>
  <c r="BK509" i="5"/>
  <c r="AG509" i="5" s="1"/>
  <c r="J509" i="5"/>
  <c r="BJ490" i="5"/>
  <c r="AD490" i="5" s="1"/>
  <c r="BJ425" i="5"/>
  <c r="AD425" i="5" s="1"/>
  <c r="AY425" i="5"/>
  <c r="AZ327" i="5"/>
  <c r="J327" i="5"/>
  <c r="BK327" i="5"/>
  <c r="AE327" i="5" s="1"/>
  <c r="I972" i="5"/>
  <c r="AY972" i="5"/>
  <c r="BJ972" i="5"/>
  <c r="AF972" i="5" s="1"/>
  <c r="J757" i="5"/>
  <c r="BK757" i="5"/>
  <c r="AE757" i="5" s="1"/>
  <c r="J595" i="5"/>
  <c r="BK595" i="5"/>
  <c r="AG595" i="5" s="1"/>
  <c r="AZ517" i="5"/>
  <c r="J517" i="5"/>
  <c r="BK517" i="5"/>
  <c r="AE517" i="5" s="1"/>
  <c r="AZ482" i="5"/>
  <c r="BK482" i="5"/>
  <c r="AE482" i="5" s="1"/>
  <c r="BJ1557" i="5"/>
  <c r="AD1557" i="5" s="1"/>
  <c r="AN1541" i="5"/>
  <c r="AY1557" i="5"/>
  <c r="K1543" i="5"/>
  <c r="BK1524" i="5"/>
  <c r="AE1524" i="5" s="1"/>
  <c r="AV1447" i="5"/>
  <c r="BJ1438" i="5"/>
  <c r="AF1438" i="5" s="1"/>
  <c r="BJ1432" i="5"/>
  <c r="AD1432" i="5" s="1"/>
  <c r="BK1359" i="5"/>
  <c r="AG1359" i="5" s="1"/>
  <c r="AZ1354" i="5"/>
  <c r="BE1354" i="5" s="1"/>
  <c r="BK1326" i="5"/>
  <c r="AG1326" i="5" s="1"/>
  <c r="BJ1311" i="5"/>
  <c r="AF1311" i="5" s="1"/>
  <c r="AY1269" i="5"/>
  <c r="AW1240" i="5"/>
  <c r="I1143" i="5"/>
  <c r="BK1137" i="5"/>
  <c r="AG1137" i="5" s="1"/>
  <c r="BK1123" i="5"/>
  <c r="AG1123" i="5" s="1"/>
  <c r="J1123" i="5"/>
  <c r="J1103" i="5"/>
  <c r="BJ1058" i="5"/>
  <c r="AD1058" i="5" s="1"/>
  <c r="AN1036" i="5"/>
  <c r="AY1016" i="5"/>
  <c r="AZ1008" i="5"/>
  <c r="BJ999" i="5"/>
  <c r="AF999" i="5" s="1"/>
  <c r="AY991" i="5"/>
  <c r="AY947" i="5"/>
  <c r="AY931" i="5"/>
  <c r="BJ931" i="5"/>
  <c r="AD931" i="5" s="1"/>
  <c r="BK905" i="5"/>
  <c r="AE905" i="5" s="1"/>
  <c r="J881" i="5"/>
  <c r="BK881" i="5"/>
  <c r="AI881" i="5" s="1"/>
  <c r="I793" i="5"/>
  <c r="BJ793" i="5"/>
  <c r="AH793" i="5" s="1"/>
  <c r="J578" i="5"/>
  <c r="AZ578" i="5"/>
  <c r="AX578" i="5" s="1"/>
  <c r="BK578" i="5"/>
  <c r="AG578" i="5" s="1"/>
  <c r="J549" i="5"/>
  <c r="BK549" i="5"/>
  <c r="AG549" i="5" s="1"/>
  <c r="AZ474" i="5"/>
  <c r="BK474" i="5"/>
  <c r="AG474" i="5" s="1"/>
  <c r="J474" i="5"/>
  <c r="I1394" i="5"/>
  <c r="BJ1539" i="5"/>
  <c r="AF1539" i="5" s="1"/>
  <c r="AB1547" i="5"/>
  <c r="AU1538" i="5"/>
  <c r="AN1524" i="5"/>
  <c r="BJ1518" i="5"/>
  <c r="AD1518" i="5" s="1"/>
  <c r="AY1510" i="5"/>
  <c r="AN1486" i="5"/>
  <c r="BK1426" i="5"/>
  <c r="AG1426" i="5" s="1"/>
  <c r="J1383" i="5"/>
  <c r="BK1371" i="5"/>
  <c r="AE1371" i="5" s="1"/>
  <c r="J1563" i="5"/>
  <c r="BK1553" i="5"/>
  <c r="AG1553" i="5" s="1"/>
  <c r="AN1553" i="5"/>
  <c r="AU1546" i="5"/>
  <c r="BJ1522" i="5"/>
  <c r="AH1522" i="5" s="1"/>
  <c r="BK1484" i="5"/>
  <c r="AE1484" i="5" s="1"/>
  <c r="I1481" i="5"/>
  <c r="I1478" i="5" s="1"/>
  <c r="AN1476" i="5"/>
  <c r="AW1475" i="5" s="1"/>
  <c r="I1466" i="5"/>
  <c r="I1465" i="5" s="1"/>
  <c r="AN1453" i="5"/>
  <c r="AW1452" i="5" s="1"/>
  <c r="AY1448" i="5"/>
  <c r="BH1441" i="5"/>
  <c r="AN1434" i="5"/>
  <c r="AY1419" i="5"/>
  <c r="AZ1411" i="5"/>
  <c r="BJ1407" i="5"/>
  <c r="AD1407" i="5" s="1"/>
  <c r="AU1385" i="5"/>
  <c r="I1303" i="5"/>
  <c r="BK1283" i="5"/>
  <c r="AG1283" i="5" s="1"/>
  <c r="AY1281" i="5"/>
  <c r="BE1281" i="5" s="1"/>
  <c r="AY1277" i="5"/>
  <c r="BE1277" i="5" s="1"/>
  <c r="AZ1271" i="5"/>
  <c r="AX1271" i="5" s="1"/>
  <c r="BK1230" i="5"/>
  <c r="AG1230" i="5" s="1"/>
  <c r="BK1170" i="5"/>
  <c r="AG1170" i="5" s="1"/>
  <c r="BJ1123" i="5"/>
  <c r="AF1123" i="5" s="1"/>
  <c r="I1123" i="5"/>
  <c r="BJ1116" i="5"/>
  <c r="AF1116" i="5" s="1"/>
  <c r="AY1103" i="5"/>
  <c r="AX1103" i="5" s="1"/>
  <c r="I1058" i="5"/>
  <c r="I1055" i="5" s="1"/>
  <c r="BK1053" i="5"/>
  <c r="AG1053" i="5" s="1"/>
  <c r="BK995" i="5"/>
  <c r="AI995" i="5" s="1"/>
  <c r="AY952" i="5"/>
  <c r="AY916" i="5"/>
  <c r="AX916" i="5" s="1"/>
  <c r="AZ908" i="5"/>
  <c r="BK908" i="5"/>
  <c r="AE908" i="5" s="1"/>
  <c r="I776" i="5"/>
  <c r="AY776" i="5"/>
  <c r="BJ776" i="5"/>
  <c r="AF760" i="5"/>
  <c r="AM754" i="5"/>
  <c r="AV747" i="5" s="1"/>
  <c r="AN754" i="5"/>
  <c r="AX570" i="5"/>
  <c r="AZ534" i="5"/>
  <c r="J534" i="5"/>
  <c r="I523" i="5"/>
  <c r="AY523" i="5"/>
  <c r="AX523" i="5" s="1"/>
  <c r="AZ480" i="5"/>
  <c r="J480" i="5"/>
  <c r="BK480" i="5"/>
  <c r="AG480" i="5" s="1"/>
  <c r="J464" i="5"/>
  <c r="AZ464" i="5"/>
  <c r="BK464" i="5"/>
  <c r="AG464" i="5" s="1"/>
  <c r="J458" i="5"/>
  <c r="BK458" i="5"/>
  <c r="AE458" i="5" s="1"/>
  <c r="AZ394" i="5"/>
  <c r="BE394" i="5" s="1"/>
  <c r="J394" i="5"/>
  <c r="BK394" i="5"/>
  <c r="AE394" i="5" s="1"/>
  <c r="J359" i="5"/>
  <c r="AZ359" i="5"/>
  <c r="AX359" i="5" s="1"/>
  <c r="BK359" i="5"/>
  <c r="AE359" i="5" s="1"/>
  <c r="J218" i="5"/>
  <c r="BK218" i="5"/>
  <c r="AG218" i="5" s="1"/>
  <c r="AZ218" i="5"/>
  <c r="BJ744" i="5"/>
  <c r="AD744" i="5" s="1"/>
  <c r="J715" i="5"/>
  <c r="J714" i="5" s="1"/>
  <c r="J712" i="5"/>
  <c r="J711" i="5" s="1"/>
  <c r="M690" i="5"/>
  <c r="AY676" i="5"/>
  <c r="BJ655" i="5"/>
  <c r="AF655" i="5" s="1"/>
  <c r="AN527" i="5"/>
  <c r="BK523" i="5"/>
  <c r="AG523" i="5" s="1"/>
  <c r="BJ461" i="5"/>
  <c r="AF461" i="5" s="1"/>
  <c r="BK452" i="5"/>
  <c r="AG452" i="5" s="1"/>
  <c r="BJ449" i="5"/>
  <c r="AF449" i="5" s="1"/>
  <c r="I422" i="5"/>
  <c r="AZ369" i="5"/>
  <c r="AZ329" i="5"/>
  <c r="J329" i="5"/>
  <c r="BK304" i="5"/>
  <c r="AE304" i="5" s="1"/>
  <c r="BK300" i="5"/>
  <c r="AE300" i="5" s="1"/>
  <c r="AY298" i="5"/>
  <c r="AX298" i="5" s="1"/>
  <c r="I130" i="5"/>
  <c r="I124" i="5" s="1"/>
  <c r="BJ67" i="5"/>
  <c r="AD67" i="5" s="1"/>
  <c r="M714" i="5"/>
  <c r="AZ694" i="5"/>
  <c r="I655" i="5"/>
  <c r="K609" i="5"/>
  <c r="U609" i="5" s="1"/>
  <c r="BJ546" i="5"/>
  <c r="AF546" i="5" s="1"/>
  <c r="J373" i="5"/>
  <c r="AY308" i="5"/>
  <c r="J237" i="5"/>
  <c r="BJ222" i="5"/>
  <c r="AH222" i="5" s="1"/>
  <c r="AN196" i="5"/>
  <c r="AW195" i="5" s="1"/>
  <c r="BK181" i="5"/>
  <c r="AG181" i="5" s="1"/>
  <c r="BJ148" i="5"/>
  <c r="AF148" i="5" s="1"/>
  <c r="J100" i="5"/>
  <c r="AZ71" i="5"/>
  <c r="AY974" i="5"/>
  <c r="BK916" i="5"/>
  <c r="AE916" i="5" s="1"/>
  <c r="AZ914" i="5"/>
  <c r="AZ823" i="5"/>
  <c r="BE823" i="5" s="1"/>
  <c r="J804" i="5"/>
  <c r="AZ655" i="5"/>
  <c r="BE655" i="5" s="1"/>
  <c r="I578" i="5"/>
  <c r="BJ542" i="5"/>
  <c r="AD542" i="5" s="1"/>
  <c r="AY512" i="5"/>
  <c r="AY504" i="5"/>
  <c r="I504" i="5"/>
  <c r="AZ449" i="5"/>
  <c r="BE449" i="5" s="1"/>
  <c r="AZ412" i="5"/>
  <c r="BK375" i="5"/>
  <c r="AE375" i="5" s="1"/>
  <c r="BK373" i="5"/>
  <c r="AE373" i="5" s="1"/>
  <c r="AN324" i="5"/>
  <c r="BJ317" i="5"/>
  <c r="AD317" i="5" s="1"/>
  <c r="AN289" i="5"/>
  <c r="J268" i="5"/>
  <c r="J259" i="5"/>
  <c r="I231" i="5"/>
  <c r="I228" i="5" s="1"/>
  <c r="BK214" i="5"/>
  <c r="AG214" i="5" s="1"/>
  <c r="BK177" i="5"/>
  <c r="I172" i="5"/>
  <c r="I171" i="5" s="1"/>
  <c r="BK156" i="5"/>
  <c r="AE156" i="5" s="1"/>
  <c r="BJ88" i="5"/>
  <c r="AD88" i="5" s="1"/>
  <c r="J71" i="5"/>
  <c r="AZ989" i="5"/>
  <c r="J964" i="5"/>
  <c r="K795" i="5"/>
  <c r="V795" i="5" s="1"/>
  <c r="BK793" i="5"/>
  <c r="AG793" i="5" s="1"/>
  <c r="AX754" i="5"/>
  <c r="BJ607" i="5"/>
  <c r="AF607" i="5" s="1"/>
  <c r="BK601" i="5"/>
  <c r="AG601" i="5" s="1"/>
  <c r="BK551" i="5"/>
  <c r="AE551" i="5" s="1"/>
  <c r="BK499" i="5"/>
  <c r="AG499" i="5" s="1"/>
  <c r="J412" i="5"/>
  <c r="J392" i="5"/>
  <c r="BJ373" i="5"/>
  <c r="AH373" i="5" s="1"/>
  <c r="AZ304" i="5"/>
  <c r="AZ300" i="5"/>
  <c r="BJ295" i="5"/>
  <c r="AD295" i="5" s="1"/>
  <c r="BH203" i="5"/>
  <c r="BJ177" i="5"/>
  <c r="AF177" i="5" s="1"/>
  <c r="M171" i="5"/>
  <c r="BK160" i="5"/>
  <c r="AE160" i="5" s="1"/>
  <c r="BJ156" i="5"/>
  <c r="AF156" i="5" s="1"/>
  <c r="I148" i="5"/>
  <c r="BK98" i="5"/>
  <c r="AE98" i="5" s="1"/>
  <c r="BK94" i="5"/>
  <c r="AG94" i="5" s="1"/>
  <c r="AY67" i="5"/>
  <c r="AY49" i="5"/>
  <c r="I49" i="5"/>
  <c r="BJ41" i="5"/>
  <c r="AD41" i="5" s="1"/>
  <c r="AY970" i="5"/>
  <c r="AZ947" i="5"/>
  <c r="BE765" i="5"/>
  <c r="AZ763" i="5"/>
  <c r="AY757" i="5"/>
  <c r="J724" i="5"/>
  <c r="K687" i="5"/>
  <c r="P687" i="5" s="1"/>
  <c r="I496" i="5"/>
  <c r="I449" i="5"/>
  <c r="AY437" i="5"/>
  <c r="AX437" i="5" s="1"/>
  <c r="BK351" i="5"/>
  <c r="AE351" i="5" s="1"/>
  <c r="BJ264" i="5"/>
  <c r="BJ229" i="5"/>
  <c r="AF229" i="5" s="1"/>
  <c r="BJ224" i="5"/>
  <c r="AY222" i="5"/>
  <c r="AY218" i="5"/>
  <c r="AB181" i="5"/>
  <c r="AN179" i="5"/>
  <c r="BK133" i="5"/>
  <c r="AE133" i="5" s="1"/>
  <c r="BJ108" i="5"/>
  <c r="AF108" i="5" s="1"/>
  <c r="BJ98" i="5"/>
  <c r="AF98" i="5" s="1"/>
  <c r="M85" i="5"/>
  <c r="BH41" i="5"/>
  <c r="C26" i="7"/>
  <c r="C29" i="7" s="1"/>
  <c r="I829" i="5"/>
  <c r="I823" i="5"/>
  <c r="BJ816" i="5"/>
  <c r="AD816" i="5" s="1"/>
  <c r="J760" i="5"/>
  <c r="I748" i="5"/>
  <c r="BJ734" i="5"/>
  <c r="AD734" i="5" s="1"/>
  <c r="BK666" i="5"/>
  <c r="AG666" i="5" s="1"/>
  <c r="AZ551" i="5"/>
  <c r="BK525" i="5"/>
  <c r="AE525" i="5" s="1"/>
  <c r="AN425" i="5"/>
  <c r="AY415" i="5"/>
  <c r="BE415" i="5" s="1"/>
  <c r="BK400" i="5"/>
  <c r="BK289" i="5"/>
  <c r="AE289" i="5" s="1"/>
  <c r="AY253" i="5"/>
  <c r="BE243" i="5"/>
  <c r="AY224" i="5"/>
  <c r="BE224" i="5" s="1"/>
  <c r="AZ175" i="5"/>
  <c r="AZ160" i="5"/>
  <c r="AX160" i="5" s="1"/>
  <c r="M124" i="5"/>
  <c r="AZ98" i="5"/>
  <c r="AZ36" i="5"/>
  <c r="J36" i="5"/>
  <c r="AD111" i="5"/>
  <c r="K91" i="5"/>
  <c r="AY52" i="5"/>
  <c r="AY31" i="5"/>
  <c r="BK29" i="5"/>
  <c r="AG29" i="5" s="1"/>
  <c r="AF1421" i="5"/>
  <c r="AD1421" i="5"/>
  <c r="BK1555" i="5"/>
  <c r="AG1555" i="5" s="1"/>
  <c r="J1555" i="5"/>
  <c r="AG1532" i="5"/>
  <c r="AE1434" i="5"/>
  <c r="AZ1421" i="5"/>
  <c r="BK1421" i="5"/>
  <c r="AE1421" i="5" s="1"/>
  <c r="AZ1405" i="5"/>
  <c r="BK1405" i="5"/>
  <c r="AI1405" i="5" s="1"/>
  <c r="J1378" i="5"/>
  <c r="BK1378" i="5"/>
  <c r="AE1378" i="5" s="1"/>
  <c r="K1538" i="5"/>
  <c r="AN1539" i="5"/>
  <c r="I1532" i="5"/>
  <c r="AZ1518" i="5"/>
  <c r="BE1518" i="5" s="1"/>
  <c r="J1518" i="5"/>
  <c r="AL1471" i="5"/>
  <c r="AU1468" i="5" s="1"/>
  <c r="AN1471" i="5"/>
  <c r="AW1468" i="5" s="1"/>
  <c r="BJ1386" i="5"/>
  <c r="AF1386" i="5" s="1"/>
  <c r="AY1386" i="5"/>
  <c r="AN1320" i="5"/>
  <c r="K1317" i="5"/>
  <c r="AZ1313" i="5"/>
  <c r="AX1313" i="5" s="1"/>
  <c r="BK1313" i="5"/>
  <c r="AG1313" i="5" s="1"/>
  <c r="J1313" i="5"/>
  <c r="AZ1539" i="5"/>
  <c r="BE1539" i="5" s="1"/>
  <c r="J1539" i="5"/>
  <c r="J1538" i="5" s="1"/>
  <c r="AZ1534" i="5"/>
  <c r="AX1534" i="5" s="1"/>
  <c r="J1534" i="5"/>
  <c r="AN1532" i="5"/>
  <c r="AG1520" i="5"/>
  <c r="AE1520" i="5"/>
  <c r="BK1510" i="5"/>
  <c r="AE1510" i="5" s="1"/>
  <c r="AZ1510" i="5"/>
  <c r="I1510" i="5"/>
  <c r="AX1503" i="5"/>
  <c r="BJ1491" i="5"/>
  <c r="I1491" i="5"/>
  <c r="I1490" i="5" s="1"/>
  <c r="AY1491" i="5"/>
  <c r="BJ1488" i="5"/>
  <c r="AD1488" i="5" s="1"/>
  <c r="AM1484" i="5"/>
  <c r="AV1483" i="5" s="1"/>
  <c r="AN1484" i="5"/>
  <c r="K1483" i="5"/>
  <c r="K1468" i="5"/>
  <c r="AN1444" i="5"/>
  <c r="AW1443" i="5" s="1"/>
  <c r="BK1436" i="5"/>
  <c r="AE1436" i="5" s="1"/>
  <c r="J1436" i="5"/>
  <c r="J1428" i="5"/>
  <c r="AZ1428" i="5"/>
  <c r="I1402" i="5"/>
  <c r="BJ1402" i="5"/>
  <c r="AD1402" i="5" s="1"/>
  <c r="AD1394" i="5"/>
  <c r="AN1386" i="5"/>
  <c r="I1386" i="5"/>
  <c r="BH1371" i="5"/>
  <c r="AZ1366" i="5"/>
  <c r="J1366" i="5"/>
  <c r="J1365" i="5" s="1"/>
  <c r="M1337" i="5"/>
  <c r="BH1338" i="5"/>
  <c r="L56" i="4" s="1"/>
  <c r="AY1335" i="5"/>
  <c r="I1335" i="5"/>
  <c r="I1334" i="5" s="1"/>
  <c r="BJ1335" i="5"/>
  <c r="AD1335" i="5" s="1"/>
  <c r="BK1488" i="5"/>
  <c r="AE1488" i="5" s="1"/>
  <c r="AZ1488" i="5"/>
  <c r="I1413" i="5"/>
  <c r="AY1413" i="5"/>
  <c r="AX1413" i="5" s="1"/>
  <c r="BJ1498" i="5"/>
  <c r="AY1498" i="5"/>
  <c r="AG1371" i="5"/>
  <c r="I1369" i="5"/>
  <c r="AY1369" i="5"/>
  <c r="AX1369" i="5" s="1"/>
  <c r="AG1350" i="5"/>
  <c r="AZ1320" i="5"/>
  <c r="BK1320" i="5"/>
  <c r="AE1320" i="5" s="1"/>
  <c r="J1320" i="5"/>
  <c r="AY1559" i="5"/>
  <c r="I1559" i="5"/>
  <c r="AZ1555" i="5"/>
  <c r="AG1541" i="5"/>
  <c r="AE1541" i="5"/>
  <c r="AG1536" i="5"/>
  <c r="AY1526" i="5"/>
  <c r="BE1526" i="5" s="1"/>
  <c r="I1526" i="5"/>
  <c r="AG1516" i="5"/>
  <c r="K1495" i="5"/>
  <c r="J1479" i="5"/>
  <c r="AZ1473" i="5"/>
  <c r="AD1450" i="5"/>
  <c r="AY1399" i="5"/>
  <c r="I1399" i="5"/>
  <c r="AM1388" i="5"/>
  <c r="AV1385" i="5" s="1"/>
  <c r="AN1388" i="5"/>
  <c r="AZ1378" i="5"/>
  <c r="I1366" i="5"/>
  <c r="I1365" i="5" s="1"/>
  <c r="BJ1366" i="5"/>
  <c r="AY1366" i="5"/>
  <c r="BJ1363" i="5"/>
  <c r="AD1363" i="5" s="1"/>
  <c r="AM1326" i="5"/>
  <c r="AN1326" i="5"/>
  <c r="M1483" i="5"/>
  <c r="BH1486" i="5"/>
  <c r="L70" i="4" s="1"/>
  <c r="I1486" i="5"/>
  <c r="BJ1486" i="5"/>
  <c r="AF1516" i="5"/>
  <c r="AG1438" i="5"/>
  <c r="AZ1332" i="5"/>
  <c r="BK1332" i="5"/>
  <c r="AG1332" i="5" s="1"/>
  <c r="AG1524" i="5"/>
  <c r="M1505" i="5"/>
  <c r="I1368" i="5"/>
  <c r="J1318" i="5"/>
  <c r="AZ1318" i="5"/>
  <c r="BK1318" i="5"/>
  <c r="AF1524" i="5"/>
  <c r="AD1524" i="5"/>
  <c r="BK1518" i="5"/>
  <c r="AE1518" i="5" s="1"/>
  <c r="AL1512" i="5"/>
  <c r="AU1505" i="5" s="1"/>
  <c r="AN1512" i="5"/>
  <c r="AN1488" i="5"/>
  <c r="BK1471" i="5"/>
  <c r="J1421" i="5"/>
  <c r="I1354" i="5"/>
  <c r="BJ1354" i="5"/>
  <c r="I1350" i="5"/>
  <c r="BJ1350" i="5"/>
  <c r="AL1329" i="5"/>
  <c r="AU1328" i="5" s="1"/>
  <c r="AN1329" i="5"/>
  <c r="AW1328" i="5" s="1"/>
  <c r="J1473" i="5"/>
  <c r="J1488" i="5"/>
  <c r="AF1473" i="5"/>
  <c r="AD1473" i="5"/>
  <c r="AF1399" i="5"/>
  <c r="AD1399" i="5"/>
  <c r="BK1376" i="5"/>
  <c r="AE1376" i="5" s="1"/>
  <c r="AZ1376" i="5"/>
  <c r="J1376" i="5"/>
  <c r="I1326" i="5"/>
  <c r="AY1326" i="5"/>
  <c r="AY1563" i="5"/>
  <c r="I1563" i="5"/>
  <c r="AL1561" i="5"/>
  <c r="AU1552" i="5" s="1"/>
  <c r="AN1561" i="5"/>
  <c r="I1520" i="5"/>
  <c r="AY1520" i="5"/>
  <c r="BK1508" i="5"/>
  <c r="AZ1508" i="5"/>
  <c r="J1508" i="5"/>
  <c r="AZ1506" i="5"/>
  <c r="AX1506" i="5" s="1"/>
  <c r="J1506" i="5"/>
  <c r="I1498" i="5"/>
  <c r="BH1491" i="5"/>
  <c r="L71" i="4" s="1"/>
  <c r="J1476" i="5"/>
  <c r="J1475" i="5" s="1"/>
  <c r="BK1476" i="5"/>
  <c r="AZ1476" i="5"/>
  <c r="J69" i="4" s="1"/>
  <c r="I1476" i="5"/>
  <c r="I1475" i="5" s="1"/>
  <c r="AX1450" i="5"/>
  <c r="BE1450" i="5"/>
  <c r="I1450" i="5"/>
  <c r="I1447" i="5" s="1"/>
  <c r="AY1430" i="5"/>
  <c r="BE1430" i="5" s="1"/>
  <c r="AZ1424" i="5"/>
  <c r="AX1424" i="5" s="1"/>
  <c r="I1424" i="5"/>
  <c r="AM1407" i="5"/>
  <c r="AN1407" i="5"/>
  <c r="AM1402" i="5"/>
  <c r="AN1402" i="5"/>
  <c r="AZ1383" i="5"/>
  <c r="AG1374" i="5"/>
  <c r="I1363" i="5"/>
  <c r="BK1352" i="5"/>
  <c r="AE1352" i="5" s="1"/>
  <c r="AZ1352" i="5"/>
  <c r="J1352" i="5"/>
  <c r="J1349" i="5" s="1"/>
  <c r="K1334" i="5"/>
  <c r="AN1335" i="5"/>
  <c r="AW1334" i="5" s="1"/>
  <c r="J1329" i="5"/>
  <c r="J1328" i="5" s="1"/>
  <c r="BK1329" i="5"/>
  <c r="AG1329" i="5" s="1"/>
  <c r="BK1501" i="5"/>
  <c r="AE1501" i="5" s="1"/>
  <c r="AZ1501" i="5"/>
  <c r="AL1426" i="5"/>
  <c r="AN1426" i="5"/>
  <c r="BJ1532" i="5"/>
  <c r="AG1479" i="5"/>
  <c r="AE1479" i="5"/>
  <c r="K1423" i="5"/>
  <c r="I1421" i="5"/>
  <c r="AY1421" i="5"/>
  <c r="AL1383" i="5"/>
  <c r="AN1383" i="5"/>
  <c r="K1349" i="5"/>
  <c r="I1561" i="5"/>
  <c r="BJ1561" i="5"/>
  <c r="AF1561" i="5" s="1"/>
  <c r="AZ1547" i="5"/>
  <c r="J1547" i="5"/>
  <c r="BK1547" i="5"/>
  <c r="AG1547" i="5" s="1"/>
  <c r="I1536" i="5"/>
  <c r="AY1536" i="5"/>
  <c r="I1516" i="5"/>
  <c r="J1498" i="5"/>
  <c r="AZ1498" i="5"/>
  <c r="AY1493" i="5"/>
  <c r="BJ1493" i="5"/>
  <c r="K1490" i="5"/>
  <c r="K1475" i="5"/>
  <c r="AZ1471" i="5"/>
  <c r="J1461" i="5"/>
  <c r="AZ1461" i="5"/>
  <c r="I1453" i="5"/>
  <c r="I1452" i="5" s="1"/>
  <c r="BJ1413" i="5"/>
  <c r="I1411" i="5"/>
  <c r="AY1411" i="5"/>
  <c r="AF1409" i="5"/>
  <c r="BJ1396" i="5"/>
  <c r="AD1396" i="5" s="1"/>
  <c r="I1396" i="5"/>
  <c r="AY1396" i="5"/>
  <c r="AG1383" i="5"/>
  <c r="AE1383" i="5"/>
  <c r="AZ1324" i="5"/>
  <c r="AX1324" i="5" s="1"/>
  <c r="J1324" i="5"/>
  <c r="BK1324" i="5"/>
  <c r="AI1324" i="5" s="1"/>
  <c r="J1315" i="5"/>
  <c r="BK1315" i="5"/>
  <c r="AG1315" i="5" s="1"/>
  <c r="I1301" i="5"/>
  <c r="AY1301" i="5"/>
  <c r="AY1259" i="5"/>
  <c r="BJ1259" i="5"/>
  <c r="AF1259" i="5" s="1"/>
  <c r="BK1257" i="5"/>
  <c r="AG1257" i="5" s="1"/>
  <c r="I1220" i="5"/>
  <c r="BJ1220" i="5"/>
  <c r="AF1220" i="5" s="1"/>
  <c r="I1216" i="5"/>
  <c r="I1186" i="5"/>
  <c r="AY1186" i="5"/>
  <c r="BJ1184" i="5"/>
  <c r="AF1184" i="5" s="1"/>
  <c r="AY1164" i="5"/>
  <c r="BJ1164" i="5"/>
  <c r="AF1164" i="5" s="1"/>
  <c r="AL1151" i="5"/>
  <c r="AN1151" i="5"/>
  <c r="AZ1143" i="5"/>
  <c r="BK1143" i="5"/>
  <c r="AG1143" i="5" s="1"/>
  <c r="AZ1131" i="5"/>
  <c r="BK1131" i="5"/>
  <c r="AG1131" i="5" s="1"/>
  <c r="J1131" i="5"/>
  <c r="I1125" i="5"/>
  <c r="AY1125" i="5"/>
  <c r="BH1106" i="5"/>
  <c r="L51" i="4" s="1"/>
  <c r="M1105" i="5"/>
  <c r="J1073" i="5"/>
  <c r="J1072" i="5" s="1"/>
  <c r="AZ1073" i="5"/>
  <c r="BK1073" i="5"/>
  <c r="AG1073" i="5" s="1"/>
  <c r="AH997" i="5"/>
  <c r="AF997" i="5"/>
  <c r="AZ658" i="5"/>
  <c r="AX658" i="5" s="1"/>
  <c r="BK658" i="5"/>
  <c r="J658" i="5"/>
  <c r="AZ652" i="5"/>
  <c r="BK652" i="5"/>
  <c r="AG652" i="5" s="1"/>
  <c r="J652" i="5"/>
  <c r="BE1466" i="5"/>
  <c r="M1552" i="5"/>
  <c r="M1551" i="5" s="1"/>
  <c r="L74" i="4" s="1"/>
  <c r="I1539" i="5"/>
  <c r="I1506" i="5"/>
  <c r="M1447" i="5"/>
  <c r="J1374" i="5"/>
  <c r="K1368" i="5"/>
  <c r="M1356" i="5"/>
  <c r="BK1544" i="5"/>
  <c r="AG1544" i="5" s="1"/>
  <c r="AN1544" i="5"/>
  <c r="AW1543" i="5" s="1"/>
  <c r="I1538" i="5"/>
  <c r="I1534" i="5"/>
  <c r="I1522" i="5"/>
  <c r="I1518" i="5"/>
  <c r="M1455" i="5"/>
  <c r="BK1419" i="5"/>
  <c r="AE1419" i="5" s="1"/>
  <c r="AN1419" i="5"/>
  <c r="BJ1405" i="5"/>
  <c r="BJ1357" i="5"/>
  <c r="AD1357" i="5" s="1"/>
  <c r="AF1324" i="5"/>
  <c r="AD1324" i="5"/>
  <c r="I1315" i="5"/>
  <c r="AZ1309" i="5"/>
  <c r="I1305" i="5"/>
  <c r="AY1305" i="5"/>
  <c r="AX1305" i="5" s="1"/>
  <c r="J1305" i="5"/>
  <c r="AN1301" i="5"/>
  <c r="J1301" i="5"/>
  <c r="BK1289" i="5"/>
  <c r="AG1289" i="5" s="1"/>
  <c r="BJ1287" i="5"/>
  <c r="AF1287" i="5" s="1"/>
  <c r="BJ1279" i="5"/>
  <c r="AF1279" i="5" s="1"/>
  <c r="AZ1275" i="5"/>
  <c r="AZ1273" i="5"/>
  <c r="AX1273" i="5" s="1"/>
  <c r="J1273" i="5"/>
  <c r="J1251" i="5"/>
  <c r="BK1251" i="5"/>
  <c r="AG1251" i="5" s="1"/>
  <c r="BJ1236" i="5"/>
  <c r="AF1236" i="5" s="1"/>
  <c r="AZ1232" i="5"/>
  <c r="J1232" i="5"/>
  <c r="AZ1221" i="5"/>
  <c r="I1164" i="5"/>
  <c r="AY1160" i="5"/>
  <c r="BJ1160" i="5"/>
  <c r="AF1160" i="5" s="1"/>
  <c r="I1160" i="5"/>
  <c r="I1131" i="5"/>
  <c r="AM1106" i="5"/>
  <c r="AV1105" i="5" s="1"/>
  <c r="K1105" i="5"/>
  <c r="BJ1332" i="5"/>
  <c r="AF1332" i="5" s="1"/>
  <c r="BJ1329" i="5"/>
  <c r="AF1329" i="5" s="1"/>
  <c r="I1307" i="5"/>
  <c r="AY1283" i="5"/>
  <c r="I1283" i="5"/>
  <c r="AY1251" i="5"/>
  <c r="BJ1251" i="5"/>
  <c r="AF1251" i="5" s="1"/>
  <c r="I1251" i="5"/>
  <c r="I1249" i="5"/>
  <c r="BJ1249" i="5"/>
  <c r="AF1249" i="5" s="1"/>
  <c r="I1243" i="5"/>
  <c r="I1240" i="5" s="1"/>
  <c r="I1232" i="5"/>
  <c r="BJ1232" i="5"/>
  <c r="AF1232" i="5" s="1"/>
  <c r="J1194" i="5"/>
  <c r="BK1194" i="5"/>
  <c r="AG1194" i="5" s="1"/>
  <c r="J1190" i="5"/>
  <c r="AY1184" i="5"/>
  <c r="BE1139" i="5"/>
  <c r="AX1139" i="5"/>
  <c r="J1098" i="5"/>
  <c r="J1097" i="5" s="1"/>
  <c r="BK1098" i="5"/>
  <c r="AE1098" i="5" s="1"/>
  <c r="J1018" i="5"/>
  <c r="AZ1018" i="5"/>
  <c r="BK1018" i="5"/>
  <c r="AG1018" i="5" s="1"/>
  <c r="AZ931" i="5"/>
  <c r="BK931" i="5"/>
  <c r="AI931" i="5" s="1"/>
  <c r="J931" i="5"/>
  <c r="I1322" i="5"/>
  <c r="AY1322" i="5"/>
  <c r="I1309" i="5"/>
  <c r="AY1309" i="5"/>
  <c r="BJ1301" i="5"/>
  <c r="AF1301" i="5" s="1"/>
  <c r="AY1275" i="5"/>
  <c r="I1275" i="5"/>
  <c r="J1241" i="5"/>
  <c r="J1240" i="5" s="1"/>
  <c r="AY1236" i="5"/>
  <c r="J1226" i="5"/>
  <c r="BK1226" i="5"/>
  <c r="AG1226" i="5" s="1"/>
  <c r="I1208" i="5"/>
  <c r="BK1182" i="5"/>
  <c r="AG1182" i="5" s="1"/>
  <c r="J1182" i="5"/>
  <c r="AZ1172" i="5"/>
  <c r="J1172" i="5"/>
  <c r="J1166" i="5"/>
  <c r="J1141" i="5"/>
  <c r="AZ1141" i="5"/>
  <c r="BK1141" i="5"/>
  <c r="AG1141" i="5" s="1"/>
  <c r="I1141" i="5"/>
  <c r="AN1139" i="5"/>
  <c r="I1139" i="5"/>
  <c r="I1127" i="5"/>
  <c r="AY1098" i="5"/>
  <c r="BE1098" i="5" s="1"/>
  <c r="BJ1098" i="5"/>
  <c r="I1098" i="5"/>
  <c r="I1097" i="5" s="1"/>
  <c r="J1031" i="5"/>
  <c r="AZ1031" i="5"/>
  <c r="BK1031" i="5"/>
  <c r="AG1031" i="5" s="1"/>
  <c r="AZ935" i="5"/>
  <c r="BK935" i="5"/>
  <c r="AE935" i="5" s="1"/>
  <c r="J935" i="5"/>
  <c r="AZ1289" i="5"/>
  <c r="I1287" i="5"/>
  <c r="I1285" i="5"/>
  <c r="AY1285" i="5"/>
  <c r="I1279" i="5"/>
  <c r="J1277" i="5"/>
  <c r="BK1277" i="5"/>
  <c r="AG1277" i="5" s="1"/>
  <c r="I1261" i="5"/>
  <c r="BJ1261" i="5"/>
  <c r="AF1261" i="5" s="1"/>
  <c r="AZ1253" i="5"/>
  <c r="BE1253" i="5" s="1"/>
  <c r="M1245" i="5"/>
  <c r="BH1246" i="5"/>
  <c r="J1234" i="5"/>
  <c r="BK1234" i="5"/>
  <c r="AG1234" i="5" s="1"/>
  <c r="J1214" i="5"/>
  <c r="AZ1214" i="5"/>
  <c r="J1202" i="5"/>
  <c r="AZ1202" i="5"/>
  <c r="AZ1196" i="5"/>
  <c r="BK1196" i="5"/>
  <c r="AG1196" i="5" s="1"/>
  <c r="J1178" i="5"/>
  <c r="BK1178" i="5"/>
  <c r="AG1178" i="5" s="1"/>
  <c r="I1170" i="5"/>
  <c r="AY1170" i="5"/>
  <c r="AY1168" i="5"/>
  <c r="I1166" i="5"/>
  <c r="BJ1166" i="5"/>
  <c r="AF1166" i="5" s="1"/>
  <c r="AM1145" i="5"/>
  <c r="AN1145" i="5"/>
  <c r="AG1086" i="5"/>
  <c r="AI1086" i="5"/>
  <c r="AZ1111" i="5"/>
  <c r="J1111" i="5"/>
  <c r="J1108" i="5" s="1"/>
  <c r="BK1111" i="5"/>
  <c r="J1101" i="5"/>
  <c r="BK1101" i="5"/>
  <c r="AZ1549" i="5"/>
  <c r="AZ1544" i="5"/>
  <c r="M1538" i="5"/>
  <c r="BK1522" i="5"/>
  <c r="AG1522" i="5" s="1"/>
  <c r="AN1508" i="5"/>
  <c r="AX1453" i="5"/>
  <c r="I1444" i="5"/>
  <c r="I1443" i="5" s="1"/>
  <c r="AZ1419" i="5"/>
  <c r="AY1405" i="5"/>
  <c r="BJ1381" i="5"/>
  <c r="AD1381" i="5" s="1"/>
  <c r="AY1378" i="5"/>
  <c r="BH1363" i="5"/>
  <c r="BJ1342" i="5"/>
  <c r="AH1342" i="5" s="1"/>
  <c r="AY1332" i="5"/>
  <c r="AY1329" i="5"/>
  <c r="AX1329" i="5" s="1"/>
  <c r="BJ1305" i="5"/>
  <c r="AF1305" i="5" s="1"/>
  <c r="AY1289" i="5"/>
  <c r="AN1261" i="5"/>
  <c r="I1257" i="5"/>
  <c r="AY1257" i="5"/>
  <c r="BE1257" i="5" s="1"/>
  <c r="J1257" i="5"/>
  <c r="BJ1241" i="5"/>
  <c r="AF1241" i="5" s="1"/>
  <c r="I1234" i="5"/>
  <c r="BJ1234" i="5"/>
  <c r="AY1220" i="5"/>
  <c r="J1218" i="5"/>
  <c r="BK1218" i="5"/>
  <c r="AG1218" i="5" s="1"/>
  <c r="I1202" i="5"/>
  <c r="AY1202" i="5"/>
  <c r="AZ1198" i="5"/>
  <c r="AY1196" i="5"/>
  <c r="BJ1196" i="5"/>
  <c r="AF1196" i="5" s="1"/>
  <c r="I1196" i="5"/>
  <c r="I1192" i="5"/>
  <c r="I1178" i="5"/>
  <c r="BJ1178" i="5"/>
  <c r="AD1178" i="5" s="1"/>
  <c r="AY1147" i="5"/>
  <c r="BK1139" i="5"/>
  <c r="AG1139" i="5" s="1"/>
  <c r="J1129" i="5"/>
  <c r="BK1129" i="5"/>
  <c r="AI1129" i="5" s="1"/>
  <c r="BJ1125" i="5"/>
  <c r="AF1125" i="5" s="1"/>
  <c r="AY1111" i="5"/>
  <c r="I1111" i="5"/>
  <c r="BJ1111" i="5"/>
  <c r="K1100" i="5"/>
  <c r="I1101" i="5"/>
  <c r="I1100" i="5" s="1"/>
  <c r="BJ1101" i="5"/>
  <c r="AD1101" i="5" s="1"/>
  <c r="M1100" i="5"/>
  <c r="AY1082" i="5"/>
  <c r="I1082" i="5"/>
  <c r="I1081" i="5" s="1"/>
  <c r="BJ1082" i="5"/>
  <c r="AD1082" i="5" s="1"/>
  <c r="J954" i="5"/>
  <c r="AZ954" i="5"/>
  <c r="BK954" i="5"/>
  <c r="AG954" i="5" s="1"/>
  <c r="J1253" i="5"/>
  <c r="J1246" i="5"/>
  <c r="J1245" i="5" s="1"/>
  <c r="BK1246" i="5"/>
  <c r="AG1246" i="5" s="1"/>
  <c r="I1168" i="5"/>
  <c r="J1162" i="5"/>
  <c r="BK1162" i="5"/>
  <c r="AG1162" i="5" s="1"/>
  <c r="AZ1147" i="5"/>
  <c r="J1147" i="5"/>
  <c r="BK1147" i="5"/>
  <c r="AG1147" i="5" s="1"/>
  <c r="AY1129" i="5"/>
  <c r="BE1129" i="5" s="1"/>
  <c r="BJ1129" i="5"/>
  <c r="AF1129" i="5" s="1"/>
  <c r="I1129" i="5"/>
  <c r="AY1121" i="5"/>
  <c r="BJ1121" i="5"/>
  <c r="AF1121" i="5" s="1"/>
  <c r="M1097" i="5"/>
  <c r="AD987" i="5"/>
  <c r="AF987" i="5"/>
  <c r="AZ974" i="5"/>
  <c r="J974" i="5"/>
  <c r="BK974" i="5"/>
  <c r="AE974" i="5" s="1"/>
  <c r="M1393" i="5"/>
  <c r="I1381" i="5"/>
  <c r="AV1349" i="5"/>
  <c r="AZ1342" i="5"/>
  <c r="J58" i="4" s="1"/>
  <c r="I1313" i="5"/>
  <c r="BJ1313" i="5"/>
  <c r="AF1313" i="5" s="1"/>
  <c r="BJ1285" i="5"/>
  <c r="AF1285" i="5" s="1"/>
  <c r="I1271" i="5"/>
  <c r="J1259" i="5"/>
  <c r="BK1259" i="5"/>
  <c r="AG1259" i="5" s="1"/>
  <c r="AY1249" i="5"/>
  <c r="AY1241" i="5"/>
  <c r="J1238" i="5"/>
  <c r="BK1238" i="5"/>
  <c r="AG1238" i="5" s="1"/>
  <c r="AY1232" i="5"/>
  <c r="I1223" i="5"/>
  <c r="AY1223" i="5"/>
  <c r="BE1223" i="5" s="1"/>
  <c r="BK1221" i="5"/>
  <c r="AG1221" i="5" s="1"/>
  <c r="J1220" i="5"/>
  <c r="J1206" i="5"/>
  <c r="BK1206" i="5"/>
  <c r="AG1206" i="5" s="1"/>
  <c r="J1198" i="5"/>
  <c r="BK1190" i="5"/>
  <c r="AG1190" i="5" s="1"/>
  <c r="AZ1180" i="5"/>
  <c r="BK1180" i="5"/>
  <c r="AG1180" i="5" s="1"/>
  <c r="I1180" i="5"/>
  <c r="I1176" i="5"/>
  <c r="AZ1164" i="5"/>
  <c r="BK1164" i="5"/>
  <c r="AG1164" i="5" s="1"/>
  <c r="I1162" i="5"/>
  <c r="BJ1162" i="5"/>
  <c r="AD1162" i="5" s="1"/>
  <c r="I1155" i="5"/>
  <c r="AY1155" i="5"/>
  <c r="BE1155" i="5" s="1"/>
  <c r="AY1143" i="5"/>
  <c r="J1143" i="5"/>
  <c r="AY1131" i="5"/>
  <c r="AL1109" i="5"/>
  <c r="AN1109" i="5"/>
  <c r="BK1076" i="5"/>
  <c r="AG1076" i="5" s="1"/>
  <c r="AL1061" i="5"/>
  <c r="AU1060" i="5" s="1"/>
  <c r="AN1061" i="5"/>
  <c r="AW1060" i="5" s="1"/>
  <c r="K1060" i="5"/>
  <c r="V1060" i="5" s="1"/>
  <c r="AY1038" i="5"/>
  <c r="BE1038" i="5" s="1"/>
  <c r="I1038" i="5"/>
  <c r="AL1022" i="5"/>
  <c r="AN1022" i="5"/>
  <c r="AY993" i="5"/>
  <c r="I993" i="5"/>
  <c r="AG734" i="5"/>
  <c r="AE734" i="5"/>
  <c r="AY728" i="5"/>
  <c r="BJ728" i="5"/>
  <c r="AF728" i="5" s="1"/>
  <c r="AM678" i="5"/>
  <c r="AN678" i="5"/>
  <c r="AZ1067" i="5"/>
  <c r="AX1067" i="5" s="1"/>
  <c r="J1067" i="5"/>
  <c r="J1066" i="5" s="1"/>
  <c r="M1066" i="5"/>
  <c r="BH1067" i="5"/>
  <c r="AI978" i="5"/>
  <c r="AG978" i="5"/>
  <c r="AY892" i="5"/>
  <c r="BJ892" i="5"/>
  <c r="AF892" i="5" s="1"/>
  <c r="I892" i="5"/>
  <c r="AF816" i="5"/>
  <c r="AU723" i="5"/>
  <c r="K684" i="5"/>
  <c r="U684" i="5" s="1"/>
  <c r="AN685" i="5"/>
  <c r="AW684" i="5" s="1"/>
  <c r="BH1070" i="5"/>
  <c r="M1069" i="5"/>
  <c r="I1064" i="5"/>
  <c r="I1063" i="5" s="1"/>
  <c r="AY1064" i="5"/>
  <c r="BE1064" i="5" s="1"/>
  <c r="BJ1064" i="5"/>
  <c r="BK1056" i="5"/>
  <c r="AG1056" i="5" s="1"/>
  <c r="J1056" i="5"/>
  <c r="AZ1056" i="5"/>
  <c r="J1003" i="5"/>
  <c r="AY956" i="5"/>
  <c r="AX956" i="5" s="1"/>
  <c r="BJ956" i="5"/>
  <c r="AD956" i="5" s="1"/>
  <c r="AZ938" i="5"/>
  <c r="BK938" i="5"/>
  <c r="AE938" i="5" s="1"/>
  <c r="J938" i="5"/>
  <c r="AL888" i="5"/>
  <c r="AN888" i="5"/>
  <c r="AD879" i="5"/>
  <c r="AY855" i="5"/>
  <c r="BJ855" i="5"/>
  <c r="AH855" i="5" s="1"/>
  <c r="AZ776" i="5"/>
  <c r="BK776" i="5"/>
  <c r="AF402" i="5"/>
  <c r="AD402" i="5"/>
  <c r="AG334" i="5"/>
  <c r="AE334" i="5"/>
  <c r="I1076" i="5"/>
  <c r="I1075" i="5" s="1"/>
  <c r="AY1076" i="5"/>
  <c r="AX1076" i="5" s="1"/>
  <c r="BJ1076" i="5"/>
  <c r="AF1076" i="5" s="1"/>
  <c r="AZ991" i="5"/>
  <c r="BK991" i="5"/>
  <c r="AE991" i="5" s="1"/>
  <c r="J991" i="5"/>
  <c r="J972" i="5"/>
  <c r="AZ972" i="5"/>
  <c r="BK972" i="5"/>
  <c r="AG972" i="5" s="1"/>
  <c r="AE829" i="5"/>
  <c r="BH796" i="5"/>
  <c r="M795" i="5"/>
  <c r="J769" i="5"/>
  <c r="BK769" i="5"/>
  <c r="AY527" i="5"/>
  <c r="I527" i="5"/>
  <c r="BJ527" i="5"/>
  <c r="AH527" i="5" s="1"/>
  <c r="AZ515" i="5"/>
  <c r="J515" i="5"/>
  <c r="BK515" i="5"/>
  <c r="AG515" i="5" s="1"/>
  <c r="J1281" i="5"/>
  <c r="AV1240" i="5"/>
  <c r="AY1230" i="5"/>
  <c r="BE1230" i="5" s="1"/>
  <c r="AY1210" i="5"/>
  <c r="AZ1186" i="5"/>
  <c r="AZ1170" i="5"/>
  <c r="J1135" i="5"/>
  <c r="AY1119" i="5"/>
  <c r="AX1119" i="5" s="1"/>
  <c r="K1043" i="5"/>
  <c r="V1043" i="5" s="1"/>
  <c r="BJ1038" i="5"/>
  <c r="AF1038" i="5" s="1"/>
  <c r="AL821" i="5"/>
  <c r="AN821" i="5"/>
  <c r="AF808" i="5"/>
  <c r="AD808" i="5"/>
  <c r="AZ796" i="5"/>
  <c r="J796" i="5"/>
  <c r="BK796" i="5"/>
  <c r="AY567" i="5"/>
  <c r="I567" i="5"/>
  <c r="BJ567" i="5"/>
  <c r="AD567" i="5" s="1"/>
  <c r="AZ1243" i="5"/>
  <c r="AX1243" i="5" s="1"/>
  <c r="I1212" i="5"/>
  <c r="I1153" i="5"/>
  <c r="AX1123" i="5"/>
  <c r="M1081" i="5"/>
  <c r="M1078" i="5"/>
  <c r="AY1022" i="5"/>
  <c r="I1022" i="5"/>
  <c r="BJ1022" i="5"/>
  <c r="AD1022" i="5" s="1"/>
  <c r="I1020" i="5"/>
  <c r="AY1020" i="5"/>
  <c r="BJ993" i="5"/>
  <c r="AD993" i="5" s="1"/>
  <c r="BJ976" i="5"/>
  <c r="AF976" i="5" s="1"/>
  <c r="AY976" i="5"/>
  <c r="I976" i="5"/>
  <c r="AZ949" i="5"/>
  <c r="BK949" i="5"/>
  <c r="AE949" i="5" s="1"/>
  <c r="J949" i="5"/>
  <c r="AY810" i="5"/>
  <c r="BE810" i="5" s="1"/>
  <c r="I810" i="5"/>
  <c r="BJ810" i="5"/>
  <c r="AD810" i="5" s="1"/>
  <c r="AZ703" i="5"/>
  <c r="J703" i="5"/>
  <c r="J702" i="5" s="1"/>
  <c r="J618" i="5"/>
  <c r="AZ618" i="5"/>
  <c r="BE618" i="5" s="1"/>
  <c r="BK618" i="5"/>
  <c r="AG618" i="5" s="1"/>
  <c r="J980" i="5"/>
  <c r="AZ980" i="5"/>
  <c r="BE980" i="5" s="1"/>
  <c r="BK980" i="5"/>
  <c r="AG980" i="5" s="1"/>
  <c r="AY894" i="5"/>
  <c r="BE894" i="5" s="1"/>
  <c r="BJ894" i="5"/>
  <c r="AF894" i="5" s="1"/>
  <c r="AY885" i="5"/>
  <c r="I885" i="5"/>
  <c r="BJ885" i="5"/>
  <c r="I873" i="5"/>
  <c r="AY873" i="5"/>
  <c r="BJ873" i="5"/>
  <c r="AF873" i="5" s="1"/>
  <c r="AY831" i="5"/>
  <c r="I831" i="5"/>
  <c r="BJ831" i="5"/>
  <c r="AF831" i="5" s="1"/>
  <c r="AZ826" i="5"/>
  <c r="J826" i="5"/>
  <c r="BK826" i="5"/>
  <c r="AG826" i="5" s="1"/>
  <c r="J744" i="5"/>
  <c r="AZ744" i="5"/>
  <c r="BK744" i="5"/>
  <c r="AZ1049" i="5"/>
  <c r="BE1049" i="5" s="1"/>
  <c r="AY1014" i="5"/>
  <c r="BJ1008" i="5"/>
  <c r="AF1008" i="5" s="1"/>
  <c r="J1001" i="5"/>
  <c r="BK985" i="5"/>
  <c r="AG985" i="5" s="1"/>
  <c r="J933" i="5"/>
  <c r="BJ921" i="5"/>
  <c r="AD921" i="5" s="1"/>
  <c r="BJ919" i="5"/>
  <c r="AD919" i="5" s="1"/>
  <c r="AY888" i="5"/>
  <c r="BE888" i="5" s="1"/>
  <c r="J888" i="5"/>
  <c r="BK873" i="5"/>
  <c r="AG873" i="5" s="1"/>
  <c r="BK857" i="5"/>
  <c r="AI857" i="5" s="1"/>
  <c r="I857" i="5"/>
  <c r="BJ845" i="5"/>
  <c r="AF845" i="5" s="1"/>
  <c r="I840" i="5"/>
  <c r="AN831" i="5"/>
  <c r="BJ829" i="5"/>
  <c r="AF829" i="5" s="1"/>
  <c r="AY814" i="5"/>
  <c r="AN810" i="5"/>
  <c r="AZ808" i="5"/>
  <c r="AY806" i="5"/>
  <c r="BK798" i="5"/>
  <c r="AE798" i="5" s="1"/>
  <c r="AZ793" i="5"/>
  <c r="AY787" i="5"/>
  <c r="AX787" i="5" s="1"/>
  <c r="AY785" i="5"/>
  <c r="J765" i="5"/>
  <c r="AZ748" i="5"/>
  <c r="AX748" i="5" s="1"/>
  <c r="BK741" i="5"/>
  <c r="AI741" i="5" s="1"/>
  <c r="AN728" i="5"/>
  <c r="BJ721" i="5"/>
  <c r="AH721" i="5" s="1"/>
  <c r="AY712" i="5"/>
  <c r="AX712" i="5" s="1"/>
  <c r="BK709" i="5"/>
  <c r="AG709" i="5" s="1"/>
  <c r="BK706" i="5"/>
  <c r="AE706" i="5" s="1"/>
  <c r="AY703" i="5"/>
  <c r="I703" i="5"/>
  <c r="I702" i="5" s="1"/>
  <c r="AZ678" i="5"/>
  <c r="BK678" i="5"/>
  <c r="J678" i="5"/>
  <c r="AD676" i="5"/>
  <c r="I652" i="5"/>
  <c r="BJ652" i="5"/>
  <c r="AD652" i="5" s="1"/>
  <c r="J633" i="5"/>
  <c r="BK633" i="5"/>
  <c r="AZ610" i="5"/>
  <c r="BE610" i="5" s="1"/>
  <c r="BK610" i="5"/>
  <c r="AE610" i="5" s="1"/>
  <c r="J610" i="5"/>
  <c r="J455" i="5"/>
  <c r="AZ455" i="5"/>
  <c r="BK455" i="5"/>
  <c r="AE455" i="5" s="1"/>
  <c r="AY27" i="5"/>
  <c r="BJ27" i="5"/>
  <c r="AD27" i="5" s="1"/>
  <c r="I27" i="5"/>
  <c r="AZ1053" i="5"/>
  <c r="I1001" i="5"/>
  <c r="J997" i="5"/>
  <c r="BJ985" i="5"/>
  <c r="AD985" i="5" s="1"/>
  <c r="BJ983" i="5"/>
  <c r="AF983" i="5" s="1"/>
  <c r="I970" i="5"/>
  <c r="AY964" i="5"/>
  <c r="AX964" i="5" s="1"/>
  <c r="AY960" i="5"/>
  <c r="AY958" i="5"/>
  <c r="BK956" i="5"/>
  <c r="AE956" i="5" s="1"/>
  <c r="I952" i="5"/>
  <c r="BK933" i="5"/>
  <c r="AG933" i="5" s="1"/>
  <c r="AZ927" i="5"/>
  <c r="AZ924" i="5"/>
  <c r="I919" i="5"/>
  <c r="AY911" i="5"/>
  <c r="AY908" i="5"/>
  <c r="AY899" i="5"/>
  <c r="AY896" i="5"/>
  <c r="BE896" i="5" s="1"/>
  <c r="BK894" i="5"/>
  <c r="AE894" i="5" s="1"/>
  <c r="BK892" i="5"/>
  <c r="AG892" i="5" s="1"/>
  <c r="I888" i="5"/>
  <c r="AZ868" i="5"/>
  <c r="BE868" i="5" s="1"/>
  <c r="BJ866" i="5"/>
  <c r="AH866" i="5" s="1"/>
  <c r="AZ860" i="5"/>
  <c r="BJ857" i="5"/>
  <c r="AF857" i="5" s="1"/>
  <c r="BK840" i="5"/>
  <c r="AI840" i="5" s="1"/>
  <c r="BK818" i="5"/>
  <c r="AI818" i="5" s="1"/>
  <c r="AY816" i="5"/>
  <c r="J812" i="5"/>
  <c r="AY808" i="5"/>
  <c r="I808" i="5"/>
  <c r="AN801" i="5"/>
  <c r="AY793" i="5"/>
  <c r="J782" i="5"/>
  <c r="AX760" i="5"/>
  <c r="BJ754" i="5"/>
  <c r="AD754" i="5" s="1"/>
  <c r="I730" i="5"/>
  <c r="I723" i="5" s="1"/>
  <c r="BK726" i="5"/>
  <c r="J691" i="5"/>
  <c r="J690" i="5" s="1"/>
  <c r="BK691" i="5"/>
  <c r="AE691" i="5" s="1"/>
  <c r="AZ685" i="5"/>
  <c r="BK685" i="5"/>
  <c r="I678" i="5"/>
  <c r="BJ678" i="5"/>
  <c r="AD678" i="5" s="1"/>
  <c r="AH546" i="5"/>
  <c r="AY446" i="5"/>
  <c r="BJ446" i="5"/>
  <c r="AD446" i="5" s="1"/>
  <c r="I430" i="5"/>
  <c r="BJ430" i="5"/>
  <c r="AF430" i="5" s="1"/>
  <c r="AG357" i="5"/>
  <c r="AE357" i="5"/>
  <c r="I1067" i="5"/>
  <c r="I1066" i="5" s="1"/>
  <c r="M1055" i="5"/>
  <c r="BJ1046" i="5"/>
  <c r="AD1046" i="5" s="1"/>
  <c r="BJ1033" i="5"/>
  <c r="AF1033" i="5" s="1"/>
  <c r="I1027" i="5"/>
  <c r="BK1020" i="5"/>
  <c r="AE1020" i="5" s="1"/>
  <c r="I1014" i="5"/>
  <c r="BK997" i="5"/>
  <c r="AG997" i="5" s="1"/>
  <c r="BK993" i="5"/>
  <c r="AG993" i="5" s="1"/>
  <c r="I964" i="5"/>
  <c r="BK947" i="5"/>
  <c r="AG947" i="5" s="1"/>
  <c r="AY941" i="5"/>
  <c r="BK929" i="5"/>
  <c r="AY927" i="5"/>
  <c r="AY879" i="5"/>
  <c r="J873" i="5"/>
  <c r="AY860" i="5"/>
  <c r="BJ840" i="5"/>
  <c r="AF840" i="5" s="1"/>
  <c r="BK835" i="5"/>
  <c r="AG835" i="5" s="1"/>
  <c r="BJ818" i="5"/>
  <c r="AD818" i="5" s="1"/>
  <c r="I789" i="5"/>
  <c r="AZ757" i="5"/>
  <c r="AY724" i="5"/>
  <c r="I706" i="5"/>
  <c r="I705" i="5" s="1"/>
  <c r="I691" i="5"/>
  <c r="I690" i="5" s="1"/>
  <c r="AY691" i="5"/>
  <c r="BJ691" i="5"/>
  <c r="AH691" i="5" s="1"/>
  <c r="AZ646" i="5"/>
  <c r="J646" i="5"/>
  <c r="BK646" i="5"/>
  <c r="AG646" i="5" s="1"/>
  <c r="AL637" i="5"/>
  <c r="AN637" i="5"/>
  <c r="I597" i="5"/>
  <c r="AY597" i="5"/>
  <c r="BJ597" i="5"/>
  <c r="AF597" i="5" s="1"/>
  <c r="AY529" i="5"/>
  <c r="BJ529" i="5"/>
  <c r="AF529" i="5" s="1"/>
  <c r="I529" i="5"/>
  <c r="I476" i="5"/>
  <c r="AY476" i="5"/>
  <c r="BJ476" i="5"/>
  <c r="AF476" i="5" s="1"/>
  <c r="J466" i="5"/>
  <c r="AZ466" i="5"/>
  <c r="BK466" i="5"/>
  <c r="AE466" i="5" s="1"/>
  <c r="I384" i="5"/>
  <c r="AY384" i="5"/>
  <c r="BJ384" i="5"/>
  <c r="AD384" i="5" s="1"/>
  <c r="BJ163" i="5"/>
  <c r="AY163" i="5"/>
  <c r="BE163" i="5" s="1"/>
  <c r="BK46" i="5"/>
  <c r="AG46" i="5" s="1"/>
  <c r="AZ46" i="5"/>
  <c r="J46" i="5"/>
  <c r="J43" i="5" s="1"/>
  <c r="I960" i="5"/>
  <c r="I911" i="5"/>
  <c r="I899" i="5"/>
  <c r="BK774" i="5"/>
  <c r="AE774" i="5" s="1"/>
  <c r="BJ763" i="5"/>
  <c r="AD763" i="5" s="1"/>
  <c r="AN763" i="5"/>
  <c r="I754" i="5"/>
  <c r="AZ741" i="5"/>
  <c r="AZ734" i="5"/>
  <c r="AZ709" i="5"/>
  <c r="I700" i="5"/>
  <c r="I699" i="5" s="1"/>
  <c r="AY700" i="5"/>
  <c r="AX700" i="5" s="1"/>
  <c r="J676" i="5"/>
  <c r="AZ676" i="5"/>
  <c r="BK676" i="5"/>
  <c r="AY669" i="5"/>
  <c r="I669" i="5"/>
  <c r="BJ669" i="5"/>
  <c r="AF669" i="5" s="1"/>
  <c r="I646" i="5"/>
  <c r="AY646" i="5"/>
  <c r="AY637" i="5"/>
  <c r="BJ637" i="5"/>
  <c r="AF637" i="5" s="1"/>
  <c r="I637" i="5"/>
  <c r="AZ544" i="5"/>
  <c r="J544" i="5"/>
  <c r="BK544" i="5"/>
  <c r="AE544" i="5" s="1"/>
  <c r="J512" i="5"/>
  <c r="AZ512" i="5"/>
  <c r="BK512" i="5"/>
  <c r="AE512" i="5" s="1"/>
  <c r="AG280" i="5"/>
  <c r="AE280" i="5"/>
  <c r="AZ62" i="5"/>
  <c r="J62" i="5"/>
  <c r="BK62" i="5"/>
  <c r="BJ1067" i="5"/>
  <c r="AF1067" i="5" s="1"/>
  <c r="I1051" i="5"/>
  <c r="BE1046" i="5"/>
  <c r="I1046" i="5"/>
  <c r="I1043" i="5" s="1"/>
  <c r="M1043" i="5"/>
  <c r="J1038" i="5"/>
  <c r="AY1033" i="5"/>
  <c r="AX1033" i="5" s="1"/>
  <c r="M1024" i="5"/>
  <c r="AY1008" i="5"/>
  <c r="K1005" i="5"/>
  <c r="P1005" i="5" s="1"/>
  <c r="AY983" i="5"/>
  <c r="BK962" i="5"/>
  <c r="AG962" i="5" s="1"/>
  <c r="I929" i="5"/>
  <c r="J927" i="5"/>
  <c r="AZ892" i="5"/>
  <c r="BK888" i="5"/>
  <c r="AG888" i="5" s="1"/>
  <c r="AZ881" i="5"/>
  <c r="J879" i="5"/>
  <c r="BK860" i="5"/>
  <c r="AG860" i="5" s="1"/>
  <c r="AY845" i="5"/>
  <c r="AZ840" i="5"/>
  <c r="AX840" i="5" s="1"/>
  <c r="I818" i="5"/>
  <c r="BJ814" i="5"/>
  <c r="BJ806" i="5"/>
  <c r="J791" i="5"/>
  <c r="BJ785" i="5"/>
  <c r="BE754" i="5"/>
  <c r="BK736" i="5"/>
  <c r="AE736" i="5" s="1"/>
  <c r="AB715" i="5"/>
  <c r="AY650" i="5"/>
  <c r="BJ650" i="5"/>
  <c r="AF650" i="5" s="1"/>
  <c r="AF212" i="5"/>
  <c r="AF67" i="5"/>
  <c r="I1070" i="5"/>
  <c r="I1069" i="5" s="1"/>
  <c r="J1033" i="5"/>
  <c r="BJ868" i="5"/>
  <c r="AF868" i="5" s="1"/>
  <c r="J736" i="5"/>
  <c r="BK724" i="5"/>
  <c r="AG724" i="5" s="1"/>
  <c r="K717" i="5"/>
  <c r="U717" i="5" s="1"/>
  <c r="BH703" i="5"/>
  <c r="AY688" i="5"/>
  <c r="BJ688" i="5"/>
  <c r="AN650" i="5"/>
  <c r="I650" i="5"/>
  <c r="J574" i="5"/>
  <c r="AZ574" i="5"/>
  <c r="BK574" i="5"/>
  <c r="AE574" i="5" s="1"/>
  <c r="AG408" i="5"/>
  <c r="AE408" i="5"/>
  <c r="BJ958" i="5"/>
  <c r="AF958" i="5" s="1"/>
  <c r="J956" i="5"/>
  <c r="K918" i="5"/>
  <c r="BJ908" i="5"/>
  <c r="AF908" i="5" s="1"/>
  <c r="BJ896" i="5"/>
  <c r="AF896" i="5" s="1"/>
  <c r="J894" i="5"/>
  <c r="AN879" i="5"/>
  <c r="I868" i="5"/>
  <c r="AY674" i="5"/>
  <c r="BJ674" i="5"/>
  <c r="AH674" i="5" s="1"/>
  <c r="AY616" i="5"/>
  <c r="I616" i="5"/>
  <c r="BJ616" i="5"/>
  <c r="AH616" i="5" s="1"/>
  <c r="AZ531" i="5"/>
  <c r="J531" i="5"/>
  <c r="BK531" i="5"/>
  <c r="AG531" i="5" s="1"/>
  <c r="I480" i="5"/>
  <c r="AY480" i="5"/>
  <c r="BJ480" i="5"/>
  <c r="AD480" i="5" s="1"/>
  <c r="BJ419" i="5"/>
  <c r="AF419" i="5" s="1"/>
  <c r="AY419" i="5"/>
  <c r="AG365" i="5"/>
  <c r="AY304" i="5"/>
  <c r="I304" i="5"/>
  <c r="BJ304" i="5"/>
  <c r="AD304" i="5" s="1"/>
  <c r="AG71" i="5"/>
  <c r="AE71" i="5"/>
  <c r="BK446" i="5"/>
  <c r="AG446" i="5" s="1"/>
  <c r="AD412" i="5"/>
  <c r="AN384" i="5"/>
  <c r="AF365" i="5"/>
  <c r="AY355" i="5"/>
  <c r="BJ355" i="5"/>
  <c r="AD355" i="5" s="1"/>
  <c r="AF298" i="5"/>
  <c r="J278" i="5"/>
  <c r="BK278" i="5"/>
  <c r="AE278" i="5" s="1"/>
  <c r="I268" i="5"/>
  <c r="AY268" i="5"/>
  <c r="BE268" i="5" s="1"/>
  <c r="AF255" i="5"/>
  <c r="AH206" i="5"/>
  <c r="AZ196" i="5"/>
  <c r="BK196" i="5"/>
  <c r="AE196" i="5" s="1"/>
  <c r="J196" i="5"/>
  <c r="J195" i="5" s="1"/>
  <c r="I181" i="5"/>
  <c r="AY181" i="5"/>
  <c r="BE181" i="5" s="1"/>
  <c r="BJ181" i="5"/>
  <c r="AF181" i="5" s="1"/>
  <c r="I62" i="5"/>
  <c r="AY62" i="5"/>
  <c r="BJ62" i="5"/>
  <c r="AD62" i="5" s="1"/>
  <c r="AY46" i="5"/>
  <c r="I46" i="5"/>
  <c r="I43" i="5" s="1"/>
  <c r="BJ46" i="5"/>
  <c r="AF46" i="5" s="1"/>
  <c r="BJ697" i="5"/>
  <c r="AF697" i="5" s="1"/>
  <c r="BK688" i="5"/>
  <c r="AE688" i="5" s="1"/>
  <c r="AN676" i="5"/>
  <c r="I676" i="5"/>
  <c r="I671" i="5"/>
  <c r="AZ666" i="5"/>
  <c r="J661" i="5"/>
  <c r="AZ643" i="5"/>
  <c r="BK637" i="5"/>
  <c r="AG637" i="5" s="1"/>
  <c r="BJ631" i="5"/>
  <c r="AD631" i="5" s="1"/>
  <c r="BJ627" i="5"/>
  <c r="AF627" i="5" s="1"/>
  <c r="BJ618" i="5"/>
  <c r="AF618" i="5" s="1"/>
  <c r="BJ601" i="5"/>
  <c r="AF601" i="5" s="1"/>
  <c r="BK597" i="5"/>
  <c r="AE597" i="5" s="1"/>
  <c r="AF595" i="5"/>
  <c r="AZ584" i="5"/>
  <c r="BK567" i="5"/>
  <c r="AG567" i="5" s="1"/>
  <c r="J559" i="5"/>
  <c r="AZ542" i="5"/>
  <c r="BJ531" i="5"/>
  <c r="AD531" i="5" s="1"/>
  <c r="J525" i="5"/>
  <c r="AZ521" i="5"/>
  <c r="AX521" i="5" s="1"/>
  <c r="BJ515" i="5"/>
  <c r="AD515" i="5" s="1"/>
  <c r="BK507" i="5"/>
  <c r="AI507" i="5" s="1"/>
  <c r="BJ499" i="5"/>
  <c r="AF499" i="5" s="1"/>
  <c r="I499" i="5"/>
  <c r="AN496" i="5"/>
  <c r="BK476" i="5"/>
  <c r="AE476" i="5" s="1"/>
  <c r="J469" i="5"/>
  <c r="AZ458" i="5"/>
  <c r="BJ444" i="5"/>
  <c r="AD444" i="5" s="1"/>
  <c r="BJ441" i="5"/>
  <c r="AF441" i="5" s="1"/>
  <c r="J437" i="5"/>
  <c r="I432" i="5"/>
  <c r="AX427" i="5"/>
  <c r="AY412" i="5"/>
  <c r="AZ410" i="5"/>
  <c r="J408" i="5"/>
  <c r="I402" i="5"/>
  <c r="BE398" i="5"/>
  <c r="I394" i="5"/>
  <c r="AG384" i="5"/>
  <c r="AE384" i="5"/>
  <c r="AG373" i="5"/>
  <c r="AE324" i="5"/>
  <c r="J291" i="5"/>
  <c r="AY278" i="5"/>
  <c r="AX278" i="5" s="1"/>
  <c r="BJ278" i="5"/>
  <c r="AH278" i="5" s="1"/>
  <c r="AF271" i="5"/>
  <c r="AD271" i="5"/>
  <c r="I209" i="5"/>
  <c r="AY209" i="5"/>
  <c r="AY196" i="5"/>
  <c r="BJ196" i="5"/>
  <c r="I196" i="5"/>
  <c r="I193" i="5"/>
  <c r="I192" i="5" s="1"/>
  <c r="AY193" i="5"/>
  <c r="AY143" i="5"/>
  <c r="BJ143" i="5"/>
  <c r="AF143" i="5" s="1"/>
  <c r="I143" i="5"/>
  <c r="AF130" i="5"/>
  <c r="AD130" i="5"/>
  <c r="BH120" i="5"/>
  <c r="L19" i="4" s="1"/>
  <c r="M119" i="5"/>
  <c r="K110" i="5"/>
  <c r="P110" i="5" s="1"/>
  <c r="AN111" i="5"/>
  <c r="AW110" i="5" s="1"/>
  <c r="I94" i="5"/>
  <c r="AY94" i="5"/>
  <c r="BH86" i="5"/>
  <c r="AL75" i="5"/>
  <c r="AN75" i="5"/>
  <c r="AN661" i="5"/>
  <c r="BK607" i="5"/>
  <c r="AE607" i="5" s="1"/>
  <c r="BK604" i="5"/>
  <c r="AG604" i="5" s="1"/>
  <c r="I592" i="5"/>
  <c r="AY584" i="5"/>
  <c r="BE570" i="5"/>
  <c r="AZ565" i="5"/>
  <c r="AZ562" i="5"/>
  <c r="I559" i="5"/>
  <c r="AZ549" i="5"/>
  <c r="AZ539" i="5"/>
  <c r="BK529" i="5"/>
  <c r="AG529" i="5" s="1"/>
  <c r="I519" i="5"/>
  <c r="BJ507" i="5"/>
  <c r="AD507" i="5" s="1"/>
  <c r="BJ493" i="5"/>
  <c r="AF493" i="5" s="1"/>
  <c r="AZ487" i="5"/>
  <c r="BE487" i="5" s="1"/>
  <c r="AX461" i="5"/>
  <c r="BK437" i="5"/>
  <c r="AG437" i="5" s="1"/>
  <c r="AN437" i="5"/>
  <c r="I435" i="5"/>
  <c r="AN432" i="5"/>
  <c r="J427" i="5"/>
  <c r="I425" i="5"/>
  <c r="J415" i="5"/>
  <c r="BJ394" i="5"/>
  <c r="AZ367" i="5"/>
  <c r="AX367" i="5" s="1"/>
  <c r="J367" i="5"/>
  <c r="BK367" i="5"/>
  <c r="AE367" i="5" s="1"/>
  <c r="AY351" i="5"/>
  <c r="BJ351" i="5"/>
  <c r="AZ343" i="5"/>
  <c r="BE343" i="5" s="1"/>
  <c r="J334" i="5"/>
  <c r="J333" i="5" s="1"/>
  <c r="AZ334" i="5"/>
  <c r="AX334" i="5" s="1"/>
  <c r="AZ291" i="5"/>
  <c r="AY286" i="5"/>
  <c r="BJ286" i="5"/>
  <c r="AD286" i="5" s="1"/>
  <c r="J165" i="5"/>
  <c r="BK165" i="5"/>
  <c r="AI165" i="5" s="1"/>
  <c r="M142" i="5"/>
  <c r="J122" i="5"/>
  <c r="J119" i="5" s="1"/>
  <c r="BK122" i="5"/>
  <c r="AG122" i="5" s="1"/>
  <c r="BK111" i="5"/>
  <c r="AE111" i="5" s="1"/>
  <c r="J111" i="5"/>
  <c r="AY100" i="5"/>
  <c r="BJ100" i="5"/>
  <c r="I100" i="5"/>
  <c r="AN94" i="5"/>
  <c r="AF52" i="5"/>
  <c r="AD52" i="5"/>
  <c r="AZ14" i="5"/>
  <c r="J14" i="5"/>
  <c r="BK14" i="5"/>
  <c r="AG14" i="5" s="1"/>
  <c r="AY697" i="5"/>
  <c r="I658" i="5"/>
  <c r="AZ650" i="5"/>
  <c r="AY621" i="5"/>
  <c r="BJ610" i="5"/>
  <c r="AD610" i="5" s="1"/>
  <c r="J601" i="5"/>
  <c r="AZ595" i="5"/>
  <c r="BJ574" i="5"/>
  <c r="AF574" i="5" s="1"/>
  <c r="AZ572" i="5"/>
  <c r="AY565" i="5"/>
  <c r="BK534" i="5"/>
  <c r="AE534" i="5" s="1"/>
  <c r="M514" i="5"/>
  <c r="BJ512" i="5"/>
  <c r="AF512" i="5" s="1"/>
  <c r="AY501" i="5"/>
  <c r="I427" i="5"/>
  <c r="BJ406" i="5"/>
  <c r="AD406" i="5" s="1"/>
  <c r="BK392" i="5"/>
  <c r="I367" i="5"/>
  <c r="BJ367" i="5"/>
  <c r="AY363" i="5"/>
  <c r="I363" i="5"/>
  <c r="BJ363" i="5"/>
  <c r="AD363" i="5" s="1"/>
  <c r="AF359" i="5"/>
  <c r="AZ357" i="5"/>
  <c r="J357" i="5"/>
  <c r="I334" i="5"/>
  <c r="I333" i="5" s="1"/>
  <c r="BJ334" i="5"/>
  <c r="AD334" i="5" s="1"/>
  <c r="M333" i="5"/>
  <c r="BH334" i="5"/>
  <c r="L28" i="4" s="1"/>
  <c r="AG300" i="5"/>
  <c r="AG289" i="5"/>
  <c r="AZ280" i="5"/>
  <c r="J280" i="5"/>
  <c r="AG268" i="5"/>
  <c r="AY165" i="5"/>
  <c r="AX165" i="5" s="1"/>
  <c r="BJ165" i="5"/>
  <c r="AF165" i="5" s="1"/>
  <c r="BK75" i="5"/>
  <c r="AZ75" i="5"/>
  <c r="BK60" i="5"/>
  <c r="AE60" i="5" s="1"/>
  <c r="J60" i="5"/>
  <c r="AY14" i="5"/>
  <c r="I14" i="5"/>
  <c r="BJ14" i="5"/>
  <c r="AD14" i="5" s="1"/>
  <c r="J700" i="5"/>
  <c r="J699" i="5" s="1"/>
  <c r="AB691" i="5"/>
  <c r="M665" i="5"/>
  <c r="BJ658" i="5"/>
  <c r="AF658" i="5" s="1"/>
  <c r="BK640" i="5"/>
  <c r="AE640" i="5" s="1"/>
  <c r="AZ637" i="5"/>
  <c r="AY631" i="5"/>
  <c r="AX631" i="5" s="1"/>
  <c r="AY627" i="5"/>
  <c r="I601" i="5"/>
  <c r="AZ597" i="5"/>
  <c r="BE597" i="5" s="1"/>
  <c r="BJ586" i="5"/>
  <c r="AD586" i="5" s="1"/>
  <c r="AZ567" i="5"/>
  <c r="BJ554" i="5"/>
  <c r="AD554" i="5" s="1"/>
  <c r="AN546" i="5"/>
  <c r="BJ523" i="5"/>
  <c r="AD523" i="5" s="1"/>
  <c r="K503" i="5"/>
  <c r="P503" i="5" s="1"/>
  <c r="BJ496" i="5"/>
  <c r="AH496" i="5" s="1"/>
  <c r="BK490" i="5"/>
  <c r="AG490" i="5" s="1"/>
  <c r="I485" i="5"/>
  <c r="AZ476" i="5"/>
  <c r="J461" i="5"/>
  <c r="AY444" i="5"/>
  <c r="AY441" i="5"/>
  <c r="BK435" i="5"/>
  <c r="AG435" i="5" s="1"/>
  <c r="BK427" i="5"/>
  <c r="AG427" i="5" s="1"/>
  <c r="BJ400" i="5"/>
  <c r="AD400" i="5" s="1"/>
  <c r="J398" i="5"/>
  <c r="AY386" i="5"/>
  <c r="I386" i="5"/>
  <c r="BJ386" i="5"/>
  <c r="I357" i="5"/>
  <c r="AY357" i="5"/>
  <c r="BJ357" i="5"/>
  <c r="AE320" i="5"/>
  <c r="J317" i="5"/>
  <c r="J316" i="5" s="1"/>
  <c r="BK317" i="5"/>
  <c r="AE317" i="5" s="1"/>
  <c r="AN308" i="5"/>
  <c r="I302" i="5"/>
  <c r="AY302" i="5"/>
  <c r="BJ302" i="5"/>
  <c r="I280" i="5"/>
  <c r="AY280" i="5"/>
  <c r="BJ280" i="5"/>
  <c r="AY276" i="5"/>
  <c r="BJ268" i="5"/>
  <c r="AD268" i="5" s="1"/>
  <c r="AG193" i="5"/>
  <c r="J188" i="5"/>
  <c r="AZ188" i="5"/>
  <c r="BE188" i="5" s="1"/>
  <c r="BK188" i="5"/>
  <c r="J145" i="5"/>
  <c r="BK145" i="5"/>
  <c r="AI145" i="5" s="1"/>
  <c r="J135" i="5"/>
  <c r="AZ135" i="5"/>
  <c r="BK135" i="5"/>
  <c r="AG135" i="5" s="1"/>
  <c r="BK113" i="5"/>
  <c r="J113" i="5"/>
  <c r="BK92" i="5"/>
  <c r="AZ92" i="5"/>
  <c r="J92" i="5"/>
  <c r="AG80" i="5"/>
  <c r="AY75" i="5"/>
  <c r="BJ75" i="5"/>
  <c r="I75" i="5"/>
  <c r="AM27" i="5"/>
  <c r="AN27" i="5"/>
  <c r="K665" i="5"/>
  <c r="U665" i="5" s="1"/>
  <c r="M645" i="5"/>
  <c r="AG613" i="5"/>
  <c r="AZ604" i="5"/>
  <c r="AX580" i="5"/>
  <c r="BK559" i="5"/>
  <c r="AG559" i="5" s="1"/>
  <c r="AY544" i="5"/>
  <c r="AY531" i="5"/>
  <c r="AZ529" i="5"/>
  <c r="I521" i="5"/>
  <c r="AY515" i="5"/>
  <c r="M479" i="5"/>
  <c r="J482" i="5"/>
  <c r="I461" i="5"/>
  <c r="BK415" i="5"/>
  <c r="AE415" i="5" s="1"/>
  <c r="I398" i="5"/>
  <c r="AZ349" i="5"/>
  <c r="AX349" i="5" s="1"/>
  <c r="J349" i="5"/>
  <c r="BK349" i="5"/>
  <c r="AZ341" i="5"/>
  <c r="BK341" i="5"/>
  <c r="K336" i="5"/>
  <c r="AG329" i="5"/>
  <c r="AE329" i="5"/>
  <c r="AF306" i="5"/>
  <c r="J289" i="5"/>
  <c r="AN280" i="5"/>
  <c r="J276" i="5"/>
  <c r="AZ276" i="5"/>
  <c r="BK276" i="5"/>
  <c r="I271" i="5"/>
  <c r="AY271" i="5"/>
  <c r="AY237" i="5"/>
  <c r="BJ237" i="5"/>
  <c r="I237" i="5"/>
  <c r="AY220" i="5"/>
  <c r="BJ220" i="5"/>
  <c r="AD220" i="5" s="1"/>
  <c r="BJ209" i="5"/>
  <c r="AD209" i="5" s="1"/>
  <c r="AY203" i="5"/>
  <c r="AX203" i="5" s="1"/>
  <c r="BJ203" i="5"/>
  <c r="BJ193" i="5"/>
  <c r="J153" i="5"/>
  <c r="AZ139" i="5"/>
  <c r="BK139" i="5"/>
  <c r="AG139" i="5" s="1"/>
  <c r="J139" i="5"/>
  <c r="I135" i="5"/>
  <c r="AY135" i="5"/>
  <c r="I102" i="5"/>
  <c r="AY102" i="5"/>
  <c r="AY92" i="5"/>
  <c r="BJ92" i="5"/>
  <c r="I92" i="5"/>
  <c r="K553" i="5"/>
  <c r="P553" i="5" s="1"/>
  <c r="J446" i="5"/>
  <c r="I406" i="5"/>
  <c r="I349" i="5"/>
  <c r="BJ349" i="5"/>
  <c r="I289" i="5"/>
  <c r="AY289" i="5"/>
  <c r="BJ289" i="5"/>
  <c r="AD139" i="5"/>
  <c r="AF139" i="5"/>
  <c r="BH116" i="5"/>
  <c r="L18" i="4" s="1"/>
  <c r="M115" i="5"/>
  <c r="AM62" i="5"/>
  <c r="AN62" i="5"/>
  <c r="AZ27" i="5"/>
  <c r="BE27" i="5" s="1"/>
  <c r="BK27" i="5"/>
  <c r="J94" i="5"/>
  <c r="J77" i="5"/>
  <c r="AZ69" i="5"/>
  <c r="BE69" i="5" s="1"/>
  <c r="BE60" i="5"/>
  <c r="M35" i="5"/>
  <c r="F22" i="1"/>
  <c r="BE390" i="5"/>
  <c r="I343" i="5"/>
  <c r="AZ320" i="5"/>
  <c r="J320" i="5"/>
  <c r="BJ257" i="5"/>
  <c r="AD257" i="5" s="1"/>
  <c r="BJ246" i="5"/>
  <c r="BK234" i="5"/>
  <c r="AZ231" i="5"/>
  <c r="AX231" i="5" s="1"/>
  <c r="AY229" i="5"/>
  <c r="BE229" i="5" s="1"/>
  <c r="AZ226" i="5"/>
  <c r="AY214" i="5"/>
  <c r="AX185" i="5"/>
  <c r="J181" i="5"/>
  <c r="AD168" i="5"/>
  <c r="AZ154" i="5"/>
  <c r="AZ133" i="5"/>
  <c r="AY125" i="5"/>
  <c r="AZ86" i="5"/>
  <c r="AZ80" i="5"/>
  <c r="I33" i="5"/>
  <c r="I390" i="5"/>
  <c r="AZ339" i="5"/>
  <c r="AZ308" i="5"/>
  <c r="AZ284" i="5"/>
  <c r="AZ274" i="5"/>
  <c r="AZ271" i="5"/>
  <c r="AY264" i="5"/>
  <c r="AX264" i="5" s="1"/>
  <c r="AY259" i="5"/>
  <c r="AY250" i="5"/>
  <c r="J243" i="5"/>
  <c r="J229" i="5"/>
  <c r="J228" i="5" s="1"/>
  <c r="AY226" i="5"/>
  <c r="M205" i="5"/>
  <c r="J177" i="5"/>
  <c r="AY156" i="5"/>
  <c r="I150" i="5"/>
  <c r="AY108" i="5"/>
  <c r="I16" i="4" s="1"/>
  <c r="AZ104" i="5"/>
  <c r="I60" i="5"/>
  <c r="AV43" i="5"/>
  <c r="BK33" i="5"/>
  <c r="AG33" i="5" s="1"/>
  <c r="BJ329" i="5"/>
  <c r="AD329" i="5" s="1"/>
  <c r="J324" i="5"/>
  <c r="I322" i="5"/>
  <c r="AE308" i="5"/>
  <c r="AY306" i="5"/>
  <c r="AY300" i="5"/>
  <c r="AY255" i="5"/>
  <c r="AX243" i="5"/>
  <c r="I243" i="5"/>
  <c r="AZ234" i="5"/>
  <c r="AZ209" i="5"/>
  <c r="M174" i="5"/>
  <c r="AB172" i="5"/>
  <c r="BK168" i="5"/>
  <c r="BK69" i="5"/>
  <c r="AE69" i="5" s="1"/>
  <c r="I52" i="5"/>
  <c r="BK44" i="5"/>
  <c r="AG44" i="5" s="1"/>
  <c r="J38" i="5"/>
  <c r="BJ31" i="5"/>
  <c r="AF31" i="5" s="1"/>
  <c r="BK21" i="5"/>
  <c r="AV319" i="5"/>
  <c r="AZ313" i="5"/>
  <c r="J212" i="5"/>
  <c r="BJ137" i="5"/>
  <c r="K132" i="5"/>
  <c r="P132" i="5" s="1"/>
  <c r="AB102" i="5"/>
  <c r="AZ100" i="5"/>
  <c r="AZ96" i="5"/>
  <c r="AU85" i="5"/>
  <c r="BJ69" i="5"/>
  <c r="AD69" i="5" s="1"/>
  <c r="I69" i="5"/>
  <c r="BJ44" i="5"/>
  <c r="AF44" i="5" s="1"/>
  <c r="AQ1086" i="5"/>
  <c r="BJ1086" i="5" s="1"/>
  <c r="AH1086" i="5" s="1"/>
  <c r="C45" i="7"/>
  <c r="H1086" i="5" s="1"/>
  <c r="AX388" i="5"/>
  <c r="BJ347" i="5"/>
  <c r="AD347" i="5" s="1"/>
  <c r="BJ337" i="5"/>
  <c r="BJ324" i="5"/>
  <c r="K312" i="5"/>
  <c r="P312" i="5" s="1"/>
  <c r="J298" i="5"/>
  <c r="I257" i="5"/>
  <c r="I246" i="5"/>
  <c r="AE240" i="5"/>
  <c r="AV228" i="5"/>
  <c r="BJ214" i="5"/>
  <c r="AD214" i="5" s="1"/>
  <c r="I212" i="5"/>
  <c r="BK175" i="5"/>
  <c r="AE175" i="5" s="1"/>
  <c r="J168" i="5"/>
  <c r="J167" i="5" s="1"/>
  <c r="AU153" i="5"/>
  <c r="AB94" i="5"/>
  <c r="I41" i="5"/>
  <c r="I40" i="5" s="1"/>
  <c r="AL1086" i="5"/>
  <c r="AU1085" i="5" s="1"/>
  <c r="AN1346" i="5"/>
  <c r="AW1345" i="5" s="1"/>
  <c r="AI1346" i="5"/>
  <c r="AI1090" i="5"/>
  <c r="AE1090" i="5"/>
  <c r="AE1086" i="5"/>
  <c r="J1490" i="5"/>
  <c r="AG1396" i="5"/>
  <c r="AI1396" i="5"/>
  <c r="AE1396" i="5"/>
  <c r="AG1409" i="5"/>
  <c r="AI1409" i="5"/>
  <c r="AE1409" i="5"/>
  <c r="AH1503" i="5"/>
  <c r="AD1503" i="5"/>
  <c r="AF1503" i="5"/>
  <c r="AW1455" i="5"/>
  <c r="AD1436" i="5"/>
  <c r="AF1436" i="5"/>
  <c r="AH1436" i="5"/>
  <c r="AF1426" i="5"/>
  <c r="AH1426" i="5"/>
  <c r="AD1426" i="5"/>
  <c r="AG1510" i="5"/>
  <c r="AI1510" i="5"/>
  <c r="AH1376" i="5"/>
  <c r="AD1376" i="5"/>
  <c r="AF1376" i="5"/>
  <c r="AD1352" i="5"/>
  <c r="AH1352" i="5"/>
  <c r="AF1352" i="5"/>
  <c r="AI1228" i="5"/>
  <c r="AE1228" i="5"/>
  <c r="AG1228" i="5"/>
  <c r="AE1555" i="5"/>
  <c r="AI1555" i="5"/>
  <c r="BE1481" i="5"/>
  <c r="AX1481" i="5"/>
  <c r="K59" i="4"/>
  <c r="K21" i="3"/>
  <c r="L72" i="4"/>
  <c r="AE1549" i="5"/>
  <c r="AI1549" i="5"/>
  <c r="AG1549" i="5"/>
  <c r="J1361" i="5"/>
  <c r="AZ1361" i="5"/>
  <c r="BE1361" i="5" s="1"/>
  <c r="AZ1188" i="5"/>
  <c r="J1188" i="5"/>
  <c r="BK1188" i="5"/>
  <c r="I1040" i="5"/>
  <c r="AY1040" i="5"/>
  <c r="BJ1040" i="5"/>
  <c r="J1338" i="5"/>
  <c r="J1337" i="5" s="1"/>
  <c r="AZ1338" i="5"/>
  <c r="AB1329" i="5"/>
  <c r="AJ1329" i="5"/>
  <c r="AI1307" i="5"/>
  <c r="AE1307" i="5"/>
  <c r="AG1307" i="5"/>
  <c r="AJ1285" i="5"/>
  <c r="AB1285" i="5"/>
  <c r="J1255" i="5"/>
  <c r="AZ1255" i="5"/>
  <c r="BK1255" i="5"/>
  <c r="AL1190" i="5"/>
  <c r="AM1190" i="5"/>
  <c r="AD1153" i="5"/>
  <c r="AH1153" i="5"/>
  <c r="J718" i="5"/>
  <c r="J717" i="5" s="1"/>
  <c r="BK718" i="5"/>
  <c r="AZ718" i="5"/>
  <c r="AX718" i="5" s="1"/>
  <c r="AI1563" i="5"/>
  <c r="AH1549" i="5"/>
  <c r="J1549" i="5"/>
  <c r="K1546" i="5"/>
  <c r="AI1534" i="5"/>
  <c r="AE1530" i="5"/>
  <c r="AI1526" i="5"/>
  <c r="AI1518" i="5"/>
  <c r="AM1512" i="5"/>
  <c r="I1503" i="5"/>
  <c r="AY1501" i="5"/>
  <c r="AH1501" i="5"/>
  <c r="AI1498" i="5"/>
  <c r="AZ1496" i="5"/>
  <c r="BK1493" i="5"/>
  <c r="BK1491" i="5"/>
  <c r="AL1488" i="5"/>
  <c r="AU1483" i="5" s="1"/>
  <c r="BJ1479" i="5"/>
  <c r="AN1479" i="5"/>
  <c r="AW1478" i="5" s="1"/>
  <c r="M1478" i="5"/>
  <c r="I1473" i="5"/>
  <c r="AY1473" i="5"/>
  <c r="AH1471" i="5"/>
  <c r="BK1469" i="5"/>
  <c r="AV1468" i="5"/>
  <c r="BK1466" i="5"/>
  <c r="AB1466" i="5"/>
  <c r="AH1461" i="5"/>
  <c r="AI1458" i="5"/>
  <c r="J1456" i="5"/>
  <c r="AZ1456" i="5"/>
  <c r="BE1456" i="5" s="1"/>
  <c r="AE1456" i="5"/>
  <c r="BE1453" i="5"/>
  <c r="AE1450" i="5"/>
  <c r="BK1448" i="5"/>
  <c r="BE1444" i="5"/>
  <c r="AE1441" i="5"/>
  <c r="AY1438" i="5"/>
  <c r="AJ1432" i="5"/>
  <c r="I1432" i="5"/>
  <c r="AH1428" i="5"/>
  <c r="AY1415" i="5"/>
  <c r="AN1413" i="5"/>
  <c r="I1407" i="5"/>
  <c r="BK1402" i="5"/>
  <c r="AI1394" i="5"/>
  <c r="J1394" i="5"/>
  <c r="BJ1391" i="5"/>
  <c r="AJ1391" i="5"/>
  <c r="M1385" i="5"/>
  <c r="AZ1381" i="5"/>
  <c r="AX1381" i="5" s="1"/>
  <c r="AH1381" i="5"/>
  <c r="BK1369" i="5"/>
  <c r="BK1361" i="5"/>
  <c r="M1341" i="5"/>
  <c r="M1340" i="5" s="1"/>
  <c r="BH1342" i="5"/>
  <c r="L58" i="4" s="1"/>
  <c r="J1291" i="5"/>
  <c r="AZ1291" i="5"/>
  <c r="BK1291" i="5"/>
  <c r="AE1279" i="5"/>
  <c r="AI1279" i="5"/>
  <c r="AG1279" i="5"/>
  <c r="AY1255" i="5"/>
  <c r="BJ1255" i="5"/>
  <c r="I1255" i="5"/>
  <c r="I1221" i="5"/>
  <c r="AY1221" i="5"/>
  <c r="BJ1221" i="5"/>
  <c r="AB1212" i="5"/>
  <c r="I1190" i="5"/>
  <c r="AY1190" i="5"/>
  <c r="BJ1190" i="5"/>
  <c r="AE1160" i="5"/>
  <c r="AI1160" i="5"/>
  <c r="AG1160" i="5"/>
  <c r="AZ1151" i="5"/>
  <c r="J1151" i="5"/>
  <c r="BK1151" i="5"/>
  <c r="L75" i="4"/>
  <c r="I1436" i="5"/>
  <c r="AY1436" i="5"/>
  <c r="AN1411" i="5"/>
  <c r="M1390" i="5"/>
  <c r="BH1391" i="5"/>
  <c r="AL1378" i="5"/>
  <c r="AN1378" i="5"/>
  <c r="K1373" i="5"/>
  <c r="AL1371" i="5"/>
  <c r="AU1368" i="5" s="1"/>
  <c r="AM1371" i="5"/>
  <c r="I59" i="4"/>
  <c r="I21" i="3"/>
  <c r="AB1335" i="5"/>
  <c r="AJ1335" i="5"/>
  <c r="AJ1249" i="5"/>
  <c r="AB1249" i="5"/>
  <c r="BK1539" i="5"/>
  <c r="BJ1530" i="5"/>
  <c r="BJ1512" i="5"/>
  <c r="K1505" i="5"/>
  <c r="AL1411" i="5"/>
  <c r="AU1393" i="5" s="1"/>
  <c r="AH1407" i="5"/>
  <c r="AF1528" i="5"/>
  <c r="AF1520" i="5"/>
  <c r="AD1493" i="5"/>
  <c r="AD1491" i="5"/>
  <c r="BK1481" i="5"/>
  <c r="AV1478" i="5"/>
  <c r="BJ1469" i="5"/>
  <c r="AF1461" i="5"/>
  <c r="M1460" i="5"/>
  <c r="M1452" i="5"/>
  <c r="BH1453" i="5"/>
  <c r="M1443" i="5"/>
  <c r="BH1444" i="5"/>
  <c r="AJ1436" i="5"/>
  <c r="I1434" i="5"/>
  <c r="AY1434" i="5"/>
  <c r="AH1432" i="5"/>
  <c r="AF1428" i="5"/>
  <c r="AI1417" i="5"/>
  <c r="J1415" i="5"/>
  <c r="AZ1415" i="5"/>
  <c r="AI1407" i="5"/>
  <c r="AN1396" i="5"/>
  <c r="J1386" i="5"/>
  <c r="J1385" i="5" s="1"/>
  <c r="AZ1386" i="5"/>
  <c r="AJ1383" i="5"/>
  <c r="AB1383" i="5"/>
  <c r="I1383" i="5"/>
  <c r="AY1383" i="5"/>
  <c r="AJ1378" i="5"/>
  <c r="AJ1374" i="5"/>
  <c r="AB1374" i="5"/>
  <c r="I1374" i="5"/>
  <c r="AY1374" i="5"/>
  <c r="M1373" i="5"/>
  <c r="BJ1371" i="5"/>
  <c r="K1365" i="5"/>
  <c r="AL1366" i="5"/>
  <c r="AU1365" i="5" s="1"/>
  <c r="AN1366" i="5"/>
  <c r="AW1365" i="5" s="1"/>
  <c r="AL1359" i="5"/>
  <c r="AM1359" i="5"/>
  <c r="K1356" i="5"/>
  <c r="I58" i="4"/>
  <c r="BK1338" i="5"/>
  <c r="J1322" i="5"/>
  <c r="AZ1322" i="5"/>
  <c r="BK1322" i="5"/>
  <c r="AI1315" i="5"/>
  <c r="AE1315" i="5"/>
  <c r="J1311" i="5"/>
  <c r="BK1311" i="5"/>
  <c r="AY1291" i="5"/>
  <c r="BJ1291" i="5"/>
  <c r="I1291" i="5"/>
  <c r="AD1279" i="5"/>
  <c r="AH1279" i="5"/>
  <c r="AH1259" i="5"/>
  <c r="AD1259" i="5"/>
  <c r="AI1251" i="5"/>
  <c r="AE1251" i="5"/>
  <c r="AH1230" i="5"/>
  <c r="AD1230" i="5"/>
  <c r="AZ1212" i="5"/>
  <c r="BE1212" i="5" s="1"/>
  <c r="J1212" i="5"/>
  <c r="BK1212" i="5"/>
  <c r="AN1190" i="5"/>
  <c r="AJ1180" i="5"/>
  <c r="AB1180" i="5"/>
  <c r="AL1170" i="5"/>
  <c r="AM1170" i="5"/>
  <c r="AN1170" i="5"/>
  <c r="AH1109" i="5"/>
  <c r="AF1109" i="5"/>
  <c r="I1484" i="5"/>
  <c r="AJ1479" i="5"/>
  <c r="AJ1469" i="5"/>
  <c r="I1469" i="5"/>
  <c r="K1465" i="5"/>
  <c r="AM1466" i="5"/>
  <c r="AV1465" i="5" s="1"/>
  <c r="AL1463" i="5"/>
  <c r="AU1460" i="5" s="1"/>
  <c r="AN1463" i="5"/>
  <c r="AW1460" i="5" s="1"/>
  <c r="K1460" i="5"/>
  <c r="BK1453" i="5"/>
  <c r="AL1448" i="5"/>
  <c r="AU1447" i="5" s="1"/>
  <c r="BK1444" i="5"/>
  <c r="AB1441" i="5"/>
  <c r="AL1430" i="5"/>
  <c r="AN1430" i="5"/>
  <c r="AJ1426" i="5"/>
  <c r="J1413" i="5"/>
  <c r="AG1407" i="5"/>
  <c r="J1399" i="5"/>
  <c r="AZ1399" i="5"/>
  <c r="AX1399" i="5" s="1"/>
  <c r="AH1396" i="5"/>
  <c r="AF1381" i="5"/>
  <c r="AN1359" i="5"/>
  <c r="J1357" i="5"/>
  <c r="J59" i="4"/>
  <c r="J21" i="3"/>
  <c r="BK1335" i="5"/>
  <c r="AZ1335" i="5"/>
  <c r="J1335" i="5"/>
  <c r="J1334" i="5" s="1"/>
  <c r="AH1315" i="5"/>
  <c r="AD1315" i="5"/>
  <c r="AE1287" i="5"/>
  <c r="AI1287" i="5"/>
  <c r="AE1271" i="5"/>
  <c r="AI1271" i="5"/>
  <c r="AH1251" i="5"/>
  <c r="AD1251" i="5"/>
  <c r="BE1234" i="5"/>
  <c r="AX1234" i="5"/>
  <c r="AE1200" i="5"/>
  <c r="AI1200" i="5"/>
  <c r="AG1200" i="5"/>
  <c r="AH1182" i="5"/>
  <c r="AD1182" i="5"/>
  <c r="AI1180" i="5"/>
  <c r="AE1180" i="5"/>
  <c r="J1176" i="5"/>
  <c r="AZ1176" i="5"/>
  <c r="BK1176" i="5"/>
  <c r="M1157" i="5"/>
  <c r="BH1158" i="5"/>
  <c r="I52" i="4"/>
  <c r="BE1469" i="5"/>
  <c r="AJ1354" i="5"/>
  <c r="AB1354" i="5"/>
  <c r="BJ1484" i="5"/>
  <c r="I69" i="4"/>
  <c r="I1426" i="5"/>
  <c r="AY1426" i="5"/>
  <c r="AB1413" i="5"/>
  <c r="J1409" i="5"/>
  <c r="AZ1409" i="5"/>
  <c r="AL1391" i="5"/>
  <c r="AU1390" i="5" s="1"/>
  <c r="AN1391" i="5"/>
  <c r="AW1390" i="5" s="1"/>
  <c r="I1376" i="5"/>
  <c r="AY1376" i="5"/>
  <c r="AN1371" i="5"/>
  <c r="J1369" i="5"/>
  <c r="J1368" i="5" s="1"/>
  <c r="AE1332" i="5"/>
  <c r="AI1332" i="5"/>
  <c r="K1552" i="5"/>
  <c r="AF1536" i="5"/>
  <c r="AF1549" i="5"/>
  <c r="AG1534" i="5"/>
  <c r="AN1528" i="5"/>
  <c r="AG1526" i="5"/>
  <c r="AN1520" i="5"/>
  <c r="AG1518" i="5"/>
  <c r="AI1512" i="5"/>
  <c r="AH1510" i="5"/>
  <c r="BK1503" i="5"/>
  <c r="AG1498" i="5"/>
  <c r="AB1493" i="5"/>
  <c r="AH1561" i="5"/>
  <c r="AZ1559" i="5"/>
  <c r="AM1557" i="5"/>
  <c r="AV1552" i="5" s="1"/>
  <c r="AH1553" i="5"/>
  <c r="BH1549" i="5"/>
  <c r="L73" i="4" s="1"/>
  <c r="AN1549" i="5"/>
  <c r="AW1546" i="5" s="1"/>
  <c r="AH1544" i="5"/>
  <c r="AY1541" i="5"/>
  <c r="AI1541" i="5"/>
  <c r="AB1539" i="5"/>
  <c r="AM1536" i="5"/>
  <c r="AF1534" i="5"/>
  <c r="AZ1530" i="5"/>
  <c r="AX1530" i="5" s="1"/>
  <c r="AM1528" i="5"/>
  <c r="AF1526" i="5"/>
  <c r="AZ1522" i="5"/>
  <c r="AX1522" i="5" s="1"/>
  <c r="AM1520" i="5"/>
  <c r="AF1518" i="5"/>
  <c r="AY1512" i="5"/>
  <c r="AN1503" i="5"/>
  <c r="BK1496" i="5"/>
  <c r="AJ1491" i="5"/>
  <c r="AY1488" i="5"/>
  <c r="AH1488" i="5"/>
  <c r="AI1484" i="5"/>
  <c r="BH1476" i="5"/>
  <c r="L69" i="4" s="1"/>
  <c r="AL1476" i="5"/>
  <c r="AU1475" i="5" s="1"/>
  <c r="I1471" i="5"/>
  <c r="AY1471" i="5"/>
  <c r="J1466" i="5"/>
  <c r="J1465" i="5" s="1"/>
  <c r="BJ1463" i="5"/>
  <c r="AJ1463" i="5"/>
  <c r="J1458" i="5"/>
  <c r="AZ1458" i="5"/>
  <c r="BJ1456" i="5"/>
  <c r="AU1455" i="5"/>
  <c r="K1455" i="5"/>
  <c r="AM1456" i="5"/>
  <c r="AV1455" i="5" s="1"/>
  <c r="J1453" i="5"/>
  <c r="J1452" i="5" s="1"/>
  <c r="AN1450" i="5"/>
  <c r="J1444" i="5"/>
  <c r="J1443" i="5" s="1"/>
  <c r="BJ1434" i="5"/>
  <c r="AF1432" i="5"/>
  <c r="BJ1430" i="5"/>
  <c r="AJ1430" i="5"/>
  <c r="M1423" i="5"/>
  <c r="BH1424" i="5"/>
  <c r="AG1417" i="5"/>
  <c r="BK1415" i="5"/>
  <c r="AN1415" i="5"/>
  <c r="AF1407" i="5"/>
  <c r="AN1405" i="5"/>
  <c r="AY1391" i="5"/>
  <c r="K1390" i="5"/>
  <c r="BK1386" i="5"/>
  <c r="BJ1383" i="5"/>
  <c r="BJ1374" i="5"/>
  <c r="AJ1366" i="5"/>
  <c r="AB1366" i="5"/>
  <c r="BK1357" i="5"/>
  <c r="BH1352" i="5"/>
  <c r="M1349" i="5"/>
  <c r="AN1332" i="5"/>
  <c r="AW1331" i="5" s="1"/>
  <c r="K1331" i="5"/>
  <c r="AL1332" i="5"/>
  <c r="AU1331" i="5" s="1"/>
  <c r="AL1313" i="5"/>
  <c r="AM1313" i="5"/>
  <c r="AN1313" i="5"/>
  <c r="AD1287" i="5"/>
  <c r="AH1287" i="5"/>
  <c r="AL1257" i="5"/>
  <c r="AM1257" i="5"/>
  <c r="I1158" i="5"/>
  <c r="AY1158" i="5"/>
  <c r="BJ1158" i="5"/>
  <c r="AH1133" i="5"/>
  <c r="AD1133" i="5"/>
  <c r="AF1133" i="5"/>
  <c r="I1090" i="5"/>
  <c r="I1089" i="5" s="1"/>
  <c r="I1088" i="5" s="1"/>
  <c r="AY1090" i="5"/>
  <c r="BJ1090" i="5"/>
  <c r="J17" i="3"/>
  <c r="J46" i="4"/>
  <c r="AB993" i="5"/>
  <c r="AJ993" i="5"/>
  <c r="BJ1541" i="5"/>
  <c r="AG1530" i="5"/>
  <c r="AI1432" i="5"/>
  <c r="AJ1350" i="5"/>
  <c r="AB1350" i="5"/>
  <c r="AJ1313" i="5"/>
  <c r="AB1313" i="5"/>
  <c r="AL1221" i="5"/>
  <c r="AM1221" i="5"/>
  <c r="AN1221" i="5"/>
  <c r="AE1168" i="5"/>
  <c r="AI1168" i="5"/>
  <c r="AG1168" i="5"/>
  <c r="BJ1559" i="5"/>
  <c r="BJ1514" i="5"/>
  <c r="M1468" i="5"/>
  <c r="BH1469" i="5"/>
  <c r="BK1413" i="5"/>
  <c r="J1396" i="5"/>
  <c r="AZ1396" i="5"/>
  <c r="K1393" i="5"/>
  <c r="AM1394" i="5"/>
  <c r="AM1391" i="5"/>
  <c r="AV1390" i="5" s="1"/>
  <c r="BK1388" i="5"/>
  <c r="K20" i="3"/>
  <c r="K57" i="4"/>
  <c r="AN1557" i="5"/>
  <c r="AN1536" i="5"/>
  <c r="AE1563" i="5"/>
  <c r="AB1557" i="5"/>
  <c r="AM1549" i="5"/>
  <c r="AV1546" i="5" s="1"/>
  <c r="AB1536" i="5"/>
  <c r="AB1528" i="5"/>
  <c r="AI1522" i="5"/>
  <c r="AB1520" i="5"/>
  <c r="AG1514" i="5"/>
  <c r="I1514" i="5"/>
  <c r="AF1510" i="5"/>
  <c r="AE1506" i="5"/>
  <c r="AM1503" i="5"/>
  <c r="AB1503" i="5"/>
  <c r="AN1501" i="5"/>
  <c r="AN1498" i="5"/>
  <c r="AN1496" i="5"/>
  <c r="AD1496" i="5"/>
  <c r="M1495" i="5"/>
  <c r="AZ1491" i="5"/>
  <c r="AG1484" i="5"/>
  <c r="J1481" i="5"/>
  <c r="AY1479" i="5"/>
  <c r="AH1473" i="5"/>
  <c r="AX1469" i="5"/>
  <c r="I1461" i="5"/>
  <c r="AY1461" i="5"/>
  <c r="AJ1453" i="5"/>
  <c r="AJ1444" i="5"/>
  <c r="K1440" i="5"/>
  <c r="AM1441" i="5"/>
  <c r="AV1440" i="5" s="1"/>
  <c r="AL1438" i="5"/>
  <c r="AN1438" i="5"/>
  <c r="AJ1434" i="5"/>
  <c r="I1428" i="5"/>
  <c r="AY1428" i="5"/>
  <c r="BK1424" i="5"/>
  <c r="AV1423" i="5"/>
  <c r="J1417" i="5"/>
  <c r="AZ1417" i="5"/>
  <c r="BJ1415" i="5"/>
  <c r="J1407" i="5"/>
  <c r="AZ1407" i="5"/>
  <c r="AX1407" i="5" s="1"/>
  <c r="BK1399" i="5"/>
  <c r="AN1399" i="5"/>
  <c r="AZ1388" i="5"/>
  <c r="L63" i="4"/>
  <c r="AY1371" i="5"/>
  <c r="AB1369" i="5"/>
  <c r="AM1366" i="5"/>
  <c r="AV1365" i="5" s="1"/>
  <c r="BJ1359" i="5"/>
  <c r="AL1354" i="5"/>
  <c r="AU1349" i="5" s="1"/>
  <c r="AN1354" i="5"/>
  <c r="AW1349" i="5" s="1"/>
  <c r="I60" i="4"/>
  <c r="BE1346" i="5"/>
  <c r="AX1346" i="5"/>
  <c r="K60" i="4" s="1"/>
  <c r="L59" i="4"/>
  <c r="L21" i="3"/>
  <c r="AE1342" i="5"/>
  <c r="M1328" i="5"/>
  <c r="BH1329" i="5"/>
  <c r="AY1299" i="5"/>
  <c r="BJ1299" i="5"/>
  <c r="I1299" i="5"/>
  <c r="AL1293" i="5"/>
  <c r="AM1293" i="5"/>
  <c r="BE1261" i="5"/>
  <c r="AX1261" i="5"/>
  <c r="AB1228" i="5"/>
  <c r="AD1218" i="5"/>
  <c r="AH1218" i="5"/>
  <c r="AL1214" i="5"/>
  <c r="AM1214" i="5"/>
  <c r="AE1192" i="5"/>
  <c r="AI1192" i="5"/>
  <c r="AG1192" i="5"/>
  <c r="AI1137" i="5"/>
  <c r="AE1137" i="5"/>
  <c r="J1121" i="5"/>
  <c r="BK1121" i="5"/>
  <c r="AZ1121" i="5"/>
  <c r="J1022" i="5"/>
  <c r="AZ1022" i="5"/>
  <c r="BK1022" i="5"/>
  <c r="BK1559" i="5"/>
  <c r="AY1263" i="5"/>
  <c r="BJ1263" i="5"/>
  <c r="I1263" i="5"/>
  <c r="I1246" i="5"/>
  <c r="I1245" i="5" s="1"/>
  <c r="AY1246" i="5"/>
  <c r="BJ1246" i="5"/>
  <c r="BJ1506" i="5"/>
  <c r="AL1501" i="5"/>
  <c r="AU1495" i="5" s="1"/>
  <c r="AM1496" i="5"/>
  <c r="AZ1493" i="5"/>
  <c r="AF1488" i="5"/>
  <c r="K1478" i="5"/>
  <c r="AV1460" i="5"/>
  <c r="J1450" i="5"/>
  <c r="J1447" i="5" s="1"/>
  <c r="AZ1448" i="5"/>
  <c r="K1447" i="5"/>
  <c r="J1441" i="5"/>
  <c r="J1440" i="5" s="1"/>
  <c r="BJ1424" i="5"/>
  <c r="AN1421" i="5"/>
  <c r="J1405" i="5"/>
  <c r="AZ1402" i="5"/>
  <c r="AX1402" i="5" s="1"/>
  <c r="L64" i="4"/>
  <c r="BK1381" i="5"/>
  <c r="AL1363" i="5"/>
  <c r="AM1363" i="5"/>
  <c r="I1352" i="5"/>
  <c r="AY1352" i="5"/>
  <c r="AL1346" i="5"/>
  <c r="AU1345" i="5" s="1"/>
  <c r="AM1346" i="5"/>
  <c r="AV1345" i="5" s="1"/>
  <c r="AD1342" i="5"/>
  <c r="M1317" i="5"/>
  <c r="BH1318" i="5"/>
  <c r="L54" i="4" s="1"/>
  <c r="AJ1277" i="5"/>
  <c r="AB1277" i="5"/>
  <c r="M1248" i="5"/>
  <c r="AZ1228" i="5"/>
  <c r="J1228" i="5"/>
  <c r="I1214" i="5"/>
  <c r="AY1214" i="5"/>
  <c r="BJ1214" i="5"/>
  <c r="AL1202" i="5"/>
  <c r="AM1202" i="5"/>
  <c r="AN1202" i="5"/>
  <c r="AX1101" i="5"/>
  <c r="BE1101" i="5"/>
  <c r="I1031" i="5"/>
  <c r="AY1031" i="5"/>
  <c r="BJ1031" i="5"/>
  <c r="AH1476" i="5"/>
  <c r="AI1473" i="5"/>
  <c r="AI1461" i="5"/>
  <c r="AH1448" i="5"/>
  <c r="AI1436" i="5"/>
  <c r="AI1428" i="5"/>
  <c r="AH1419" i="5"/>
  <c r="AH1411" i="5"/>
  <c r="AH1402" i="5"/>
  <c r="AH1388" i="5"/>
  <c r="AG1378" i="5"/>
  <c r="AI1376" i="5"/>
  <c r="AF1369" i="5"/>
  <c r="AG1366" i="5"/>
  <c r="AH1363" i="5"/>
  <c r="AF1357" i="5"/>
  <c r="AG1354" i="5"/>
  <c r="AI1352" i="5"/>
  <c r="AH1346" i="5"/>
  <c r="J1332" i="5"/>
  <c r="J1331" i="5" s="1"/>
  <c r="AG1324" i="5"/>
  <c r="AL1322" i="5"/>
  <c r="AM1322" i="5"/>
  <c r="AG1320" i="5"/>
  <c r="AL1318" i="5"/>
  <c r="AM1318" i="5"/>
  <c r="AX1311" i="5"/>
  <c r="BJ1307" i="5"/>
  <c r="AJ1305" i="5"/>
  <c r="AB1305" i="5"/>
  <c r="BK1299" i="5"/>
  <c r="BJ1271" i="5"/>
  <c r="AJ1269" i="5"/>
  <c r="AB1269" i="5"/>
  <c r="BK1263" i="5"/>
  <c r="K1248" i="5"/>
  <c r="AL1249" i="5"/>
  <c r="AL1234" i="5"/>
  <c r="AM1234" i="5"/>
  <c r="AB1220" i="5"/>
  <c r="J1208" i="5"/>
  <c r="AZ1208" i="5"/>
  <c r="AL1198" i="5"/>
  <c r="AM1198" i="5"/>
  <c r="J1180" i="5"/>
  <c r="BE1178" i="5"/>
  <c r="AX1178" i="5"/>
  <c r="AL1178" i="5"/>
  <c r="AM1178" i="5"/>
  <c r="AY1174" i="5"/>
  <c r="AL1166" i="5"/>
  <c r="AM1166" i="5"/>
  <c r="AL1143" i="5"/>
  <c r="AM1143" i="5"/>
  <c r="AD1129" i="5"/>
  <c r="AH1129" i="5"/>
  <c r="AJ1119" i="5"/>
  <c r="AB1119" i="5"/>
  <c r="AE1094" i="5"/>
  <c r="AG1094" i="5"/>
  <c r="AH1073" i="5"/>
  <c r="AD1073" i="5"/>
  <c r="AF1073" i="5"/>
  <c r="K1063" i="5"/>
  <c r="AL1064" i="5"/>
  <c r="AU1063" i="5" s="1"/>
  <c r="AM1064" i="5"/>
  <c r="AV1063" i="5" s="1"/>
  <c r="AN1064" i="5"/>
  <c r="AW1063" i="5" s="1"/>
  <c r="AN1369" i="5"/>
  <c r="AN1357" i="5"/>
  <c r="AH1335" i="5"/>
  <c r="AM1329" i="5"/>
  <c r="AV1328" i="5" s="1"/>
  <c r="BJ1326" i="5"/>
  <c r="AN1322" i="5"/>
  <c r="BJ1318" i="5"/>
  <c r="AN1318" i="5"/>
  <c r="AN1305" i="5"/>
  <c r="AJ1297" i="5"/>
  <c r="AB1297" i="5"/>
  <c r="AN1285" i="5"/>
  <c r="AN1277" i="5"/>
  <c r="AJ1261" i="5"/>
  <c r="AB1261" i="5"/>
  <c r="AZ1259" i="5"/>
  <c r="AN1249" i="5"/>
  <c r="AY1238" i="5"/>
  <c r="AY1226" i="5"/>
  <c r="BK1220" i="5"/>
  <c r="AL1210" i="5"/>
  <c r="AM1210" i="5"/>
  <c r="AY1206" i="5"/>
  <c r="AN1198" i="5"/>
  <c r="AB1196" i="5"/>
  <c r="J1184" i="5"/>
  <c r="AZ1184" i="5"/>
  <c r="AN1166" i="5"/>
  <c r="AB1164" i="5"/>
  <c r="J1153" i="5"/>
  <c r="BK1153" i="5"/>
  <c r="AZ1153" i="5"/>
  <c r="BE1153" i="5" s="1"/>
  <c r="AH1141" i="5"/>
  <c r="AD1141" i="5"/>
  <c r="AY1106" i="5"/>
  <c r="BJ1106" i="5"/>
  <c r="AD1086" i="5"/>
  <c r="AF1086" i="5"/>
  <c r="AI1070" i="5"/>
  <c r="AE1070" i="5"/>
  <c r="AG1070" i="5"/>
  <c r="M1005" i="5"/>
  <c r="BH1008" i="5"/>
  <c r="AY1003" i="5"/>
  <c r="I1003" i="5"/>
  <c r="BJ1003" i="5"/>
  <c r="AB1001" i="5"/>
  <c r="AJ1001" i="5"/>
  <c r="BE876" i="5"/>
  <c r="AX876" i="5"/>
  <c r="AF1476" i="5"/>
  <c r="AG1473" i="5"/>
  <c r="AG1461" i="5"/>
  <c r="AF1448" i="5"/>
  <c r="AG1436" i="5"/>
  <c r="AG1428" i="5"/>
  <c r="AF1419" i="5"/>
  <c r="AF1411" i="5"/>
  <c r="AF1402" i="5"/>
  <c r="AG1376" i="5"/>
  <c r="AZ1371" i="5"/>
  <c r="AM1369" i="5"/>
  <c r="BH1366" i="5"/>
  <c r="AF1363" i="5"/>
  <c r="AZ1359" i="5"/>
  <c r="AM1357" i="5"/>
  <c r="AG1352" i="5"/>
  <c r="AY1350" i="5"/>
  <c r="AF1346" i="5"/>
  <c r="AD1322" i="5"/>
  <c r="AH1322" i="5"/>
  <c r="AB1320" i="5"/>
  <c r="AZ1315" i="5"/>
  <c r="I1311" i="5"/>
  <c r="AJ1289" i="5"/>
  <c r="AB1289" i="5"/>
  <c r="AZ1287" i="5"/>
  <c r="BE1287" i="5" s="1"/>
  <c r="AZ1279" i="5"/>
  <c r="BE1279" i="5" s="1"/>
  <c r="AJ1253" i="5"/>
  <c r="AB1253" i="5"/>
  <c r="AZ1251" i="5"/>
  <c r="AE1232" i="5"/>
  <c r="AI1232" i="5"/>
  <c r="AL1226" i="5"/>
  <c r="AM1226" i="5"/>
  <c r="AB1223" i="5"/>
  <c r="AH1198" i="5"/>
  <c r="AD1198" i="5"/>
  <c r="AL1186" i="5"/>
  <c r="AM1186" i="5"/>
  <c r="AL1174" i="5"/>
  <c r="AM1174" i="5"/>
  <c r="AH1166" i="5"/>
  <c r="AD1166" i="5"/>
  <c r="AJ1151" i="5"/>
  <c r="AB1151" i="5"/>
  <c r="AM1149" i="5"/>
  <c r="AN1149" i="5"/>
  <c r="AL1149" i="5"/>
  <c r="AM1113" i="5"/>
  <c r="AN1113" i="5"/>
  <c r="AL1113" i="5"/>
  <c r="I1109" i="5"/>
  <c r="M1075" i="5"/>
  <c r="BH1076" i="5"/>
  <c r="BE1025" i="5"/>
  <c r="AX1025" i="5"/>
  <c r="BE883" i="5"/>
  <c r="AD1311" i="5"/>
  <c r="AH1311" i="5"/>
  <c r="AJ1309" i="5"/>
  <c r="AB1309" i="5"/>
  <c r="AE1303" i="5"/>
  <c r="AI1303" i="5"/>
  <c r="AI1283" i="5"/>
  <c r="AE1283" i="5"/>
  <c r="AJ1281" i="5"/>
  <c r="AB1281" i="5"/>
  <c r="AI1275" i="5"/>
  <c r="AE1275" i="5"/>
  <c r="AE1243" i="5"/>
  <c r="AI1243" i="5"/>
  <c r="AL1238" i="5"/>
  <c r="AM1238" i="5"/>
  <c r="AD1234" i="5"/>
  <c r="AH1234" i="5"/>
  <c r="AL1218" i="5"/>
  <c r="AM1218" i="5"/>
  <c r="J1216" i="5"/>
  <c r="AZ1216" i="5"/>
  <c r="AE1208" i="5"/>
  <c r="AI1208" i="5"/>
  <c r="AL1206" i="5"/>
  <c r="AM1206" i="5"/>
  <c r="AI1196" i="5"/>
  <c r="AE1196" i="5"/>
  <c r="J1192" i="5"/>
  <c r="AZ1192" i="5"/>
  <c r="AI1164" i="5"/>
  <c r="AE1164" i="5"/>
  <c r="J1160" i="5"/>
  <c r="AZ1160" i="5"/>
  <c r="AJ1155" i="5"/>
  <c r="AB1155" i="5"/>
  <c r="AY1145" i="5"/>
  <c r="I1145" i="5"/>
  <c r="BJ1145" i="5"/>
  <c r="AJ1143" i="5"/>
  <c r="AB1143" i="5"/>
  <c r="J1125" i="5"/>
  <c r="AZ1125" i="5"/>
  <c r="BK1125" i="5"/>
  <c r="I1113" i="5"/>
  <c r="AY1113" i="5"/>
  <c r="BJ1113" i="5"/>
  <c r="AH1101" i="5"/>
  <c r="AF1101" i="5"/>
  <c r="AI1098" i="5"/>
  <c r="AL1094" i="5"/>
  <c r="AU1093" i="5" s="1"/>
  <c r="AM1094" i="5"/>
  <c r="AV1093" i="5" s="1"/>
  <c r="AZ1082" i="5"/>
  <c r="BK1082" i="5"/>
  <c r="AL1076" i="5"/>
  <c r="AU1075" i="5" s="1"/>
  <c r="AM1076" i="5"/>
  <c r="AV1075" i="5" s="1"/>
  <c r="K1075" i="5"/>
  <c r="AN1076" i="5"/>
  <c r="AW1075" i="5" s="1"/>
  <c r="M1060" i="5"/>
  <c r="BH1061" i="5"/>
  <c r="J1036" i="5"/>
  <c r="BK1036" i="5"/>
  <c r="AZ1012" i="5"/>
  <c r="J1012" i="5"/>
  <c r="BK1012" i="5"/>
  <c r="K1328" i="5"/>
  <c r="BJ1303" i="5"/>
  <c r="AJ1301" i="5"/>
  <c r="AB1301" i="5"/>
  <c r="AZ1299" i="5"/>
  <c r="BK1295" i="5"/>
  <c r="I1295" i="5"/>
  <c r="AN1289" i="5"/>
  <c r="BJ1283" i="5"/>
  <c r="AN1281" i="5"/>
  <c r="BJ1275" i="5"/>
  <c r="AJ1273" i="5"/>
  <c r="AB1273" i="5"/>
  <c r="BK1267" i="5"/>
  <c r="I1267" i="5"/>
  <c r="AZ1263" i="5"/>
  <c r="AM1261" i="5"/>
  <c r="I1259" i="5"/>
  <c r="AN1253" i="5"/>
  <c r="BJ1243" i="5"/>
  <c r="AJ1241" i="5"/>
  <c r="AB1241" i="5"/>
  <c r="M1240" i="5"/>
  <c r="AN1238" i="5"/>
  <c r="AB1236" i="5"/>
  <c r="AN1226" i="5"/>
  <c r="BK1223" i="5"/>
  <c r="AN1210" i="5"/>
  <c r="AN1206" i="5"/>
  <c r="J1196" i="5"/>
  <c r="AX1194" i="5"/>
  <c r="AL1194" i="5"/>
  <c r="AM1194" i="5"/>
  <c r="BK1184" i="5"/>
  <c r="AL1182" i="5"/>
  <c r="AM1182" i="5"/>
  <c r="BJ1174" i="5"/>
  <c r="J1164" i="5"/>
  <c r="BE1162" i="5"/>
  <c r="AX1162" i="5"/>
  <c r="AL1162" i="5"/>
  <c r="AM1162" i="5"/>
  <c r="K1157" i="5"/>
  <c r="BJ1149" i="5"/>
  <c r="I1149" i="5"/>
  <c r="AY1149" i="5"/>
  <c r="AE1143" i="5"/>
  <c r="AI1143" i="5"/>
  <c r="AE1141" i="5"/>
  <c r="AI1141" i="5"/>
  <c r="AM1139" i="5"/>
  <c r="AI1135" i="5"/>
  <c r="AN1135" i="5"/>
  <c r="AJ1131" i="5"/>
  <c r="AB1131" i="5"/>
  <c r="AM1131" i="5"/>
  <c r="AZ1127" i="5"/>
  <c r="BK1127" i="5"/>
  <c r="AB1106" i="5"/>
  <c r="AD1061" i="5"/>
  <c r="AH1061" i="5"/>
  <c r="BH1040" i="5"/>
  <c r="L41" i="4" s="1"/>
  <c r="M1030" i="5"/>
  <c r="AH1018" i="5"/>
  <c r="AD1018" i="5"/>
  <c r="AF1018" i="5"/>
  <c r="AD1012" i="5"/>
  <c r="AH1012" i="5"/>
  <c r="AF1012" i="5"/>
  <c r="I967" i="5"/>
  <c r="AY967" i="5"/>
  <c r="BJ967" i="5"/>
  <c r="AB1332" i="5"/>
  <c r="AD1295" i="5"/>
  <c r="AH1295" i="5"/>
  <c r="AJ1293" i="5"/>
  <c r="AB1293" i="5"/>
  <c r="AM1289" i="5"/>
  <c r="AM1281" i="5"/>
  <c r="AH1267" i="5"/>
  <c r="AD1267" i="5"/>
  <c r="AJ1265" i="5"/>
  <c r="AB1265" i="5"/>
  <c r="AI1259" i="5"/>
  <c r="AE1259" i="5"/>
  <c r="AJ1257" i="5"/>
  <c r="AB1257" i="5"/>
  <c r="AM1253" i="5"/>
  <c r="AL1246" i="5"/>
  <c r="AU1245" i="5" s="1"/>
  <c r="AM1246" i="5"/>
  <c r="AV1245" i="5" s="1"/>
  <c r="K1240" i="5"/>
  <c r="AL1241" i="5"/>
  <c r="AU1240" i="5" s="1"/>
  <c r="BJ1238" i="5"/>
  <c r="AI1236" i="5"/>
  <c r="AE1236" i="5"/>
  <c r="AF1234" i="5"/>
  <c r="AL1230" i="5"/>
  <c r="AM1230" i="5"/>
  <c r="BJ1226" i="5"/>
  <c r="J1223" i="5"/>
  <c r="BK1216" i="5"/>
  <c r="AG1208" i="5"/>
  <c r="BJ1206" i="5"/>
  <c r="BK1204" i="5"/>
  <c r="J1200" i="5"/>
  <c r="AZ1200" i="5"/>
  <c r="BK1172" i="5"/>
  <c r="J1168" i="5"/>
  <c r="AZ1168" i="5"/>
  <c r="AL1131" i="5"/>
  <c r="M1048" i="5"/>
  <c r="BH1049" i="5"/>
  <c r="L42" i="4" s="1"/>
  <c r="AH1210" i="5"/>
  <c r="AH1202" i="5"/>
  <c r="AH1194" i="5"/>
  <c r="AH1186" i="5"/>
  <c r="AH1178" i="5"/>
  <c r="AH1170" i="5"/>
  <c r="AH1162" i="5"/>
  <c r="AZ1149" i="5"/>
  <c r="AY1141" i="5"/>
  <c r="AZ1137" i="5"/>
  <c r="BE1137" i="5" s="1"/>
  <c r="AM1125" i="5"/>
  <c r="AN1125" i="5"/>
  <c r="M1118" i="5"/>
  <c r="AI1106" i="5"/>
  <c r="AN1079" i="5"/>
  <c r="AW1078" i="5" s="1"/>
  <c r="K1078" i="5"/>
  <c r="P1078" i="5" s="1"/>
  <c r="AL1079" i="5"/>
  <c r="AU1078" i="5" s="1"/>
  <c r="AZ1061" i="5"/>
  <c r="BE1058" i="5"/>
  <c r="I1053" i="5"/>
  <c r="AY1053" i="5"/>
  <c r="I1049" i="5"/>
  <c r="AJ1038" i="5"/>
  <c r="AB1038" i="5"/>
  <c r="BE1036" i="5"/>
  <c r="AX1036" i="5"/>
  <c r="I1024" i="5"/>
  <c r="AI911" i="5"/>
  <c r="AE911" i="5"/>
  <c r="AG911" i="5"/>
  <c r="AI899" i="5"/>
  <c r="AE899" i="5"/>
  <c r="AG899" i="5"/>
  <c r="AZ1145" i="5"/>
  <c r="AM1133" i="5"/>
  <c r="AN1133" i="5"/>
  <c r="AL1116" i="5"/>
  <c r="AU1115" i="5" s="1"/>
  <c r="AM1116" i="5"/>
  <c r="AV1115" i="5" s="1"/>
  <c r="AZ1109" i="5"/>
  <c r="AX1109" i="5" s="1"/>
  <c r="M1108" i="5"/>
  <c r="I1061" i="5"/>
  <c r="I1060" i="5" s="1"/>
  <c r="AJ1051" i="5"/>
  <c r="AB1051" i="5"/>
  <c r="J1046" i="5"/>
  <c r="AJ1003" i="5"/>
  <c r="AB1003" i="5"/>
  <c r="AD995" i="5"/>
  <c r="AF995" i="5"/>
  <c r="AH995" i="5"/>
  <c r="BH983" i="5"/>
  <c r="M982" i="5"/>
  <c r="AI970" i="5"/>
  <c r="AG970" i="5"/>
  <c r="J952" i="5"/>
  <c r="AZ952" i="5"/>
  <c r="BK952" i="5"/>
  <c r="AD941" i="5"/>
  <c r="AH941" i="5"/>
  <c r="AF1202" i="5"/>
  <c r="AF1186" i="5"/>
  <c r="AF1170" i="5"/>
  <c r="AM1141" i="5"/>
  <c r="AN1141" i="5"/>
  <c r="AH1125" i="5"/>
  <c r="AD1125" i="5"/>
  <c r="AD1121" i="5"/>
  <c r="AH1121" i="5"/>
  <c r="AN1119" i="5"/>
  <c r="K1118" i="5"/>
  <c r="AL1119" i="5"/>
  <c r="AN1103" i="5"/>
  <c r="AL1103" i="5"/>
  <c r="AU1100" i="5" s="1"/>
  <c r="AJ1094" i="5"/>
  <c r="AB1094" i="5"/>
  <c r="J44" i="4"/>
  <c r="J16" i="3"/>
  <c r="J1058" i="5"/>
  <c r="AI1027" i="5"/>
  <c r="AE1027" i="5"/>
  <c r="AN1020" i="5"/>
  <c r="AL1020" i="5"/>
  <c r="AL1012" i="5"/>
  <c r="AM1012" i="5"/>
  <c r="AN1012" i="5"/>
  <c r="AI1006" i="5"/>
  <c r="AE1006" i="5"/>
  <c r="AG1006" i="5"/>
  <c r="AB1082" i="5"/>
  <c r="AJ1079" i="5"/>
  <c r="AB1079" i="5"/>
  <c r="AM1079" i="5"/>
  <c r="AV1078" i="5" s="1"/>
  <c r="I1073" i="5"/>
  <c r="I1072" i="5" s="1"/>
  <c r="AY1073" i="5"/>
  <c r="BJ1053" i="5"/>
  <c r="AL1044" i="5"/>
  <c r="AU1043" i="5" s="1"/>
  <c r="AM1044" i="5"/>
  <c r="AV1043" i="5" s="1"/>
  <c r="AG1027" i="5"/>
  <c r="BJ1025" i="5"/>
  <c r="I1018" i="5"/>
  <c r="AY1018" i="5"/>
  <c r="AN991" i="5"/>
  <c r="AL991" i="5"/>
  <c r="AM991" i="5"/>
  <c r="K982" i="5"/>
  <c r="P982" i="5" s="1"/>
  <c r="AE970" i="5"/>
  <c r="M937" i="5"/>
  <c r="BH962" i="5"/>
  <c r="AJ894" i="5"/>
  <c r="AB894" i="5"/>
  <c r="BK1149" i="5"/>
  <c r="BK1145" i="5"/>
  <c r="BJ1137" i="5"/>
  <c r="I1137" i="5"/>
  <c r="AI1133" i="5"/>
  <c r="AJ1127" i="5"/>
  <c r="AB1127" i="5"/>
  <c r="BK1119" i="5"/>
  <c r="AM1119" i="5"/>
  <c r="K1115" i="5"/>
  <c r="AJ1103" i="5"/>
  <c r="AB1103" i="5"/>
  <c r="AM1103" i="5"/>
  <c r="L46" i="4"/>
  <c r="L17" i="3"/>
  <c r="J1070" i="5"/>
  <c r="J1069" i="5" s="1"/>
  <c r="AZ1070" i="5"/>
  <c r="AJ1067" i="5"/>
  <c r="AB1067" i="5"/>
  <c r="AD1064" i="5"/>
  <c r="AH1064" i="5"/>
  <c r="AF1064" i="5"/>
  <c r="AL1056" i="5"/>
  <c r="AU1055" i="5" s="1"/>
  <c r="AM1056" i="5"/>
  <c r="AV1055" i="5" s="1"/>
  <c r="AE1049" i="5"/>
  <c r="AI1049" i="5"/>
  <c r="AE1046" i="5"/>
  <c r="AI1046" i="5"/>
  <c r="AD1036" i="5"/>
  <c r="AH1036" i="5"/>
  <c r="AN1033" i="5"/>
  <c r="K1030" i="5"/>
  <c r="V1030" i="5" s="1"/>
  <c r="AL1033" i="5"/>
  <c r="AU1030" i="5" s="1"/>
  <c r="AB1016" i="5"/>
  <c r="AJ1016" i="5"/>
  <c r="AI1014" i="5"/>
  <c r="AE1014" i="5"/>
  <c r="AG1014" i="5"/>
  <c r="BE789" i="5"/>
  <c r="AX789" i="5"/>
  <c r="AN1160" i="5"/>
  <c r="AI1158" i="5"/>
  <c r="AE1158" i="5"/>
  <c r="AB1139" i="5"/>
  <c r="AJ1135" i="5"/>
  <c r="AB1135" i="5"/>
  <c r="BK1109" i="5"/>
  <c r="BK1103" i="5"/>
  <c r="AM1101" i="5"/>
  <c r="AN1101" i="5"/>
  <c r="K1089" i="5"/>
  <c r="K1088" i="5" s="1"/>
  <c r="P1088" i="5" s="1"/>
  <c r="AL1090" i="5"/>
  <c r="AU1089" i="5" s="1"/>
  <c r="AM1090" i="5"/>
  <c r="AV1089" i="5" s="1"/>
  <c r="M1085" i="5"/>
  <c r="M1084" i="5" s="1"/>
  <c r="M1072" i="5"/>
  <c r="BK1061" i="5"/>
  <c r="BK1058" i="5"/>
  <c r="AN1056" i="5"/>
  <c r="BJ1049" i="5"/>
  <c r="J1027" i="5"/>
  <c r="AZ1027" i="5"/>
  <c r="K1024" i="5"/>
  <c r="V1024" i="5" s="1"/>
  <c r="AL1025" i="5"/>
  <c r="AU1024" i="5" s="1"/>
  <c r="AM1025" i="5"/>
  <c r="AV1024" i="5" s="1"/>
  <c r="AN1025" i="5"/>
  <c r="AW1024" i="5" s="1"/>
  <c r="AM1020" i="5"/>
  <c r="AL976" i="5"/>
  <c r="AM976" i="5"/>
  <c r="AN976" i="5"/>
  <c r="AJ964" i="5"/>
  <c r="AB964" i="5"/>
  <c r="AE951" i="5"/>
  <c r="AI951" i="5"/>
  <c r="AE929" i="5"/>
  <c r="AI929" i="5"/>
  <c r="AG929" i="5"/>
  <c r="J919" i="5"/>
  <c r="AZ919" i="5"/>
  <c r="BE919" i="5" s="1"/>
  <c r="BK919" i="5"/>
  <c r="J899" i="5"/>
  <c r="AZ899" i="5"/>
  <c r="AE866" i="5"/>
  <c r="AG866" i="5"/>
  <c r="AI866" i="5"/>
  <c r="AG1111" i="5"/>
  <c r="AF1098" i="5"/>
  <c r="AN1073" i="5"/>
  <c r="AW1072" i="5" s="1"/>
  <c r="AF1070" i="5"/>
  <c r="AG1067" i="5"/>
  <c r="AN1053" i="5"/>
  <c r="AG1051" i="5"/>
  <c r="AN1040" i="5"/>
  <c r="AB1033" i="5"/>
  <c r="AN1031" i="5"/>
  <c r="AF1027" i="5"/>
  <c r="AB1020" i="5"/>
  <c r="AN1018" i="5"/>
  <c r="J1014" i="5"/>
  <c r="AZ1014" i="5"/>
  <c r="J1006" i="5"/>
  <c r="AZ1006" i="5"/>
  <c r="AJ995" i="5"/>
  <c r="AB995" i="5"/>
  <c r="AY995" i="5"/>
  <c r="I995" i="5"/>
  <c r="AN983" i="5"/>
  <c r="AL983" i="5"/>
  <c r="AZ976" i="5"/>
  <c r="J976" i="5"/>
  <c r="AM974" i="5"/>
  <c r="AN974" i="5"/>
  <c r="AG958" i="5"/>
  <c r="AD951" i="5"/>
  <c r="AH951" i="5"/>
  <c r="AH933" i="5"/>
  <c r="AD933" i="5"/>
  <c r="AJ931" i="5"/>
  <c r="AB931" i="5"/>
  <c r="AE888" i="5"/>
  <c r="AI888" i="5"/>
  <c r="AE876" i="5"/>
  <c r="AI876" i="5"/>
  <c r="BE818" i="5"/>
  <c r="AX818" i="5"/>
  <c r="AD769" i="5"/>
  <c r="AF769" i="5"/>
  <c r="AH769" i="5"/>
  <c r="AJ765" i="5"/>
  <c r="AB765" i="5"/>
  <c r="AB730" i="5"/>
  <c r="AJ730" i="5"/>
  <c r="AH1022" i="5"/>
  <c r="AZ1020" i="5"/>
  <c r="BE1020" i="5" s="1"/>
  <c r="AN1016" i="5"/>
  <c r="AY1012" i="5"/>
  <c r="AN1008" i="5"/>
  <c r="AE985" i="5"/>
  <c r="AI985" i="5"/>
  <c r="AG967" i="5"/>
  <c r="AD958" i="5"/>
  <c r="AH958" i="5"/>
  <c r="J944" i="5"/>
  <c r="AZ944" i="5"/>
  <c r="AL941" i="5"/>
  <c r="AM941" i="5"/>
  <c r="AN941" i="5"/>
  <c r="AH924" i="5"/>
  <c r="AD924" i="5"/>
  <c r="AJ921" i="5"/>
  <c r="AB921" i="5"/>
  <c r="AD908" i="5"/>
  <c r="AH908" i="5"/>
  <c r="AB905" i="5"/>
  <c r="AZ863" i="5"/>
  <c r="J863" i="5"/>
  <c r="BK863" i="5"/>
  <c r="AM860" i="5"/>
  <c r="AN860" i="5"/>
  <c r="AJ850" i="5"/>
  <c r="AB850" i="5"/>
  <c r="AD829" i="5"/>
  <c r="AH829" i="5"/>
  <c r="AM826" i="5"/>
  <c r="AN826" i="5"/>
  <c r="AD804" i="5"/>
  <c r="AH804" i="5"/>
  <c r="AF804" i="5"/>
  <c r="AE801" i="5"/>
  <c r="AI801" i="5"/>
  <c r="I798" i="5"/>
  <c r="I795" i="5" s="1"/>
  <c r="AY798" i="5"/>
  <c r="I1012" i="5"/>
  <c r="AE1001" i="5"/>
  <c r="AI1001" i="5"/>
  <c r="AE993" i="5"/>
  <c r="AI993" i="5"/>
  <c r="I989" i="5"/>
  <c r="AY989" i="5"/>
  <c r="AG976" i="5"/>
  <c r="J960" i="5"/>
  <c r="AZ960" i="5"/>
  <c r="BE956" i="5"/>
  <c r="AL951" i="5"/>
  <c r="AM951" i="5"/>
  <c r="AN951" i="5"/>
  <c r="AZ941" i="5"/>
  <c r="J941" i="5"/>
  <c r="AL908" i="5"/>
  <c r="AM908" i="5"/>
  <c r="AN908" i="5"/>
  <c r="J890" i="5"/>
  <c r="AZ890" i="5"/>
  <c r="AE779" i="5"/>
  <c r="AI779" i="5"/>
  <c r="AG779" i="5"/>
  <c r="AG774" i="5"/>
  <c r="AI774" i="5"/>
  <c r="AH562" i="5"/>
  <c r="AD562" i="5"/>
  <c r="AF562" i="5"/>
  <c r="J554" i="5"/>
  <c r="AZ554" i="5"/>
  <c r="BK554" i="5"/>
  <c r="AF1082" i="5"/>
  <c r="AG1079" i="5"/>
  <c r="AM1010" i="5"/>
  <c r="AN1010" i="5"/>
  <c r="AN999" i="5"/>
  <c r="AL999" i="5"/>
  <c r="AD976" i="5"/>
  <c r="AH976" i="5"/>
  <c r="J970" i="5"/>
  <c r="AZ970" i="5"/>
  <c r="AL958" i="5"/>
  <c r="AM958" i="5"/>
  <c r="AN958" i="5"/>
  <c r="AZ951" i="5"/>
  <c r="BE951" i="5" s="1"/>
  <c r="J951" i="5"/>
  <c r="AM949" i="5"/>
  <c r="AN949" i="5"/>
  <c r="AN935" i="5"/>
  <c r="AL935" i="5"/>
  <c r="J911" i="5"/>
  <c r="AZ911" i="5"/>
  <c r="AX902" i="5"/>
  <c r="AD896" i="5"/>
  <c r="AH896" i="5"/>
  <c r="I876" i="5"/>
  <c r="BJ876" i="5"/>
  <c r="AH831" i="5"/>
  <c r="AD831" i="5"/>
  <c r="BE829" i="5"/>
  <c r="AX829" i="5"/>
  <c r="BK730" i="5"/>
  <c r="AZ730" i="5"/>
  <c r="J730" i="5"/>
  <c r="AL706" i="5"/>
  <c r="AU705" i="5" s="1"/>
  <c r="AN706" i="5"/>
  <c r="AW705" i="5" s="1"/>
  <c r="K705" i="5"/>
  <c r="I633" i="5"/>
  <c r="BJ633" i="5"/>
  <c r="AY633" i="5"/>
  <c r="AM1109" i="5"/>
  <c r="AN1106" i="5"/>
  <c r="AW1105" i="5" s="1"/>
  <c r="AB1090" i="5"/>
  <c r="AN1082" i="5"/>
  <c r="AW1081" i="5" s="1"/>
  <c r="AB1064" i="5"/>
  <c r="AM1061" i="5"/>
  <c r="AV1060" i="5" s="1"/>
  <c r="AN1058" i="5"/>
  <c r="AM1049" i="5"/>
  <c r="AV1048" i="5" s="1"/>
  <c r="AN1046" i="5"/>
  <c r="AW1043" i="5" s="1"/>
  <c r="AM1036" i="5"/>
  <c r="AV1030" i="5" s="1"/>
  <c r="AB1025" i="5"/>
  <c r="AM1022" i="5"/>
  <c r="BK1010" i="5"/>
  <c r="J1010" i="5"/>
  <c r="I997" i="5"/>
  <c r="AY997" i="5"/>
  <c r="AL967" i="5"/>
  <c r="AM967" i="5"/>
  <c r="AN967" i="5"/>
  <c r="AZ958" i="5"/>
  <c r="AX958" i="5" s="1"/>
  <c r="J958" i="5"/>
  <c r="AM956" i="5"/>
  <c r="AN956" i="5"/>
  <c r="I933" i="5"/>
  <c r="AY933" i="5"/>
  <c r="AZ929" i="5"/>
  <c r="AN927" i="5"/>
  <c r="AL927" i="5"/>
  <c r="M918" i="5"/>
  <c r="BH919" i="5"/>
  <c r="AY881" i="5"/>
  <c r="I881" i="5"/>
  <c r="BJ881" i="5"/>
  <c r="AY801" i="5"/>
  <c r="BJ801" i="5"/>
  <c r="AL1010" i="5"/>
  <c r="AH1001" i="5"/>
  <c r="AM999" i="5"/>
  <c r="BJ989" i="5"/>
  <c r="AJ987" i="5"/>
  <c r="AB987" i="5"/>
  <c r="AY987" i="5"/>
  <c r="I987" i="5"/>
  <c r="J978" i="5"/>
  <c r="AZ978" i="5"/>
  <c r="BE978" i="5" s="1"/>
  <c r="AB974" i="5"/>
  <c r="AZ967" i="5"/>
  <c r="J967" i="5"/>
  <c r="AM964" i="5"/>
  <c r="AN964" i="5"/>
  <c r="BK960" i="5"/>
  <c r="AG944" i="5"/>
  <c r="BK941" i="5"/>
  <c r="AM935" i="5"/>
  <c r="AV918" i="5" s="1"/>
  <c r="I924" i="5"/>
  <c r="AY924" i="5"/>
  <c r="AB916" i="5"/>
  <c r="AL896" i="5"/>
  <c r="AM896" i="5"/>
  <c r="AN896" i="5"/>
  <c r="BK890" i="5"/>
  <c r="J866" i="5"/>
  <c r="AZ866" i="5"/>
  <c r="AX866" i="5" s="1"/>
  <c r="BJ798" i="5"/>
  <c r="AD1016" i="5"/>
  <c r="AF1014" i="5"/>
  <c r="AD1008" i="5"/>
  <c r="AF1006" i="5"/>
  <c r="AE997" i="5"/>
  <c r="AG995" i="5"/>
  <c r="AE989" i="5"/>
  <c r="AD980" i="5"/>
  <c r="AD972" i="5"/>
  <c r="AF970" i="5"/>
  <c r="AF960" i="5"/>
  <c r="AF952" i="5"/>
  <c r="AF944" i="5"/>
  <c r="K937" i="5"/>
  <c r="P937" i="5" s="1"/>
  <c r="I931" i="5"/>
  <c r="AG921" i="5"/>
  <c r="I921" i="5"/>
  <c r="AF911" i="5"/>
  <c r="J908" i="5"/>
  <c r="AF899" i="5"/>
  <c r="J896" i="5"/>
  <c r="AZ885" i="5"/>
  <c r="AH885" i="5"/>
  <c r="AY863" i="5"/>
  <c r="AG855" i="5"/>
  <c r="BK850" i="5"/>
  <c r="AH850" i="5"/>
  <c r="M839" i="5"/>
  <c r="AJ829" i="5"/>
  <c r="AB829" i="5"/>
  <c r="AI829" i="5"/>
  <c r="AE821" i="5"/>
  <c r="AI821" i="5"/>
  <c r="AG821" i="5"/>
  <c r="AJ818" i="5"/>
  <c r="AB818" i="5"/>
  <c r="M803" i="5"/>
  <c r="AJ798" i="5"/>
  <c r="AB798" i="5"/>
  <c r="AJ789" i="5"/>
  <c r="AB789" i="5"/>
  <c r="AD779" i="5"/>
  <c r="AH779" i="5"/>
  <c r="AM772" i="5"/>
  <c r="I736" i="5"/>
  <c r="BJ736" i="5"/>
  <c r="AY736" i="5"/>
  <c r="AE726" i="5"/>
  <c r="AG726" i="5"/>
  <c r="AG721" i="5"/>
  <c r="AE721" i="5"/>
  <c r="AI721" i="5"/>
  <c r="AI688" i="5"/>
  <c r="AG688" i="5"/>
  <c r="AG908" i="5"/>
  <c r="AB876" i="5"/>
  <c r="AM845" i="5"/>
  <c r="AN845" i="5"/>
  <c r="K839" i="5"/>
  <c r="P839" i="5" s="1"/>
  <c r="I835" i="5"/>
  <c r="I834" i="5" s="1"/>
  <c r="AY835" i="5"/>
  <c r="AG831" i="5"/>
  <c r="AI816" i="5"/>
  <c r="I812" i="5"/>
  <c r="AY812" i="5"/>
  <c r="J810" i="5"/>
  <c r="AL808" i="5"/>
  <c r="AM808" i="5"/>
  <c r="AN808" i="5"/>
  <c r="AD791" i="5"/>
  <c r="AH791" i="5"/>
  <c r="AI787" i="5"/>
  <c r="I782" i="5"/>
  <c r="AY782" i="5"/>
  <c r="K781" i="5"/>
  <c r="P781" i="5" s="1"/>
  <c r="AH772" i="5"/>
  <c r="AF772" i="5"/>
  <c r="L37" i="4"/>
  <c r="AI726" i="5"/>
  <c r="M720" i="5"/>
  <c r="BH721" i="5"/>
  <c r="AH706" i="5"/>
  <c r="AF706" i="5"/>
  <c r="AD706" i="5"/>
  <c r="AZ671" i="5"/>
  <c r="J671" i="5"/>
  <c r="J668" i="5" s="1"/>
  <c r="BK671" i="5"/>
  <c r="AB885" i="5"/>
  <c r="AN876" i="5"/>
  <c r="AM876" i="5"/>
  <c r="AN863" i="5"/>
  <c r="AM863" i="5"/>
  <c r="AD855" i="5"/>
  <c r="AE831" i="5"/>
  <c r="M820" i="5"/>
  <c r="AG816" i="5"/>
  <c r="AJ810" i="5"/>
  <c r="AB810" i="5"/>
  <c r="J779" i="5"/>
  <c r="J778" i="5" s="1"/>
  <c r="AZ779" i="5"/>
  <c r="AH774" i="5"/>
  <c r="AF774" i="5"/>
  <c r="AM744" i="5"/>
  <c r="AN744" i="5"/>
  <c r="J738" i="5"/>
  <c r="AZ738" i="5"/>
  <c r="BK738" i="5"/>
  <c r="L35" i="4"/>
  <c r="BH726" i="5"/>
  <c r="M723" i="5"/>
  <c r="AX715" i="5"/>
  <c r="BE715" i="5"/>
  <c r="I709" i="5"/>
  <c r="I708" i="5" s="1"/>
  <c r="AY709" i="5"/>
  <c r="AJ652" i="5"/>
  <c r="AB652" i="5"/>
  <c r="AH1016" i="5"/>
  <c r="AH1008" i="5"/>
  <c r="AG999" i="5"/>
  <c r="AI997" i="5"/>
  <c r="AI989" i="5"/>
  <c r="AG983" i="5"/>
  <c r="AH980" i="5"/>
  <c r="AH972" i="5"/>
  <c r="AF964" i="5"/>
  <c r="AH962" i="5"/>
  <c r="AH954" i="5"/>
  <c r="AF949" i="5"/>
  <c r="AH947" i="5"/>
  <c r="AF938" i="5"/>
  <c r="AI933" i="5"/>
  <c r="AN929" i="5"/>
  <c r="AG927" i="5"/>
  <c r="AI924" i="5"/>
  <c r="AN919" i="5"/>
  <c r="AF916" i="5"/>
  <c r="AH914" i="5"/>
  <c r="AH902" i="5"/>
  <c r="AH892" i="5"/>
  <c r="AF888" i="5"/>
  <c r="BK885" i="5"/>
  <c r="AB879" i="5"/>
  <c r="AJ879" i="5"/>
  <c r="J876" i="5"/>
  <c r="AL863" i="5"/>
  <c r="J855" i="5"/>
  <c r="AZ855" i="5"/>
  <c r="AN850" i="5"/>
  <c r="AL850" i="5"/>
  <c r="AM850" i="5"/>
  <c r="BJ835" i="5"/>
  <c r="J821" i="5"/>
  <c r="AZ821" i="5"/>
  <c r="AX821" i="5" s="1"/>
  <c r="AZ816" i="5"/>
  <c r="BJ812" i="5"/>
  <c r="BK810" i="5"/>
  <c r="BK808" i="5"/>
  <c r="I804" i="5"/>
  <c r="AY804" i="5"/>
  <c r="K803" i="5"/>
  <c r="AN798" i="5"/>
  <c r="AL798" i="5"/>
  <c r="AU795" i="5" s="1"/>
  <c r="AM798" i="5"/>
  <c r="AV795" i="5" s="1"/>
  <c r="BJ782" i="5"/>
  <c r="I779" i="5"/>
  <c r="I778" i="5" s="1"/>
  <c r="AY779" i="5"/>
  <c r="AD774" i="5"/>
  <c r="AM769" i="5"/>
  <c r="AL769" i="5"/>
  <c r="AU768" i="5" s="1"/>
  <c r="I765" i="5"/>
  <c r="I756" i="5" s="1"/>
  <c r="BJ765" i="5"/>
  <c r="AB763" i="5"/>
  <c r="AJ763" i="5"/>
  <c r="AB736" i="5"/>
  <c r="AJ718" i="5"/>
  <c r="AB718" i="5"/>
  <c r="J648" i="5"/>
  <c r="AZ648" i="5"/>
  <c r="BE648" i="5" s="1"/>
  <c r="BK648" i="5"/>
  <c r="AB1012" i="5"/>
  <c r="AN938" i="5"/>
  <c r="AN916" i="5"/>
  <c r="AN905" i="5"/>
  <c r="AN894" i="5"/>
  <c r="AN885" i="5"/>
  <c r="AM885" i="5"/>
  <c r="BK879" i="5"/>
  <c r="BJ863" i="5"/>
  <c r="J850" i="5"/>
  <c r="J831" i="5"/>
  <c r="AZ831" i="5"/>
  <c r="AN829" i="5"/>
  <c r="AL829" i="5"/>
  <c r="AM829" i="5"/>
  <c r="I821" i="5"/>
  <c r="M781" i="5"/>
  <c r="I769" i="5"/>
  <c r="AY769" i="5"/>
  <c r="AF754" i="5"/>
  <c r="AH754" i="5"/>
  <c r="M733" i="5"/>
  <c r="AE728" i="5"/>
  <c r="AI728" i="5"/>
  <c r="AJ724" i="5"/>
  <c r="AB724" i="5"/>
  <c r="I715" i="5"/>
  <c r="I714" i="5" s="1"/>
  <c r="BJ715" i="5"/>
  <c r="AJ633" i="5"/>
  <c r="AB633" i="5"/>
  <c r="AD493" i="5"/>
  <c r="AH493" i="5"/>
  <c r="AD369" i="5"/>
  <c r="AH369" i="5"/>
  <c r="AF369" i="5"/>
  <c r="AB888" i="5"/>
  <c r="AJ888" i="5"/>
  <c r="AE881" i="5"/>
  <c r="I855" i="5"/>
  <c r="J829" i="5"/>
  <c r="J818" i="5"/>
  <c r="AL816" i="5"/>
  <c r="AM816" i="5"/>
  <c r="AN816" i="5"/>
  <c r="J801" i="5"/>
  <c r="AZ801" i="5"/>
  <c r="I791" i="5"/>
  <c r="AY791" i="5"/>
  <c r="J789" i="5"/>
  <c r="AL787" i="5"/>
  <c r="AM787" i="5"/>
  <c r="AV781" i="5" s="1"/>
  <c r="AN787" i="5"/>
  <c r="AY774" i="5"/>
  <c r="I774" i="5"/>
  <c r="AN769" i="5"/>
  <c r="K768" i="5"/>
  <c r="P768" i="5" s="1"/>
  <c r="AL744" i="5"/>
  <c r="AU733" i="5" s="1"/>
  <c r="AV723" i="5"/>
  <c r="BJ709" i="5"/>
  <c r="AE655" i="5"/>
  <c r="AI655" i="5"/>
  <c r="AH868" i="5"/>
  <c r="AJ866" i="5"/>
  <c r="AH857" i="5"/>
  <c r="AJ855" i="5"/>
  <c r="AH840" i="5"/>
  <c r="AI835" i="5"/>
  <c r="AJ831" i="5"/>
  <c r="AH823" i="5"/>
  <c r="AJ821" i="5"/>
  <c r="K820" i="5"/>
  <c r="P820" i="5" s="1"/>
  <c r="AL818" i="5"/>
  <c r="AI812" i="5"/>
  <c r="AL810" i="5"/>
  <c r="AI804" i="5"/>
  <c r="AJ801" i="5"/>
  <c r="AI791" i="5"/>
  <c r="AL789" i="5"/>
  <c r="AI782" i="5"/>
  <c r="AI776" i="5"/>
  <c r="J776" i="5"/>
  <c r="AZ774" i="5"/>
  <c r="I772" i="5"/>
  <c r="AD757" i="5"/>
  <c r="AN738" i="5"/>
  <c r="AG736" i="5"/>
  <c r="AF734" i="5"/>
  <c r="AJ728" i="5"/>
  <c r="J728" i="5"/>
  <c r="AY726" i="5"/>
  <c r="AF726" i="5"/>
  <c r="AY721" i="5"/>
  <c r="AF721" i="5"/>
  <c r="I718" i="5"/>
  <c r="I717" i="5" s="1"/>
  <c r="AN715" i="5"/>
  <c r="AW714" i="5" s="1"/>
  <c r="K714" i="5"/>
  <c r="U714" i="5" s="1"/>
  <c r="AY706" i="5"/>
  <c r="AZ697" i="5"/>
  <c r="AB685" i="5"/>
  <c r="AJ680" i="5"/>
  <c r="AB680" i="5"/>
  <c r="J674" i="5"/>
  <c r="AZ674" i="5"/>
  <c r="M673" i="5"/>
  <c r="BH650" i="5"/>
  <c r="BJ646" i="5"/>
  <c r="AM640" i="5"/>
  <c r="J635" i="5"/>
  <c r="AZ635" i="5"/>
  <c r="AX635" i="5" s="1"/>
  <c r="AD601" i="5"/>
  <c r="AH601" i="5"/>
  <c r="AJ559" i="5"/>
  <c r="AB559" i="5"/>
  <c r="AD525" i="5"/>
  <c r="AH525" i="5"/>
  <c r="J425" i="5"/>
  <c r="BK425" i="5"/>
  <c r="AZ425" i="5"/>
  <c r="AF814" i="5"/>
  <c r="AF806" i="5"/>
  <c r="AN796" i="5"/>
  <c r="AF793" i="5"/>
  <c r="AF785" i="5"/>
  <c r="M756" i="5"/>
  <c r="M747" i="5"/>
  <c r="AY744" i="5"/>
  <c r="AH744" i="5"/>
  <c r="K733" i="5"/>
  <c r="P733" i="5" s="1"/>
  <c r="AZ728" i="5"/>
  <c r="AD726" i="5"/>
  <c r="K720" i="5"/>
  <c r="U720" i="5" s="1"/>
  <c r="AH700" i="5"/>
  <c r="M696" i="5"/>
  <c r="BH697" i="5"/>
  <c r="I685" i="5"/>
  <c r="I684" i="5" s="1"/>
  <c r="AY685" i="5"/>
  <c r="AI682" i="5"/>
  <c r="AE682" i="5"/>
  <c r="AG682" i="5"/>
  <c r="K673" i="5"/>
  <c r="P673" i="5" s="1"/>
  <c r="BK669" i="5"/>
  <c r="K654" i="5"/>
  <c r="U654" i="5" s="1"/>
  <c r="BJ648" i="5"/>
  <c r="AJ629" i="5"/>
  <c r="BE623" i="5"/>
  <c r="J616" i="5"/>
  <c r="AZ616" i="5"/>
  <c r="BK616" i="5"/>
  <c r="AD613" i="5"/>
  <c r="AH613" i="5"/>
  <c r="AZ599" i="5"/>
  <c r="AX599" i="5" s="1"/>
  <c r="BK599" i="5"/>
  <c r="AD592" i="5"/>
  <c r="AI559" i="5"/>
  <c r="AE559" i="5"/>
  <c r="AJ507" i="5"/>
  <c r="AB507" i="5"/>
  <c r="AI278" i="5"/>
  <c r="AG278" i="5"/>
  <c r="BK772" i="5"/>
  <c r="BK760" i="5"/>
  <c r="BK754" i="5"/>
  <c r="AB754" i="5"/>
  <c r="BH748" i="5"/>
  <c r="L36" i="4" s="1"/>
  <c r="AF744" i="5"/>
  <c r="K723" i="5"/>
  <c r="AD721" i="5"/>
  <c r="AB709" i="5"/>
  <c r="M705" i="5"/>
  <c r="BH706" i="5"/>
  <c r="BK703" i="5"/>
  <c r="AF700" i="5"/>
  <c r="AL697" i="5"/>
  <c r="AU696" i="5" s="1"/>
  <c r="AN697" i="5"/>
  <c r="AW696" i="5" s="1"/>
  <c r="BJ682" i="5"/>
  <c r="AH680" i="5"/>
  <c r="I674" i="5"/>
  <c r="AI643" i="5"/>
  <c r="I635" i="5"/>
  <c r="AH592" i="5"/>
  <c r="AZ586" i="5"/>
  <c r="BK586" i="5"/>
  <c r="AH509" i="5"/>
  <c r="AD509" i="5"/>
  <c r="AF509" i="5"/>
  <c r="AB471" i="5"/>
  <c r="AJ471" i="5"/>
  <c r="K708" i="5"/>
  <c r="P708" i="5" s="1"/>
  <c r="AM709" i="5"/>
  <c r="AV708" i="5" s="1"/>
  <c r="AB700" i="5"/>
  <c r="AY682" i="5"/>
  <c r="AZ669" i="5"/>
  <c r="M668" i="5"/>
  <c r="BH669" i="5"/>
  <c r="K645" i="5"/>
  <c r="U645" i="5" s="1"/>
  <c r="AL646" i="5"/>
  <c r="AU645" i="5" s="1"/>
  <c r="AM646" i="5"/>
  <c r="AV645" i="5" s="1"/>
  <c r="AN646" i="5"/>
  <c r="AD546" i="5"/>
  <c r="AI496" i="5"/>
  <c r="AE496" i="5"/>
  <c r="AG496" i="5"/>
  <c r="AH474" i="5"/>
  <c r="AD474" i="5"/>
  <c r="AF474" i="5"/>
  <c r="AF818" i="5"/>
  <c r="AF810" i="5"/>
  <c r="AG798" i="5"/>
  <c r="AF789" i="5"/>
  <c r="AN779" i="5"/>
  <c r="AW778" i="5" s="1"/>
  <c r="AB776" i="5"/>
  <c r="AG757" i="5"/>
  <c r="J754" i="5"/>
  <c r="BE748" i="5"/>
  <c r="AF738" i="5"/>
  <c r="AF730" i="5"/>
  <c r="AF724" i="5"/>
  <c r="BJ718" i="5"/>
  <c r="AL709" i="5"/>
  <c r="AU708" i="5" s="1"/>
  <c r="AI706" i="5"/>
  <c r="BK697" i="5"/>
  <c r="K696" i="5"/>
  <c r="P696" i="5" s="1"/>
  <c r="AN691" i="5"/>
  <c r="AW690" i="5" s="1"/>
  <c r="K690" i="5"/>
  <c r="P690" i="5" s="1"/>
  <c r="BH688" i="5"/>
  <c r="AH685" i="5"/>
  <c r="J682" i="5"/>
  <c r="AZ682" i="5"/>
  <c r="AY680" i="5"/>
  <c r="BK674" i="5"/>
  <c r="AF674" i="5"/>
  <c r="AJ671" i="5"/>
  <c r="AB671" i="5"/>
  <c r="AL669" i="5"/>
  <c r="AU668" i="5" s="1"/>
  <c r="AM669" i="5"/>
  <c r="AV668" i="5" s="1"/>
  <c r="AN669" i="5"/>
  <c r="AW668" i="5" s="1"/>
  <c r="I661" i="5"/>
  <c r="AY661" i="5"/>
  <c r="I648" i="5"/>
  <c r="BK635" i="5"/>
  <c r="AF635" i="5"/>
  <c r="AE631" i="5"/>
  <c r="AH631" i="5"/>
  <c r="AM629" i="5"/>
  <c r="AN629" i="5"/>
  <c r="AL629" i="5"/>
  <c r="AY625" i="5"/>
  <c r="BJ625" i="5"/>
  <c r="I625" i="5"/>
  <c r="AL613" i="5"/>
  <c r="AM613" i="5"/>
  <c r="AN613" i="5"/>
  <c r="M609" i="5"/>
  <c r="AE578" i="5"/>
  <c r="AI578" i="5"/>
  <c r="AJ578" i="5"/>
  <c r="AE567" i="5"/>
  <c r="AY536" i="5"/>
  <c r="I536" i="5"/>
  <c r="BJ536" i="5"/>
  <c r="J504" i="5"/>
  <c r="AZ504" i="5"/>
  <c r="AX504" i="5" s="1"/>
  <c r="BK504" i="5"/>
  <c r="K699" i="5"/>
  <c r="P699" i="5" s="1"/>
  <c r="AN700" i="5"/>
  <c r="AW699" i="5" s="1"/>
  <c r="AL680" i="5"/>
  <c r="AM680" i="5"/>
  <c r="AV673" i="5" s="1"/>
  <c r="AN680" i="5"/>
  <c r="M654" i="5"/>
  <c r="BH655" i="5"/>
  <c r="AJ646" i="5"/>
  <c r="AB646" i="5"/>
  <c r="AL643" i="5"/>
  <c r="AU639" i="5" s="1"/>
  <c r="AM643" i="5"/>
  <c r="AN643" i="5"/>
  <c r="AN640" i="5"/>
  <c r="K639" i="5"/>
  <c r="U639" i="5" s="1"/>
  <c r="AD635" i="5"/>
  <c r="AD623" i="5"/>
  <c r="AL599" i="5"/>
  <c r="AM599" i="5"/>
  <c r="AN599" i="5"/>
  <c r="AB586" i="5"/>
  <c r="AJ586" i="5"/>
  <c r="AI527" i="5"/>
  <c r="AE527" i="5"/>
  <c r="AG527" i="5"/>
  <c r="AD517" i="5"/>
  <c r="AH517" i="5"/>
  <c r="AL517" i="5"/>
  <c r="AM517" i="5"/>
  <c r="AN517" i="5"/>
  <c r="K514" i="5"/>
  <c r="AI485" i="5"/>
  <c r="AE485" i="5"/>
  <c r="AG485" i="5"/>
  <c r="AL422" i="5"/>
  <c r="AN422" i="5"/>
  <c r="AM422" i="5"/>
  <c r="AH419" i="5"/>
  <c r="AD419" i="5"/>
  <c r="AH410" i="5"/>
  <c r="AD410" i="5"/>
  <c r="AF410" i="5"/>
  <c r="BK406" i="5"/>
  <c r="J406" i="5"/>
  <c r="AZ406" i="5"/>
  <c r="AX406" i="5" s="1"/>
  <c r="J772" i="5"/>
  <c r="AZ769" i="5"/>
  <c r="BK765" i="5"/>
  <c r="AM765" i="5"/>
  <c r="AV756" i="5" s="1"/>
  <c r="K756" i="5"/>
  <c r="K747" i="5"/>
  <c r="AG741" i="5"/>
  <c r="AY734" i="5"/>
  <c r="AH734" i="5"/>
  <c r="AZ726" i="5"/>
  <c r="AZ721" i="5"/>
  <c r="BK715" i="5"/>
  <c r="AM715" i="5"/>
  <c r="AV714" i="5" s="1"/>
  <c r="AE712" i="5"/>
  <c r="AZ706" i="5"/>
  <c r="AL700" i="5"/>
  <c r="AU699" i="5" s="1"/>
  <c r="AL691" i="5"/>
  <c r="AU690" i="5" s="1"/>
  <c r="AZ688" i="5"/>
  <c r="K668" i="5"/>
  <c r="U668" i="5" s="1"/>
  <c r="AL663" i="5"/>
  <c r="BJ661" i="5"/>
  <c r="AJ658" i="5"/>
  <c r="AB658" i="5"/>
  <c r="AL655" i="5"/>
  <c r="AM655" i="5"/>
  <c r="AV654" i="5" s="1"/>
  <c r="AN655" i="5"/>
  <c r="I639" i="5"/>
  <c r="AI601" i="5"/>
  <c r="AE601" i="5"/>
  <c r="J599" i="5"/>
  <c r="J586" i="5"/>
  <c r="AN574" i="5"/>
  <c r="AL574" i="5"/>
  <c r="AM574" i="5"/>
  <c r="BE551" i="5"/>
  <c r="AX551" i="5"/>
  <c r="AI519" i="5"/>
  <c r="AE519" i="5"/>
  <c r="AG519" i="5"/>
  <c r="AX471" i="5"/>
  <c r="AF466" i="5"/>
  <c r="AH466" i="5"/>
  <c r="AD466" i="5"/>
  <c r="AD452" i="5"/>
  <c r="AF452" i="5"/>
  <c r="AH452" i="5"/>
  <c r="AH697" i="5"/>
  <c r="AY694" i="5"/>
  <c r="AI694" i="5"/>
  <c r="AZ691" i="5"/>
  <c r="AM685" i="5"/>
  <c r="AV684" i="5" s="1"/>
  <c r="AN682" i="5"/>
  <c r="AY678" i="5"/>
  <c r="AI678" i="5"/>
  <c r="BH674" i="5"/>
  <c r="AN674" i="5"/>
  <c r="AH669" i="5"/>
  <c r="AY666" i="5"/>
  <c r="AI666" i="5"/>
  <c r="AZ663" i="5"/>
  <c r="AH655" i="5"/>
  <c r="AY652" i="5"/>
  <c r="AI652" i="5"/>
  <c r="AN648" i="5"/>
  <c r="AH643" i="5"/>
  <c r="AZ640" i="5"/>
  <c r="BE640" i="5" s="1"/>
  <c r="AN635" i="5"/>
  <c r="AE633" i="5"/>
  <c r="J625" i="5"/>
  <c r="AZ625" i="5"/>
  <c r="AY613" i="5"/>
  <c r="AD595" i="5"/>
  <c r="I572" i="5"/>
  <c r="AY572" i="5"/>
  <c r="AL544" i="5"/>
  <c r="AM544" i="5"/>
  <c r="AN544" i="5"/>
  <c r="AD534" i="5"/>
  <c r="AH534" i="5"/>
  <c r="AL525" i="5"/>
  <c r="AM525" i="5"/>
  <c r="AN525" i="5"/>
  <c r="AL493" i="5"/>
  <c r="AM493" i="5"/>
  <c r="AN493" i="5"/>
  <c r="BJ482" i="5"/>
  <c r="AL482" i="5"/>
  <c r="AM482" i="5"/>
  <c r="AN482" i="5"/>
  <c r="K479" i="5"/>
  <c r="P479" i="5" s="1"/>
  <c r="AJ455" i="5"/>
  <c r="AB455" i="5"/>
  <c r="AE441" i="5"/>
  <c r="AI441" i="5"/>
  <c r="AE439" i="5"/>
  <c r="AG439" i="5"/>
  <c r="AI439" i="5"/>
  <c r="AZ306" i="5"/>
  <c r="J306" i="5"/>
  <c r="BK306" i="5"/>
  <c r="I582" i="5"/>
  <c r="AY582" i="5"/>
  <c r="J546" i="5"/>
  <c r="AZ546" i="5"/>
  <c r="AX546" i="5" s="1"/>
  <c r="AI536" i="5"/>
  <c r="AE536" i="5"/>
  <c r="AG536" i="5"/>
  <c r="AL534" i="5"/>
  <c r="AM534" i="5"/>
  <c r="AN534" i="5"/>
  <c r="AG441" i="5"/>
  <c r="M414" i="5"/>
  <c r="BH435" i="5"/>
  <c r="AE422" i="5"/>
  <c r="AI422" i="5"/>
  <c r="AE419" i="5"/>
  <c r="AG419" i="5"/>
  <c r="AI419" i="5"/>
  <c r="I392" i="5"/>
  <c r="BJ392" i="5"/>
  <c r="AY392" i="5"/>
  <c r="AH322" i="5"/>
  <c r="AF322" i="5"/>
  <c r="AF320" i="5"/>
  <c r="AH320" i="5"/>
  <c r="AD320" i="5"/>
  <c r="AI676" i="5"/>
  <c r="AL674" i="5"/>
  <c r="AH663" i="5"/>
  <c r="AI650" i="5"/>
  <c r="AH640" i="5"/>
  <c r="AI637" i="5"/>
  <c r="AL623" i="5"/>
  <c r="AM623" i="5"/>
  <c r="AN623" i="5"/>
  <c r="J613" i="5"/>
  <c r="AX601" i="5"/>
  <c r="AM597" i="5"/>
  <c r="I595" i="5"/>
  <c r="AY595" i="5"/>
  <c r="AL584" i="5"/>
  <c r="BE580" i="5"/>
  <c r="BJ572" i="5"/>
  <c r="AJ570" i="5"/>
  <c r="AB570" i="5"/>
  <c r="AL567" i="5"/>
  <c r="AM567" i="5"/>
  <c r="AN567" i="5"/>
  <c r="I546" i="5"/>
  <c r="AY525" i="5"/>
  <c r="AY493" i="5"/>
  <c r="AY482" i="5"/>
  <c r="M448" i="5"/>
  <c r="BH449" i="5"/>
  <c r="AJ437" i="5"/>
  <c r="AB437" i="5"/>
  <c r="AG422" i="5"/>
  <c r="I410" i="5"/>
  <c r="AY410" i="5"/>
  <c r="AF694" i="5"/>
  <c r="AG691" i="5"/>
  <c r="AF678" i="5"/>
  <c r="AL631" i="5"/>
  <c r="AM631" i="5"/>
  <c r="AN631" i="5"/>
  <c r="J623" i="5"/>
  <c r="AJ613" i="5"/>
  <c r="AB613" i="5"/>
  <c r="I613" i="5"/>
  <c r="AM607" i="5"/>
  <c r="I604" i="5"/>
  <c r="AY604" i="5"/>
  <c r="AL597" i="5"/>
  <c r="BJ582" i="5"/>
  <c r="AJ580" i="5"/>
  <c r="AB580" i="5"/>
  <c r="BE578" i="5"/>
  <c r="BK570" i="5"/>
  <c r="J570" i="5"/>
  <c r="AJ544" i="5"/>
  <c r="AB544" i="5"/>
  <c r="AX534" i="5"/>
  <c r="J519" i="5"/>
  <c r="AZ519" i="5"/>
  <c r="BE519" i="5" s="1"/>
  <c r="AN512" i="5"/>
  <c r="AL512" i="5"/>
  <c r="AU503" i="5" s="1"/>
  <c r="J496" i="5"/>
  <c r="AZ496" i="5"/>
  <c r="AX496" i="5" s="1"/>
  <c r="AI394" i="5"/>
  <c r="AZ371" i="5"/>
  <c r="J371" i="5"/>
  <c r="BK371" i="5"/>
  <c r="J631" i="5"/>
  <c r="AJ623" i="5"/>
  <c r="AB623" i="5"/>
  <c r="AI613" i="5"/>
  <c r="AM610" i="5"/>
  <c r="AN610" i="5"/>
  <c r="AJ592" i="5"/>
  <c r="AB592" i="5"/>
  <c r="BK580" i="5"/>
  <c r="J580" i="5"/>
  <c r="AL578" i="5"/>
  <c r="AM578" i="5"/>
  <c r="AN578" i="5"/>
  <c r="BJ570" i="5"/>
  <c r="I570" i="5"/>
  <c r="M553" i="5"/>
  <c r="BH554" i="5"/>
  <c r="J527" i="5"/>
  <c r="AZ527" i="5"/>
  <c r="I509" i="5"/>
  <c r="AY509" i="5"/>
  <c r="M503" i="5"/>
  <c r="BH504" i="5"/>
  <c r="J485" i="5"/>
  <c r="AZ485" i="5"/>
  <c r="AX485" i="5" s="1"/>
  <c r="AN476" i="5"/>
  <c r="AL476" i="5"/>
  <c r="I474" i="5"/>
  <c r="AY474" i="5"/>
  <c r="AM446" i="5"/>
  <c r="AL446" i="5"/>
  <c r="AN446" i="5"/>
  <c r="AZ633" i="5"/>
  <c r="AJ631" i="5"/>
  <c r="AB631" i="5"/>
  <c r="AG625" i="5"/>
  <c r="BK623" i="5"/>
  <c r="AM621" i="5"/>
  <c r="AN621" i="5"/>
  <c r="BJ604" i="5"/>
  <c r="AJ601" i="5"/>
  <c r="AB601" i="5"/>
  <c r="BK592" i="5"/>
  <c r="J592" i="5"/>
  <c r="AL586" i="5"/>
  <c r="AM586" i="5"/>
  <c r="AN586" i="5"/>
  <c r="BJ580" i="5"/>
  <c r="I580" i="5"/>
  <c r="AJ567" i="5"/>
  <c r="AM565" i="5"/>
  <c r="I562" i="5"/>
  <c r="AY562" i="5"/>
  <c r="BE559" i="5"/>
  <c r="AL554" i="5"/>
  <c r="AM554" i="5"/>
  <c r="AN554" i="5"/>
  <c r="BK546" i="5"/>
  <c r="BJ544" i="5"/>
  <c r="J536" i="5"/>
  <c r="AZ536" i="5"/>
  <c r="AM512" i="5"/>
  <c r="I455" i="5"/>
  <c r="AY455" i="5"/>
  <c r="BJ455" i="5"/>
  <c r="J444" i="5"/>
  <c r="BK444" i="5"/>
  <c r="AZ444" i="5"/>
  <c r="AL441" i="5"/>
  <c r="AN441" i="5"/>
  <c r="AH439" i="5"/>
  <c r="AD439" i="5"/>
  <c r="AF439" i="5"/>
  <c r="AI435" i="5"/>
  <c r="AE435" i="5"/>
  <c r="AH430" i="5"/>
  <c r="AD430" i="5"/>
  <c r="AM427" i="5"/>
  <c r="AL427" i="5"/>
  <c r="AN427" i="5"/>
  <c r="AG345" i="5"/>
  <c r="AI345" i="5"/>
  <c r="AE345" i="5"/>
  <c r="AJ341" i="5"/>
  <c r="AB341" i="5"/>
  <c r="AF519" i="5"/>
  <c r="AF485" i="5"/>
  <c r="AI471" i="5"/>
  <c r="AE471" i="5"/>
  <c r="I466" i="5"/>
  <c r="AY466" i="5"/>
  <c r="AB466" i="5"/>
  <c r="AI461" i="5"/>
  <c r="AE461" i="5"/>
  <c r="AL458" i="5"/>
  <c r="AN458" i="5"/>
  <c r="J439" i="5"/>
  <c r="AZ439" i="5"/>
  <c r="AX439" i="5" s="1"/>
  <c r="AM439" i="5"/>
  <c r="AN439" i="5"/>
  <c r="J432" i="5"/>
  <c r="AZ432" i="5"/>
  <c r="AX432" i="5" s="1"/>
  <c r="J419" i="5"/>
  <c r="AZ419" i="5"/>
  <c r="AM419" i="5"/>
  <c r="AN419" i="5"/>
  <c r="AF398" i="5"/>
  <c r="AZ377" i="5"/>
  <c r="BE377" i="5" s="1"/>
  <c r="J377" i="5"/>
  <c r="AG375" i="5"/>
  <c r="AI375" i="5"/>
  <c r="AI355" i="5"/>
  <c r="AE355" i="5"/>
  <c r="AG355" i="5"/>
  <c r="I284" i="5"/>
  <c r="AY284" i="5"/>
  <c r="BJ284" i="5"/>
  <c r="AG493" i="5"/>
  <c r="AG482" i="5"/>
  <c r="AD471" i="5"/>
  <c r="AI449" i="5"/>
  <c r="AE449" i="5"/>
  <c r="AV448" i="5"/>
  <c r="I439" i="5"/>
  <c r="I419" i="5"/>
  <c r="K414" i="5"/>
  <c r="P414" i="5" s="1"/>
  <c r="AM415" i="5"/>
  <c r="AN415" i="5"/>
  <c r="AJ408" i="5"/>
  <c r="AB408" i="5"/>
  <c r="I408" i="5"/>
  <c r="AY408" i="5"/>
  <c r="AZ402" i="5"/>
  <c r="BE402" i="5" s="1"/>
  <c r="J402" i="5"/>
  <c r="AB388" i="5"/>
  <c r="AJ388" i="5"/>
  <c r="BK386" i="5"/>
  <c r="AZ386" i="5"/>
  <c r="J386" i="5"/>
  <c r="AZ379" i="5"/>
  <c r="AX379" i="5" s="1"/>
  <c r="BK379" i="5"/>
  <c r="I377" i="5"/>
  <c r="BJ377" i="5"/>
  <c r="AL369" i="5"/>
  <c r="AM369" i="5"/>
  <c r="AH355" i="5"/>
  <c r="AF355" i="5"/>
  <c r="AZ353" i="5"/>
  <c r="BE353" i="5" s="1"/>
  <c r="J353" i="5"/>
  <c r="BK353" i="5"/>
  <c r="AB345" i="5"/>
  <c r="AJ345" i="5"/>
  <c r="AB327" i="5"/>
  <c r="AJ327" i="5"/>
  <c r="AF220" i="5"/>
  <c r="AH220" i="5"/>
  <c r="AI627" i="5"/>
  <c r="AB625" i="5"/>
  <c r="AI618" i="5"/>
  <c r="AB616" i="5"/>
  <c r="AG610" i="5"/>
  <c r="AH607" i="5"/>
  <c r="AH597" i="5"/>
  <c r="AH584" i="5"/>
  <c r="AH574" i="5"/>
  <c r="AH565" i="5"/>
  <c r="AY549" i="5"/>
  <c r="AI549" i="5"/>
  <c r="AB546" i="5"/>
  <c r="AI539" i="5"/>
  <c r="AB536" i="5"/>
  <c r="AI529" i="5"/>
  <c r="AB527" i="5"/>
  <c r="AI521" i="5"/>
  <c r="AB519" i="5"/>
  <c r="AH512" i="5"/>
  <c r="AI499" i="5"/>
  <c r="AI487" i="5"/>
  <c r="AH476" i="5"/>
  <c r="AY469" i="5"/>
  <c r="AJ449" i="5"/>
  <c r="BK432" i="5"/>
  <c r="AY430" i="5"/>
  <c r="BJ408" i="5"/>
  <c r="AM386" i="5"/>
  <c r="J379" i="5"/>
  <c r="AG377" i="5"/>
  <c r="AY371" i="5"/>
  <c r="BJ371" i="5"/>
  <c r="AB289" i="5"/>
  <c r="AJ289" i="5"/>
  <c r="AH627" i="5"/>
  <c r="AF621" i="5"/>
  <c r="AH618" i="5"/>
  <c r="AI604" i="5"/>
  <c r="AI595" i="5"/>
  <c r="AI582" i="5"/>
  <c r="AI572" i="5"/>
  <c r="AG565" i="5"/>
  <c r="AI562" i="5"/>
  <c r="AH549" i="5"/>
  <c r="AH539" i="5"/>
  <c r="AH529" i="5"/>
  <c r="AH521" i="5"/>
  <c r="AN504" i="5"/>
  <c r="J471" i="5"/>
  <c r="I464" i="5"/>
  <c r="AY464" i="5"/>
  <c r="BJ458" i="5"/>
  <c r="K448" i="5"/>
  <c r="P448" i="5" s="1"/>
  <c r="J441" i="5"/>
  <c r="AZ441" i="5"/>
  <c r="J430" i="5"/>
  <c r="AZ430" i="5"/>
  <c r="AM430" i="5"/>
  <c r="AN430" i="5"/>
  <c r="J422" i="5"/>
  <c r="AZ422" i="5"/>
  <c r="AL415" i="5"/>
  <c r="AL386" i="5"/>
  <c r="AH384" i="5"/>
  <c r="AF384" i="5"/>
  <c r="AB377" i="5"/>
  <c r="AJ377" i="5"/>
  <c r="AE377" i="5"/>
  <c r="AY369" i="5"/>
  <c r="I369" i="5"/>
  <c r="AI363" i="5"/>
  <c r="AE363" i="5"/>
  <c r="AG363" i="5"/>
  <c r="AH347" i="5"/>
  <c r="AH343" i="5"/>
  <c r="AF343" i="5"/>
  <c r="AF329" i="5"/>
  <c r="AH329" i="5"/>
  <c r="AG317" i="5"/>
  <c r="AI317" i="5"/>
  <c r="M294" i="5"/>
  <c r="BH295" i="5"/>
  <c r="L27" i="4" s="1"/>
  <c r="AN551" i="5"/>
  <c r="AN542" i="5"/>
  <c r="AB534" i="5"/>
  <c r="AN531" i="5"/>
  <c r="AB525" i="5"/>
  <c r="AN523" i="5"/>
  <c r="AB517" i="5"/>
  <c r="AN515" i="5"/>
  <c r="AM504" i="5"/>
  <c r="AN501" i="5"/>
  <c r="AB493" i="5"/>
  <c r="AN490" i="5"/>
  <c r="AB482" i="5"/>
  <c r="AN480" i="5"/>
  <c r="I471" i="5"/>
  <c r="I452" i="5"/>
  <c r="AY452" i="5"/>
  <c r="AG449" i="5"/>
  <c r="AL412" i="5"/>
  <c r="AN412" i="5"/>
  <c r="AE402" i="5"/>
  <c r="AG402" i="5"/>
  <c r="AI402" i="5"/>
  <c r="AH400" i="5"/>
  <c r="AF400" i="5"/>
  <c r="J388" i="5"/>
  <c r="BK388" i="5"/>
  <c r="AB386" i="5"/>
  <c r="AJ386" i="5"/>
  <c r="AH363" i="5"/>
  <c r="AF363" i="5"/>
  <c r="AZ361" i="5"/>
  <c r="AX361" i="5" s="1"/>
  <c r="J361" i="5"/>
  <c r="BK361" i="5"/>
  <c r="AL469" i="5"/>
  <c r="AN469" i="5"/>
  <c r="BJ464" i="5"/>
  <c r="BE461" i="5"/>
  <c r="BK430" i="5"/>
  <c r="AL430" i="5"/>
  <c r="AH396" i="5"/>
  <c r="BE388" i="5"/>
  <c r="AN375" i="5"/>
  <c r="AM375" i="5"/>
  <c r="AJ371" i="5"/>
  <c r="AB371" i="5"/>
  <c r="AE369" i="5"/>
  <c r="AG369" i="5"/>
  <c r="AI369" i="5"/>
  <c r="I345" i="5"/>
  <c r="AY345" i="5"/>
  <c r="BJ345" i="5"/>
  <c r="AD327" i="5"/>
  <c r="AF327" i="5"/>
  <c r="AH327" i="5"/>
  <c r="AF406" i="5"/>
  <c r="AL377" i="5"/>
  <c r="AM377" i="5"/>
  <c r="AJ361" i="5"/>
  <c r="AB361" i="5"/>
  <c r="AL361" i="5"/>
  <c r="AM361" i="5"/>
  <c r="AJ353" i="5"/>
  <c r="AB353" i="5"/>
  <c r="AL353" i="5"/>
  <c r="AM353" i="5"/>
  <c r="I291" i="5"/>
  <c r="AY291" i="5"/>
  <c r="AG469" i="5"/>
  <c r="AI466" i="5"/>
  <c r="AI455" i="5"/>
  <c r="AF427" i="5"/>
  <c r="AF415" i="5"/>
  <c r="AG412" i="5"/>
  <c r="BK404" i="5"/>
  <c r="BK396" i="5"/>
  <c r="BJ388" i="5"/>
  <c r="AL388" i="5"/>
  <c r="AM388" i="5"/>
  <c r="AB379" i="5"/>
  <c r="AN361" i="5"/>
  <c r="AG359" i="5"/>
  <c r="AN353" i="5"/>
  <c r="J347" i="5"/>
  <c r="AZ347" i="5"/>
  <c r="AX347" i="5" s="1"/>
  <c r="AD341" i="5"/>
  <c r="AF341" i="5"/>
  <c r="AH341" i="5"/>
  <c r="AH286" i="5"/>
  <c r="AI231" i="5"/>
  <c r="AG231" i="5"/>
  <c r="BJ404" i="5"/>
  <c r="AN404" i="5"/>
  <c r="AL396" i="5"/>
  <c r="AM396" i="5"/>
  <c r="BK390" i="5"/>
  <c r="AB390" i="5"/>
  <c r="BJ379" i="5"/>
  <c r="BJ361" i="5"/>
  <c r="I361" i="5"/>
  <c r="BJ353" i="5"/>
  <c r="I353" i="5"/>
  <c r="AL341" i="5"/>
  <c r="AN341" i="5"/>
  <c r="I339" i="5"/>
  <c r="AY339" i="5"/>
  <c r="BJ339" i="5"/>
  <c r="J331" i="5"/>
  <c r="BK331" i="5"/>
  <c r="AB324" i="5"/>
  <c r="AJ324" i="5"/>
  <c r="M319" i="5"/>
  <c r="AM302" i="5"/>
  <c r="J295" i="5"/>
  <c r="BK295" i="5"/>
  <c r="AB291" i="5"/>
  <c r="AJ291" i="5"/>
  <c r="AL271" i="5"/>
  <c r="K267" i="5"/>
  <c r="P267" i="5" s="1"/>
  <c r="AM271" i="5"/>
  <c r="AI464" i="5"/>
  <c r="AI452" i="5"/>
  <c r="AH441" i="5"/>
  <c r="AF435" i="5"/>
  <c r="AH432" i="5"/>
  <c r="AF425" i="5"/>
  <c r="AH422" i="5"/>
  <c r="AG410" i="5"/>
  <c r="BK398" i="5"/>
  <c r="AJ396" i="5"/>
  <c r="J396" i="5"/>
  <c r="BJ390" i="5"/>
  <c r="I388" i="5"/>
  <c r="J363" i="5"/>
  <c r="AZ363" i="5"/>
  <c r="J355" i="5"/>
  <c r="AZ355" i="5"/>
  <c r="AY331" i="5"/>
  <c r="BJ331" i="5"/>
  <c r="I331" i="5"/>
  <c r="K319" i="5"/>
  <c r="P319" i="5" s="1"/>
  <c r="AL320" i="5"/>
  <c r="AN320" i="5"/>
  <c r="AE302" i="5"/>
  <c r="AG302" i="5"/>
  <c r="AL302" i="5"/>
  <c r="AF286" i="5"/>
  <c r="AL284" i="5"/>
  <c r="AN284" i="5"/>
  <c r="AJ259" i="5"/>
  <c r="AB259" i="5"/>
  <c r="AG351" i="5"/>
  <c r="AM351" i="5"/>
  <c r="AN351" i="5"/>
  <c r="I327" i="5"/>
  <c r="AY327" i="5"/>
  <c r="J310" i="5"/>
  <c r="AZ310" i="5"/>
  <c r="BK310" i="5"/>
  <c r="AD291" i="5"/>
  <c r="AF291" i="5"/>
  <c r="AH291" i="5"/>
  <c r="J390" i="5"/>
  <c r="I379" i="5"/>
  <c r="AM359" i="5"/>
  <c r="AN359" i="5"/>
  <c r="AL351" i="5"/>
  <c r="BK347" i="5"/>
  <c r="I347" i="5"/>
  <c r="I341" i="5"/>
  <c r="AY341" i="5"/>
  <c r="AI322" i="5"/>
  <c r="AJ320" i="5"/>
  <c r="AB320" i="5"/>
  <c r="I320" i="5"/>
  <c r="AY320" i="5"/>
  <c r="AB306" i="5"/>
  <c r="AN271" i="5"/>
  <c r="I240" i="5"/>
  <c r="BJ240" i="5"/>
  <c r="AY240" i="5"/>
  <c r="AZ216" i="5"/>
  <c r="J216" i="5"/>
  <c r="BK216" i="5"/>
  <c r="AZ206" i="5"/>
  <c r="J206" i="5"/>
  <c r="BK206" i="5"/>
  <c r="AL295" i="5"/>
  <c r="AM295" i="5"/>
  <c r="I282" i="5"/>
  <c r="AY282" i="5"/>
  <c r="AJ276" i="5"/>
  <c r="AB276" i="5"/>
  <c r="AF274" i="5"/>
  <c r="AH264" i="5"/>
  <c r="AD264" i="5"/>
  <c r="J257" i="5"/>
  <c r="BK257" i="5"/>
  <c r="AZ257" i="5"/>
  <c r="BE257" i="5" s="1"/>
  <c r="AF226" i="5"/>
  <c r="AM148" i="5"/>
  <c r="AL148" i="5"/>
  <c r="AN148" i="5"/>
  <c r="I313" i="5"/>
  <c r="I312" i="5" s="1"/>
  <c r="AY313" i="5"/>
  <c r="AL310" i="5"/>
  <c r="BJ300" i="5"/>
  <c r="AN295" i="5"/>
  <c r="AL276" i="5"/>
  <c r="AN276" i="5"/>
  <c r="AJ271" i="5"/>
  <c r="AF264" i="5"/>
  <c r="AD246" i="5"/>
  <c r="AH246" i="5"/>
  <c r="AF246" i="5"/>
  <c r="AL209" i="5"/>
  <c r="AM209" i="5"/>
  <c r="AN209" i="5"/>
  <c r="AH31" i="5"/>
  <c r="AD31" i="5"/>
  <c r="AH365" i="5"/>
  <c r="AH357" i="5"/>
  <c r="AH349" i="5"/>
  <c r="AM345" i="5"/>
  <c r="AZ317" i="5"/>
  <c r="AL304" i="5"/>
  <c r="AM304" i="5"/>
  <c r="AL300" i="5"/>
  <c r="BJ282" i="5"/>
  <c r="AF278" i="5"/>
  <c r="BJ276" i="5"/>
  <c r="AM276" i="5"/>
  <c r="AL255" i="5"/>
  <c r="AU245" i="5" s="1"/>
  <c r="K245" i="5"/>
  <c r="Q245" i="5" s="1"/>
  <c r="AM255" i="5"/>
  <c r="AD243" i="5"/>
  <c r="AH243" i="5"/>
  <c r="AF243" i="5"/>
  <c r="M233" i="5"/>
  <c r="BH234" i="5"/>
  <c r="L26" i="4" s="1"/>
  <c r="AH226" i="5"/>
  <c r="AZ220" i="5"/>
  <c r="BK220" i="5"/>
  <c r="AI100" i="5"/>
  <c r="AG100" i="5"/>
  <c r="AE100" i="5"/>
  <c r="M336" i="5"/>
  <c r="AJ329" i="5"/>
  <c r="AB329" i="5"/>
  <c r="BJ313" i="5"/>
  <c r="J302" i="5"/>
  <c r="AZ302" i="5"/>
  <c r="BK298" i="5"/>
  <c r="AB298" i="5"/>
  <c r="K294" i="5"/>
  <c r="Q294" i="5" s="1"/>
  <c r="I274" i="5"/>
  <c r="AY274" i="5"/>
  <c r="AZ255" i="5"/>
  <c r="J255" i="5"/>
  <c r="AJ250" i="5"/>
  <c r="AB250" i="5"/>
  <c r="AI237" i="5"/>
  <c r="AE237" i="5"/>
  <c r="AG237" i="5"/>
  <c r="I234" i="5"/>
  <c r="BJ234" i="5"/>
  <c r="AY234" i="5"/>
  <c r="AJ216" i="5"/>
  <c r="AB216" i="5"/>
  <c r="AH214" i="5"/>
  <c r="AL188" i="5"/>
  <c r="AU184" i="5" s="1"/>
  <c r="AM188" i="5"/>
  <c r="AV184" i="5" s="1"/>
  <c r="AN188" i="5"/>
  <c r="AW184" i="5" s="1"/>
  <c r="AL177" i="5"/>
  <c r="AM177" i="5"/>
  <c r="BK343" i="5"/>
  <c r="AH334" i="5"/>
  <c r="K333" i="5"/>
  <c r="P333" i="5" s="1"/>
  <c r="AM334" i="5"/>
  <c r="AV333" i="5" s="1"/>
  <c r="AL329" i="5"/>
  <c r="AN329" i="5"/>
  <c r="AL317" i="5"/>
  <c r="AU316" i="5" s="1"/>
  <c r="AM317" i="5"/>
  <c r="AV316" i="5" s="1"/>
  <c r="M312" i="5"/>
  <c r="AH308" i="5"/>
  <c r="BK286" i="5"/>
  <c r="I286" i="5"/>
  <c r="AF268" i="5"/>
  <c r="J264" i="5"/>
  <c r="BK264" i="5"/>
  <c r="AH257" i="5"/>
  <c r="AF257" i="5"/>
  <c r="AJ284" i="5"/>
  <c r="AB284" i="5"/>
  <c r="AG255" i="5"/>
  <c r="AI255" i="5"/>
  <c r="AH253" i="5"/>
  <c r="AL240" i="5"/>
  <c r="AU233" i="5" s="1"/>
  <c r="AM240" i="5"/>
  <c r="AV233" i="5" s="1"/>
  <c r="AN240" i="5"/>
  <c r="AL222" i="5"/>
  <c r="AM222" i="5"/>
  <c r="AI212" i="5"/>
  <c r="AG212" i="5"/>
  <c r="L25" i="4"/>
  <c r="M162" i="5"/>
  <c r="BH163" i="5"/>
  <c r="L22" i="4" s="1"/>
  <c r="AI339" i="5"/>
  <c r="AI327" i="5"/>
  <c r="AH317" i="5"/>
  <c r="AI313" i="5"/>
  <c r="AH304" i="5"/>
  <c r="AH295" i="5"/>
  <c r="AI291" i="5"/>
  <c r="AI282" i="5"/>
  <c r="AI274" i="5"/>
  <c r="AJ255" i="5"/>
  <c r="AB255" i="5"/>
  <c r="AZ237" i="5"/>
  <c r="AJ237" i="5"/>
  <c r="BK224" i="5"/>
  <c r="AB224" i="5"/>
  <c r="AH218" i="5"/>
  <c r="AN206" i="5"/>
  <c r="K205" i="5"/>
  <c r="P205" i="5" s="1"/>
  <c r="AJ193" i="5"/>
  <c r="AB193" i="5"/>
  <c r="K192" i="5"/>
  <c r="P192" i="5" s="1"/>
  <c r="AL193" i="5"/>
  <c r="AU192" i="5" s="1"/>
  <c r="M184" i="5"/>
  <c r="BH188" i="5"/>
  <c r="AG339" i="5"/>
  <c r="AG327" i="5"/>
  <c r="AF317" i="5"/>
  <c r="AG313" i="5"/>
  <c r="AF304" i="5"/>
  <c r="AF295" i="5"/>
  <c r="AG291" i="5"/>
  <c r="AG282" i="5"/>
  <c r="AG274" i="5"/>
  <c r="AZ246" i="5"/>
  <c r="BE246" i="5" s="1"/>
  <c r="M245" i="5"/>
  <c r="AH231" i="5"/>
  <c r="AF222" i="5"/>
  <c r="I220" i="5"/>
  <c r="BH196" i="5"/>
  <c r="M195" i="5"/>
  <c r="I188" i="5"/>
  <c r="BJ188" i="5"/>
  <c r="AG177" i="5"/>
  <c r="AI177" i="5"/>
  <c r="AE177" i="5"/>
  <c r="J172" i="5"/>
  <c r="J171" i="5" s="1"/>
  <c r="BK172" i="5"/>
  <c r="AZ172" i="5"/>
  <c r="AM150" i="5"/>
  <c r="AN150" i="5"/>
  <c r="AL150" i="5"/>
  <c r="BH137" i="5"/>
  <c r="L20" i="4" s="1"/>
  <c r="M132" i="5"/>
  <c r="AN65" i="5"/>
  <c r="AM65" i="5"/>
  <c r="AL65" i="5"/>
  <c r="J224" i="5"/>
  <c r="AI209" i="5"/>
  <c r="AF154" i="5"/>
  <c r="AH154" i="5"/>
  <c r="AD154" i="5"/>
  <c r="AG271" i="5"/>
  <c r="M267" i="5"/>
  <c r="AM264" i="5"/>
  <c r="AN264" i="5"/>
  <c r="AM253" i="5"/>
  <c r="AN253" i="5"/>
  <c r="AJ229" i="5"/>
  <c r="AB229" i="5"/>
  <c r="M228" i="5"/>
  <c r="AD222" i="5"/>
  <c r="AL218" i="5"/>
  <c r="AM218" i="5"/>
  <c r="AH209" i="5"/>
  <c r="AL206" i="5"/>
  <c r="J203" i="5"/>
  <c r="J202" i="5" s="1"/>
  <c r="BK203" i="5"/>
  <c r="AG143" i="5"/>
  <c r="AG125" i="5"/>
  <c r="AE125" i="5"/>
  <c r="AI125" i="5"/>
  <c r="AF88" i="5"/>
  <c r="AH88" i="5"/>
  <c r="AL268" i="5"/>
  <c r="AM268" i="5"/>
  <c r="BK253" i="5"/>
  <c r="BK246" i="5"/>
  <c r="BK243" i="5"/>
  <c r="BK229" i="5"/>
  <c r="AW228" i="5"/>
  <c r="K228" i="5"/>
  <c r="P228" i="5" s="1"/>
  <c r="AL229" i="5"/>
  <c r="AU228" i="5" s="1"/>
  <c r="AL226" i="5"/>
  <c r="AM226" i="5"/>
  <c r="AF206" i="5"/>
  <c r="AJ203" i="5"/>
  <c r="AB203" i="5"/>
  <c r="AI196" i="5"/>
  <c r="AG196" i="5"/>
  <c r="J150" i="5"/>
  <c r="AZ150" i="5"/>
  <c r="BE150" i="5" s="1"/>
  <c r="BK150" i="5"/>
  <c r="AE143" i="5"/>
  <c r="BK179" i="5"/>
  <c r="AX177" i="5"/>
  <c r="BJ175" i="5"/>
  <c r="K142" i="5"/>
  <c r="P142" i="5" s="1"/>
  <c r="AL143" i="5"/>
  <c r="AM143" i="5"/>
  <c r="AB137" i="5"/>
  <c r="AJ137" i="5"/>
  <c r="AY128" i="5"/>
  <c r="BJ128" i="5"/>
  <c r="AB125" i="5"/>
  <c r="AE116" i="5"/>
  <c r="J67" i="5"/>
  <c r="BK67" i="5"/>
  <c r="AZ67" i="5"/>
  <c r="BE67" i="5" s="1"/>
  <c r="K202" i="5"/>
  <c r="P202" i="5" s="1"/>
  <c r="AL203" i="5"/>
  <c r="AU202" i="5" s="1"/>
  <c r="AL199" i="5"/>
  <c r="AU195" i="5" s="1"/>
  <c r="AM199" i="5"/>
  <c r="AV195" i="5" s="1"/>
  <c r="BK185" i="5"/>
  <c r="J185" i="5"/>
  <c r="BJ179" i="5"/>
  <c r="I179" i="5"/>
  <c r="AI175" i="5"/>
  <c r="AB163" i="5"/>
  <c r="AJ163" i="5"/>
  <c r="AH163" i="5"/>
  <c r="AM160" i="5"/>
  <c r="AV159" i="5" s="1"/>
  <c r="K159" i="5"/>
  <c r="P159" i="5" s="1"/>
  <c r="AE137" i="5"/>
  <c r="AI137" i="5"/>
  <c r="AF133" i="5"/>
  <c r="AH133" i="5"/>
  <c r="AZ125" i="5"/>
  <c r="J125" i="5"/>
  <c r="AL122" i="5"/>
  <c r="AU119" i="5" s="1"/>
  <c r="AN122" i="5"/>
  <c r="AW119" i="5" s="1"/>
  <c r="AM122" i="5"/>
  <c r="AV119" i="5" s="1"/>
  <c r="AI77" i="5"/>
  <c r="AG77" i="5"/>
  <c r="AE77" i="5"/>
  <c r="AI69" i="5"/>
  <c r="AG69" i="5"/>
  <c r="AI60" i="5"/>
  <c r="AG60" i="5"/>
  <c r="BJ185" i="5"/>
  <c r="I185" i="5"/>
  <c r="AJ177" i="5"/>
  <c r="AB177" i="5"/>
  <c r="AH139" i="5"/>
  <c r="AH137" i="5"/>
  <c r="AD137" i="5"/>
  <c r="AF137" i="5"/>
  <c r="AI130" i="5"/>
  <c r="AE130" i="5"/>
  <c r="AG130" i="5"/>
  <c r="AD120" i="5"/>
  <c r="AH120" i="5"/>
  <c r="AF113" i="5"/>
  <c r="AH113" i="5"/>
  <c r="AD113" i="5"/>
  <c r="AG25" i="5"/>
  <c r="AI25" i="5"/>
  <c r="AE25" i="5"/>
  <c r="AB206" i="5"/>
  <c r="AH199" i="5"/>
  <c r="AZ179" i="5"/>
  <c r="BE179" i="5" s="1"/>
  <c r="J163" i="5"/>
  <c r="BK163" i="5"/>
  <c r="BH160" i="5"/>
  <c r="L21" i="4" s="1"/>
  <c r="AN156" i="5"/>
  <c r="AW153" i="5" s="1"/>
  <c r="AM156" i="5"/>
  <c r="AV153" i="5" s="1"/>
  <c r="AG128" i="5"/>
  <c r="I122" i="5"/>
  <c r="BJ122" i="5"/>
  <c r="AY122" i="5"/>
  <c r="AD86" i="5"/>
  <c r="AH86" i="5"/>
  <c r="AF86" i="5"/>
  <c r="AE46" i="5"/>
  <c r="AI46" i="5"/>
  <c r="AM175" i="5"/>
  <c r="AN175" i="5"/>
  <c r="I163" i="5"/>
  <c r="I162" i="5" s="1"/>
  <c r="AB156" i="5"/>
  <c r="AJ156" i="5"/>
  <c r="I154" i="5"/>
  <c r="I153" i="5" s="1"/>
  <c r="AY154" i="5"/>
  <c r="AD150" i="5"/>
  <c r="AH150" i="5"/>
  <c r="AZ143" i="5"/>
  <c r="J143" i="5"/>
  <c r="AI116" i="5"/>
  <c r="I113" i="5"/>
  <c r="AY113" i="5"/>
  <c r="AI92" i="5"/>
  <c r="AG92" i="5"/>
  <c r="AE92" i="5"/>
  <c r="AL175" i="5"/>
  <c r="AI148" i="5"/>
  <c r="AE148" i="5"/>
  <c r="AE145" i="5"/>
  <c r="AB122" i="5"/>
  <c r="AJ122" i="5"/>
  <c r="AH80" i="5"/>
  <c r="AD80" i="5"/>
  <c r="AF80" i="5"/>
  <c r="AH71" i="5"/>
  <c r="AD71" i="5"/>
  <c r="AF71" i="5"/>
  <c r="J49" i="5"/>
  <c r="AZ49" i="5"/>
  <c r="BK49" i="5"/>
  <c r="K184" i="5"/>
  <c r="P184" i="5" s="1"/>
  <c r="AV162" i="5"/>
  <c r="AL163" i="5"/>
  <c r="AU162" i="5" s="1"/>
  <c r="AN163" i="5"/>
  <c r="AW162" i="5" s="1"/>
  <c r="AN145" i="5"/>
  <c r="BJ135" i="5"/>
  <c r="AJ135" i="5"/>
  <c r="AY133" i="5"/>
  <c r="I133" i="5"/>
  <c r="AZ130" i="5"/>
  <c r="AX130" i="5" s="1"/>
  <c r="J130" i="5"/>
  <c r="AN116" i="5"/>
  <c r="AW115" i="5" s="1"/>
  <c r="J17" i="4"/>
  <c r="AH111" i="5"/>
  <c r="AH104" i="5"/>
  <c r="AF104" i="5"/>
  <c r="AD92" i="5"/>
  <c r="AF92" i="5"/>
  <c r="AY77" i="5"/>
  <c r="I77" i="5"/>
  <c r="BJ77" i="5"/>
  <c r="AJ62" i="5"/>
  <c r="AB62" i="5"/>
  <c r="AB148" i="5"/>
  <c r="BE137" i="5"/>
  <c r="AV132" i="5"/>
  <c r="AJ120" i="5"/>
  <c r="AM116" i="5"/>
  <c r="AV115" i="5" s="1"/>
  <c r="J108" i="5"/>
  <c r="J107" i="5" s="1"/>
  <c r="AZ108" i="5"/>
  <c r="AN108" i="5"/>
  <c r="AW107" i="5" s="1"/>
  <c r="K107" i="5"/>
  <c r="P107" i="5" s="1"/>
  <c r="AM108" i="5"/>
  <c r="AV107" i="5" s="1"/>
  <c r="AL102" i="5"/>
  <c r="BH96" i="5"/>
  <c r="M91" i="5"/>
  <c r="AJ88" i="5"/>
  <c r="AB88" i="5"/>
  <c r="AY65" i="5"/>
  <c r="I65" i="5"/>
  <c r="BJ65" i="5"/>
  <c r="AX60" i="5"/>
  <c r="AD49" i="5"/>
  <c r="AH49" i="5"/>
  <c r="AF49" i="5"/>
  <c r="I111" i="5"/>
  <c r="AY111" i="5"/>
  <c r="BH111" i="5"/>
  <c r="L17" i="4" s="1"/>
  <c r="M110" i="5"/>
  <c r="AD100" i="5"/>
  <c r="AF100" i="5"/>
  <c r="AL98" i="5"/>
  <c r="AN98" i="5"/>
  <c r="AB86" i="5"/>
  <c r="AH44" i="5"/>
  <c r="AD44" i="5"/>
  <c r="AM29" i="5"/>
  <c r="AN29" i="5"/>
  <c r="AL29" i="5"/>
  <c r="BH14" i="5"/>
  <c r="M13" i="5"/>
  <c r="AJ165" i="5"/>
  <c r="K162" i="5"/>
  <c r="P162" i="5" s="1"/>
  <c r="M153" i="5"/>
  <c r="AX145" i="5"/>
  <c r="I139" i="5"/>
  <c r="AY139" i="5"/>
  <c r="I137" i="5"/>
  <c r="AW124" i="5"/>
  <c r="K124" i="5"/>
  <c r="P124" i="5" s="1"/>
  <c r="AM125" i="5"/>
  <c r="AV124" i="5" s="1"/>
  <c r="AV110" i="5"/>
  <c r="I104" i="5"/>
  <c r="AY104" i="5"/>
  <c r="AH100" i="5"/>
  <c r="AM98" i="5"/>
  <c r="AV91" i="5" s="1"/>
  <c r="AM86" i="5"/>
  <c r="AV85" i="5" s="1"/>
  <c r="AN86" i="5"/>
  <c r="K85" i="5"/>
  <c r="M48" i="5"/>
  <c r="J41" i="5"/>
  <c r="J40" i="5" s="1"/>
  <c r="BK41" i="5"/>
  <c r="AZ41" i="5"/>
  <c r="BE41" i="5" s="1"/>
  <c r="I36" i="5"/>
  <c r="AY36" i="5"/>
  <c r="BJ36" i="5"/>
  <c r="AL135" i="5"/>
  <c r="AU132" i="5" s="1"/>
  <c r="AN135" i="5"/>
  <c r="AW132" i="5" s="1"/>
  <c r="J128" i="5"/>
  <c r="AZ128" i="5"/>
  <c r="AU124" i="5"/>
  <c r="AY120" i="5"/>
  <c r="I120" i="5"/>
  <c r="AZ116" i="5"/>
  <c r="J116" i="5"/>
  <c r="J115" i="5" s="1"/>
  <c r="AJ104" i="5"/>
  <c r="AB104" i="5"/>
  <c r="AE96" i="5"/>
  <c r="AI96" i="5"/>
  <c r="AG96" i="5"/>
  <c r="AZ88" i="5"/>
  <c r="J88" i="5"/>
  <c r="J85" i="5" s="1"/>
  <c r="BK88" i="5"/>
  <c r="I86" i="5"/>
  <c r="I85" i="5" s="1"/>
  <c r="AY86" i="5"/>
  <c r="BJ82" i="5"/>
  <c r="I82" i="5"/>
  <c r="AJ80" i="5"/>
  <c r="AB80" i="5"/>
  <c r="I80" i="5"/>
  <c r="AY80" i="5"/>
  <c r="AE75" i="5"/>
  <c r="AG75" i="5"/>
  <c r="AI75" i="5"/>
  <c r="BJ73" i="5"/>
  <c r="I73" i="5"/>
  <c r="AJ71" i="5"/>
  <c r="AB71" i="5"/>
  <c r="I71" i="5"/>
  <c r="AY71" i="5"/>
  <c r="AE65" i="5"/>
  <c r="AG65" i="5"/>
  <c r="AL52" i="5"/>
  <c r="AN52" i="5"/>
  <c r="AY38" i="5"/>
  <c r="BJ38" i="5"/>
  <c r="I38" i="5"/>
  <c r="AX29" i="5"/>
  <c r="BE29" i="5"/>
  <c r="AH23" i="5"/>
  <c r="AD23" i="5"/>
  <c r="AF160" i="5"/>
  <c r="AD148" i="5"/>
  <c r="AE135" i="5"/>
  <c r="AG120" i="5"/>
  <c r="AD108" i="5"/>
  <c r="J65" i="5"/>
  <c r="AZ65" i="5"/>
  <c r="M43" i="5"/>
  <c r="BH44" i="5"/>
  <c r="AM33" i="5"/>
  <c r="AN33" i="5"/>
  <c r="J25" i="5"/>
  <c r="AZ25" i="5"/>
  <c r="BE25" i="5" s="1"/>
  <c r="AM23" i="5"/>
  <c r="AL44" i="5"/>
  <c r="AU43" i="5" s="1"/>
  <c r="AN44" i="5"/>
  <c r="AW43" i="5" s="1"/>
  <c r="AE29" i="5"/>
  <c r="AI29" i="5"/>
  <c r="K13" i="5"/>
  <c r="P13" i="5" s="1"/>
  <c r="AI111" i="5"/>
  <c r="AJ98" i="5"/>
  <c r="AY96" i="5"/>
  <c r="AZ82" i="5"/>
  <c r="AX82" i="5" s="1"/>
  <c r="AZ73" i="5"/>
  <c r="BE73" i="5" s="1"/>
  <c r="AM49" i="5"/>
  <c r="AN49" i="5"/>
  <c r="K48" i="5"/>
  <c r="P48" i="5" s="1"/>
  <c r="AL31" i="5"/>
  <c r="AG111" i="5"/>
  <c r="K43" i="5"/>
  <c r="P43" i="5" s="1"/>
  <c r="AN36" i="5"/>
  <c r="AW35" i="5" s="1"/>
  <c r="AM36" i="5"/>
  <c r="AV35" i="5" s="1"/>
  <c r="K35" i="5"/>
  <c r="P35" i="5" s="1"/>
  <c r="AE33" i="5"/>
  <c r="AD21" i="5"/>
  <c r="AH21" i="5"/>
  <c r="BJ96" i="5"/>
  <c r="BK82" i="5"/>
  <c r="AM82" i="5"/>
  <c r="BK73" i="5"/>
  <c r="AM73" i="5"/>
  <c r="AZ52" i="5"/>
  <c r="J52" i="5"/>
  <c r="AL36" i="5"/>
  <c r="AU35" i="5" s="1"/>
  <c r="I29" i="5"/>
  <c r="AD29" i="5"/>
  <c r="AF29" i="5"/>
  <c r="AF21" i="5"/>
  <c r="AF69" i="5"/>
  <c r="AF60" i="5"/>
  <c r="AE44" i="5"/>
  <c r="AF41" i="5"/>
  <c r="J31" i="5"/>
  <c r="AZ31" i="5"/>
  <c r="J23" i="5"/>
  <c r="AZ23" i="5"/>
  <c r="BE23" i="5" s="1"/>
  <c r="AL21" i="5"/>
  <c r="J21" i="5"/>
  <c r="BK31" i="5"/>
  <c r="J29" i="5"/>
  <c r="AI27" i="5"/>
  <c r="BK23" i="5"/>
  <c r="AN25" i="5"/>
  <c r="I23" i="5"/>
  <c r="AB21" i="5"/>
  <c r="AN21" i="5"/>
  <c r="AM21" i="5"/>
  <c r="AG36" i="5"/>
  <c r="AH33" i="5"/>
  <c r="AF27" i="5"/>
  <c r="AH25" i="5"/>
  <c r="I18" i="2"/>
  <c r="AX1484" i="5" l="1"/>
  <c r="BE1506" i="5"/>
  <c r="J1495" i="5"/>
  <c r="AX1172" i="5"/>
  <c r="AG1129" i="5"/>
  <c r="AX1297" i="5"/>
  <c r="AX1125" i="5"/>
  <c r="BE1265" i="5"/>
  <c r="AX1116" i="5"/>
  <c r="K52" i="4" s="1"/>
  <c r="AG964" i="5"/>
  <c r="AD748" i="5"/>
  <c r="AF1046" i="5"/>
  <c r="BE554" i="5"/>
  <c r="BE534" i="5"/>
  <c r="AG458" i="5"/>
  <c r="AF469" i="5"/>
  <c r="AF551" i="5"/>
  <c r="BE396" i="5"/>
  <c r="I1094" i="5"/>
  <c r="I1093" i="5" s="1"/>
  <c r="I1092" i="5" s="1"/>
  <c r="AY1094" i="5"/>
  <c r="I49" i="4" s="1"/>
  <c r="BJ1094" i="5"/>
  <c r="AX209" i="5"/>
  <c r="BE1271" i="5"/>
  <c r="BE1303" i="5"/>
  <c r="AX1230" i="5"/>
  <c r="BE592" i="5"/>
  <c r="AG974" i="5"/>
  <c r="AF1210" i="5"/>
  <c r="AX1129" i="5"/>
  <c r="I42" i="4"/>
  <c r="AW1108" i="5"/>
  <c r="BE757" i="5"/>
  <c r="BE1557" i="5"/>
  <c r="AX527" i="5"/>
  <c r="AX1463" i="5"/>
  <c r="I174" i="5"/>
  <c r="AG1133" i="5"/>
  <c r="S1075" i="5"/>
  <c r="R1075" i="5"/>
  <c r="J1468" i="5"/>
  <c r="BE1293" i="5"/>
  <c r="BE1463" i="5"/>
  <c r="AD165" i="5"/>
  <c r="AD1320" i="5"/>
  <c r="AX1210" i="5"/>
  <c r="AE122" i="5"/>
  <c r="AX1202" i="5"/>
  <c r="AX116" i="5"/>
  <c r="K18" i="4" s="1"/>
  <c r="N18" i="4" s="1"/>
  <c r="AF610" i="5"/>
  <c r="AX449" i="5"/>
  <c r="R705" i="5"/>
  <c r="S705" i="5"/>
  <c r="V705" i="5"/>
  <c r="W723" i="5"/>
  <c r="X723" i="5"/>
  <c r="AG857" i="5"/>
  <c r="AW768" i="5"/>
  <c r="BE944" i="5"/>
  <c r="AX295" i="5"/>
  <c r="J110" i="5"/>
  <c r="AX1539" i="5"/>
  <c r="AE1463" i="5"/>
  <c r="AX1079" i="5"/>
  <c r="AF578" i="5"/>
  <c r="BE143" i="5"/>
  <c r="L55" i="4"/>
  <c r="AF531" i="5"/>
  <c r="AX255" i="5"/>
  <c r="AG607" i="5"/>
  <c r="AX1133" i="5"/>
  <c r="AG476" i="5"/>
  <c r="AX44" i="5"/>
  <c r="AX33" i="5"/>
  <c r="AX188" i="5"/>
  <c r="I57" i="4"/>
  <c r="AX796" i="5"/>
  <c r="BE160" i="5"/>
  <c r="BE999" i="5"/>
  <c r="BE264" i="5"/>
  <c r="AX415" i="5"/>
  <c r="BE921" i="5"/>
  <c r="J1460" i="5"/>
  <c r="BE517" i="5"/>
  <c r="BE1119" i="5"/>
  <c r="I64" i="4"/>
  <c r="BE1295" i="5"/>
  <c r="AX1441" i="5"/>
  <c r="AG133" i="5"/>
  <c r="BE206" i="5"/>
  <c r="BE1070" i="5"/>
  <c r="BE1273" i="5"/>
  <c r="J20" i="3"/>
  <c r="BE44" i="5"/>
  <c r="AF559" i="5"/>
  <c r="AF1162" i="5"/>
  <c r="AX1320" i="5"/>
  <c r="J747" i="5"/>
  <c r="AF993" i="5"/>
  <c r="BE1388" i="5"/>
  <c r="AX98" i="5"/>
  <c r="AU820" i="5"/>
  <c r="BE911" i="5"/>
  <c r="AX1082" i="5"/>
  <c r="AF652" i="5"/>
  <c r="AF446" i="5"/>
  <c r="AG574" i="5"/>
  <c r="AF586" i="5"/>
  <c r="AG629" i="5"/>
  <c r="BE1305" i="5"/>
  <c r="AW756" i="5"/>
  <c r="BE1210" i="5"/>
  <c r="BE1486" i="5"/>
  <c r="AX1064" i="5"/>
  <c r="AX337" i="5"/>
  <c r="AG466" i="5"/>
  <c r="AF866" i="5"/>
  <c r="BE1067" i="5"/>
  <c r="AE1391" i="5"/>
  <c r="AG991" i="5"/>
  <c r="BE899" i="5"/>
  <c r="AX1151" i="5"/>
  <c r="BE1269" i="5"/>
  <c r="BE567" i="5"/>
  <c r="AX1056" i="5"/>
  <c r="J1373" i="5"/>
  <c r="AX222" i="5"/>
  <c r="AE806" i="5"/>
  <c r="AX1510" i="5"/>
  <c r="BE1297" i="5"/>
  <c r="BE542" i="5"/>
  <c r="BE504" i="5"/>
  <c r="J795" i="5"/>
  <c r="AX75" i="5"/>
  <c r="I294" i="5"/>
  <c r="BE658" i="5"/>
  <c r="AX156" i="5"/>
  <c r="BE209" i="5"/>
  <c r="BE1283" i="5"/>
  <c r="J1483" i="5"/>
  <c r="AD1361" i="5"/>
  <c r="BE220" i="5"/>
  <c r="AG517" i="5"/>
  <c r="AF437" i="5"/>
  <c r="AX373" i="5"/>
  <c r="AF599" i="5"/>
  <c r="AG525" i="5"/>
  <c r="AW1048" i="5"/>
  <c r="BE1218" i="5"/>
  <c r="BE1182" i="5"/>
  <c r="AF1388" i="5"/>
  <c r="AX1259" i="5"/>
  <c r="AD310" i="5"/>
  <c r="AW233" i="5"/>
  <c r="AD373" i="5"/>
  <c r="AF921" i="5"/>
  <c r="BE1532" i="5"/>
  <c r="AX542" i="5"/>
  <c r="BE1204" i="5"/>
  <c r="AD738" i="5"/>
  <c r="L18" i="3"/>
  <c r="BE1202" i="5"/>
  <c r="BE193" i="5"/>
  <c r="BE75" i="5"/>
  <c r="AG160" i="5"/>
  <c r="AG823" i="5"/>
  <c r="L31" i="4"/>
  <c r="AG905" i="5"/>
  <c r="AV982" i="5"/>
  <c r="BE214" i="5"/>
  <c r="U1567" i="5"/>
  <c r="J1043" i="5"/>
  <c r="AD116" i="5"/>
  <c r="AW85" i="5"/>
  <c r="BE310" i="5"/>
  <c r="AF515" i="5"/>
  <c r="BE663" i="5"/>
  <c r="AF929" i="5"/>
  <c r="AF1001" i="5"/>
  <c r="K1551" i="5"/>
  <c r="V1552" i="5"/>
  <c r="BE168" i="5"/>
  <c r="AX1332" i="5"/>
  <c r="AX831" i="5"/>
  <c r="G27" i="10"/>
  <c r="F38" i="10" s="1"/>
  <c r="BE100" i="5"/>
  <c r="AX196" i="5"/>
  <c r="AX1289" i="5"/>
  <c r="L14" i="4"/>
  <c r="AF444" i="5"/>
  <c r="BE521" i="5"/>
  <c r="BE697" i="5"/>
  <c r="AX529" i="5"/>
  <c r="AX1378" i="5"/>
  <c r="AX1131" i="5"/>
  <c r="AX539" i="5"/>
  <c r="BE993" i="5"/>
  <c r="AX1553" i="5"/>
  <c r="AX914" i="5"/>
  <c r="BE1180" i="5"/>
  <c r="AX365" i="5"/>
  <c r="BE253" i="5"/>
  <c r="BE458" i="5"/>
  <c r="AF507" i="5"/>
  <c r="AF821" i="5"/>
  <c r="AX894" i="5"/>
  <c r="BE212" i="5"/>
  <c r="AX92" i="5"/>
  <c r="AX741" i="5"/>
  <c r="AX972" i="5"/>
  <c r="BE31" i="5"/>
  <c r="AG597" i="5"/>
  <c r="AX776" i="5"/>
  <c r="AE165" i="5"/>
  <c r="AF1010" i="5"/>
  <c r="AG916" i="5"/>
  <c r="AX1253" i="5"/>
  <c r="AD250" i="5"/>
  <c r="AE337" i="5"/>
  <c r="AX419" i="5"/>
  <c r="AX983" i="5"/>
  <c r="AX1363" i="5"/>
  <c r="AE1522" i="5"/>
  <c r="BE914" i="5"/>
  <c r="I747" i="5"/>
  <c r="BE607" i="5"/>
  <c r="J24" i="4"/>
  <c r="BE365" i="5"/>
  <c r="BE539" i="5"/>
  <c r="BE384" i="5"/>
  <c r="AE86" i="5"/>
  <c r="AF666" i="5"/>
  <c r="AX1180" i="5"/>
  <c r="AX1269" i="5"/>
  <c r="BE1553" i="5"/>
  <c r="BE1016" i="5"/>
  <c r="AX458" i="5"/>
  <c r="AX938" i="5"/>
  <c r="AX1544" i="5"/>
  <c r="AX1508" i="5"/>
  <c r="BE324" i="5"/>
  <c r="AF490" i="5"/>
  <c r="AF919" i="5"/>
  <c r="AX1359" i="5"/>
  <c r="BE1417" i="5"/>
  <c r="AX286" i="5"/>
  <c r="AX253" i="5"/>
  <c r="AX567" i="5"/>
  <c r="AX999" i="5"/>
  <c r="AD216" i="5"/>
  <c r="BE14" i="5"/>
  <c r="AX597" i="5"/>
  <c r="AX27" i="5"/>
  <c r="AX892" i="5"/>
  <c r="BE974" i="5"/>
  <c r="AW723" i="5"/>
  <c r="BE435" i="5"/>
  <c r="AX629" i="5"/>
  <c r="AG38" i="5"/>
  <c r="BE337" i="5"/>
  <c r="AE1512" i="5"/>
  <c r="I245" i="5"/>
  <c r="BE646" i="5"/>
  <c r="AX175" i="5"/>
  <c r="BE691" i="5"/>
  <c r="BE586" i="5"/>
  <c r="BE437" i="5"/>
  <c r="BE738" i="5"/>
  <c r="J184" i="5"/>
  <c r="BE231" i="5"/>
  <c r="AX148" i="5"/>
  <c r="AF523" i="5"/>
  <c r="AF956" i="5"/>
  <c r="BE1001" i="5"/>
  <c r="BE1133" i="5"/>
  <c r="AE1514" i="5"/>
  <c r="BE1544" i="5"/>
  <c r="I195" i="5"/>
  <c r="AX584" i="5"/>
  <c r="BE643" i="5"/>
  <c r="AE1326" i="5"/>
  <c r="BE1563" i="5"/>
  <c r="AE1486" i="5"/>
  <c r="BE218" i="5"/>
  <c r="AX1419" i="5"/>
  <c r="BE1307" i="5"/>
  <c r="BE962" i="5"/>
  <c r="BE816" i="5"/>
  <c r="AX850" i="5"/>
  <c r="AE1324" i="5"/>
  <c r="AX1458" i="5"/>
  <c r="BE1394" i="5"/>
  <c r="AX1526" i="5"/>
  <c r="BE1056" i="5"/>
  <c r="BE1369" i="5"/>
  <c r="BE1411" i="5"/>
  <c r="AX1326" i="5"/>
  <c r="I1460" i="5"/>
  <c r="AF480" i="5"/>
  <c r="BE983" i="5"/>
  <c r="J70" i="4"/>
  <c r="BE1322" i="5"/>
  <c r="BE927" i="5"/>
  <c r="I1317" i="5"/>
  <c r="AX512" i="5"/>
  <c r="AX88" i="5"/>
  <c r="AX1409" i="5"/>
  <c r="AX163" i="5"/>
  <c r="AX229" i="5"/>
  <c r="AX394" i="5"/>
  <c r="AX855" i="5"/>
  <c r="AX224" i="5"/>
  <c r="BE286" i="5"/>
  <c r="AG621" i="5"/>
  <c r="BE631" i="5"/>
  <c r="AU781" i="5"/>
  <c r="AG935" i="5"/>
  <c r="AF1194" i="5"/>
  <c r="AD259" i="5"/>
  <c r="AE284" i="5"/>
  <c r="AX435" i="5"/>
  <c r="BE1198" i="5"/>
  <c r="AX931" i="5"/>
  <c r="BE1547" i="5"/>
  <c r="AE199" i="5"/>
  <c r="BE400" i="5"/>
  <c r="I73" i="4"/>
  <c r="J132" i="5"/>
  <c r="BE156" i="5"/>
  <c r="BE329" i="5"/>
  <c r="BE52" i="5"/>
  <c r="AX441" i="5"/>
  <c r="AW174" i="5"/>
  <c r="AX268" i="5"/>
  <c r="AX823" i="5"/>
  <c r="AF931" i="5"/>
  <c r="AG987" i="5"/>
  <c r="AF1058" i="5"/>
  <c r="AE218" i="5"/>
  <c r="BE135" i="5"/>
  <c r="AE782" i="5"/>
  <c r="BE954" i="5"/>
  <c r="BE1147" i="5"/>
  <c r="AX1318" i="5"/>
  <c r="I1385" i="5"/>
  <c r="AW747" i="5"/>
  <c r="BE1116" i="5"/>
  <c r="AE1116" i="5"/>
  <c r="AD796" i="5"/>
  <c r="BE33" i="5"/>
  <c r="J1552" i="5"/>
  <c r="J1551" i="5" s="1"/>
  <c r="J74" i="4" s="1"/>
  <c r="BE1079" i="5"/>
  <c r="AG551" i="5"/>
  <c r="AG455" i="5"/>
  <c r="AD125" i="5"/>
  <c r="M106" i="5"/>
  <c r="AG512" i="5"/>
  <c r="AX554" i="5"/>
  <c r="AX1098" i="5"/>
  <c r="BE1251" i="5"/>
  <c r="BE1315" i="5"/>
  <c r="AX1170" i="5"/>
  <c r="BE1528" i="5"/>
  <c r="AX1212" i="5"/>
  <c r="BE1561" i="5"/>
  <c r="AE793" i="5"/>
  <c r="AD1458" i="5"/>
  <c r="BE375" i="5"/>
  <c r="I22" i="4"/>
  <c r="AE1432" i="5"/>
  <c r="AD1522" i="5"/>
  <c r="AX69" i="5"/>
  <c r="BE308" i="5"/>
  <c r="J21" i="4"/>
  <c r="BE226" i="5"/>
  <c r="BE793" i="5"/>
  <c r="AE1430" i="5"/>
  <c r="I1356" i="5"/>
  <c r="AE1113" i="5"/>
  <c r="L68" i="4"/>
  <c r="I75" i="4"/>
  <c r="AX949" i="5"/>
  <c r="AW803" i="5"/>
  <c r="AG949" i="5"/>
  <c r="AF145" i="5"/>
  <c r="AX329" i="5"/>
  <c r="AG507" i="5"/>
  <c r="AX517" i="5"/>
  <c r="J503" i="5"/>
  <c r="AG931" i="5"/>
  <c r="AX927" i="5"/>
  <c r="BE1033" i="5"/>
  <c r="AX810" i="5"/>
  <c r="AX1354" i="5"/>
  <c r="J1478" i="5"/>
  <c r="AX1411" i="5"/>
  <c r="L53" i="4"/>
  <c r="BE1326" i="5"/>
  <c r="AX1518" i="5"/>
  <c r="BE280" i="5"/>
  <c r="BE857" i="5"/>
  <c r="BE1520" i="5"/>
  <c r="AE1426" i="5"/>
  <c r="AX908" i="5"/>
  <c r="BE359" i="5"/>
  <c r="BE199" i="5"/>
  <c r="I54" i="4"/>
  <c r="AX905" i="5"/>
  <c r="AE814" i="5"/>
  <c r="AG145" i="5"/>
  <c r="AX214" i="5"/>
  <c r="BE278" i="5"/>
  <c r="AX487" i="5"/>
  <c r="AG640" i="5"/>
  <c r="BE512" i="5"/>
  <c r="AX616" i="5"/>
  <c r="J723" i="5"/>
  <c r="AX929" i="5"/>
  <c r="BE1006" i="5"/>
  <c r="BE1076" i="5"/>
  <c r="AX1049" i="5"/>
  <c r="AX1038" i="5"/>
  <c r="AX1293" i="5"/>
  <c r="AV1505" i="5"/>
  <c r="J1317" i="5"/>
  <c r="AW1373" i="5"/>
  <c r="AX400" i="5"/>
  <c r="BE840" i="5"/>
  <c r="BE972" i="5"/>
  <c r="BE1125" i="5"/>
  <c r="AX412" i="5"/>
  <c r="AF629" i="5"/>
  <c r="I654" i="5"/>
  <c r="J781" i="5"/>
  <c r="AG1038" i="5"/>
  <c r="BE1514" i="5"/>
  <c r="AX954" i="5"/>
  <c r="AX1198" i="5"/>
  <c r="AD375" i="5"/>
  <c r="L24" i="4"/>
  <c r="AF527" i="5"/>
  <c r="BE584" i="5"/>
  <c r="AX643" i="5"/>
  <c r="AF855" i="5"/>
  <c r="BE1014" i="5"/>
  <c r="J1024" i="5"/>
  <c r="AV1368" i="5"/>
  <c r="BE1166" i="5"/>
  <c r="AV1393" i="5"/>
  <c r="J75" i="4"/>
  <c r="AX1563" i="5"/>
  <c r="AX627" i="5"/>
  <c r="J756" i="5"/>
  <c r="AX935" i="5"/>
  <c r="BE1536" i="5"/>
  <c r="BE21" i="5"/>
  <c r="AX1267" i="5"/>
  <c r="BE88" i="5"/>
  <c r="BE355" i="5"/>
  <c r="I514" i="5"/>
  <c r="I91" i="5"/>
  <c r="AW91" i="5"/>
  <c r="AU91" i="5"/>
  <c r="AG1003" i="5"/>
  <c r="AX757" i="5"/>
  <c r="I43" i="4"/>
  <c r="BE1103" i="5"/>
  <c r="AX1251" i="5"/>
  <c r="BE1409" i="5"/>
  <c r="BE1476" i="5"/>
  <c r="J1546" i="5"/>
  <c r="AD229" i="5"/>
  <c r="BE574" i="5"/>
  <c r="AX476" i="5"/>
  <c r="AX826" i="5"/>
  <c r="L38" i="4"/>
  <c r="AX991" i="5"/>
  <c r="BE1143" i="5"/>
  <c r="BE1419" i="5"/>
  <c r="BE1275" i="5"/>
  <c r="I71" i="4"/>
  <c r="J1505" i="5"/>
  <c r="I142" i="5"/>
  <c r="AX648" i="5"/>
  <c r="AF905" i="5"/>
  <c r="AX1520" i="5"/>
  <c r="BE1151" i="5"/>
  <c r="AD1481" i="5"/>
  <c r="AX1555" i="5"/>
  <c r="AX618" i="5"/>
  <c r="AX276" i="5"/>
  <c r="AX676" i="5"/>
  <c r="BE1243" i="5"/>
  <c r="AD1539" i="5"/>
  <c r="AX1016" i="5"/>
  <c r="AX135" i="5"/>
  <c r="AE818" i="5"/>
  <c r="L66" i="4"/>
  <c r="BE1357" i="5"/>
  <c r="BE203" i="5"/>
  <c r="BE412" i="5"/>
  <c r="AG663" i="5"/>
  <c r="BE499" i="5"/>
  <c r="AF974" i="5"/>
  <c r="J803" i="5"/>
  <c r="AF978" i="5"/>
  <c r="BE970" i="5"/>
  <c r="AX14" i="5"/>
  <c r="AX181" i="5"/>
  <c r="BE222" i="5"/>
  <c r="AD278" i="5"/>
  <c r="BE322" i="5"/>
  <c r="AF554" i="5"/>
  <c r="AX507" i="5"/>
  <c r="AW654" i="5"/>
  <c r="AG881" i="5"/>
  <c r="AG894" i="5"/>
  <c r="AF985" i="5"/>
  <c r="AG1020" i="5"/>
  <c r="BE935" i="5"/>
  <c r="AX1396" i="5"/>
  <c r="AX1557" i="5"/>
  <c r="AW1447" i="5"/>
  <c r="J267" i="5"/>
  <c r="BE529" i="5"/>
  <c r="AX646" i="5"/>
  <c r="AX993" i="5"/>
  <c r="BE931" i="5"/>
  <c r="BE1555" i="5"/>
  <c r="AE791" i="5"/>
  <c r="BE1549" i="5"/>
  <c r="I24" i="4"/>
  <c r="AG156" i="5"/>
  <c r="AW294" i="5"/>
  <c r="I673" i="5"/>
  <c r="BE787" i="5"/>
  <c r="I733" i="5"/>
  <c r="AG1033" i="5"/>
  <c r="AX1281" i="5"/>
  <c r="AX1388" i="5"/>
  <c r="BE1448" i="5"/>
  <c r="AX100" i="5"/>
  <c r="BE196" i="5"/>
  <c r="AX980" i="5"/>
  <c r="AF850" i="5"/>
  <c r="I13" i="4"/>
  <c r="AX669" i="5"/>
  <c r="AG840" i="5"/>
  <c r="AF1022" i="5"/>
  <c r="BE985" i="5"/>
  <c r="AX1044" i="5"/>
  <c r="J1030" i="5"/>
  <c r="AX1283" i="5"/>
  <c r="I1349" i="5"/>
  <c r="J36" i="4"/>
  <c r="BE741" i="5"/>
  <c r="AX363" i="5"/>
  <c r="I503" i="5"/>
  <c r="AX218" i="5"/>
  <c r="AX384" i="5"/>
  <c r="AF616" i="5"/>
  <c r="AX519" i="5"/>
  <c r="AX655" i="5"/>
  <c r="AW781" i="5"/>
  <c r="BE712" i="5"/>
  <c r="AX888" i="5"/>
  <c r="BE890" i="5"/>
  <c r="AX896" i="5"/>
  <c r="BE964" i="5"/>
  <c r="AX1020" i="5"/>
  <c r="AX947" i="5"/>
  <c r="J448" i="5"/>
  <c r="AX607" i="5"/>
  <c r="AF501" i="5"/>
  <c r="AX688" i="5"/>
  <c r="BE92" i="5"/>
  <c r="BE98" i="5"/>
  <c r="I25" i="4"/>
  <c r="BE175" i="5"/>
  <c r="AW205" i="5"/>
  <c r="AG534" i="5"/>
  <c r="BE444" i="5"/>
  <c r="I645" i="5"/>
  <c r="BE425" i="5"/>
  <c r="AG896" i="5"/>
  <c r="J918" i="5"/>
  <c r="AX1430" i="5"/>
  <c r="AX300" i="5"/>
  <c r="AE812" i="5"/>
  <c r="BE334" i="5"/>
  <c r="J35" i="5"/>
  <c r="AX404" i="5"/>
  <c r="L40" i="4"/>
  <c r="BE1320" i="5"/>
  <c r="J233" i="5"/>
  <c r="AX308" i="5"/>
  <c r="AX816" i="5"/>
  <c r="I1005" i="5"/>
  <c r="BE952" i="5"/>
  <c r="AX1155" i="5"/>
  <c r="BE1491" i="5"/>
  <c r="BE1359" i="5"/>
  <c r="AX1528" i="5"/>
  <c r="I1495" i="5"/>
  <c r="I41" i="4"/>
  <c r="AE250" i="5"/>
  <c r="AX199" i="5"/>
  <c r="BE892" i="5"/>
  <c r="AX808" i="5"/>
  <c r="BE916" i="5"/>
  <c r="BE905" i="5"/>
  <c r="AX1147" i="5"/>
  <c r="AX1277" i="5"/>
  <c r="BE1186" i="5"/>
  <c r="AD1438" i="5"/>
  <c r="AX324" i="5"/>
  <c r="AU609" i="5"/>
  <c r="AV768" i="5"/>
  <c r="BE1432" i="5"/>
  <c r="BE1342" i="5"/>
  <c r="BE1534" i="5"/>
  <c r="AX375" i="5"/>
  <c r="AE680" i="5"/>
  <c r="J91" i="5"/>
  <c r="AX357" i="5"/>
  <c r="BE949" i="5"/>
  <c r="J1100" i="5"/>
  <c r="AD1378" i="5"/>
  <c r="BE947" i="5"/>
  <c r="J22" i="4"/>
  <c r="AX1342" i="5"/>
  <c r="K58" i="4" s="1"/>
  <c r="N58" i="4" s="1"/>
  <c r="AE1405" i="5"/>
  <c r="BE1516" i="5"/>
  <c r="AE259" i="5"/>
  <c r="AF471" i="5"/>
  <c r="I668" i="5"/>
  <c r="AE763" i="5"/>
  <c r="AX1223" i="5"/>
  <c r="I1552" i="5"/>
  <c r="I1551" i="5" s="1"/>
  <c r="I74" i="4" s="1"/>
  <c r="AW1538" i="5"/>
  <c r="AE226" i="5"/>
  <c r="BE821" i="5"/>
  <c r="I1048" i="5"/>
  <c r="BE347" i="5"/>
  <c r="I448" i="5"/>
  <c r="BE432" i="5"/>
  <c r="AW639" i="5"/>
  <c r="L32" i="4"/>
  <c r="BE941" i="5"/>
  <c r="J1055" i="5"/>
  <c r="BE1172" i="5"/>
  <c r="I1483" i="5"/>
  <c r="I1393" i="5"/>
  <c r="L24" i="3"/>
  <c r="BE271" i="5"/>
  <c r="AX637" i="5"/>
  <c r="BE1378" i="5"/>
  <c r="AX1524" i="5"/>
  <c r="BE831" i="5"/>
  <c r="I918" i="5"/>
  <c r="BE991" i="5"/>
  <c r="AX1143" i="5"/>
  <c r="K66" i="4"/>
  <c r="N66" i="4" s="1"/>
  <c r="AX1496" i="5"/>
  <c r="BE298" i="5"/>
  <c r="AX650" i="5"/>
  <c r="AX193" i="5"/>
  <c r="BE304" i="5"/>
  <c r="AX674" i="5"/>
  <c r="AG868" i="5"/>
  <c r="AX1498" i="5"/>
  <c r="AF1417" i="5"/>
  <c r="AD1417" i="5"/>
  <c r="AX246" i="5"/>
  <c r="I32" i="4"/>
  <c r="J768" i="5"/>
  <c r="AW733" i="5"/>
  <c r="J645" i="5"/>
  <c r="AG956" i="5"/>
  <c r="AU1373" i="5"/>
  <c r="AX1559" i="5"/>
  <c r="AX772" i="5"/>
  <c r="BE349" i="5"/>
  <c r="J982" i="5"/>
  <c r="J1423" i="5"/>
  <c r="BE908" i="5"/>
  <c r="BE1510" i="5"/>
  <c r="BE763" i="5"/>
  <c r="I66" i="4"/>
  <c r="BE1441" i="5"/>
  <c r="AX728" i="5"/>
  <c r="AU803" i="5"/>
  <c r="AX868" i="5"/>
  <c r="J35" i="4"/>
  <c r="BE960" i="5"/>
  <c r="BE976" i="5"/>
  <c r="AV1100" i="5"/>
  <c r="AU1108" i="5"/>
  <c r="AX1275" i="5"/>
  <c r="BE1022" i="5"/>
  <c r="AE214" i="5"/>
  <c r="AD1116" i="5"/>
  <c r="BE523" i="5"/>
  <c r="AX343" i="5"/>
  <c r="AW448" i="5"/>
  <c r="AG415" i="5"/>
  <c r="BE669" i="5"/>
  <c r="I36" i="4"/>
  <c r="AW795" i="5"/>
  <c r="AW820" i="5"/>
  <c r="J733" i="5"/>
  <c r="J40" i="4"/>
  <c r="J41" i="4"/>
  <c r="AF1178" i="5"/>
  <c r="AX1127" i="5"/>
  <c r="BE1313" i="5"/>
  <c r="I1505" i="5"/>
  <c r="BE1170" i="5"/>
  <c r="J55" i="4"/>
  <c r="BE1424" i="5"/>
  <c r="I72" i="4"/>
  <c r="L65" i="4"/>
  <c r="AX703" i="5"/>
  <c r="J42" i="4"/>
  <c r="J654" i="5"/>
  <c r="AE643" i="5"/>
  <c r="AG643" i="5"/>
  <c r="AF741" i="5"/>
  <c r="AD741" i="5"/>
  <c r="J479" i="5"/>
  <c r="BE302" i="5"/>
  <c r="AX304" i="5"/>
  <c r="AW336" i="5"/>
  <c r="BE476" i="5"/>
  <c r="AV13" i="5"/>
  <c r="BE300" i="5"/>
  <c r="AG544" i="5"/>
  <c r="AX574" i="5"/>
  <c r="AD674" i="5"/>
  <c r="J937" i="5"/>
  <c r="BE1131" i="5"/>
  <c r="BE1121" i="5"/>
  <c r="J73" i="4"/>
  <c r="BE276" i="5"/>
  <c r="BE367" i="5"/>
  <c r="AX763" i="5"/>
  <c r="K36" i="4" s="1"/>
  <c r="N36" i="4" s="1"/>
  <c r="AW1483" i="5"/>
  <c r="AG400" i="5"/>
  <c r="AE400" i="5"/>
  <c r="AF776" i="5"/>
  <c r="AD776" i="5"/>
  <c r="AF623" i="5"/>
  <c r="AX697" i="5"/>
  <c r="AV733" i="5"/>
  <c r="AG938" i="5"/>
  <c r="M1096" i="5"/>
  <c r="BE1329" i="5"/>
  <c r="AX1186" i="5"/>
  <c r="AX1295" i="5"/>
  <c r="J63" i="4"/>
  <c r="AW1552" i="5"/>
  <c r="AX1549" i="5"/>
  <c r="AX226" i="5"/>
  <c r="BE627" i="5"/>
  <c r="BE826" i="5"/>
  <c r="BE46" i="5"/>
  <c r="AD793" i="5"/>
  <c r="AF1103" i="5"/>
  <c r="AD1103" i="5"/>
  <c r="AG222" i="5"/>
  <c r="AE222" i="5"/>
  <c r="AX310" i="5"/>
  <c r="AW503" i="5"/>
  <c r="AF542" i="5"/>
  <c r="AG584" i="5"/>
  <c r="AU448" i="5"/>
  <c r="BE357" i="5"/>
  <c r="I820" i="5"/>
  <c r="AX974" i="5"/>
  <c r="I1118" i="5"/>
  <c r="AY1086" i="5"/>
  <c r="I45" i="4" s="1"/>
  <c r="J43" i="4"/>
  <c r="J54" i="4"/>
  <c r="I55" i="4"/>
  <c r="AU1423" i="5"/>
  <c r="BE1508" i="5"/>
  <c r="AX271" i="5"/>
  <c r="BE676" i="5"/>
  <c r="AX793" i="5"/>
  <c r="AX899" i="5"/>
  <c r="AX1135" i="5"/>
  <c r="AX1547" i="5"/>
  <c r="AF224" i="5"/>
  <c r="AD224" i="5"/>
  <c r="AF1466" i="5"/>
  <c r="AD1466" i="5"/>
  <c r="AF787" i="5"/>
  <c r="AD787" i="5"/>
  <c r="BE165" i="5"/>
  <c r="J162" i="5"/>
  <c r="AX31" i="5"/>
  <c r="AU48" i="5"/>
  <c r="AF14" i="5"/>
  <c r="I13" i="5"/>
  <c r="J13" i="5"/>
  <c r="J20" i="4"/>
  <c r="I48" i="5"/>
  <c r="K106" i="5"/>
  <c r="S174" i="5" s="1"/>
  <c r="AX143" i="5"/>
  <c r="AW142" i="5"/>
  <c r="J48" i="5"/>
  <c r="BE130" i="5"/>
  <c r="J319" i="5"/>
  <c r="AF567" i="5"/>
  <c r="AF496" i="5"/>
  <c r="BE419" i="5"/>
  <c r="AX610" i="5"/>
  <c r="AV479" i="5"/>
  <c r="AF631" i="5"/>
  <c r="AX738" i="5"/>
  <c r="AE741" i="5"/>
  <c r="BE855" i="5"/>
  <c r="BE808" i="5"/>
  <c r="AU1005" i="5"/>
  <c r="I1086" i="5"/>
  <c r="I1085" i="5" s="1"/>
  <c r="I1084" i="5" s="1"/>
  <c r="I44" i="4" s="1"/>
  <c r="BE1010" i="5"/>
  <c r="BE1402" i="5"/>
  <c r="BE1332" i="5"/>
  <c r="BE1413" i="5"/>
  <c r="AX1476" i="5"/>
  <c r="K69" i="4" s="1"/>
  <c r="N69" i="4" s="1"/>
  <c r="I1373" i="5"/>
  <c r="AF1557" i="5"/>
  <c r="BE1559" i="5"/>
  <c r="BE938" i="5"/>
  <c r="BE1324" i="5"/>
  <c r="AE1359" i="5"/>
  <c r="J26" i="4"/>
  <c r="AX425" i="5"/>
  <c r="AV820" i="5"/>
  <c r="AX1257" i="5"/>
  <c r="AG1363" i="5"/>
  <c r="AE1363" i="5"/>
  <c r="AX490" i="5"/>
  <c r="BE490" i="5"/>
  <c r="AU174" i="5"/>
  <c r="I205" i="5"/>
  <c r="I31" i="4"/>
  <c r="AW839" i="5"/>
  <c r="BE958" i="5"/>
  <c r="AX941" i="5"/>
  <c r="BE1109" i="5"/>
  <c r="AX1022" i="5"/>
  <c r="BE1458" i="5"/>
  <c r="AF337" i="5"/>
  <c r="AD337" i="5"/>
  <c r="AX102" i="5"/>
  <c r="BE102" i="5"/>
  <c r="AF193" i="5"/>
  <c r="AD193" i="5"/>
  <c r="AX515" i="5"/>
  <c r="BE515" i="5"/>
  <c r="AF75" i="5"/>
  <c r="AD75" i="5"/>
  <c r="AG113" i="5"/>
  <c r="AE113" i="5"/>
  <c r="AF351" i="5"/>
  <c r="AD351" i="5"/>
  <c r="AF196" i="5"/>
  <c r="AD196" i="5"/>
  <c r="I479" i="5"/>
  <c r="AX845" i="5"/>
  <c r="BE845" i="5"/>
  <c r="AG685" i="5"/>
  <c r="AE685" i="5"/>
  <c r="AX806" i="5"/>
  <c r="BE806" i="5"/>
  <c r="BE1285" i="5"/>
  <c r="AX1285" i="5"/>
  <c r="AX1164" i="5"/>
  <c r="BE1164" i="5"/>
  <c r="AF324" i="5"/>
  <c r="AD324" i="5"/>
  <c r="AX52" i="5"/>
  <c r="AU336" i="5"/>
  <c r="J30" i="4"/>
  <c r="AX41" i="5"/>
  <c r="AX67" i="5"/>
  <c r="J19" i="4"/>
  <c r="AU13" i="5"/>
  <c r="I110" i="5"/>
  <c r="AX179" i="5"/>
  <c r="AW245" i="5"/>
  <c r="J29" i="4"/>
  <c r="BE441" i="5"/>
  <c r="AW609" i="5"/>
  <c r="BE616" i="5"/>
  <c r="AW673" i="5"/>
  <c r="BE728" i="5"/>
  <c r="AW937" i="5"/>
  <c r="J32" i="4"/>
  <c r="AV839" i="5"/>
  <c r="AV937" i="5"/>
  <c r="C21" i="1"/>
  <c r="AW1005" i="5"/>
  <c r="AX1061" i="5"/>
  <c r="AX1315" i="5"/>
  <c r="AV1157" i="5"/>
  <c r="AU1248" i="5"/>
  <c r="I1423" i="5"/>
  <c r="J1248" i="5"/>
  <c r="AX1448" i="5"/>
  <c r="F43" i="10"/>
  <c r="H1094" i="5" s="1"/>
  <c r="AR1094" i="5"/>
  <c r="AX250" i="5"/>
  <c r="BE250" i="5"/>
  <c r="AF203" i="5"/>
  <c r="AD203" i="5"/>
  <c r="AF280" i="5"/>
  <c r="AD280" i="5"/>
  <c r="AX621" i="5"/>
  <c r="BE621" i="5"/>
  <c r="AX351" i="5"/>
  <c r="BE351" i="5"/>
  <c r="AX94" i="5"/>
  <c r="BE94" i="5"/>
  <c r="BE796" i="5"/>
  <c r="AX1220" i="5"/>
  <c r="BE1220" i="5"/>
  <c r="AI1111" i="5"/>
  <c r="AE1111" i="5"/>
  <c r="BE1498" i="5"/>
  <c r="J336" i="5"/>
  <c r="J414" i="5"/>
  <c r="BE496" i="5"/>
  <c r="AV514" i="5"/>
  <c r="J673" i="5"/>
  <c r="AW1157" i="5"/>
  <c r="AU1157" i="5"/>
  <c r="K1096" i="5"/>
  <c r="K1348" i="5"/>
  <c r="P1348" i="5" s="1"/>
  <c r="AG168" i="5"/>
  <c r="AE168" i="5"/>
  <c r="AX259" i="5"/>
  <c r="BE259" i="5"/>
  <c r="AX280" i="5"/>
  <c r="AF367" i="5"/>
  <c r="AD367" i="5"/>
  <c r="AH785" i="5"/>
  <c r="AD785" i="5"/>
  <c r="AF163" i="5"/>
  <c r="AD163" i="5"/>
  <c r="AX785" i="5"/>
  <c r="BE785" i="5"/>
  <c r="AG744" i="5"/>
  <c r="AE744" i="5"/>
  <c r="AG776" i="5"/>
  <c r="AE776" i="5"/>
  <c r="BE1289" i="5"/>
  <c r="AG1318" i="5"/>
  <c r="AE1318" i="5"/>
  <c r="AF1498" i="5"/>
  <c r="AD1498" i="5"/>
  <c r="AW1385" i="5"/>
  <c r="AX25" i="5"/>
  <c r="J31" i="4"/>
  <c r="AU514" i="5"/>
  <c r="AX640" i="5"/>
  <c r="AX1006" i="5"/>
  <c r="M1348" i="5"/>
  <c r="L61" i="4" s="1"/>
  <c r="BF1086" i="5"/>
  <c r="K1086" i="5"/>
  <c r="BL1086" i="5"/>
  <c r="AG234" i="5"/>
  <c r="AE234" i="5"/>
  <c r="AG276" i="5"/>
  <c r="AE276" i="5"/>
  <c r="AX531" i="5"/>
  <c r="BE531" i="5"/>
  <c r="AX565" i="5"/>
  <c r="BE565" i="5"/>
  <c r="BE446" i="5"/>
  <c r="AX446" i="5"/>
  <c r="AX814" i="5"/>
  <c r="BE814" i="5"/>
  <c r="AG796" i="5"/>
  <c r="AE796" i="5"/>
  <c r="BE1232" i="5"/>
  <c r="AX1232" i="5"/>
  <c r="AX1196" i="5"/>
  <c r="BE1196" i="5"/>
  <c r="AH1098" i="5"/>
  <c r="AD1098" i="5"/>
  <c r="BE1301" i="5"/>
  <c r="AX1301" i="5"/>
  <c r="AF1532" i="5"/>
  <c r="AD1532" i="5"/>
  <c r="AI1476" i="5"/>
  <c r="AE1476" i="5"/>
  <c r="AG1508" i="5"/>
  <c r="AE1508" i="5"/>
  <c r="AG1471" i="5"/>
  <c r="AE1471" i="5"/>
  <c r="BE866" i="5"/>
  <c r="AV205" i="5"/>
  <c r="AX377" i="5"/>
  <c r="AU479" i="5"/>
  <c r="AW13" i="5"/>
  <c r="C20" i="1"/>
  <c r="AX73" i="5"/>
  <c r="J142" i="5"/>
  <c r="AV267" i="5"/>
  <c r="AW267" i="5"/>
  <c r="AV503" i="5"/>
  <c r="BE485" i="5"/>
  <c r="I553" i="5"/>
  <c r="L30" i="4"/>
  <c r="BE635" i="5"/>
  <c r="AX663" i="5"/>
  <c r="AX911" i="5"/>
  <c r="AX951" i="5"/>
  <c r="J1005" i="5"/>
  <c r="J1157" i="5"/>
  <c r="I68" i="4"/>
  <c r="L62" i="4"/>
  <c r="AU1356" i="5"/>
  <c r="M1446" i="5"/>
  <c r="L67" i="4" s="1"/>
  <c r="AX1322" i="5"/>
  <c r="BE1318" i="5"/>
  <c r="AE21" i="5"/>
  <c r="AG21" i="5"/>
  <c r="J174" i="5"/>
  <c r="AE27" i="5"/>
  <c r="AG27" i="5"/>
  <c r="AF289" i="5"/>
  <c r="AD289" i="5"/>
  <c r="BE544" i="5"/>
  <c r="AX544" i="5"/>
  <c r="AF302" i="5"/>
  <c r="AD302" i="5"/>
  <c r="AF357" i="5"/>
  <c r="AD357" i="5"/>
  <c r="AG392" i="5"/>
  <c r="AE392" i="5"/>
  <c r="AF688" i="5"/>
  <c r="AD688" i="5"/>
  <c r="AH806" i="5"/>
  <c r="AD806" i="5"/>
  <c r="AX1008" i="5"/>
  <c r="BE1008" i="5"/>
  <c r="BE776" i="5"/>
  <c r="AX1405" i="5"/>
  <c r="BE1405" i="5"/>
  <c r="BE1236" i="5"/>
  <c r="AX1236" i="5"/>
  <c r="BE1309" i="5"/>
  <c r="AX1309" i="5"/>
  <c r="AF1405" i="5"/>
  <c r="AD1405" i="5"/>
  <c r="AI658" i="5"/>
  <c r="AG658" i="5"/>
  <c r="AF1350" i="5"/>
  <c r="AD1350" i="5"/>
  <c r="AV245" i="5"/>
  <c r="I233" i="5"/>
  <c r="AX586" i="5"/>
  <c r="J514" i="5"/>
  <c r="I839" i="5"/>
  <c r="AV1118" i="5"/>
  <c r="I53" i="4"/>
  <c r="I1248" i="5"/>
  <c r="AX1279" i="5"/>
  <c r="L43" i="4"/>
  <c r="AX1417" i="5"/>
  <c r="AX1536" i="5"/>
  <c r="BE289" i="5"/>
  <c r="AX289" i="5"/>
  <c r="AG341" i="5"/>
  <c r="AE341" i="5"/>
  <c r="AF394" i="5"/>
  <c r="AD394" i="5"/>
  <c r="AX46" i="5"/>
  <c r="AH814" i="5"/>
  <c r="AD814" i="5"/>
  <c r="AG676" i="5"/>
  <c r="AE676" i="5"/>
  <c r="BE700" i="5"/>
  <c r="AX860" i="5"/>
  <c r="BE860" i="5"/>
  <c r="AG678" i="5"/>
  <c r="AE678" i="5"/>
  <c r="AX873" i="5"/>
  <c r="BE873" i="5"/>
  <c r="AI769" i="5"/>
  <c r="AE769" i="5"/>
  <c r="AF1111" i="5"/>
  <c r="AD1111" i="5"/>
  <c r="AF1413" i="5"/>
  <c r="AD1413" i="5"/>
  <c r="AH1493" i="5"/>
  <c r="AF1493" i="5"/>
  <c r="AH1491" i="5"/>
  <c r="AF1491" i="5"/>
  <c r="J245" i="5"/>
  <c r="I119" i="5"/>
  <c r="AX150" i="5"/>
  <c r="AV336" i="5"/>
  <c r="BE361" i="5"/>
  <c r="I414" i="5"/>
  <c r="AU673" i="5"/>
  <c r="L29" i="4"/>
  <c r="AX691" i="5"/>
  <c r="J839" i="5"/>
  <c r="I982" i="5"/>
  <c r="AU918" i="5"/>
  <c r="AU937" i="5"/>
  <c r="AX919" i="5"/>
  <c r="AV1248" i="5"/>
  <c r="I937" i="5"/>
  <c r="AW1505" i="5"/>
  <c r="I1468" i="5"/>
  <c r="AW1393" i="5"/>
  <c r="BE1522" i="5"/>
  <c r="AG188" i="5"/>
  <c r="AE188" i="5"/>
  <c r="BE650" i="5"/>
  <c r="AG62" i="5"/>
  <c r="AE62" i="5"/>
  <c r="BE1241" i="5"/>
  <c r="AX1241" i="5"/>
  <c r="BE1421" i="5"/>
  <c r="AX1421" i="5"/>
  <c r="AF1354" i="5"/>
  <c r="AD1354" i="5"/>
  <c r="BE1366" i="5"/>
  <c r="AX1366" i="5"/>
  <c r="AF349" i="5"/>
  <c r="AD349" i="5"/>
  <c r="AF237" i="5"/>
  <c r="AD237" i="5"/>
  <c r="AG349" i="5"/>
  <c r="AE349" i="5"/>
  <c r="AF386" i="5"/>
  <c r="AD386" i="5"/>
  <c r="AX501" i="5"/>
  <c r="BE501" i="5"/>
  <c r="BE62" i="5"/>
  <c r="AX62" i="5"/>
  <c r="AX480" i="5"/>
  <c r="BE480" i="5"/>
  <c r="BE637" i="5"/>
  <c r="AX724" i="5"/>
  <c r="BE724" i="5"/>
  <c r="BE879" i="5"/>
  <c r="AX879" i="5"/>
  <c r="AI633" i="5"/>
  <c r="AG633" i="5"/>
  <c r="AD885" i="5"/>
  <c r="AF885" i="5"/>
  <c r="BE703" i="5"/>
  <c r="BE1249" i="5"/>
  <c r="AX1249" i="5"/>
  <c r="BE1111" i="5"/>
  <c r="AX1111" i="5"/>
  <c r="AG1101" i="5"/>
  <c r="AE1101" i="5"/>
  <c r="AF1486" i="5"/>
  <c r="AD1486" i="5"/>
  <c r="AF1366" i="5"/>
  <c r="AD1366" i="5"/>
  <c r="C27" i="1"/>
  <c r="K50" i="4"/>
  <c r="K22" i="3"/>
  <c r="P24" i="4"/>
  <c r="L50" i="4"/>
  <c r="L19" i="3"/>
  <c r="AD38" i="5"/>
  <c r="AH38" i="5"/>
  <c r="AF38" i="5"/>
  <c r="AE88" i="5"/>
  <c r="AI88" i="5"/>
  <c r="AG88" i="5"/>
  <c r="AI41" i="5"/>
  <c r="AE41" i="5"/>
  <c r="AG41" i="5"/>
  <c r="BE139" i="5"/>
  <c r="AX139" i="5"/>
  <c r="AD128" i="5"/>
  <c r="AH128" i="5"/>
  <c r="AF128" i="5"/>
  <c r="AH458" i="5"/>
  <c r="AD458" i="5"/>
  <c r="AF458" i="5"/>
  <c r="AI674" i="5"/>
  <c r="AE674" i="5"/>
  <c r="AG674" i="5"/>
  <c r="AD765" i="5"/>
  <c r="AH765" i="5"/>
  <c r="AF765" i="5"/>
  <c r="AH96" i="5"/>
  <c r="AF96" i="5"/>
  <c r="AD96" i="5"/>
  <c r="AE82" i="5"/>
  <c r="AG82" i="5"/>
  <c r="AI82" i="5"/>
  <c r="BE80" i="5"/>
  <c r="AX80" i="5"/>
  <c r="AX65" i="5"/>
  <c r="BE65" i="5"/>
  <c r="J14" i="4"/>
  <c r="BE49" i="5"/>
  <c r="AI398" i="5"/>
  <c r="AE398" i="5"/>
  <c r="AG398" i="5"/>
  <c r="AH989" i="5"/>
  <c r="AD989" i="5"/>
  <c r="AF989" i="5"/>
  <c r="AH1424" i="5"/>
  <c r="AD1424" i="5"/>
  <c r="AF1424" i="5"/>
  <c r="BE1246" i="5"/>
  <c r="AX1246" i="5"/>
  <c r="AX1428" i="5"/>
  <c r="BE1428" i="5"/>
  <c r="I70" i="4"/>
  <c r="BE1479" i="5"/>
  <c r="AX1479" i="5"/>
  <c r="AH1383" i="5"/>
  <c r="AF1383" i="5"/>
  <c r="AD1383" i="5"/>
  <c r="AG1322" i="5"/>
  <c r="AI1322" i="5"/>
  <c r="AE1322" i="5"/>
  <c r="P18" i="4"/>
  <c r="BE122" i="5"/>
  <c r="AX122" i="5"/>
  <c r="AX128" i="5"/>
  <c r="BE128" i="5"/>
  <c r="AI172" i="5"/>
  <c r="AE172" i="5"/>
  <c r="AG172" i="5"/>
  <c r="AI298" i="5"/>
  <c r="AE298" i="5"/>
  <c r="AG298" i="5"/>
  <c r="AI257" i="5"/>
  <c r="AE257" i="5"/>
  <c r="AG257" i="5"/>
  <c r="BE320" i="5"/>
  <c r="AX320" i="5"/>
  <c r="AG432" i="5"/>
  <c r="AI432" i="5"/>
  <c r="AE432" i="5"/>
  <c r="BE408" i="5"/>
  <c r="AX408" i="5"/>
  <c r="AV609" i="5"/>
  <c r="AI570" i="5"/>
  <c r="AE570" i="5"/>
  <c r="AG570" i="5"/>
  <c r="AX582" i="5"/>
  <c r="BE582" i="5"/>
  <c r="AX933" i="5"/>
  <c r="BE933" i="5"/>
  <c r="AX1070" i="5"/>
  <c r="AE1119" i="5"/>
  <c r="AI1119" i="5"/>
  <c r="AG1119" i="5"/>
  <c r="BE1061" i="5"/>
  <c r="AH1149" i="5"/>
  <c r="AD1149" i="5"/>
  <c r="AF1149" i="5"/>
  <c r="J28" i="4"/>
  <c r="AW319" i="5"/>
  <c r="J38" i="4"/>
  <c r="AE941" i="5"/>
  <c r="AG941" i="5"/>
  <c r="AI941" i="5"/>
  <c r="AX1153" i="5"/>
  <c r="AH1053" i="5"/>
  <c r="AD1053" i="5"/>
  <c r="AF1053" i="5"/>
  <c r="AI1172" i="5"/>
  <c r="AE1172" i="5"/>
  <c r="AG1172" i="5"/>
  <c r="AD1226" i="5"/>
  <c r="AH1226" i="5"/>
  <c r="AF1226" i="5"/>
  <c r="AH1283" i="5"/>
  <c r="AD1283" i="5"/>
  <c r="AF1283" i="5"/>
  <c r="AX1456" i="5"/>
  <c r="N20" i="3"/>
  <c r="P20" i="3"/>
  <c r="AH1559" i="5"/>
  <c r="AD1559" i="5"/>
  <c r="AF1559" i="5"/>
  <c r="AH1541" i="5"/>
  <c r="AF1541" i="5"/>
  <c r="AD1541" i="5"/>
  <c r="I47" i="4"/>
  <c r="BE1090" i="5"/>
  <c r="AX1090" i="5"/>
  <c r="K47" i="4" s="1"/>
  <c r="I1157" i="5"/>
  <c r="AI1357" i="5"/>
  <c r="AE1357" i="5"/>
  <c r="AG1357" i="5"/>
  <c r="AX1291" i="5"/>
  <c r="BE1291" i="5"/>
  <c r="J64" i="4"/>
  <c r="BE1386" i="5"/>
  <c r="AF1512" i="5"/>
  <c r="AH1512" i="5"/>
  <c r="AD1512" i="5"/>
  <c r="AG23" i="5"/>
  <c r="AI23" i="5"/>
  <c r="AE23" i="5"/>
  <c r="AX23" i="5"/>
  <c r="AX49" i="5"/>
  <c r="AD179" i="5"/>
  <c r="AH179" i="5"/>
  <c r="AF179" i="5"/>
  <c r="AU267" i="5"/>
  <c r="AG203" i="5"/>
  <c r="AE203" i="5"/>
  <c r="AI203" i="5"/>
  <c r="BE172" i="5"/>
  <c r="AE264" i="5"/>
  <c r="AG264" i="5"/>
  <c r="AI264" i="5"/>
  <c r="AF276" i="5"/>
  <c r="AH276" i="5"/>
  <c r="AD276" i="5"/>
  <c r="AX313" i="5"/>
  <c r="BE313" i="5"/>
  <c r="AV294" i="5"/>
  <c r="AX216" i="5"/>
  <c r="BE216" i="5"/>
  <c r="AE310" i="5"/>
  <c r="AG310" i="5"/>
  <c r="AI310" i="5"/>
  <c r="AU319" i="5"/>
  <c r="AW514" i="5"/>
  <c r="AX549" i="5"/>
  <c r="BE549" i="5"/>
  <c r="BE363" i="5"/>
  <c r="AX386" i="5"/>
  <c r="BE386" i="5"/>
  <c r="AX444" i="5"/>
  <c r="AD284" i="5"/>
  <c r="AF284" i="5"/>
  <c r="AH284" i="5"/>
  <c r="AH455" i="5"/>
  <c r="AD455" i="5"/>
  <c r="AF455" i="5"/>
  <c r="BE527" i="5"/>
  <c r="AU553" i="5"/>
  <c r="AI592" i="5"/>
  <c r="AE592" i="5"/>
  <c r="AG592" i="5"/>
  <c r="AE623" i="5"/>
  <c r="AI623" i="5"/>
  <c r="AG623" i="5"/>
  <c r="BE439" i="5"/>
  <c r="BE379" i="5"/>
  <c r="BE525" i="5"/>
  <c r="AX525" i="5"/>
  <c r="AX572" i="5"/>
  <c r="BE572" i="5"/>
  <c r="AX678" i="5"/>
  <c r="BE678" i="5"/>
  <c r="AE715" i="5"/>
  <c r="AI715" i="5"/>
  <c r="AG715" i="5"/>
  <c r="AX625" i="5"/>
  <c r="BE625" i="5"/>
  <c r="AI635" i="5"/>
  <c r="AE635" i="5"/>
  <c r="AG635" i="5"/>
  <c r="AW645" i="5"/>
  <c r="AE586" i="5"/>
  <c r="AG586" i="5"/>
  <c r="AI586" i="5"/>
  <c r="AH682" i="5"/>
  <c r="AF682" i="5"/>
  <c r="AD682" i="5"/>
  <c r="AE772" i="5"/>
  <c r="AG772" i="5"/>
  <c r="AI772" i="5"/>
  <c r="AI616" i="5"/>
  <c r="AG616" i="5"/>
  <c r="AE616" i="5"/>
  <c r="AH648" i="5"/>
  <c r="AD648" i="5"/>
  <c r="AF648" i="5"/>
  <c r="I37" i="4"/>
  <c r="AX769" i="5"/>
  <c r="BE769" i="5"/>
  <c r="AE879" i="5"/>
  <c r="AG879" i="5"/>
  <c r="AI879" i="5"/>
  <c r="AI648" i="5"/>
  <c r="AE648" i="5"/>
  <c r="AG648" i="5"/>
  <c r="I40" i="4"/>
  <c r="BE736" i="5"/>
  <c r="AX736" i="5"/>
  <c r="AX881" i="5"/>
  <c r="BE881" i="5"/>
  <c r="AV1108" i="5"/>
  <c r="AX730" i="5"/>
  <c r="BE730" i="5"/>
  <c r="AV1005" i="5"/>
  <c r="BE995" i="5"/>
  <c r="AX995" i="5"/>
  <c r="AX1018" i="5"/>
  <c r="BE1018" i="5"/>
  <c r="AU1118" i="5"/>
  <c r="AX1137" i="5"/>
  <c r="BE929" i="5"/>
  <c r="AX1200" i="5"/>
  <c r="BE1200" i="5"/>
  <c r="AD967" i="5"/>
  <c r="AH967" i="5"/>
  <c r="AF967" i="5"/>
  <c r="AX1287" i="5"/>
  <c r="AD1303" i="5"/>
  <c r="AH1303" i="5"/>
  <c r="AF1303" i="5"/>
  <c r="AG1012" i="5"/>
  <c r="AI1012" i="5"/>
  <c r="AE1012" i="5"/>
  <c r="AE1125" i="5"/>
  <c r="AG1125" i="5"/>
  <c r="AI1125" i="5"/>
  <c r="I62" i="4"/>
  <c r="BE1350" i="5"/>
  <c r="AX1350" i="5"/>
  <c r="AD1106" i="5"/>
  <c r="AF1106" i="5"/>
  <c r="AH1106" i="5"/>
  <c r="BE1226" i="5"/>
  <c r="AX1226" i="5"/>
  <c r="I1030" i="5"/>
  <c r="AX1214" i="5"/>
  <c r="BE1214" i="5"/>
  <c r="AX1361" i="5"/>
  <c r="BE1396" i="5"/>
  <c r="J68" i="4"/>
  <c r="BE1493" i="5"/>
  <c r="AX1493" i="5"/>
  <c r="AD1263" i="5"/>
  <c r="AH1263" i="5"/>
  <c r="AF1263" i="5"/>
  <c r="AI1121" i="5"/>
  <c r="AG1121" i="5"/>
  <c r="AE1121" i="5"/>
  <c r="AX1371" i="5"/>
  <c r="BE1371" i="5"/>
  <c r="AH1415" i="5"/>
  <c r="AD1415" i="5"/>
  <c r="AF1415" i="5"/>
  <c r="J71" i="4"/>
  <c r="AX1491" i="5"/>
  <c r="AE1413" i="5"/>
  <c r="AG1413" i="5"/>
  <c r="AI1413" i="5"/>
  <c r="AX976" i="5"/>
  <c r="I17" i="3"/>
  <c r="I46" i="4"/>
  <c r="I65" i="4"/>
  <c r="BE1391" i="5"/>
  <c r="AX1391" i="5"/>
  <c r="P69" i="4"/>
  <c r="AX1176" i="5"/>
  <c r="BE1176" i="5"/>
  <c r="J65" i="4"/>
  <c r="AI1453" i="5"/>
  <c r="AE1453" i="5"/>
  <c r="AG1453" i="5"/>
  <c r="AE1311" i="5"/>
  <c r="AI1311" i="5"/>
  <c r="AG1311" i="5"/>
  <c r="AE1338" i="5"/>
  <c r="AI1338" i="5"/>
  <c r="AG1338" i="5"/>
  <c r="AH1221" i="5"/>
  <c r="AD1221" i="5"/>
  <c r="AF1221" i="5"/>
  <c r="L20" i="3"/>
  <c r="L57" i="4"/>
  <c r="P66" i="4"/>
  <c r="J72" i="4"/>
  <c r="BE1496" i="5"/>
  <c r="AI718" i="5"/>
  <c r="AG718" i="5"/>
  <c r="AE718" i="5"/>
  <c r="BE1407" i="5"/>
  <c r="AE253" i="5"/>
  <c r="AG253" i="5"/>
  <c r="AI253" i="5"/>
  <c r="J25" i="4"/>
  <c r="AX206" i="5"/>
  <c r="AD379" i="5"/>
  <c r="AH379" i="5"/>
  <c r="AF379" i="5"/>
  <c r="AX291" i="5"/>
  <c r="BE291" i="5"/>
  <c r="AI444" i="5"/>
  <c r="AE444" i="5"/>
  <c r="AG444" i="5"/>
  <c r="AI546" i="5"/>
  <c r="AE546" i="5"/>
  <c r="AG546" i="5"/>
  <c r="AX604" i="5"/>
  <c r="BE604" i="5"/>
  <c r="AX392" i="5"/>
  <c r="BE392" i="5"/>
  <c r="AE1061" i="5"/>
  <c r="AI1061" i="5"/>
  <c r="AG1061" i="5"/>
  <c r="AX1141" i="5"/>
  <c r="BE1141" i="5"/>
  <c r="AX1168" i="5"/>
  <c r="BE1168" i="5"/>
  <c r="AE1216" i="5"/>
  <c r="AI1216" i="5"/>
  <c r="AG1216" i="5"/>
  <c r="AH1238" i="5"/>
  <c r="AD1238" i="5"/>
  <c r="AF1238" i="5"/>
  <c r="AD1145" i="5"/>
  <c r="AH1145" i="5"/>
  <c r="AF1145" i="5"/>
  <c r="AF1158" i="5"/>
  <c r="AD1158" i="5"/>
  <c r="AH1158" i="5"/>
  <c r="AH1456" i="5"/>
  <c r="AD1456" i="5"/>
  <c r="AF1456" i="5"/>
  <c r="AX38" i="5"/>
  <c r="BE38" i="5"/>
  <c r="I21" i="4"/>
  <c r="BE154" i="5"/>
  <c r="AX154" i="5"/>
  <c r="K21" i="4" s="1"/>
  <c r="BE282" i="5"/>
  <c r="AX282" i="5"/>
  <c r="AX402" i="5"/>
  <c r="AW553" i="5"/>
  <c r="BE744" i="5"/>
  <c r="AX744" i="5"/>
  <c r="AH1174" i="5"/>
  <c r="AD1174" i="5"/>
  <c r="AF1174" i="5"/>
  <c r="AX1192" i="5"/>
  <c r="BE1192" i="5"/>
  <c r="BE1426" i="5"/>
  <c r="AX1426" i="5"/>
  <c r="AI1212" i="5"/>
  <c r="AE1212" i="5"/>
  <c r="AG1212" i="5"/>
  <c r="AH1291" i="5"/>
  <c r="AD1291" i="5"/>
  <c r="AF1291" i="5"/>
  <c r="I63" i="4"/>
  <c r="BE1374" i="5"/>
  <c r="AX1374" i="5"/>
  <c r="AX1255" i="5"/>
  <c r="BE1255" i="5"/>
  <c r="AI1491" i="5"/>
  <c r="AG1491" i="5"/>
  <c r="AE1491" i="5"/>
  <c r="AF122" i="5"/>
  <c r="AH122" i="5"/>
  <c r="AD122" i="5"/>
  <c r="AX257" i="5"/>
  <c r="AI331" i="5"/>
  <c r="AE331" i="5"/>
  <c r="AG331" i="5"/>
  <c r="BE464" i="5"/>
  <c r="AX464" i="5"/>
  <c r="AV553" i="5"/>
  <c r="AH661" i="5"/>
  <c r="AD661" i="5"/>
  <c r="AF661" i="5"/>
  <c r="P36" i="4"/>
  <c r="AI1153" i="5"/>
  <c r="AE1153" i="5"/>
  <c r="AG1153" i="5"/>
  <c r="AI1220" i="5"/>
  <c r="AE1220" i="5"/>
  <c r="AG1220" i="5"/>
  <c r="AH1326" i="5"/>
  <c r="AD1326" i="5"/>
  <c r="AF1326" i="5"/>
  <c r="AX1174" i="5"/>
  <c r="BE1174" i="5"/>
  <c r="AX1208" i="5"/>
  <c r="BE1208" i="5"/>
  <c r="AE1263" i="5"/>
  <c r="AI1263" i="5"/>
  <c r="AG1263" i="5"/>
  <c r="AH1307" i="5"/>
  <c r="AD1307" i="5"/>
  <c r="AF1307" i="5"/>
  <c r="AX1031" i="5"/>
  <c r="BE1031" i="5"/>
  <c r="AH1214" i="5"/>
  <c r="AD1214" i="5"/>
  <c r="AF1214" i="5"/>
  <c r="K1446" i="5"/>
  <c r="Q1446" i="5" s="1"/>
  <c r="Q1567" i="5" s="1"/>
  <c r="K24" i="3"/>
  <c r="K74" i="4"/>
  <c r="AX1376" i="5"/>
  <c r="BE1376" i="5"/>
  <c r="AE1176" i="5"/>
  <c r="AI1176" i="5"/>
  <c r="AG1176" i="5"/>
  <c r="AE1335" i="5"/>
  <c r="AI1335" i="5"/>
  <c r="AG1335" i="5"/>
  <c r="J1455" i="5"/>
  <c r="AX1473" i="5"/>
  <c r="BE1473" i="5"/>
  <c r="AI1493" i="5"/>
  <c r="AG1493" i="5"/>
  <c r="AE1493" i="5"/>
  <c r="AI1188" i="5"/>
  <c r="AE1188" i="5"/>
  <c r="AG1188" i="5"/>
  <c r="K12" i="5"/>
  <c r="I14" i="4"/>
  <c r="AH73" i="5"/>
  <c r="AD73" i="5"/>
  <c r="AF73" i="5"/>
  <c r="J18" i="4"/>
  <c r="BE116" i="5"/>
  <c r="AH36" i="5"/>
  <c r="AD36" i="5"/>
  <c r="AF36" i="5"/>
  <c r="I132" i="5"/>
  <c r="BE82" i="5"/>
  <c r="AG67" i="5"/>
  <c r="AI67" i="5"/>
  <c r="AE67" i="5"/>
  <c r="AH175" i="5"/>
  <c r="AD175" i="5"/>
  <c r="AF175" i="5"/>
  <c r="AE229" i="5"/>
  <c r="AI229" i="5"/>
  <c r="AG229" i="5"/>
  <c r="AX172" i="5"/>
  <c r="AX220" i="5"/>
  <c r="AX274" i="5"/>
  <c r="BE274" i="5"/>
  <c r="AD313" i="5"/>
  <c r="AF313" i="5"/>
  <c r="AH313" i="5"/>
  <c r="AU294" i="5"/>
  <c r="BE240" i="5"/>
  <c r="AX240" i="5"/>
  <c r="AG295" i="5"/>
  <c r="AI295" i="5"/>
  <c r="AE295" i="5"/>
  <c r="AD339" i="5"/>
  <c r="AH339" i="5"/>
  <c r="AF339" i="5"/>
  <c r="AD353" i="5"/>
  <c r="AF353" i="5"/>
  <c r="AH353" i="5"/>
  <c r="AD388" i="5"/>
  <c r="AF388" i="5"/>
  <c r="AH388" i="5"/>
  <c r="BE369" i="5"/>
  <c r="AX369" i="5"/>
  <c r="BE406" i="5"/>
  <c r="AE386" i="5"/>
  <c r="AG386" i="5"/>
  <c r="AI386" i="5"/>
  <c r="BE284" i="5"/>
  <c r="AX284" i="5"/>
  <c r="BE455" i="5"/>
  <c r="AX455" i="5"/>
  <c r="BE599" i="5"/>
  <c r="AX509" i="5"/>
  <c r="BE509" i="5"/>
  <c r="AI580" i="5"/>
  <c r="AE580" i="5"/>
  <c r="AG580" i="5"/>
  <c r="AX410" i="5"/>
  <c r="BE410" i="5"/>
  <c r="AI306" i="5"/>
  <c r="AE306" i="5"/>
  <c r="AG306" i="5"/>
  <c r="AU654" i="5"/>
  <c r="AH536" i="5"/>
  <c r="AF536" i="5"/>
  <c r="AD536" i="5"/>
  <c r="AD718" i="5"/>
  <c r="AF718" i="5"/>
  <c r="AH718" i="5"/>
  <c r="AX353" i="5"/>
  <c r="AV639" i="5"/>
  <c r="BE718" i="5"/>
  <c r="I768" i="5"/>
  <c r="J39" i="4"/>
  <c r="AH736" i="5"/>
  <c r="AD736" i="5"/>
  <c r="AF736" i="5"/>
  <c r="AE850" i="5"/>
  <c r="AG850" i="5"/>
  <c r="AI850" i="5"/>
  <c r="AI960" i="5"/>
  <c r="AE960" i="5"/>
  <c r="AG960" i="5"/>
  <c r="AX997" i="5"/>
  <c r="BE997" i="5"/>
  <c r="BE633" i="5"/>
  <c r="AX633" i="5"/>
  <c r="AI730" i="5"/>
  <c r="AG730" i="5"/>
  <c r="AE730" i="5"/>
  <c r="AD876" i="5"/>
  <c r="AH876" i="5"/>
  <c r="AF876" i="5"/>
  <c r="AE554" i="5"/>
  <c r="AG554" i="5"/>
  <c r="AI554" i="5"/>
  <c r="BE798" i="5"/>
  <c r="AX798" i="5"/>
  <c r="BE1012" i="5"/>
  <c r="AX1012" i="5"/>
  <c r="AE1103" i="5"/>
  <c r="AI1103" i="5"/>
  <c r="AG1103" i="5"/>
  <c r="AX1073" i="5"/>
  <c r="BE1073" i="5"/>
  <c r="AX1014" i="5"/>
  <c r="AX1121" i="5"/>
  <c r="BE967" i="5"/>
  <c r="AX967" i="5"/>
  <c r="BE1027" i="5"/>
  <c r="BE1082" i="5"/>
  <c r="AE1184" i="5"/>
  <c r="AI1184" i="5"/>
  <c r="AG1184" i="5"/>
  <c r="AD1243" i="5"/>
  <c r="AH1243" i="5"/>
  <c r="AF1243" i="5"/>
  <c r="AI1267" i="5"/>
  <c r="AE1267" i="5"/>
  <c r="AG1267" i="5"/>
  <c r="AX1386" i="5"/>
  <c r="K64" i="4" s="1"/>
  <c r="AX1106" i="5"/>
  <c r="BE1106" i="5"/>
  <c r="AX1238" i="5"/>
  <c r="BE1238" i="5"/>
  <c r="AV1317" i="5"/>
  <c r="J51" i="4"/>
  <c r="AV1495" i="5"/>
  <c r="AX1263" i="5"/>
  <c r="BE1263" i="5"/>
  <c r="J1118" i="5"/>
  <c r="AX1461" i="5"/>
  <c r="BE1461" i="5"/>
  <c r="N52" i="4"/>
  <c r="P52" i="4"/>
  <c r="AH1463" i="5"/>
  <c r="AD1463" i="5"/>
  <c r="AF1463" i="5"/>
  <c r="AX1541" i="5"/>
  <c r="BE1541" i="5"/>
  <c r="AW1423" i="5"/>
  <c r="AI1481" i="5"/>
  <c r="AE1481" i="5"/>
  <c r="AG1481" i="5"/>
  <c r="AH1530" i="5"/>
  <c r="AD1530" i="5"/>
  <c r="AF1530" i="5"/>
  <c r="AX1221" i="5"/>
  <c r="BE1221" i="5"/>
  <c r="AX1415" i="5"/>
  <c r="BE1415" i="5"/>
  <c r="J56" i="4"/>
  <c r="AX1338" i="5"/>
  <c r="K56" i="4" s="1"/>
  <c r="BE1338" i="5"/>
  <c r="BE1188" i="5"/>
  <c r="AX1188" i="5"/>
  <c r="N44" i="4"/>
  <c r="BE1530" i="5"/>
  <c r="AH234" i="5"/>
  <c r="AD234" i="5"/>
  <c r="AF234" i="5"/>
  <c r="AX430" i="5"/>
  <c r="BE430" i="5"/>
  <c r="AX694" i="5"/>
  <c r="BE694" i="5"/>
  <c r="AX706" i="5"/>
  <c r="BE706" i="5"/>
  <c r="AE808" i="5"/>
  <c r="AG808" i="5"/>
  <c r="AI808" i="5"/>
  <c r="AX885" i="5"/>
  <c r="BE885" i="5"/>
  <c r="AE1082" i="5"/>
  <c r="AI1082" i="5"/>
  <c r="AG1082" i="5"/>
  <c r="AH1113" i="5"/>
  <c r="AD1113" i="5"/>
  <c r="AF1113" i="5"/>
  <c r="AX1190" i="5"/>
  <c r="BE1190" i="5"/>
  <c r="AG1402" i="5"/>
  <c r="AE1402" i="5"/>
  <c r="AI1402" i="5"/>
  <c r="J16" i="4"/>
  <c r="BE108" i="5"/>
  <c r="AE163" i="5"/>
  <c r="AG163" i="5"/>
  <c r="AI163" i="5"/>
  <c r="BE255" i="5"/>
  <c r="AI216" i="5"/>
  <c r="AE216" i="5"/>
  <c r="AG216" i="5"/>
  <c r="AD464" i="5"/>
  <c r="AH464" i="5"/>
  <c r="AF464" i="5"/>
  <c r="L33" i="4"/>
  <c r="AE504" i="5"/>
  <c r="AI504" i="5"/>
  <c r="AG504" i="5"/>
  <c r="BE680" i="5"/>
  <c r="AX680" i="5"/>
  <c r="AE697" i="5"/>
  <c r="AG697" i="5"/>
  <c r="AI697" i="5"/>
  <c r="AI754" i="5"/>
  <c r="AG754" i="5"/>
  <c r="AE754" i="5"/>
  <c r="AX1113" i="5"/>
  <c r="BE1113" i="5"/>
  <c r="AX1216" i="5"/>
  <c r="BE1216" i="5"/>
  <c r="BE1512" i="5"/>
  <c r="AX1512" i="5"/>
  <c r="AX1335" i="5"/>
  <c r="BE1335" i="5"/>
  <c r="AF1469" i="5"/>
  <c r="AD1469" i="5"/>
  <c r="AH1469" i="5"/>
  <c r="AE1151" i="5"/>
  <c r="AG1151" i="5"/>
  <c r="AI1151" i="5"/>
  <c r="AI150" i="5"/>
  <c r="AG150" i="5"/>
  <c r="AE150" i="5"/>
  <c r="M183" i="5"/>
  <c r="AI286" i="5"/>
  <c r="AE286" i="5"/>
  <c r="AG286" i="5"/>
  <c r="I29" i="4"/>
  <c r="AX466" i="5"/>
  <c r="BE466" i="5"/>
  <c r="BE652" i="5"/>
  <c r="AX652" i="5"/>
  <c r="AI406" i="5"/>
  <c r="AE406" i="5"/>
  <c r="AG406" i="5"/>
  <c r="AH625" i="5"/>
  <c r="AD625" i="5"/>
  <c r="AF625" i="5"/>
  <c r="AI760" i="5"/>
  <c r="AE760" i="5"/>
  <c r="AG760" i="5"/>
  <c r="AD709" i="5"/>
  <c r="AH709" i="5"/>
  <c r="AF709" i="5"/>
  <c r="AD812" i="5"/>
  <c r="AH812" i="5"/>
  <c r="AF812" i="5"/>
  <c r="AU839" i="5"/>
  <c r="AD798" i="5"/>
  <c r="AH798" i="5"/>
  <c r="AF798" i="5"/>
  <c r="J13" i="4"/>
  <c r="AH82" i="5"/>
  <c r="AD82" i="5"/>
  <c r="AF82" i="5"/>
  <c r="BE36" i="5"/>
  <c r="AX36" i="5"/>
  <c r="BE104" i="5"/>
  <c r="AX104" i="5"/>
  <c r="AD240" i="5"/>
  <c r="AH240" i="5"/>
  <c r="AF240" i="5"/>
  <c r="AH390" i="5"/>
  <c r="AD390" i="5"/>
  <c r="AF390" i="5"/>
  <c r="J27" i="4"/>
  <c r="J294" i="5"/>
  <c r="BE339" i="5"/>
  <c r="AX339" i="5"/>
  <c r="AE396" i="5"/>
  <c r="AG396" i="5"/>
  <c r="AI396" i="5"/>
  <c r="AF345" i="5"/>
  <c r="AD345" i="5"/>
  <c r="AH345" i="5"/>
  <c r="AW479" i="5"/>
  <c r="AF371" i="5"/>
  <c r="AH371" i="5"/>
  <c r="AD371" i="5"/>
  <c r="AD408" i="5"/>
  <c r="AH408" i="5"/>
  <c r="AF408" i="5"/>
  <c r="AG353" i="5"/>
  <c r="AI353" i="5"/>
  <c r="AE353" i="5"/>
  <c r="AW414" i="5"/>
  <c r="AD580" i="5"/>
  <c r="AF580" i="5"/>
  <c r="AH580" i="5"/>
  <c r="AH582" i="5"/>
  <c r="AF582" i="5"/>
  <c r="AD582" i="5"/>
  <c r="I609" i="5"/>
  <c r="BE546" i="5"/>
  <c r="AE765" i="5"/>
  <c r="AI765" i="5"/>
  <c r="AG765" i="5"/>
  <c r="BE671" i="5"/>
  <c r="AE669" i="5"/>
  <c r="AG669" i="5"/>
  <c r="AI669" i="5"/>
  <c r="AX685" i="5"/>
  <c r="BE685" i="5"/>
  <c r="AD646" i="5"/>
  <c r="AF646" i="5"/>
  <c r="AH646" i="5"/>
  <c r="J820" i="5"/>
  <c r="AE885" i="5"/>
  <c r="AG885" i="5"/>
  <c r="AI885" i="5"/>
  <c r="AW918" i="5"/>
  <c r="AX782" i="5"/>
  <c r="BE782" i="5"/>
  <c r="AV803" i="5"/>
  <c r="AX835" i="5"/>
  <c r="BE835" i="5"/>
  <c r="BE987" i="5"/>
  <c r="AX987" i="5"/>
  <c r="AX671" i="5"/>
  <c r="AH633" i="5"/>
  <c r="AD633" i="5"/>
  <c r="AF633" i="5"/>
  <c r="AX970" i="5"/>
  <c r="AE863" i="5"/>
  <c r="AI863" i="5"/>
  <c r="AG863" i="5"/>
  <c r="AD1049" i="5"/>
  <c r="AH1049" i="5"/>
  <c r="AF1049" i="5"/>
  <c r="L16" i="3"/>
  <c r="L44" i="4"/>
  <c r="AI1109" i="5"/>
  <c r="AE1109" i="5"/>
  <c r="AG1109" i="5"/>
  <c r="AD1025" i="5"/>
  <c r="AH1025" i="5"/>
  <c r="AF1025" i="5"/>
  <c r="AW1118" i="5"/>
  <c r="AX1053" i="5"/>
  <c r="BE1053" i="5"/>
  <c r="AI1204" i="5"/>
  <c r="AE1204" i="5"/>
  <c r="AG1204" i="5"/>
  <c r="AX1027" i="5"/>
  <c r="AE1223" i="5"/>
  <c r="AI1223" i="5"/>
  <c r="AG1223" i="5"/>
  <c r="AX1160" i="5"/>
  <c r="BE1160" i="5"/>
  <c r="AV1356" i="5"/>
  <c r="AD1003" i="5"/>
  <c r="AF1003" i="5"/>
  <c r="AH1003" i="5"/>
  <c r="AX1206" i="5"/>
  <c r="BE1206" i="5"/>
  <c r="J62" i="4"/>
  <c r="AD1271" i="5"/>
  <c r="AH1271" i="5"/>
  <c r="AF1271" i="5"/>
  <c r="AU1317" i="5"/>
  <c r="AI1559" i="5"/>
  <c r="AG1559" i="5"/>
  <c r="AE1559" i="5"/>
  <c r="AE1388" i="5"/>
  <c r="AG1388" i="5"/>
  <c r="AI1388" i="5"/>
  <c r="AX1488" i="5"/>
  <c r="BE1488" i="5"/>
  <c r="AH1484" i="5"/>
  <c r="AD1484" i="5"/>
  <c r="AF1484" i="5"/>
  <c r="P58" i="4"/>
  <c r="BE1434" i="5"/>
  <c r="AX1434" i="5"/>
  <c r="AI1539" i="5"/>
  <c r="AE1539" i="5"/>
  <c r="AG1539" i="5"/>
  <c r="AX1436" i="5"/>
  <c r="BE1436" i="5"/>
  <c r="AI1291" i="5"/>
  <c r="AE1291" i="5"/>
  <c r="AG1291" i="5"/>
  <c r="AD1391" i="5"/>
  <c r="AF1391" i="5"/>
  <c r="AH1391" i="5"/>
  <c r="AG1448" i="5"/>
  <c r="AE1448" i="5"/>
  <c r="AI1448" i="5"/>
  <c r="N16" i="3"/>
  <c r="BE1399" i="5"/>
  <c r="L15" i="4"/>
  <c r="L13" i="3"/>
  <c r="AX237" i="5"/>
  <c r="BE237" i="5"/>
  <c r="AI379" i="5"/>
  <c r="AG379" i="5"/>
  <c r="AE379" i="5"/>
  <c r="AX726" i="5"/>
  <c r="BE726" i="5"/>
  <c r="AD863" i="5"/>
  <c r="AH863" i="5"/>
  <c r="AF863" i="5"/>
  <c r="AG738" i="5"/>
  <c r="AE738" i="5"/>
  <c r="AI738" i="5"/>
  <c r="AX812" i="5"/>
  <c r="BE812" i="5"/>
  <c r="AU982" i="5"/>
  <c r="K17" i="3"/>
  <c r="K46" i="4"/>
  <c r="AE1149" i="5"/>
  <c r="AG1149" i="5"/>
  <c r="AI1149" i="5"/>
  <c r="AI952" i="5"/>
  <c r="AE952" i="5"/>
  <c r="AG952" i="5"/>
  <c r="AX1184" i="5"/>
  <c r="BE1184" i="5"/>
  <c r="AX1299" i="5"/>
  <c r="BE1299" i="5"/>
  <c r="AD1255" i="5"/>
  <c r="AH1255" i="5"/>
  <c r="AF1255" i="5"/>
  <c r="AI1369" i="5"/>
  <c r="AE1369" i="5"/>
  <c r="AG1369" i="5"/>
  <c r="AI1469" i="5"/>
  <c r="AE1469" i="5"/>
  <c r="AG1469" i="5"/>
  <c r="AX1040" i="5"/>
  <c r="BE1040" i="5"/>
  <c r="P59" i="4"/>
  <c r="N59" i="4"/>
  <c r="I30" i="4"/>
  <c r="AX474" i="5"/>
  <c r="BE474" i="5"/>
  <c r="AX595" i="5"/>
  <c r="BE595" i="5"/>
  <c r="AH392" i="5"/>
  <c r="AF392" i="5"/>
  <c r="AD392" i="5"/>
  <c r="I33" i="4"/>
  <c r="AD782" i="5"/>
  <c r="AH782" i="5"/>
  <c r="AF782" i="5"/>
  <c r="AH881" i="5"/>
  <c r="AF881" i="5"/>
  <c r="AD881" i="5"/>
  <c r="AW982" i="5"/>
  <c r="AW1100" i="5"/>
  <c r="AH1031" i="5"/>
  <c r="AD1031" i="5"/>
  <c r="AF1031" i="5"/>
  <c r="AX1352" i="5"/>
  <c r="BE1352" i="5"/>
  <c r="BE1259" i="5"/>
  <c r="AX1158" i="5"/>
  <c r="BE1158" i="5"/>
  <c r="AF1434" i="5"/>
  <c r="AD1434" i="5"/>
  <c r="AH1434" i="5"/>
  <c r="I319" i="5"/>
  <c r="AI347" i="5"/>
  <c r="AE347" i="5"/>
  <c r="AG347" i="5"/>
  <c r="AI390" i="5"/>
  <c r="AE390" i="5"/>
  <c r="AG390" i="5"/>
  <c r="BE452" i="5"/>
  <c r="AX452" i="5"/>
  <c r="AX978" i="5"/>
  <c r="I51" i="4"/>
  <c r="AX1145" i="5"/>
  <c r="BE1145" i="5"/>
  <c r="AW48" i="5"/>
  <c r="AD77" i="5"/>
  <c r="AH77" i="5"/>
  <c r="AF77" i="5"/>
  <c r="AX108" i="5"/>
  <c r="K16" i="4" s="1"/>
  <c r="I20" i="4"/>
  <c r="AX133" i="5"/>
  <c r="BE133" i="5"/>
  <c r="I184" i="5"/>
  <c r="AV142" i="5"/>
  <c r="AU205" i="5"/>
  <c r="AI224" i="5"/>
  <c r="AE224" i="5"/>
  <c r="AG224" i="5"/>
  <c r="I267" i="5"/>
  <c r="AX317" i="5"/>
  <c r="AD282" i="5"/>
  <c r="AF282" i="5"/>
  <c r="AH282" i="5"/>
  <c r="AE73" i="5"/>
  <c r="AG73" i="5"/>
  <c r="AI73" i="5"/>
  <c r="AV48" i="5"/>
  <c r="BE86" i="5"/>
  <c r="AX86" i="5"/>
  <c r="I19" i="4"/>
  <c r="BE120" i="5"/>
  <c r="AX120" i="5"/>
  <c r="I35" i="5"/>
  <c r="M12" i="5"/>
  <c r="AH65" i="5"/>
  <c r="AF65" i="5"/>
  <c r="AD65" i="5"/>
  <c r="K183" i="5"/>
  <c r="AD185" i="5"/>
  <c r="AH185" i="5"/>
  <c r="AF185" i="5"/>
  <c r="J124" i="5"/>
  <c r="AE185" i="5"/>
  <c r="AI185" i="5"/>
  <c r="AG185" i="5"/>
  <c r="AU142" i="5"/>
  <c r="AI179" i="5"/>
  <c r="AE179" i="5"/>
  <c r="AG179" i="5"/>
  <c r="AE243" i="5"/>
  <c r="AI243" i="5"/>
  <c r="AG243" i="5"/>
  <c r="AH188" i="5"/>
  <c r="AD188" i="5"/>
  <c r="AF188" i="5"/>
  <c r="BE317" i="5"/>
  <c r="AE206" i="5"/>
  <c r="AG206" i="5"/>
  <c r="AI206" i="5"/>
  <c r="AX355" i="5"/>
  <c r="AH331" i="5"/>
  <c r="AD331" i="5"/>
  <c r="AF331" i="5"/>
  <c r="I336" i="5"/>
  <c r="AD361" i="5"/>
  <c r="AF361" i="5"/>
  <c r="AH361" i="5"/>
  <c r="AD404" i="5"/>
  <c r="AF404" i="5"/>
  <c r="AH404" i="5"/>
  <c r="AI404" i="5"/>
  <c r="AE404" i="5"/>
  <c r="AG404" i="5"/>
  <c r="BE345" i="5"/>
  <c r="AX345" i="5"/>
  <c r="AE430" i="5"/>
  <c r="AG430" i="5"/>
  <c r="AI430" i="5"/>
  <c r="AU414" i="5"/>
  <c r="AX371" i="5"/>
  <c r="BE371" i="5"/>
  <c r="BE422" i="5"/>
  <c r="BE469" i="5"/>
  <c r="AX469" i="5"/>
  <c r="AD377" i="5"/>
  <c r="AF377" i="5"/>
  <c r="AH377" i="5"/>
  <c r="AV414" i="5"/>
  <c r="AI371" i="5"/>
  <c r="AE371" i="5"/>
  <c r="AG371" i="5"/>
  <c r="BE482" i="5"/>
  <c r="AX482" i="5"/>
  <c r="AH572" i="5"/>
  <c r="AF572" i="5"/>
  <c r="AD572" i="5"/>
  <c r="J609" i="5"/>
  <c r="AX306" i="5"/>
  <c r="BE306" i="5"/>
  <c r="AX666" i="5"/>
  <c r="BE666" i="5"/>
  <c r="J37" i="4"/>
  <c r="AX536" i="5"/>
  <c r="BE536" i="5"/>
  <c r="AX661" i="5"/>
  <c r="BE661" i="5"/>
  <c r="AX682" i="5"/>
  <c r="BE682" i="5"/>
  <c r="AI425" i="5"/>
  <c r="AE425" i="5"/>
  <c r="AG425" i="5"/>
  <c r="BE688" i="5"/>
  <c r="BE721" i="5"/>
  <c r="AX721" i="5"/>
  <c r="AX791" i="5"/>
  <c r="BE791" i="5"/>
  <c r="AD715" i="5"/>
  <c r="AF715" i="5"/>
  <c r="AH715" i="5"/>
  <c r="M732" i="5"/>
  <c r="I39" i="4"/>
  <c r="I38" i="4"/>
  <c r="BE779" i="5"/>
  <c r="AX779" i="5"/>
  <c r="AX804" i="5"/>
  <c r="BE804" i="5"/>
  <c r="I781" i="5"/>
  <c r="AX863" i="5"/>
  <c r="BE863" i="5"/>
  <c r="AX924" i="5"/>
  <c r="BE924" i="5"/>
  <c r="AH801" i="5"/>
  <c r="AD801" i="5"/>
  <c r="AF801" i="5"/>
  <c r="J553" i="5"/>
  <c r="AX944" i="5"/>
  <c r="AW1030" i="5"/>
  <c r="AW1055" i="5"/>
  <c r="AD1137" i="5"/>
  <c r="AH1137" i="5"/>
  <c r="AF1137" i="5"/>
  <c r="AX960" i="5"/>
  <c r="J53" i="4"/>
  <c r="AH1206" i="5"/>
  <c r="AD1206" i="5"/>
  <c r="AF1206" i="5"/>
  <c r="P49" i="4"/>
  <c r="AW1248" i="5"/>
  <c r="AW1317" i="5"/>
  <c r="AW1356" i="5"/>
  <c r="AX1228" i="5"/>
  <c r="BE1228" i="5"/>
  <c r="AD1506" i="5"/>
  <c r="AF1506" i="5"/>
  <c r="AH1506" i="5"/>
  <c r="AE1022" i="5"/>
  <c r="AI1022" i="5"/>
  <c r="AG1022" i="5"/>
  <c r="AH1359" i="5"/>
  <c r="AD1359" i="5"/>
  <c r="AF1359" i="5"/>
  <c r="AW1495" i="5"/>
  <c r="AH1374" i="5"/>
  <c r="AF1374" i="5"/>
  <c r="AD1374" i="5"/>
  <c r="BE1471" i="5"/>
  <c r="AX1471" i="5"/>
  <c r="BE1383" i="5"/>
  <c r="AX1383" i="5"/>
  <c r="J1393" i="5"/>
  <c r="AG1466" i="5"/>
  <c r="AE1466" i="5"/>
  <c r="AI1466" i="5"/>
  <c r="AF1479" i="5"/>
  <c r="AH1479" i="5"/>
  <c r="AD1479" i="5"/>
  <c r="BE1501" i="5"/>
  <c r="AX1501" i="5"/>
  <c r="AX96" i="5"/>
  <c r="BE96" i="5"/>
  <c r="J33" i="4"/>
  <c r="AX774" i="5"/>
  <c r="BE774" i="5"/>
  <c r="AI810" i="5"/>
  <c r="AE810" i="5"/>
  <c r="AG810" i="5"/>
  <c r="BE709" i="5"/>
  <c r="AX709" i="5"/>
  <c r="AE1127" i="5"/>
  <c r="AG1127" i="5"/>
  <c r="AI1127" i="5"/>
  <c r="N57" i="4"/>
  <c r="P57" i="4"/>
  <c r="AD1090" i="5"/>
  <c r="AH1090" i="5"/>
  <c r="AF1090" i="5"/>
  <c r="AI1386" i="5"/>
  <c r="AG1386" i="5"/>
  <c r="AE1386" i="5"/>
  <c r="AG1415" i="5"/>
  <c r="AI1415" i="5"/>
  <c r="AE1415" i="5"/>
  <c r="BE1438" i="5"/>
  <c r="AX1438" i="5"/>
  <c r="AG31" i="5"/>
  <c r="AI31" i="5"/>
  <c r="AE31" i="5"/>
  <c r="BE71" i="5"/>
  <c r="AX71" i="5"/>
  <c r="L13" i="4"/>
  <c r="I17" i="4"/>
  <c r="BE111" i="5"/>
  <c r="AX111" i="5"/>
  <c r="AX77" i="5"/>
  <c r="BE77" i="5"/>
  <c r="AF135" i="5"/>
  <c r="AH135" i="5"/>
  <c r="AD135" i="5"/>
  <c r="AE49" i="5"/>
  <c r="AG49" i="5"/>
  <c r="AI49" i="5"/>
  <c r="BE113" i="5"/>
  <c r="AX113" i="5"/>
  <c r="AV174" i="5"/>
  <c r="BE125" i="5"/>
  <c r="AX125" i="5"/>
  <c r="AI246" i="5"/>
  <c r="AE246" i="5"/>
  <c r="AG246" i="5"/>
  <c r="I27" i="4"/>
  <c r="AI343" i="5"/>
  <c r="AE343" i="5"/>
  <c r="AG343" i="5"/>
  <c r="I26" i="4"/>
  <c r="BE234" i="5"/>
  <c r="AX234" i="5"/>
  <c r="I28" i="4"/>
  <c r="AE220" i="5"/>
  <c r="AI220" i="5"/>
  <c r="AG220" i="5"/>
  <c r="AX302" i="5"/>
  <c r="AH300" i="5"/>
  <c r="AD300" i="5"/>
  <c r="AF300" i="5"/>
  <c r="J205" i="5"/>
  <c r="BE341" i="5"/>
  <c r="AX341" i="5"/>
  <c r="AX327" i="5"/>
  <c r="BE327" i="5"/>
  <c r="AX331" i="5"/>
  <c r="BE331" i="5"/>
  <c r="AG361" i="5"/>
  <c r="AI361" i="5"/>
  <c r="AE361" i="5"/>
  <c r="AG388" i="5"/>
  <c r="AI388" i="5"/>
  <c r="AE388" i="5"/>
  <c r="AX422" i="5"/>
  <c r="AD544" i="5"/>
  <c r="AH544" i="5"/>
  <c r="AF544" i="5"/>
  <c r="AX562" i="5"/>
  <c r="BE562" i="5"/>
  <c r="AH604" i="5"/>
  <c r="AD604" i="5"/>
  <c r="AF604" i="5"/>
  <c r="AD570" i="5"/>
  <c r="AH570" i="5"/>
  <c r="AF570" i="5"/>
  <c r="BE493" i="5"/>
  <c r="AX493" i="5"/>
  <c r="AD482" i="5"/>
  <c r="AH482" i="5"/>
  <c r="AF482" i="5"/>
  <c r="BE613" i="5"/>
  <c r="AX613" i="5"/>
  <c r="I35" i="4"/>
  <c r="BE734" i="5"/>
  <c r="AX734" i="5"/>
  <c r="AI703" i="5"/>
  <c r="AE703" i="5"/>
  <c r="AG703" i="5"/>
  <c r="AE599" i="5"/>
  <c r="AG599" i="5"/>
  <c r="AI599" i="5"/>
  <c r="BE674" i="5"/>
  <c r="K732" i="5"/>
  <c r="X1063" i="5" s="1"/>
  <c r="I803" i="5"/>
  <c r="AH835" i="5"/>
  <c r="AF835" i="5"/>
  <c r="AD835" i="5"/>
  <c r="AI671" i="5"/>
  <c r="AE671" i="5"/>
  <c r="AG671" i="5"/>
  <c r="AI890" i="5"/>
  <c r="AG890" i="5"/>
  <c r="AE890" i="5"/>
  <c r="BE801" i="5"/>
  <c r="AX801" i="5"/>
  <c r="AE1010" i="5"/>
  <c r="AG1010" i="5"/>
  <c r="AI1010" i="5"/>
  <c r="AX989" i="5"/>
  <c r="BE989" i="5"/>
  <c r="AX952" i="5"/>
  <c r="AE919" i="5"/>
  <c r="AI919" i="5"/>
  <c r="AG919" i="5"/>
  <c r="AE1058" i="5"/>
  <c r="AI1058" i="5"/>
  <c r="AG1058" i="5"/>
  <c r="AI1145" i="5"/>
  <c r="AE1145" i="5"/>
  <c r="AG1145" i="5"/>
  <c r="AX890" i="5"/>
  <c r="BE1127" i="5"/>
  <c r="AX1149" i="5"/>
  <c r="BE1149" i="5"/>
  <c r="AH1275" i="5"/>
  <c r="AD1275" i="5"/>
  <c r="AF1275" i="5"/>
  <c r="AE1295" i="5"/>
  <c r="AI1295" i="5"/>
  <c r="AG1295" i="5"/>
  <c r="AE1036" i="5"/>
  <c r="AI1036" i="5"/>
  <c r="AG1036" i="5"/>
  <c r="I1108" i="5"/>
  <c r="BE1003" i="5"/>
  <c r="AX1003" i="5"/>
  <c r="AH1318" i="5"/>
  <c r="AD1318" i="5"/>
  <c r="AF1318" i="5"/>
  <c r="AW1368" i="5"/>
  <c r="AI1299" i="5"/>
  <c r="AE1299" i="5"/>
  <c r="AG1299" i="5"/>
  <c r="AI1381" i="5"/>
  <c r="AE1381" i="5"/>
  <c r="AG1381" i="5"/>
  <c r="AD1246" i="5"/>
  <c r="AH1246" i="5"/>
  <c r="AF1246" i="5"/>
  <c r="AH1299" i="5"/>
  <c r="AD1299" i="5"/>
  <c r="AF1299" i="5"/>
  <c r="N60" i="4"/>
  <c r="P60" i="4"/>
  <c r="AI1399" i="5"/>
  <c r="AE1399" i="5"/>
  <c r="AG1399" i="5"/>
  <c r="AI1424" i="5"/>
  <c r="AE1424" i="5"/>
  <c r="AG1424" i="5"/>
  <c r="AF1514" i="5"/>
  <c r="AD1514" i="5"/>
  <c r="AH1514" i="5"/>
  <c r="BE1381" i="5"/>
  <c r="AH1430" i="5"/>
  <c r="AF1430" i="5"/>
  <c r="AD1430" i="5"/>
  <c r="AE1496" i="5"/>
  <c r="AG1496" i="5"/>
  <c r="AI1496" i="5"/>
  <c r="AE1503" i="5"/>
  <c r="AI1503" i="5"/>
  <c r="AG1503" i="5"/>
  <c r="J1356" i="5"/>
  <c r="AI1444" i="5"/>
  <c r="AE1444" i="5"/>
  <c r="AG1444" i="5"/>
  <c r="AH1371" i="5"/>
  <c r="AD1371" i="5"/>
  <c r="AF1371" i="5"/>
  <c r="AH1190" i="5"/>
  <c r="AD1190" i="5"/>
  <c r="AF1190" i="5"/>
  <c r="AE1361" i="5"/>
  <c r="AI1361" i="5"/>
  <c r="AG1361" i="5"/>
  <c r="AE1255" i="5"/>
  <c r="AI1255" i="5"/>
  <c r="AG1255" i="5"/>
  <c r="AH1040" i="5"/>
  <c r="AD1040" i="5"/>
  <c r="AF1040" i="5"/>
  <c r="N21" i="3"/>
  <c r="P21" i="3"/>
  <c r="W1063" i="5" l="1"/>
  <c r="W1567" i="5" s="1"/>
  <c r="AF1094" i="5"/>
  <c r="C16" i="1" s="1"/>
  <c r="AH1094" i="5"/>
  <c r="I18" i="3"/>
  <c r="I48" i="4"/>
  <c r="BP1075" i="5"/>
  <c r="X1567" i="5"/>
  <c r="BP1063" i="5"/>
  <c r="BR1063" i="5" s="1"/>
  <c r="BP723" i="5"/>
  <c r="K55" i="4"/>
  <c r="N55" i="4" s="1"/>
  <c r="R174" i="5"/>
  <c r="BP705" i="5"/>
  <c r="S1567" i="5"/>
  <c r="R1569" i="5" s="1"/>
  <c r="K13" i="3"/>
  <c r="P13" i="3" s="1"/>
  <c r="K15" i="4"/>
  <c r="P15" i="4" s="1"/>
  <c r="L23" i="3"/>
  <c r="K24" i="4"/>
  <c r="N24" i="4" s="1"/>
  <c r="K19" i="3"/>
  <c r="P19" i="3" s="1"/>
  <c r="V1096" i="5"/>
  <c r="V1567" i="5" s="1"/>
  <c r="K61" i="4"/>
  <c r="P61" i="4" s="1"/>
  <c r="BE1086" i="5"/>
  <c r="AX1086" i="5"/>
  <c r="K45" i="4" s="1"/>
  <c r="N45" i="4" s="1"/>
  <c r="K54" i="4"/>
  <c r="N54" i="4" s="1"/>
  <c r="K42" i="4"/>
  <c r="N42" i="4" s="1"/>
  <c r="K22" i="4"/>
  <c r="N22" i="4" s="1"/>
  <c r="I24" i="3"/>
  <c r="J12" i="5"/>
  <c r="J24" i="3"/>
  <c r="K75" i="4"/>
  <c r="N75" i="4" s="1"/>
  <c r="J1446" i="5"/>
  <c r="J67" i="4" s="1"/>
  <c r="K39" i="4"/>
  <c r="N39" i="4" s="1"/>
  <c r="K73" i="4"/>
  <c r="N73" i="4" s="1"/>
  <c r="I1348" i="5"/>
  <c r="I22" i="3" s="1"/>
  <c r="I12" i="5"/>
  <c r="I12" i="4" s="1"/>
  <c r="L22" i="3"/>
  <c r="I16" i="3"/>
  <c r="K35" i="4"/>
  <c r="N35" i="4" s="1"/>
  <c r="J1096" i="5"/>
  <c r="J19" i="3" s="1"/>
  <c r="I106" i="5"/>
  <c r="I15" i="4" s="1"/>
  <c r="K72" i="4"/>
  <c r="N72" i="4" s="1"/>
  <c r="I1446" i="5"/>
  <c r="I23" i="3" s="1"/>
  <c r="I1096" i="5"/>
  <c r="I19" i="3" s="1"/>
  <c r="K13" i="4"/>
  <c r="N13" i="4" s="1"/>
  <c r="K33" i="4"/>
  <c r="N33" i="4" s="1"/>
  <c r="J106" i="5"/>
  <c r="J15" i="4" s="1"/>
  <c r="K26" i="4"/>
  <c r="N26" i="4" s="1"/>
  <c r="K31" i="4"/>
  <c r="N31" i="4" s="1"/>
  <c r="K29" i="4"/>
  <c r="N29" i="4" s="1"/>
  <c r="J732" i="5"/>
  <c r="J15" i="3" s="1"/>
  <c r="K27" i="4"/>
  <c r="N27" i="4" s="1"/>
  <c r="K32" i="4"/>
  <c r="N32" i="4" s="1"/>
  <c r="AZ1094" i="5"/>
  <c r="BK1094" i="5"/>
  <c r="AI1094" i="5" s="1"/>
  <c r="C19" i="1" s="1"/>
  <c r="J1094" i="5"/>
  <c r="J1093" i="5" s="1"/>
  <c r="J1092" i="5" s="1"/>
  <c r="J183" i="5"/>
  <c r="J14" i="3" s="1"/>
  <c r="K20" i="4"/>
  <c r="N20" i="4" s="1"/>
  <c r="K19" i="4"/>
  <c r="N19" i="4" s="1"/>
  <c r="K41" i="4"/>
  <c r="N41" i="4" s="1"/>
  <c r="BF1094" i="5"/>
  <c r="K1094" i="5"/>
  <c r="BL1094" i="5"/>
  <c r="K51" i="4"/>
  <c r="N51" i="4" s="1"/>
  <c r="K43" i="4"/>
  <c r="N43" i="4" s="1"/>
  <c r="K68" i="4"/>
  <c r="N68" i="4" s="1"/>
  <c r="I732" i="5"/>
  <c r="I15" i="3" s="1"/>
  <c r="J1348" i="5"/>
  <c r="J61" i="4" s="1"/>
  <c r="K30" i="4"/>
  <c r="N30" i="4" s="1"/>
  <c r="K25" i="4"/>
  <c r="N25" i="4" s="1"/>
  <c r="K65" i="4"/>
  <c r="N65" i="4" s="1"/>
  <c r="AM1086" i="5"/>
  <c r="K1085" i="5"/>
  <c r="AN1086" i="5"/>
  <c r="AW1085" i="5" s="1"/>
  <c r="K40" i="4"/>
  <c r="N40" i="4" s="1"/>
  <c r="P40" i="4"/>
  <c r="P39" i="4"/>
  <c r="P13" i="4"/>
  <c r="P42" i="4"/>
  <c r="P27" i="4"/>
  <c r="P73" i="4"/>
  <c r="P32" i="4"/>
  <c r="P41" i="4"/>
  <c r="P72" i="4"/>
  <c r="P51" i="4"/>
  <c r="P43" i="4"/>
  <c r="P31" i="4"/>
  <c r="P68" i="4"/>
  <c r="P29" i="4"/>
  <c r="P55" i="4"/>
  <c r="N13" i="3"/>
  <c r="K28" i="4"/>
  <c r="N18" i="3"/>
  <c r="C14" i="1"/>
  <c r="K71" i="4"/>
  <c r="P35" i="4"/>
  <c r="K14" i="3"/>
  <c r="K23" i="4"/>
  <c r="N64" i="4"/>
  <c r="P64" i="4"/>
  <c r="P65" i="4"/>
  <c r="C17" i="1"/>
  <c r="P26" i="4"/>
  <c r="N15" i="4"/>
  <c r="N48" i="4"/>
  <c r="C18" i="1"/>
  <c r="K12" i="3"/>
  <c r="K12" i="4"/>
  <c r="P54" i="4"/>
  <c r="N56" i="4"/>
  <c r="P56" i="4"/>
  <c r="K53" i="4"/>
  <c r="I183" i="5"/>
  <c r="P46" i="4"/>
  <c r="N46" i="4"/>
  <c r="K17" i="4"/>
  <c r="L12" i="3"/>
  <c r="L12" i="4"/>
  <c r="N17" i="3"/>
  <c r="P17" i="3"/>
  <c r="K62" i="4"/>
  <c r="P45" i="4"/>
  <c r="N61" i="4"/>
  <c r="K15" i="3"/>
  <c r="K34" i="4"/>
  <c r="K38" i="4"/>
  <c r="L34" i="4"/>
  <c r="L15" i="3"/>
  <c r="P20" i="4"/>
  <c r="L14" i="3"/>
  <c r="L23" i="4"/>
  <c r="P74" i="4"/>
  <c r="N74" i="4"/>
  <c r="K63" i="4"/>
  <c r="N21" i="4"/>
  <c r="P21" i="4"/>
  <c r="K14" i="4"/>
  <c r="N22" i="3"/>
  <c r="P22" i="3"/>
  <c r="P33" i="4"/>
  <c r="P75" i="4"/>
  <c r="P19" i="4"/>
  <c r="N24" i="3"/>
  <c r="P24" i="3"/>
  <c r="P47" i="4"/>
  <c r="N47" i="4"/>
  <c r="P50" i="4"/>
  <c r="N50" i="4"/>
  <c r="P30" i="4"/>
  <c r="P25" i="4"/>
  <c r="P22" i="4"/>
  <c r="N16" i="4"/>
  <c r="P16" i="4"/>
  <c r="K23" i="3"/>
  <c r="K67" i="4"/>
  <c r="K37" i="4"/>
  <c r="C15" i="1"/>
  <c r="K70" i="4"/>
  <c r="N19" i="3"/>
  <c r="J23" i="3" l="1"/>
  <c r="I50" i="4"/>
  <c r="U1571" i="5"/>
  <c r="I12" i="3"/>
  <c r="U1569" i="5"/>
  <c r="R1567" i="5"/>
  <c r="BP174" i="5"/>
  <c r="J34" i="4"/>
  <c r="I67" i="4"/>
  <c r="I13" i="3"/>
  <c r="J12" i="3"/>
  <c r="J12" i="4"/>
  <c r="J13" i="3"/>
  <c r="J50" i="4"/>
  <c r="I61" i="4"/>
  <c r="J22" i="3"/>
  <c r="I34" i="4"/>
  <c r="AV1085" i="5"/>
  <c r="C28" i="1"/>
  <c r="F28" i="1" s="1"/>
  <c r="J48" i="4"/>
  <c r="J18" i="3"/>
  <c r="K1084" i="5"/>
  <c r="P1084" i="5" s="1"/>
  <c r="J23" i="4"/>
  <c r="K1093" i="5"/>
  <c r="K1092" i="5" s="1"/>
  <c r="P1092" i="5" s="1"/>
  <c r="AN1094" i="5"/>
  <c r="AW1093" i="5" s="1"/>
  <c r="J49" i="4"/>
  <c r="AX1094" i="5"/>
  <c r="K49" i="4" s="1"/>
  <c r="N49" i="4" s="1"/>
  <c r="BE1094" i="5"/>
  <c r="N53" i="4"/>
  <c r="P53" i="4"/>
  <c r="N12" i="3"/>
  <c r="P12" i="3"/>
  <c r="P23" i="4"/>
  <c r="N23" i="4"/>
  <c r="P62" i="4"/>
  <c r="N62" i="4"/>
  <c r="I14" i="3"/>
  <c r="I23" i="4"/>
  <c r="N12" i="4"/>
  <c r="P12" i="4"/>
  <c r="P67" i="4"/>
  <c r="N67" i="4"/>
  <c r="N23" i="3"/>
  <c r="P23" i="3"/>
  <c r="P34" i="4"/>
  <c r="N34" i="4"/>
  <c r="N14" i="3"/>
  <c r="P14" i="3"/>
  <c r="P38" i="4"/>
  <c r="N38" i="4"/>
  <c r="N28" i="4"/>
  <c r="P28" i="4"/>
  <c r="N14" i="4"/>
  <c r="P14" i="4"/>
  <c r="N15" i="3"/>
  <c r="P15" i="3"/>
  <c r="N37" i="4"/>
  <c r="P37" i="4"/>
  <c r="N17" i="4"/>
  <c r="P17" i="4"/>
  <c r="P71" i="4"/>
  <c r="N71" i="4"/>
  <c r="P70" i="4"/>
  <c r="N70" i="4"/>
  <c r="C22" i="1"/>
  <c r="H21" i="2" s="1"/>
  <c r="I21" i="2" s="1"/>
  <c r="P63" i="4"/>
  <c r="N63" i="4"/>
  <c r="P1567" i="5" l="1"/>
  <c r="P1571" i="5" s="1"/>
  <c r="P1572" i="5" s="1"/>
  <c r="K1565" i="5"/>
  <c r="K16" i="3"/>
  <c r="P16" i="3" s="1"/>
  <c r="K44" i="4"/>
  <c r="P44" i="4" s="1"/>
  <c r="K48" i="4"/>
  <c r="P48" i="4" s="1"/>
  <c r="K18" i="3"/>
  <c r="P18" i="3" s="1"/>
  <c r="K76" i="4"/>
  <c r="I14" i="1"/>
  <c r="I22" i="1" s="1"/>
  <c r="C29" i="1" s="1"/>
  <c r="I27" i="2"/>
  <c r="F29" i="2" s="1"/>
  <c r="P1570" i="5" l="1"/>
  <c r="BP1570" i="5" s="1"/>
  <c r="P1569" i="5"/>
  <c r="BP1569" i="5" s="1"/>
  <c r="K25" i="3"/>
  <c r="F29" i="1"/>
  <c r="I28" i="1"/>
  <c r="BP1572" i="5" l="1"/>
  <c r="I29" i="1"/>
</calcChain>
</file>

<file path=xl/sharedStrings.xml><?xml version="1.0" encoding="utf-8"?>
<sst xmlns="http://schemas.openxmlformats.org/spreadsheetml/2006/main" count="14649" uniqueCount="3732">
  <si>
    <t>Izolace proti vlhkosti svis. nátěr ALP, za studena 1x nátěr - včetně dodávky penetračního laku ALP</t>
  </si>
  <si>
    <t>360</t>
  </si>
  <si>
    <t>92</t>
  </si>
  <si>
    <t>560</t>
  </si>
  <si>
    <t>Fólie PVC tl. 1,0, š. 1300 mm zemní</t>
  </si>
  <si>
    <t>SO 05_1_</t>
  </si>
  <si>
    <t>Svislé a kompletní konstrukce</t>
  </si>
  <si>
    <t>439</t>
  </si>
  <si>
    <t>Bourání základů z betonu prostého</t>
  </si>
  <si>
    <t>498</t>
  </si>
  <si>
    <t>537</t>
  </si>
  <si>
    <t>165</t>
  </si>
  <si>
    <t>SO 03b</t>
  </si>
  <si>
    <t>Nástěnka K 247, pro výtokový ventil G 1/2</t>
  </si>
  <si>
    <t>592</t>
  </si>
  <si>
    <t>Doba výstavby:</t>
  </si>
  <si>
    <t>Hloubené vykopávky</t>
  </si>
  <si>
    <t>198</t>
  </si>
  <si>
    <t>2*25*7,9</t>
  </si>
  <si>
    <t>297</t>
  </si>
  <si>
    <t>261</t>
  </si>
  <si>
    <t>412</t>
  </si>
  <si>
    <t>Zárubeň ocelová YH100   900x1970x100</t>
  </si>
  <si>
    <t>725219401R00</t>
  </si>
  <si>
    <t>162701105R00</t>
  </si>
  <si>
    <t>722181214RU1</t>
  </si>
  <si>
    <t>762341610R00</t>
  </si>
  <si>
    <t>323</t>
  </si>
  <si>
    <t>469</t>
  </si>
  <si>
    <t>Projektant</t>
  </si>
  <si>
    <t>919735113R00</t>
  </si>
  <si>
    <t>722220111R00</t>
  </si>
  <si>
    <t>H775</t>
  </si>
  <si>
    <t>67</t>
  </si>
  <si>
    <t>Vysekání výklenků zeď cihel. MVC, pl. nad 0,25 m2</t>
  </si>
  <si>
    <t>722237123R00</t>
  </si>
  <si>
    <t>725941140R00</t>
  </si>
  <si>
    <t>209</t>
  </si>
  <si>
    <t>272</t>
  </si>
  <si>
    <t>226</t>
  </si>
  <si>
    <t>725823134RT0</t>
  </si>
  <si>
    <t>283</t>
  </si>
  <si>
    <t>Sprchová zástěna čtvrtkruhová 80x80x185 cm</t>
  </si>
  <si>
    <t>Základ 15%</t>
  </si>
  <si>
    <t>Malby</t>
  </si>
  <si>
    <t>183</t>
  </si>
  <si>
    <t>prostupy VZT + vetrání + ZTI</t>
  </si>
  <si>
    <t>3*2*8</t>
  </si>
  <si>
    <t>hrubá plocha omítek - stávající hlavní budova - venkovní omítky</t>
  </si>
  <si>
    <t>;ztratné 10%; 1,3</t>
  </si>
  <si>
    <t>Propojení přepadu DK do stávajcí kanalizace na potrubí DN 400</t>
  </si>
  <si>
    <t>379</t>
  </si>
  <si>
    <t>71,15+53,9+0,2</t>
  </si>
  <si>
    <t>11,9*0,3*0,25</t>
  </si>
  <si>
    <t>4+2+2+2</t>
  </si>
  <si>
    <t>725013128R00</t>
  </si>
  <si>
    <t>Deska EPS fasádní s grafitem   tl. 240 x 500 x 1000 mm</t>
  </si>
  <si>
    <t>103</t>
  </si>
  <si>
    <t>zelená střecha</t>
  </si>
  <si>
    <t>Příplatek za práci v omez.prostoru,obkl.pórovinové</t>
  </si>
  <si>
    <t>14,5</t>
  </si>
  <si>
    <t>764421290R00</t>
  </si>
  <si>
    <t>Stropy trámové ze železobetonu C 25/30</t>
  </si>
  <si>
    <t>424</t>
  </si>
  <si>
    <t>6+6+2+2</t>
  </si>
  <si>
    <t>Bourání stropů s keramickou výplní</t>
  </si>
  <si>
    <t>podlaha v bytech pod střechou - podlaží 3.00</t>
  </si>
  <si>
    <t>998721101R00</t>
  </si>
  <si>
    <t>2*24*0,25*0,25*0,25</t>
  </si>
  <si>
    <t>Bednění kotev.otvorů kleneb do 0,02 m2, hl. 0,50 m</t>
  </si>
  <si>
    <t>627,31*15</t>
  </si>
  <si>
    <t>722237133R00</t>
  </si>
  <si>
    <t>6*26</t>
  </si>
  <si>
    <t>vodorovná v nové části pozice P3</t>
  </si>
  <si>
    <t>hlavní rozvaděč 1NP</t>
  </si>
  <si>
    <t>strop (rovina + šikminy) nad sálem (1.02)  -zavěšený na ocelové konstrukci statické podlahy 2.NP</t>
  </si>
  <si>
    <t>pozice PS2</t>
  </si>
  <si>
    <t>předělová příčka 201/203</t>
  </si>
  <si>
    <t>962032314R00</t>
  </si>
  <si>
    <t>SO 02B_78_</t>
  </si>
  <si>
    <t>764352203R00</t>
  </si>
  <si>
    <t>632416250RT1</t>
  </si>
  <si>
    <t>pár</t>
  </si>
  <si>
    <t>Obetonování potrubí nebo zdiva stok betonem C25/30</t>
  </si>
  <si>
    <t>622421121RT2</t>
  </si>
  <si>
    <t>166</t>
  </si>
  <si>
    <t>HEB 200 strop B - strojovna nad sálem  (P7)</t>
  </si>
  <si>
    <t>základové pasy vnitřních zdí staré budovy</t>
  </si>
  <si>
    <t>podlahy 2NP</t>
  </si>
  <si>
    <t>602</t>
  </si>
  <si>
    <t>;ztratné 15%; 40,2</t>
  </si>
  <si>
    <t>;ztratné 5%; 0,11</t>
  </si>
  <si>
    <t>jiřičky přesah římsy pro hnízda</t>
  </si>
  <si>
    <t>žebra pod vnitř. nosnými zdmi v přístavbě</t>
  </si>
  <si>
    <t>7*(3+3+5+4+4)</t>
  </si>
  <si>
    <t>228</t>
  </si>
  <si>
    <t>SO 05_4_</t>
  </si>
  <si>
    <t>361</t>
  </si>
  <si>
    <t>775511244R00</t>
  </si>
  <si>
    <t>28611120</t>
  </si>
  <si>
    <t>91</t>
  </si>
  <si>
    <t>968062245R00</t>
  </si>
  <si>
    <t>87</t>
  </si>
  <si>
    <t>480+50+20</t>
  </si>
  <si>
    <t>Pozice stropu P5</t>
  </si>
  <si>
    <t>24*2*4*0,08*0,06</t>
  </si>
  <si>
    <t>3,3</t>
  </si>
  <si>
    <t>-(2*0,8*2+0,9*2+1,3*2,3)</t>
  </si>
  <si>
    <t>Základ 21%</t>
  </si>
  <si>
    <t>20</t>
  </si>
  <si>
    <t>998781101R00</t>
  </si>
  <si>
    <t>733000100VD</t>
  </si>
  <si>
    <t>965048515R00</t>
  </si>
  <si>
    <t>Přesun hmot pro obklady keramické, výšky do 6 m</t>
  </si>
  <si>
    <t>237</t>
  </si>
  <si>
    <t>722172314R00</t>
  </si>
  <si>
    <t>Poplatek za uložení výkopku</t>
  </si>
  <si>
    <t>31142044</t>
  </si>
  <si>
    <t>721176126R00</t>
  </si>
  <si>
    <t>SO 05</t>
  </si>
  <si>
    <t>Dodávka</t>
  </si>
  <si>
    <t>721194105R00</t>
  </si>
  <si>
    <t>10*0,125</t>
  </si>
  <si>
    <t>NUS celkem z obj.</t>
  </si>
  <si>
    <t>28,53</t>
  </si>
  <si>
    <t>336</t>
  </si>
  <si>
    <t>419</t>
  </si>
  <si>
    <t>29+63+11+10+10</t>
  </si>
  <si>
    <t>12,64</t>
  </si>
  <si>
    <t>Vyvedení odpadních výpustek D 110 x 2,3</t>
  </si>
  <si>
    <t>564661111R00</t>
  </si>
  <si>
    <t>64281219</t>
  </si>
  <si>
    <t>998767101R00</t>
  </si>
  <si>
    <t>Vyvedení odpadních výpustek D 40 x 1,8 včetně podomítkové zápachové uzávěrky HL 404.1</t>
  </si>
  <si>
    <t>312000105VD</t>
  </si>
  <si>
    <t>Potrubí HT odpadní svislé D 110 x 2,7 mm</t>
  </si>
  <si>
    <t>Montáž tvarovek jednoos. plast. gum.kroužek DN 150</t>
  </si>
  <si>
    <t>286134209</t>
  </si>
  <si>
    <t>18,54</t>
  </si>
  <si>
    <t xml:space="preserve"> celková délka sestavy 8,5m</t>
  </si>
  <si>
    <t>167</t>
  </si>
  <si>
    <t>(6,5+6,5+6,4+6)*2*0,5</t>
  </si>
  <si>
    <t>711</t>
  </si>
  <si>
    <t>762341811R00</t>
  </si>
  <si>
    <t>Pás ochranný větrací l = 5000 mm š 100 mm</t>
  </si>
  <si>
    <t>Příčka sádrokarton. ocel.kce, 1x oplášť. tl.200 mm</t>
  </si>
  <si>
    <t>;ztratné 1%; 3,25</t>
  </si>
  <si>
    <t>451504111R00</t>
  </si>
  <si>
    <t>556</t>
  </si>
  <si>
    <t>SO 02C_6_</t>
  </si>
  <si>
    <t>Příplatek za ztížení vykopávky v blízkosti vedení</t>
  </si>
  <si>
    <t>721290112R00</t>
  </si>
  <si>
    <t>Nové konstr.  - technika prostředí staveb - VZT</t>
  </si>
  <si>
    <t>448</t>
  </si>
  <si>
    <t>Potrubí z trub.závit.pozink.svařovan. 11343,DN 32</t>
  </si>
  <si>
    <t>Dokončovací práce</t>
  </si>
  <si>
    <t>Podklad  z betonu C 25/30 XA1,do 10 cm</t>
  </si>
  <si>
    <t>-4*2*0,9</t>
  </si>
  <si>
    <t>338</t>
  </si>
  <si>
    <t>87_</t>
  </si>
  <si>
    <t>4+2+2</t>
  </si>
  <si>
    <t>Montáž záklopu, vrchní na sraz, 2x deska</t>
  </si>
  <si>
    <t>590</t>
  </si>
  <si>
    <t>65+105</t>
  </si>
  <si>
    <t>171</t>
  </si>
  <si>
    <t>147</t>
  </si>
  <si>
    <t>Izolace proti vlhkosti vodor. nátěr ALP za studena 1x nátěr - včetně dodávky penetračního laku ALP</t>
  </si>
  <si>
    <t>13,74</t>
  </si>
  <si>
    <t>Název stavby:</t>
  </si>
  <si>
    <t>Hydrantový systém, box s plnými dveřmi Hydrantový systém D25 se stálotvarou hadicí dle ČSN 730873 EN 671 - 1. - 30m</t>
  </si>
  <si>
    <t>Ostatní materiál</t>
  </si>
  <si>
    <t>Otlučení omítek vnitřních stěn v rozsahu do 100 %</t>
  </si>
  <si>
    <t>Zárubeň ocelová YH100 1600x1970x100</t>
  </si>
  <si>
    <t>771575111R00</t>
  </si>
  <si>
    <t>dřevo</t>
  </si>
  <si>
    <t>725319101R00</t>
  </si>
  <si>
    <t>Přesun hmot pro podlahy syntetické, výšky do 6 m</t>
  </si>
  <si>
    <t>48</t>
  </si>
  <si>
    <t>29</t>
  </si>
  <si>
    <t>Potrubí z trub plastických, skleněných a čedičových</t>
  </si>
  <si>
    <t>495</t>
  </si>
  <si>
    <t>28610205</t>
  </si>
  <si>
    <t>Č</t>
  </si>
  <si>
    <t>60725014</t>
  </si>
  <si>
    <t>35*0,4*0,4</t>
  </si>
  <si>
    <t>411361821R00</t>
  </si>
  <si>
    <t>784111101R00</t>
  </si>
  <si>
    <t>10371500</t>
  </si>
  <si>
    <t>HEB 200 strop A - (P5)</t>
  </si>
  <si>
    <t>764</t>
  </si>
  <si>
    <t>H762_</t>
  </si>
  <si>
    <t>SO 02B_3_</t>
  </si>
  <si>
    <t>89_</t>
  </si>
  <si>
    <t>Nové konstr.  - dešťová kanalizace</t>
  </si>
  <si>
    <t>Sanitární příčka - stěna DTD HPL 28 -barva, dveře 70/1950 - 7x  - panel umístěn na rektifik. nožičkách (min. 150 mm)</t>
  </si>
  <si>
    <t>(1+5+1)*1,6</t>
  </si>
  <si>
    <t>86,9*1,8</t>
  </si>
  <si>
    <t>římsa zelené szřechy nadatikové zdivo</t>
  </si>
  <si>
    <t>42/5</t>
  </si>
  <si>
    <t>Odbočka kanalizační KGEA 125/ 110/45° PVC</t>
  </si>
  <si>
    <t>Poznámka:</t>
  </si>
  <si>
    <t>1,55</t>
  </si>
  <si>
    <t>(54,8+9,99)*0,15</t>
  </si>
  <si>
    <t>(2,1+3,5+3,6+5,1)*0,4*0,8</t>
  </si>
  <si>
    <t>283762208</t>
  </si>
  <si>
    <t>Lokalita:</t>
  </si>
  <si>
    <t>79</t>
  </si>
  <si>
    <t>Montáž laťování střech, vzdálenost latí 22 - 36 cm včetně dodávky řeziva, latě 4/6 cm</t>
  </si>
  <si>
    <t>20*(0,5+0,5+0,15)</t>
  </si>
  <si>
    <t>85,9</t>
  </si>
  <si>
    <t>Izolace</t>
  </si>
  <si>
    <t>71</t>
  </si>
  <si>
    <t>25*(8,5+8,5)*0,7</t>
  </si>
  <si>
    <t>16</t>
  </si>
  <si>
    <t>PSV</t>
  </si>
  <si>
    <t>SO 02B_2_</t>
  </si>
  <si>
    <t>H775_</t>
  </si>
  <si>
    <t>357</t>
  </si>
  <si>
    <t>132201110R00</t>
  </si>
  <si>
    <t>342264514RT2</t>
  </si>
  <si>
    <t>446</t>
  </si>
  <si>
    <t>189</t>
  </si>
  <si>
    <t>24</t>
  </si>
  <si>
    <t>721176114R00</t>
  </si>
  <si>
    <t>377</t>
  </si>
  <si>
    <t>SO 03e</t>
  </si>
  <si>
    <t>312000101VD</t>
  </si>
  <si>
    <t>Bez pevné podl.</t>
  </si>
  <si>
    <t>60515811</t>
  </si>
  <si>
    <t>zelená scha</t>
  </si>
  <si>
    <t>327</t>
  </si>
  <si>
    <t>961044111R00</t>
  </si>
  <si>
    <t>Celkem</t>
  </si>
  <si>
    <t>SO 02B_6_</t>
  </si>
  <si>
    <t>Zařízení staveniště</t>
  </si>
  <si>
    <t>764421280R00</t>
  </si>
  <si>
    <t>437</t>
  </si>
  <si>
    <t>1,04</t>
  </si>
  <si>
    <t>Rychletuhnoucí podsyp bal. 80 l z recyklovatelného polystyrénového granulátu a cementového pojiva pro suché podlahy</t>
  </si>
  <si>
    <t>Teploměr  D+M</t>
  </si>
  <si>
    <t>Osazení poklopu s rámem do 50 kg</t>
  </si>
  <si>
    <t>Přesun hmot pro vnitřní kanalizaci, výšky do 6 m</t>
  </si>
  <si>
    <t>Zkoušky - UO - KHS</t>
  </si>
  <si>
    <t>766_</t>
  </si>
  <si>
    <t>5 vrtů  25 cm  po výšce</t>
  </si>
  <si>
    <t>451319777R00</t>
  </si>
  <si>
    <t>11_</t>
  </si>
  <si>
    <t>871313121R00</t>
  </si>
  <si>
    <t>611653539 - PS1</t>
  </si>
  <si>
    <t>391</t>
  </si>
  <si>
    <t>31110716</t>
  </si>
  <si>
    <t>Tyč ocelová HEB 200, S235JR</t>
  </si>
  <si>
    <t>413</t>
  </si>
  <si>
    <t>456</t>
  </si>
  <si>
    <t>věnec (podél,šít Z; šít V)</t>
  </si>
  <si>
    <t>Svislá doprava suti a vybouraných hmot shozem</t>
  </si>
  <si>
    <t>příčné žebro mezi schodišti</t>
  </si>
  <si>
    <t>Potrubí z PPR, D 20x2,8 mm, PN 16, vč.zed.výpom.</t>
  </si>
  <si>
    <t>4</t>
  </si>
  <si>
    <t>97</t>
  </si>
  <si>
    <t>121</t>
  </si>
  <si>
    <t>94</t>
  </si>
  <si>
    <t>Příplatek k podhledu sádrokart. za tl. desek 15 mm</t>
  </si>
  <si>
    <t>Tyč závitová M16, DIN 975</t>
  </si>
  <si>
    <t>SO 06</t>
  </si>
  <si>
    <t>Vlys podlahový tl. 21 buk dl.350 š. 50 mm výběr</t>
  </si>
  <si>
    <t>145</t>
  </si>
  <si>
    <t>553508771</t>
  </si>
  <si>
    <t xml:space="preserve"> panely (min. účinnost 19%)-(16kpl)+bateriový set (5,5)+měnič+WATTrouter+připojení na elektroměr</t>
  </si>
  <si>
    <t>60</t>
  </si>
  <si>
    <t>461</t>
  </si>
  <si>
    <t>Podlahy vlysové a parketové</t>
  </si>
  <si>
    <t>Základní rozpočtové náklady</t>
  </si>
  <si>
    <t>352</t>
  </si>
  <si>
    <t>547</t>
  </si>
  <si>
    <t>kotevní desky 10 mm (P7)</t>
  </si>
  <si>
    <t>235</t>
  </si>
  <si>
    <t>31142012</t>
  </si>
  <si>
    <t>Hloubení nezapažených jam hor.3 do 50 m3, strojně</t>
  </si>
  <si>
    <t>SO 02B_71_</t>
  </si>
  <si>
    <t>26</t>
  </si>
  <si>
    <t>Trubka kanalizační KGEM SN 4 PVC 110x3,2x3000 mm</t>
  </si>
  <si>
    <t>Deska EPS 100 s grafitem  SP 1000x500x140 mm</t>
  </si>
  <si>
    <t>28,53+41,85</t>
  </si>
  <si>
    <t>vazný trám 200/260 VT1</t>
  </si>
  <si>
    <t>Odtok vanový HL555N, odpad D 40/50 mm</t>
  </si>
  <si>
    <t>105</t>
  </si>
  <si>
    <t>578</t>
  </si>
  <si>
    <t>Dveře protipožární EI30 plné 90x197 cm CPL 0,2</t>
  </si>
  <si>
    <t>Dodávka a montáž elektromagnetického dvoucestného ventilu DN 40</t>
  </si>
  <si>
    <t>Výztuž stropů z betonářské oceli B500B (10 505)</t>
  </si>
  <si>
    <t>štítové zdivo brutto</t>
  </si>
  <si>
    <t>Odtoková souprava pro dřezy PP HL22 D 40 mm</t>
  </si>
  <si>
    <t>135</t>
  </si>
  <si>
    <t>SO 02B_9_</t>
  </si>
  <si>
    <t>616</t>
  </si>
  <si>
    <t>332</t>
  </si>
  <si>
    <t>974,72-1,85-28,34-11,31-2,66-7,88-18,83-4,29-9,55-3,12-1,86-14,51</t>
  </si>
  <si>
    <t>Rekonstrukce a rozšíření objektu</t>
  </si>
  <si>
    <t>výkopy pro sítě v podlaze 1Np - sumárně splašková kanalizace</t>
  </si>
  <si>
    <t>Konstrukce ze zemin</t>
  </si>
  <si>
    <t>6,48</t>
  </si>
  <si>
    <t>H713</t>
  </si>
  <si>
    <t>722172312R00</t>
  </si>
  <si>
    <t>253</t>
  </si>
  <si>
    <t>Konstrukce klempířské</t>
  </si>
  <si>
    <t>722264112R00</t>
  </si>
  <si>
    <t>SO 05_</t>
  </si>
  <si>
    <t>10,47+6,16</t>
  </si>
  <si>
    <t>Vodárna domácí samočinná s frekvenčním měničem</t>
  </si>
  <si>
    <t>721176102R00</t>
  </si>
  <si>
    <t>61160428</t>
  </si>
  <si>
    <t>59597010</t>
  </si>
  <si>
    <t>10ks/m2 desky</t>
  </si>
  <si>
    <t>Demontáž bednění střech rovných z prken hrubých</t>
  </si>
  <si>
    <t>973031151R00</t>
  </si>
  <si>
    <t>;ztratné 15%; 6,3</t>
  </si>
  <si>
    <t>Celkem bez DPH</t>
  </si>
  <si>
    <t>;ztratné 20%; 5,6</t>
  </si>
  <si>
    <t>podlaha  2x OSB 22  horní deska - strojovna nad sálem  (P7)</t>
  </si>
  <si>
    <t>451</t>
  </si>
  <si>
    <t>122</t>
  </si>
  <si>
    <t>965042241R00</t>
  </si>
  <si>
    <t>21*0,25</t>
  </si>
  <si>
    <t>průřezová plocha izolace x délka (nad VZT)</t>
  </si>
  <si>
    <t>0,76</t>
  </si>
  <si>
    <t>2*25*0,75</t>
  </si>
  <si>
    <t>3,9*0,185</t>
  </si>
  <si>
    <t>obnova omítek 1.NP zachované části budovy po jejich otlučení</t>
  </si>
  <si>
    <t>pozice D7</t>
  </si>
  <si>
    <t>Vedlejší a ostatní rozpočtové náklady</t>
  </si>
  <si>
    <t>podlahy</t>
  </si>
  <si>
    <t>Přirážka za 1 spoj elektrotvarovky d 110 mm</t>
  </si>
  <si>
    <t>536</t>
  </si>
  <si>
    <t>268</t>
  </si>
  <si>
    <t>floujet - 1 kpl</t>
  </si>
  <si>
    <t>2+2</t>
  </si>
  <si>
    <t>štít západ 2NP</t>
  </si>
  <si>
    <t>725845811R00</t>
  </si>
  <si>
    <t>273361315R00</t>
  </si>
  <si>
    <t>766412123T00</t>
  </si>
  <si>
    <t>979081121RT3</t>
  </si>
  <si>
    <t>291</t>
  </si>
  <si>
    <t>SO 04_1_</t>
  </si>
  <si>
    <t>895191111R00</t>
  </si>
  <si>
    <t>35+65+42</t>
  </si>
  <si>
    <t>Propojení plastového potrubí polyf.D 25 mm,vodovod</t>
  </si>
  <si>
    <t>D6A  - vstup do VZT</t>
  </si>
  <si>
    <t>138</t>
  </si>
  <si>
    <t>pilíře západního štítu</t>
  </si>
  <si>
    <t>781419706R00</t>
  </si>
  <si>
    <t>721_</t>
  </si>
  <si>
    <t>odpočet otvorů</t>
  </si>
  <si>
    <t>762522811R00</t>
  </si>
  <si>
    <t>SO 02B_4_</t>
  </si>
  <si>
    <t>63150898</t>
  </si>
  <si>
    <t>11,65</t>
  </si>
  <si>
    <t>411354173R00</t>
  </si>
  <si>
    <t>Montáž střešních oken rozměr atipická konstrukce 2800/1000 mm</t>
  </si>
  <si>
    <t>Bourání nosné konstrukce trámové ze dřeva měkkého</t>
  </si>
  <si>
    <t>622311139R00</t>
  </si>
  <si>
    <t>172</t>
  </si>
  <si>
    <t>7,1</t>
  </si>
  <si>
    <t>Hmotnost (t)</t>
  </si>
  <si>
    <t>250*0,10</t>
  </si>
  <si>
    <t>;ztratné 10%; 1,8</t>
  </si>
  <si>
    <t>SO 01_76_</t>
  </si>
  <si>
    <t>59764220</t>
  </si>
  <si>
    <t>Odstranění rozepření stěn - příložné - hl. do 4 m</t>
  </si>
  <si>
    <t>Montáž pojistné bezpečnostní sestravy o ohřívače TV + dodávka materiálu viz poznámka</t>
  </si>
  <si>
    <t>Zkouška těsnosti kanalizace vodou DN 200</t>
  </si>
  <si>
    <t>480*10/1000</t>
  </si>
  <si>
    <t>Izolace tepelná podlah na sucho, jednovrstvá</t>
  </si>
  <si>
    <t>Montáž provětrávací mřížky v podélním smeru + hřebene střechy</t>
  </si>
  <si>
    <t>Bednění kotev.otvorů desek do 0,01 m2, hl. 0,25 m</t>
  </si>
  <si>
    <t>979011311RT1</t>
  </si>
  <si>
    <t>438</t>
  </si>
  <si>
    <t>242</t>
  </si>
  <si>
    <t>722290234R00</t>
  </si>
  <si>
    <t>Oplechování říms z Pz plechu, rš 600 mm</t>
  </si>
  <si>
    <t>430321414R00</t>
  </si>
  <si>
    <t>Izolace proti vlhkosti vodorovná, fólií, volně</t>
  </si>
  <si>
    <t>223</t>
  </si>
  <si>
    <t>0,15</t>
  </si>
  <si>
    <t>591</t>
  </si>
  <si>
    <t>pěnové sklo - nová část   pozice P3</t>
  </si>
  <si>
    <t>SO 03a_</t>
  </si>
  <si>
    <t>;ztratné 20%; 59,5</t>
  </si>
  <si>
    <t>Balkón.dveře do rámu 1kř.do 1 m, vsazené do stěny</t>
  </si>
  <si>
    <t>Bednění stropu trámového, bednění vlastní- zřízení</t>
  </si>
  <si>
    <t>6</t>
  </si>
  <si>
    <t>764230410RAB</t>
  </si>
  <si>
    <t>Rozpočtové náklady v Kč</t>
  </si>
  <si>
    <t>962032641R00</t>
  </si>
  <si>
    <t>480*0,15</t>
  </si>
  <si>
    <t>pozice PS1</t>
  </si>
  <si>
    <t>pasy nosných zdí přístavby</t>
  </si>
  <si>
    <t>Izolace tepelná podlah na sucho, vícevrstvá</t>
  </si>
  <si>
    <t>513</t>
  </si>
  <si>
    <t>Parapet interiér DTD Massive šíře 250 mm barevný</t>
  </si>
  <si>
    <t>krokve</t>
  </si>
  <si>
    <t>vazný trám 200/240 VT5+VT6</t>
  </si>
  <si>
    <t>2+4+1+1</t>
  </si>
  <si>
    <t>68</t>
  </si>
  <si>
    <t>307</t>
  </si>
  <si>
    <t>767995103R00</t>
  </si>
  <si>
    <t>2*30*8</t>
  </si>
  <si>
    <t>764321220R00</t>
  </si>
  <si>
    <t>81</t>
  </si>
  <si>
    <t>553453562</t>
  </si>
  <si>
    <t>979990101R00</t>
  </si>
  <si>
    <t>sloup vazby</t>
  </si>
  <si>
    <t>systémový lem oddělující substrát od kačírku - Ext zelené střechy</t>
  </si>
  <si>
    <t>575</t>
  </si>
  <si>
    <t>Potrubí z PPR, D 40x6,7 mm, PN 20, vč. zed. výpom.</t>
  </si>
  <si>
    <t>426</t>
  </si>
  <si>
    <t>216</t>
  </si>
  <si>
    <t>Bednění schodnic přímočarých - zřízení</t>
  </si>
  <si>
    <t>408</t>
  </si>
  <si>
    <t>B</t>
  </si>
  <si>
    <t>119</t>
  </si>
  <si>
    <t>1+2+1+1</t>
  </si>
  <si>
    <t>160</t>
  </si>
  <si>
    <t>Náklady na umístění stavby (NUS)</t>
  </si>
  <si>
    <t>63*4*4/1000</t>
  </si>
  <si>
    <t>Zdravotně technické instalace</t>
  </si>
  <si>
    <t>Osazení zárubní dveřních ocelových, pl. do 4,5 m2</t>
  </si>
  <si>
    <t>343</t>
  </si>
  <si>
    <t>60726123</t>
  </si>
  <si>
    <t>Přesun hmot pro budovy zděné výšky do 6 m</t>
  </si>
  <si>
    <t>42</t>
  </si>
  <si>
    <t>765312810R00</t>
  </si>
  <si>
    <t>Výztuž schodišť. konstrukcí přímočarých BSt 500 S</t>
  </si>
  <si>
    <t>Beton asfalt. ACL 16+ ložný, š. do 3 m, tl. 7 cm</t>
  </si>
  <si>
    <t>254+142</t>
  </si>
  <si>
    <t>231</t>
  </si>
  <si>
    <t>82</t>
  </si>
  <si>
    <t>Montáž</t>
  </si>
  <si>
    <t>899721112R00</t>
  </si>
  <si>
    <t>604</t>
  </si>
  <si>
    <t>pasy vnitřních zdí přístavby</t>
  </si>
  <si>
    <t>Předokenní žaluzie - plechový kastlík + AL vodící lišty 22/20 mm - RAL 9006  délka kastlíku 4500 mm</t>
  </si>
  <si>
    <t>229</t>
  </si>
  <si>
    <t>Datum, razítko a podpis</t>
  </si>
  <si>
    <t>Vodoměr FAKTUARČNÍ  DN 50x300mm,Qn 15</t>
  </si>
  <si>
    <t>61160414</t>
  </si>
  <si>
    <t>;ztratné 10%; 0,84</t>
  </si>
  <si>
    <t>(5+5+4+4+3+3+5,5)*0,3*0,6</t>
  </si>
  <si>
    <t>612421637T00</t>
  </si>
  <si>
    <t>Nátěr truhlářských výrobků (exteriér) pigment 3x</t>
  </si>
  <si>
    <t>10,23</t>
  </si>
  <si>
    <t>776_</t>
  </si>
  <si>
    <t>ZRN celkem</t>
  </si>
  <si>
    <t>31142056</t>
  </si>
  <si>
    <t>968072455R00</t>
  </si>
  <si>
    <t>20*4+20*2,5   20písmen (výška 500mm šířka 400-500 mm) - tl. plech 2 mm - antikoro + podpurná ACT kon</t>
  </si>
  <si>
    <t>272321411R00</t>
  </si>
  <si>
    <t>Zásyp ruční se zhutněním</t>
  </si>
  <si>
    <t>H764</t>
  </si>
  <si>
    <t>obklad zateplení fasády + vytažení do atik v přístavbě  (sklonování v podélné linii)</t>
  </si>
  <si>
    <t>;ztratné 20%; 18,4</t>
  </si>
  <si>
    <t>Lak dřevěných podlah , Z+2x,přebroušení</t>
  </si>
  <si>
    <t>28323200</t>
  </si>
  <si>
    <t>60515814</t>
  </si>
  <si>
    <t>obetonování VŠ + betonová težká deska stropu</t>
  </si>
  <si>
    <t>(2,1+3,5+3,6+5,,1)*2*0,25</t>
  </si>
  <si>
    <t>Nové konstr.  - vodovodní přípojka</t>
  </si>
  <si>
    <t>60775323</t>
  </si>
  <si>
    <t>;ztratné 20%; 0,576</t>
  </si>
  <si>
    <t>722181211RT7</t>
  </si>
  <si>
    <t>17_</t>
  </si>
  <si>
    <t>Příplatek za zdvojení KZS, tl.300 mm, hmoždinky</t>
  </si>
  <si>
    <t>Předokenní žaluzie - žaluzie AL 90 mm RAL 9006 el. pohon + ovládání ze třídy - 2400/2245</t>
  </si>
  <si>
    <t>Obkládačka  mat</t>
  </si>
  <si>
    <t>765_</t>
  </si>
  <si>
    <t>Položení separační fólie</t>
  </si>
  <si>
    <t>382</t>
  </si>
  <si>
    <t>Izolace proti vlhk. vodorovná pásy přitavením 2 vrstvy - materiál ve specifikaci</t>
  </si>
  <si>
    <t>721194105RM1</t>
  </si>
  <si>
    <t>24+2+6+2</t>
  </si>
  <si>
    <t>2*(2*8,2*0,6)</t>
  </si>
  <si>
    <t>762722120RT3</t>
  </si>
  <si>
    <t>Vpusť podlahová se zápachovou uzávěrkou HL80.1 mřížka nerez 115 x 115 mm, odpad D 50/75 mm</t>
  </si>
  <si>
    <t>431</t>
  </si>
  <si>
    <t>Potrubí HT svodné (ležaté) v zemi DN 125 x 3,1 mm</t>
  </si>
  <si>
    <t>Osazení zárubní dveřních hliníkových, pl. do 2,5 m2</t>
  </si>
  <si>
    <t>69</t>
  </si>
  <si>
    <t>304</t>
  </si>
  <si>
    <t>Dveře vnitřní laminované plné 1kř. 80x197 cm</t>
  </si>
  <si>
    <t>MAR (VZT/TOP/ZTI)</t>
  </si>
  <si>
    <t>141</t>
  </si>
  <si>
    <t>bezpečnostní sklo</t>
  </si>
  <si>
    <t>440</t>
  </si>
  <si>
    <t>21*2</t>
  </si>
  <si>
    <t>;ztratné 10%; 54,968</t>
  </si>
  <si>
    <t>Z99999_</t>
  </si>
  <si>
    <t>Fólie PVC 810 tl. 1,0 mm, š. 1300 mm střešní</t>
  </si>
  <si>
    <t>4ks/m2 desky</t>
  </si>
  <si>
    <t>554</t>
  </si>
  <si>
    <t>33</t>
  </si>
  <si>
    <t>270</t>
  </si>
  <si>
    <t>33*0,3</t>
  </si>
  <si>
    <t>Oplechování říms z Pz-polastovaný plechu, rš 400 mm</t>
  </si>
  <si>
    <t>312000203VD</t>
  </si>
  <si>
    <t>258</t>
  </si>
  <si>
    <t>263</t>
  </si>
  <si>
    <t>podlahy v 1.NP</t>
  </si>
  <si>
    <t>SO 06_</t>
  </si>
  <si>
    <t>-(1*2,2+3,8*3,2+4,6*3,2+1,3*2,9+4,8*0,7+2*1,2*2,2+1,5*2,2+5,4*2,7+5,6*0,7)</t>
  </si>
  <si>
    <t>DPH 15%</t>
  </si>
  <si>
    <t>331</t>
  </si>
  <si>
    <t>2*25</t>
  </si>
  <si>
    <t>SO 04_72_</t>
  </si>
  <si>
    <t>Ing. Jiří Šír - VISTA</t>
  </si>
  <si>
    <t>349</t>
  </si>
  <si>
    <t>Zkoušky - hluk EXT/INT -  KHS</t>
  </si>
  <si>
    <t>622491141R00</t>
  </si>
  <si>
    <t>;ztratné 20%; 61,4</t>
  </si>
  <si>
    <t>78</t>
  </si>
  <si>
    <t>18,83</t>
  </si>
  <si>
    <t>431351122R00</t>
  </si>
  <si>
    <t>pro osazení nosníků</t>
  </si>
  <si>
    <t>Pažení a rozepření stěn rýh - příložné - hl.do 2 m</t>
  </si>
  <si>
    <t>120</t>
  </si>
  <si>
    <t>SO 03e_</t>
  </si>
  <si>
    <t>63</t>
  </si>
  <si>
    <t>230</t>
  </si>
  <si>
    <t>SO 02C</t>
  </si>
  <si>
    <t>375</t>
  </si>
  <si>
    <t>;ztratné 10%; 1,25</t>
  </si>
  <si>
    <t>311271177RT6</t>
  </si>
  <si>
    <t>783_</t>
  </si>
  <si>
    <t>Stěny a příčky</t>
  </si>
  <si>
    <t>Zavětrování s podepřením, prkny 32 mm  včetně dodávky prken tloušťky 24 mm</t>
  </si>
  <si>
    <t>průměrná tl 100 mm (podklad pod nášlap - vrstva obsahuje systémové uložení podlahového topení)  P1+3</t>
  </si>
  <si>
    <t>322</t>
  </si>
  <si>
    <t>H764_</t>
  </si>
  <si>
    <t>154</t>
  </si>
  <si>
    <t>Položení podlah. desek ve dvou vrstvách šroubovan.</t>
  </si>
  <si>
    <t>Broušení betonových povrchů do tl. 5 mm</t>
  </si>
  <si>
    <t>192</t>
  </si>
  <si>
    <t>771275521R00</t>
  </si>
  <si>
    <t>422</t>
  </si>
  <si>
    <t>5*20*8*0,25*1,2</t>
  </si>
  <si>
    <t>Montáž keram.dlaždic a schodovek na stupnice,TM</t>
  </si>
  <si>
    <t>pilíř u komímna</t>
  </si>
  <si>
    <t>Konstrukce</t>
  </si>
  <si>
    <t>137</t>
  </si>
  <si>
    <t>431351128R00</t>
  </si>
  <si>
    <t>324</t>
  </si>
  <si>
    <t>plocha podlahy</t>
  </si>
  <si>
    <t>;ztratné 20%; 50</t>
  </si>
  <si>
    <t>potrubí DK</t>
  </si>
  <si>
    <t>28651702.A</t>
  </si>
  <si>
    <t>178</t>
  </si>
  <si>
    <t>680*3</t>
  </si>
  <si>
    <t>schodiště</t>
  </si>
  <si>
    <t>573</t>
  </si>
  <si>
    <t>515</t>
  </si>
  <si>
    <t>24551191</t>
  </si>
  <si>
    <t>Základna</t>
  </si>
  <si>
    <t>721194109R00</t>
  </si>
  <si>
    <t>25</t>
  </si>
  <si>
    <t>195</t>
  </si>
  <si>
    <t>kus</t>
  </si>
  <si>
    <t>požární voda</t>
  </si>
  <si>
    <t>SO 03b_73_</t>
  </si>
  <si>
    <t>Zemní práce</t>
  </si>
  <si>
    <t>Odkopávky a prokopávky</t>
  </si>
  <si>
    <t>potrubí VP</t>
  </si>
  <si>
    <t>SO 04_4_</t>
  </si>
  <si>
    <t>SO 03c_</t>
  </si>
  <si>
    <t>(160+38+39)*0,15</t>
  </si>
  <si>
    <t>zakončení "kapotáž vyzníků" v podélném směru</t>
  </si>
  <si>
    <t>342266111RW7</t>
  </si>
  <si>
    <t>28651652.A</t>
  </si>
  <si>
    <t>+ KOMAXIT oboustranný</t>
  </si>
  <si>
    <t>721242110RT1</t>
  </si>
  <si>
    <t>10 cm stará budova nad kamenivem  Pozice P1</t>
  </si>
  <si>
    <t>Výztuž základových kleneb z oceli BSt 500 S</t>
  </si>
  <si>
    <t>63*(0,65+0,7)</t>
  </si>
  <si>
    <t>-(2*0,8*2+0,9*2+1,3*2,3)*0,15</t>
  </si>
  <si>
    <t>Dodávky</t>
  </si>
  <si>
    <t>763</t>
  </si>
  <si>
    <t>219</t>
  </si>
  <si>
    <t>Oplechování říms z Pz plechu, rš 700 mm</t>
  </si>
  <si>
    <t>soustava</t>
  </si>
  <si>
    <t>411351102R00</t>
  </si>
  <si>
    <t>342261213RS3</t>
  </si>
  <si>
    <t>2,16</t>
  </si>
  <si>
    <t>Potrubí z trub.závit.pozink.svařovan. 11343,DN 25</t>
  </si>
  <si>
    <t>89,54</t>
  </si>
  <si>
    <t>SO 05_8_</t>
  </si>
  <si>
    <t>Bourání mazanin betonových tl. nad 10 cm, nad 4 m2</t>
  </si>
  <si>
    <t>Komunikace</t>
  </si>
  <si>
    <t>SO 02A_77_</t>
  </si>
  <si>
    <t>odpočet výplní</t>
  </si>
  <si>
    <t>Zachytače sněhu lopatkové, Pz plech,délka 500 mm</t>
  </si>
  <si>
    <t>Sanitární příčka plná - hladká, konstrukce elox Al + desky DTD HPL 28 - barevná úprava - atest do škol!!!</t>
  </si>
  <si>
    <t>Vnitrostaveništní doprava suti do 10 m</t>
  </si>
  <si>
    <t>Výroba a montáž kov. atypických konstr. do 5 kg</t>
  </si>
  <si>
    <t>Ostatní mat.</t>
  </si>
  <si>
    <t>713111111R00</t>
  </si>
  <si>
    <t>Ztužující pásy a věnce z betonu železového C 20/25</t>
  </si>
  <si>
    <t>292</t>
  </si>
  <si>
    <t>;ztratné 30%; 0,075</t>
  </si>
  <si>
    <t>365+286+2*67</t>
  </si>
  <si>
    <t>998011001R00</t>
  </si>
  <si>
    <t>70,38</t>
  </si>
  <si>
    <t>722181214RT7</t>
  </si>
  <si>
    <t>570</t>
  </si>
  <si>
    <t>SO 03f_9_</t>
  </si>
  <si>
    <t>130</t>
  </si>
  <si>
    <t>Bourání zdiva z dutých cihel nebo tvárnic na MVC</t>
  </si>
  <si>
    <t>877252121T00</t>
  </si>
  <si>
    <t>(7*11,8+2*9)*61,3</t>
  </si>
  <si>
    <t>611653539 - D2</t>
  </si>
  <si>
    <t>Cenová</t>
  </si>
  <si>
    <t>Lapač střešních splavenin PP HL600, kloub</t>
  </si>
  <si>
    <t>583</t>
  </si>
  <si>
    <t>Montáž stropů z nosníků plnos.do 15 m, pl.150 cm2</t>
  </si>
  <si>
    <t>Obklad stěn sádrokartonem na ocelovou konstrukci</t>
  </si>
  <si>
    <t>38,4</t>
  </si>
  <si>
    <t>;ztratné 10%; 0,21</t>
  </si>
  <si>
    <t>Izolace tepelné stropů vrchem kladené volně - 2 desky</t>
  </si>
  <si>
    <t>979081111RT3</t>
  </si>
  <si>
    <t>281</t>
  </si>
  <si>
    <t>Hloubení rýh š.do 60 cm v hor.3 do 50 m3, STROJNĚ</t>
  </si>
  <si>
    <t>Osazení zárubní dveřních dřevěných, pl. nad 10 m2</t>
  </si>
  <si>
    <t>Slaboproud montáže</t>
  </si>
  <si>
    <t>310</t>
  </si>
  <si>
    <t>765</t>
  </si>
  <si>
    <t>133</t>
  </si>
  <si>
    <t>60725012</t>
  </si>
  <si>
    <t>273351216R00</t>
  </si>
  <si>
    <t>10,5*5/2*0,06</t>
  </si>
  <si>
    <t>254</t>
  </si>
  <si>
    <t>60515801</t>
  </si>
  <si>
    <t>175</t>
  </si>
  <si>
    <t>vnitřní příčky staré části - bruto</t>
  </si>
  <si>
    <t>venkovní terasy</t>
  </si>
  <si>
    <t>170</t>
  </si>
  <si>
    <t>HSV prac</t>
  </si>
  <si>
    <t>Předokenní žaluzie - plechový kastlík + AL vodící lišty 22/20 mm - dékla kastlíku 2700  mm</t>
  </si>
  <si>
    <t>767_</t>
  </si>
  <si>
    <t>Bednění ztužujících věnců, obě strany - zřízení</t>
  </si>
  <si>
    <t>Podklad z kameniva drceného vel.32-63 mm,tl. 10 cm</t>
  </si>
  <si>
    <t>58591000</t>
  </si>
  <si>
    <t>svislé prvky (obvod+ střed)</t>
  </si>
  <si>
    <t>Zatepl.syst.   ostění, miner.desky PV 40 mm</t>
  </si>
  <si>
    <t>139</t>
  </si>
  <si>
    <t>2*24*0,6</t>
  </si>
  <si>
    <t>60725033</t>
  </si>
  <si>
    <t>129</t>
  </si>
  <si>
    <t>13487115</t>
  </si>
  <si>
    <t>711171559RT1</t>
  </si>
  <si>
    <t>31148358</t>
  </si>
  <si>
    <t>151</t>
  </si>
  <si>
    <t>Bednění podest a podstup.desek přímočar.odstranění</t>
  </si>
  <si>
    <t>20*0,25</t>
  </si>
  <si>
    <t>12710128</t>
  </si>
  <si>
    <t>63*(0,5+0,65)</t>
  </si>
  <si>
    <t>589</t>
  </si>
  <si>
    <t>733VD</t>
  </si>
  <si>
    <t>60*8*0,06*0,1</t>
  </si>
  <si>
    <t>273321117R00</t>
  </si>
  <si>
    <t>pod obklady v mokrém</t>
  </si>
  <si>
    <t>892372111R00</t>
  </si>
  <si>
    <t>13</t>
  </si>
  <si>
    <t>včetně dveří</t>
  </si>
  <si>
    <t>Montáž podlah keram.,režné hladké, tmel, 20x20 cm</t>
  </si>
  <si>
    <t>Odvětrání hřebene hladkého RA12PF</t>
  </si>
  <si>
    <t>;ztratné 15%; 41,4</t>
  </si>
  <si>
    <t>Dveře vnitřní RAL KLASIK plné 2kř. 160x197 cm</t>
  </si>
  <si>
    <t>-(2*1*2+4*0,8*2)</t>
  </si>
  <si>
    <t>767999802R00</t>
  </si>
  <si>
    <t>11,62*0,140</t>
  </si>
  <si>
    <t>Lože pod potrubí z kameniva těženého 0 - 4 mm</t>
  </si>
  <si>
    <t>43,14</t>
  </si>
  <si>
    <t>358</t>
  </si>
  <si>
    <t>505</t>
  </si>
  <si>
    <t>562</t>
  </si>
  <si>
    <t>Hranolek pod terasy Borovice Thermo 42 x 68 mm A/B/C sušený</t>
  </si>
  <si>
    <t>289</t>
  </si>
  <si>
    <t>Montáž záklopu, zapuštěný na sraz, 1x deska</t>
  </si>
  <si>
    <t>311712358</t>
  </si>
  <si>
    <t>13611228</t>
  </si>
  <si>
    <t>494</t>
  </si>
  <si>
    <t>Montáž bednění okapových říms z prken hrubých</t>
  </si>
  <si>
    <t>6114374881</t>
  </si>
  <si>
    <t>kotvení folie do BETONU</t>
  </si>
  <si>
    <t>25+25</t>
  </si>
  <si>
    <t>Orientační tabulky na zdivu</t>
  </si>
  <si>
    <t>392</t>
  </si>
  <si>
    <t>325</t>
  </si>
  <si>
    <t>Geodetické vyměření stavby</t>
  </si>
  <si>
    <t>610</t>
  </si>
  <si>
    <t>61110564</t>
  </si>
  <si>
    <t>711141559RT2</t>
  </si>
  <si>
    <t>232</t>
  </si>
  <si>
    <t>Příplatek za podpěrnou konstr.podest v.4-6 m-odstr</t>
  </si>
  <si>
    <t>pozice D1</t>
  </si>
  <si>
    <t>"M"</t>
  </si>
  <si>
    <t>Konstrukce doplňkové stavební (zámečnické)</t>
  </si>
  <si>
    <t>Lepení podlahových soklíků korkových</t>
  </si>
  <si>
    <t>Ohrazení staveniště</t>
  </si>
  <si>
    <t>61165002</t>
  </si>
  <si>
    <t>horní a dolní pásnice vazníků základní/malý vikýř</t>
  </si>
  <si>
    <t>Závětrná lišta z Pz-poplastovaný plechu, rš 500 mm</t>
  </si>
  <si>
    <t>411351101RT4</t>
  </si>
  <si>
    <t>H27_</t>
  </si>
  <si>
    <t>na DN 20;32;25;70;100</t>
  </si>
  <si>
    <t>766694112R00</t>
  </si>
  <si>
    <t>obvodové nosné zdivo 1NP</t>
  </si>
  <si>
    <t>SO 03d</t>
  </si>
  <si>
    <t>777_</t>
  </si>
  <si>
    <t>764396291R00</t>
  </si>
  <si>
    <t>M.bedn.střech šikmých z aglomer.desek šroubováním</t>
  </si>
  <si>
    <t>514</t>
  </si>
  <si>
    <t>Podlahy lité polyuretanové ast 302, protiskluzné -dvouvrstvá litá podlaha s odolností proti otěru ,  tloušťka cca 2,5 mm</t>
  </si>
  <si>
    <t>330</t>
  </si>
  <si>
    <t>998771101R00</t>
  </si>
  <si>
    <t>891185321R00</t>
  </si>
  <si>
    <t>140</t>
  </si>
  <si>
    <t>595</t>
  </si>
  <si>
    <t>97_</t>
  </si>
  <si>
    <t>55428092.A</t>
  </si>
  <si>
    <t>764311242RT1</t>
  </si>
  <si>
    <t>312000201VD</t>
  </si>
  <si>
    <t>Krycí list rozpočtu</t>
  </si>
  <si>
    <t>1,85</t>
  </si>
  <si>
    <t>722266213R00</t>
  </si>
  <si>
    <t>Prkno terasové dřevěné Modřín Slezský 24 x 136 mm</t>
  </si>
  <si>
    <t>771575107R00</t>
  </si>
  <si>
    <t>0,3*0,5*4,5</t>
  </si>
  <si>
    <t>Těsnění spár krytu   zálivkou za studena</t>
  </si>
  <si>
    <t>Vyčištění budov o výšce podlaží do 4 m</t>
  </si>
  <si>
    <t>67352317.A</t>
  </si>
  <si>
    <t>611653539 - ps2</t>
  </si>
  <si>
    <t>Výroba a montáž kov. atypických konstr. do 10 kg  včetně dodávky materiálu</t>
  </si>
  <si>
    <t>180</t>
  </si>
  <si>
    <t>pozice okna O2</t>
  </si>
  <si>
    <t>Cena/MJ</t>
  </si>
  <si>
    <t>Demontáž stropnic z řeziva o pl.do 450 cm2</t>
  </si>
  <si>
    <t>uzávěr na odbočení z řadu do VP</t>
  </si>
  <si>
    <t>28651701.A</t>
  </si>
  <si>
    <t>1,5</t>
  </si>
  <si>
    <t>Konec výstavby:</t>
  </si>
  <si>
    <t>480/(2,5*0,6)*(2,5+2,5+0,6+0,6)/50</t>
  </si>
  <si>
    <t>409</t>
  </si>
  <si>
    <t>587</t>
  </si>
  <si>
    <t>783122711R00</t>
  </si>
  <si>
    <t>-1*((3,14*2,9*2,9/4+1,2*1,8)+(2*0,9*2))</t>
  </si>
  <si>
    <t>490</t>
  </si>
  <si>
    <t>979990112R00</t>
  </si>
  <si>
    <t>HEB 200 pozice nad sálem</t>
  </si>
  <si>
    <t>63152206</t>
  </si>
  <si>
    <t>127</t>
  </si>
  <si>
    <t>Montáž soklíků keramických schidišťových stupňovitých, výška 100 mm, do tmele</t>
  </si>
  <si>
    <t>Dvířka revizní plná SI 2020 rozměr 200x200 mm</t>
  </si>
  <si>
    <t>721176115R00</t>
  </si>
  <si>
    <t>230+96*0,4</t>
  </si>
  <si>
    <t>623</t>
  </si>
  <si>
    <t>571</t>
  </si>
  <si>
    <t>Kód</t>
  </si>
  <si>
    <t>S</t>
  </si>
  <si>
    <t>722259105R00</t>
  </si>
  <si>
    <t>Jednot.</t>
  </si>
  <si>
    <t>pozice D2</t>
  </si>
  <si>
    <t>43</t>
  </si>
  <si>
    <t>210000200VD</t>
  </si>
  <si>
    <t>200</t>
  </si>
  <si>
    <t>5+9+3+2</t>
  </si>
  <si>
    <t>Vybourání nosníků ze zdi cihelné dl. 4 m, 20 kg/m</t>
  </si>
  <si>
    <t>1,17</t>
  </si>
  <si>
    <t>Desinfekce vodovodního potrubí DN 70</t>
  </si>
  <si>
    <t>450</t>
  </si>
  <si>
    <t>725249102R00</t>
  </si>
  <si>
    <t>(6,3+6,3+6,3+5,5)*3,2*0,3</t>
  </si>
  <si>
    <t>Odpadní trouby kruhové  D 100 mm</t>
  </si>
  <si>
    <t>55330380</t>
  </si>
  <si>
    <t>14,1*1,8</t>
  </si>
  <si>
    <t>;ztratné 1%; 1,625</t>
  </si>
  <si>
    <t>979990105R00</t>
  </si>
  <si>
    <t>272351215R00</t>
  </si>
  <si>
    <t>540</t>
  </si>
  <si>
    <t>(27,8+5,4+5,4+4,5+11,9+5,5+5,5)*0,3*3,25+(1,5+1,2+2+5,5)*0,75*3,25</t>
  </si>
  <si>
    <t>Koleno kanalizační KGB 125/ 45° PVC</t>
  </si>
  <si>
    <t>SO 02C_76_</t>
  </si>
  <si>
    <t>Odstranění podkladu pl. 50 m2,kam.těžené tl.10 cm</t>
  </si>
  <si>
    <t>276</t>
  </si>
  <si>
    <t>Podstupnice borovice, průběžná lamela, 1000 x 200 x 18 mm</t>
  </si>
  <si>
    <t>28375705</t>
  </si>
  <si>
    <t>120001101R00</t>
  </si>
  <si>
    <t>Lemování přechodu EZS/ kačírek z TiZn plechu</t>
  </si>
  <si>
    <t>Umyvadlo  s otv. pro baterii 550x450 mm</t>
  </si>
  <si>
    <t>436</t>
  </si>
  <si>
    <t>389</t>
  </si>
  <si>
    <t>stěna 201/206</t>
  </si>
  <si>
    <t>1+2NP</t>
  </si>
  <si>
    <t>221</t>
  </si>
  <si>
    <t>435</t>
  </si>
  <si>
    <t>7,5*2,8</t>
  </si>
  <si>
    <t>600</t>
  </si>
  <si>
    <t>30*3*0,25</t>
  </si>
  <si>
    <t>Montáž parapetních desek š.do 30 cm,dl.do 160 cm</t>
  </si>
  <si>
    <t>trámy stropu 1 np</t>
  </si>
  <si>
    <t>Demontáž lešení leh.řad.s podlahami,š.1 m, H 10 m</t>
  </si>
  <si>
    <t>Lešení lehké pomocné, výška podlahy do 1,2 m</t>
  </si>
  <si>
    <t>Hloubení pro podzemní stěny, ražení a hloubení důlní</t>
  </si>
  <si>
    <t>SO 02C_71_</t>
  </si>
  <si>
    <t>soubor</t>
  </si>
  <si>
    <t>386</t>
  </si>
  <si>
    <t>krokve pro pomocnou plochu</t>
  </si>
  <si>
    <t>MJ</t>
  </si>
  <si>
    <t>553</t>
  </si>
  <si>
    <t>H711_</t>
  </si>
  <si>
    <t>711112001RT1</t>
  </si>
  <si>
    <t>Plech nerez 1.4301+2B, rozměr 2,0 x 1000 x 2000 mm</t>
  </si>
  <si>
    <t>711172559RT1</t>
  </si>
  <si>
    <t>45</t>
  </si>
  <si>
    <t>998713101R00</t>
  </si>
  <si>
    <t>40</t>
  </si>
  <si>
    <t>3,12</t>
  </si>
  <si>
    <t>941955001T00</t>
  </si>
  <si>
    <t>319</t>
  </si>
  <si>
    <t>374</t>
  </si>
  <si>
    <t>Celkem ORN</t>
  </si>
  <si>
    <t>doplněk tloušťky izolantu na celek 300 mm</t>
  </si>
  <si>
    <t>Hydroizolace pro zelené střechy, ochran. textilie včetně dodávky fólie  tl.1,5 mm</t>
  </si>
  <si>
    <t>579300014R00</t>
  </si>
  <si>
    <t>Doplňující konstrukce a práce na pozemních komunikacích a zpevněných plochách</t>
  </si>
  <si>
    <t>(7*10,9+2*8*1,7+2*2*1,2)*61,3/1000</t>
  </si>
  <si>
    <t>Doplňkové náklady</t>
  </si>
  <si>
    <t>721194103RM1</t>
  </si>
  <si>
    <t>H762</t>
  </si>
  <si>
    <t>Bednění schodnic přímočarých - odstranění</t>
  </si>
  <si>
    <t>422913302</t>
  </si>
  <si>
    <t>639571210R00</t>
  </si>
  <si>
    <t>224</t>
  </si>
  <si>
    <t>356</t>
  </si>
  <si>
    <t>722172333R00</t>
  </si>
  <si>
    <t>132</t>
  </si>
  <si>
    <t>Fotovoltaický zdroj - panely na jižní ploše střechy pro výkon 5 kWp - převod ze záložky</t>
  </si>
  <si>
    <t>489</t>
  </si>
  <si>
    <t>Potrubí HT svodné (ležaté) v zemi D 110 x 2,7 mm</t>
  </si>
  <si>
    <t>762395000R00</t>
  </si>
  <si>
    <t>642947441T00</t>
  </si>
  <si>
    <t>55330389</t>
  </si>
  <si>
    <t>775</t>
  </si>
  <si>
    <t>220</t>
  </si>
  <si>
    <t>272353111R00</t>
  </si>
  <si>
    <t>612421626R00</t>
  </si>
  <si>
    <t>611653539 - D1</t>
  </si>
  <si>
    <t>PSV prac</t>
  </si>
  <si>
    <t>HSV</t>
  </si>
  <si>
    <t>Hranol konstrukční KVH NSi, SM, C24, 60 x 80 mm, 5 m</t>
  </si>
  <si>
    <t>67352002</t>
  </si>
  <si>
    <t>979990161R00</t>
  </si>
  <si>
    <t>Montáž kontralatí na vruty, včetně dodávky hranolku 5/5 cm</t>
  </si>
  <si>
    <t>622</t>
  </si>
  <si>
    <t>711212001R00</t>
  </si>
  <si>
    <t>451315111R00</t>
  </si>
  <si>
    <t>Vedlejší rozpočtové náklady VRN</t>
  </si>
  <si>
    <t>131301201T00</t>
  </si>
  <si>
    <t>104,3+60+8,7+9+41,5+51</t>
  </si>
  <si>
    <t>396</t>
  </si>
  <si>
    <t>mříže v oknech a výkladcích</t>
  </si>
  <si>
    <t>14,1</t>
  </si>
  <si>
    <t>10,7*5/2*0,49</t>
  </si>
  <si>
    <t>H721_</t>
  </si>
  <si>
    <t>65/5</t>
  </si>
  <si>
    <t>162*0,15</t>
  </si>
  <si>
    <t>9</t>
  </si>
  <si>
    <t>;ztratné 20%; 0,464</t>
  </si>
  <si>
    <t>hrubá plocha</t>
  </si>
  <si>
    <t>725980122R00</t>
  </si>
  <si>
    <t>Zápachová uzávěrka pro pisoáry HL130, D 32, 40 mm včetně dodávky</t>
  </si>
  <si>
    <t>42291405</t>
  </si>
  <si>
    <t>6*1,5*1,5+8*0,6*0,6+5*0,9*0,5+5*1,5*1,9+2*2,5*2</t>
  </si>
  <si>
    <t>42661190</t>
  </si>
  <si>
    <t>rozšíření zámku</t>
  </si>
  <si>
    <t>877353121R00</t>
  </si>
  <si>
    <t>543</t>
  </si>
  <si>
    <t>328</t>
  </si>
  <si>
    <t>342</t>
  </si>
  <si>
    <t>583426801</t>
  </si>
  <si>
    <t>Obecní dům Vavřineč</t>
  </si>
  <si>
    <t>230+96*0,8</t>
  </si>
  <si>
    <t>607201010</t>
  </si>
  <si>
    <t>320</t>
  </si>
  <si>
    <t>140kg/1m3</t>
  </si>
  <si>
    <t>59,8+51,2+41,5+33,3+68,9</t>
  </si>
  <si>
    <t>kotvy do betonu atiky -- kotvení KVH</t>
  </si>
  <si>
    <t>979084215R00</t>
  </si>
  <si>
    <t>143</t>
  </si>
  <si>
    <t>611</t>
  </si>
  <si>
    <t>104</t>
  </si>
  <si>
    <t>Schodiště</t>
  </si>
  <si>
    <t>likvidace - dřevo vyskládání</t>
  </si>
  <si>
    <t>762711820R00</t>
  </si>
  <si>
    <t>Kamenivo drcené 16/32</t>
  </si>
  <si>
    <t>SO 04</t>
  </si>
  <si>
    <t>113107310R00</t>
  </si>
  <si>
    <t>;ztratné 5%; 26,15</t>
  </si>
  <si>
    <t>393</t>
  </si>
  <si>
    <t>506</t>
  </si>
  <si>
    <t>528</t>
  </si>
  <si>
    <t>15</t>
  </si>
  <si>
    <t>585</t>
  </si>
  <si>
    <t>342261123R00</t>
  </si>
  <si>
    <t>725851007R00</t>
  </si>
  <si>
    <t>odbourání zdiva pod pozednicí - prostor na nový věnec</t>
  </si>
  <si>
    <t>Bednění stropů deskových, bednění vlastní -zřízení</t>
  </si>
  <si>
    <t>01B</t>
  </si>
  <si>
    <t>00237043/CZ00237043</t>
  </si>
  <si>
    <t>722254201R00</t>
  </si>
  <si>
    <t>711191172T00</t>
  </si>
  <si>
    <t>342264051R00</t>
  </si>
  <si>
    <t>95</t>
  </si>
  <si>
    <t>Montáž ventilů hlavních pro přípojky DN 50</t>
  </si>
  <si>
    <t>378</t>
  </si>
  <si>
    <t>766999500VD</t>
  </si>
  <si>
    <t>ISWORK</t>
  </si>
  <si>
    <t>57_</t>
  </si>
  <si>
    <t>Podklad z kameniva drceného 63-125 mm, tl. 20 cm</t>
  </si>
  <si>
    <t>417321315R00</t>
  </si>
  <si>
    <t>487</t>
  </si>
  <si>
    <t>Celkem včetně DPH</t>
  </si>
  <si>
    <t>Celkem NUS</t>
  </si>
  <si>
    <t>142</t>
  </si>
  <si>
    <t>Základ 0%</t>
  </si>
  <si>
    <t>252</t>
  </si>
  <si>
    <t>557</t>
  </si>
  <si>
    <t>156</t>
  </si>
  <si>
    <t>podlaha pozice P5</t>
  </si>
  <si>
    <t>418</t>
  </si>
  <si>
    <t>546</t>
  </si>
  <si>
    <t>SK 80</t>
  </si>
  <si>
    <t>199</t>
  </si>
  <si>
    <t>150</t>
  </si>
  <si>
    <t>SO 03a</t>
  </si>
  <si>
    <t>S_</t>
  </si>
  <si>
    <t>Výroba a montáž kov. atypických konstr. do 250 kg -  statická konstrukce stropu 1.NP</t>
  </si>
  <si>
    <t>721176103R00</t>
  </si>
  <si>
    <t>10*1,5</t>
  </si>
  <si>
    <t>260</t>
  </si>
  <si>
    <t>před budovou - provizorní, dočasná úprava</t>
  </si>
  <si>
    <t>965042241RT1</t>
  </si>
  <si>
    <t>Lepení povlakových podlah ze čtverců</t>
  </si>
  <si>
    <t>766</t>
  </si>
  <si>
    <t>619</t>
  </si>
  <si>
    <t>Oplechování parapetů včetně rohů Pz-poplastovaný , rš 330 mm</t>
  </si>
  <si>
    <t>35+35</t>
  </si>
  <si>
    <t>Fólie 140  kontaktní vysoce difúzní</t>
  </si>
  <si>
    <t>23*(8*0,8+7*0,7)*2</t>
  </si>
  <si>
    <t>510</t>
  </si>
  <si>
    <t>588</t>
  </si>
  <si>
    <t>;ztratné 5%; 5</t>
  </si>
  <si>
    <t>525</t>
  </si>
  <si>
    <t>52</t>
  </si>
  <si>
    <t>podélné nadezdívky</t>
  </si>
  <si>
    <t>722181214RT8</t>
  </si>
  <si>
    <t>118</t>
  </si>
  <si>
    <t>nové zdivo porobeton</t>
  </si>
  <si>
    <t>Příplatek za každý měsíc použití lešení k pol.1031</t>
  </si>
  <si>
    <t>Zárubeň ocelová YH100 1450x1970x100</t>
  </si>
  <si>
    <t>14+14</t>
  </si>
  <si>
    <t>H771_</t>
  </si>
  <si>
    <t>617</t>
  </si>
  <si>
    <t>271</t>
  </si>
  <si>
    <t>721194104R00</t>
  </si>
  <si>
    <t>2*(12*0,5*0,3)</t>
  </si>
  <si>
    <t>Vodič signalizační CYY 4 mm2</t>
  </si>
  <si>
    <t>764908109RT1</t>
  </si>
  <si>
    <t>SO 02A_6_</t>
  </si>
  <si>
    <t>SO 03d_</t>
  </si>
  <si>
    <t>51</t>
  </si>
  <si>
    <t>;ztratné 10%; 1,167</t>
  </si>
  <si>
    <t>;ztratné 20%; 105,2</t>
  </si>
  <si>
    <t>(4*20+22*(0,5+0,5+0,1))*0,04*0,06</t>
  </si>
  <si>
    <t>(22+12)*5*16/1000</t>
  </si>
  <si>
    <t>;ztratné 20%; 4,5</t>
  </si>
  <si>
    <t>4*(4*0,4+4*0,7)</t>
  </si>
  <si>
    <t>227</t>
  </si>
  <si>
    <t>Přesuny sutí</t>
  </si>
  <si>
    <t>2,7+2,3+5</t>
  </si>
  <si>
    <t>vchod do BJ</t>
  </si>
  <si>
    <t>2*4,4*10,2</t>
  </si>
  <si>
    <t>269</t>
  </si>
  <si>
    <t>17*26</t>
  </si>
  <si>
    <t>Obložení podhledů složit., aglom. desky do 0,6 m2</t>
  </si>
  <si>
    <t>401</t>
  </si>
  <si>
    <t>713181113RT2</t>
  </si>
  <si>
    <t>Mont prac</t>
  </si>
  <si>
    <t>Ventil rohový pračkový G1/2</t>
  </si>
  <si>
    <t>SO 02A_9_</t>
  </si>
  <si>
    <t>28653008.A</t>
  </si>
  <si>
    <t>475</t>
  </si>
  <si>
    <t>597642021</t>
  </si>
  <si>
    <t>SO 02A_2_</t>
  </si>
  <si>
    <t>Obklady (keramické)</t>
  </si>
  <si>
    <t>vzduchotechnika</t>
  </si>
  <si>
    <t>pod nádrž</t>
  </si>
  <si>
    <t>;ztratné 10%; 1</t>
  </si>
  <si>
    <t>777155020R00</t>
  </si>
  <si>
    <t>pozice O2 - 2800x800 mm</t>
  </si>
  <si>
    <t>4,29</t>
  </si>
  <si>
    <t>44</t>
  </si>
  <si>
    <t>podkladní štěrk pod podlahami v nové budově</t>
  </si>
  <si>
    <t>724</t>
  </si>
  <si>
    <t>23*(8+8)+23*(7,5+7,5)</t>
  </si>
  <si>
    <t>721176105R00</t>
  </si>
  <si>
    <t>Dveře vnitřní hladké plné 600+400/2050</t>
  </si>
  <si>
    <t>okno O1</t>
  </si>
  <si>
    <t>622311854RT3</t>
  </si>
  <si>
    <t>Příplatek k odvozu za každý další 1 km</t>
  </si>
  <si>
    <t>Připojovací plech povrch PVC - vnitřní roh dl 2,5 m</t>
  </si>
  <si>
    <t>5+11</t>
  </si>
  <si>
    <t>SO 02C_9_</t>
  </si>
  <si>
    <t>Demontáž konstrukcí krovů z hranolů do 224 cm2</t>
  </si>
  <si>
    <t>62_</t>
  </si>
  <si>
    <t>Příplatek za další 1cm betonu nad 10 cm</t>
  </si>
  <si>
    <t>62*0,7*0,175</t>
  </si>
  <si>
    <t>Základy, zvláštní zakládání, zpevňování hornin</t>
  </si>
  <si>
    <t>F</t>
  </si>
  <si>
    <t>5513809027</t>
  </si>
  <si>
    <t>613</t>
  </si>
  <si>
    <t>SO 02C_3_</t>
  </si>
  <si>
    <t>359</t>
  </si>
  <si>
    <t>15,9</t>
  </si>
  <si>
    <t>23</t>
  </si>
  <si>
    <t>ST01+ST03+ST04</t>
  </si>
  <si>
    <t>Vzduchotechnilka  - převod ze záložky</t>
  </si>
  <si>
    <t>Zkoušky - PHP/ucpávky - KZS</t>
  </si>
  <si>
    <t>622390324R00</t>
  </si>
  <si>
    <t>725_</t>
  </si>
  <si>
    <t>781_</t>
  </si>
  <si>
    <t>262</t>
  </si>
  <si>
    <t>pozice okna O1B - 2700x2700 mm - uložení do vodící drážky před kulaté okno</t>
  </si>
  <si>
    <t>SO 02B_76_</t>
  </si>
  <si>
    <t>767</t>
  </si>
  <si>
    <t>základové pasy vnějších staveb - přístavba nová</t>
  </si>
  <si>
    <t>28322026</t>
  </si>
  <si>
    <t>523</t>
  </si>
  <si>
    <t>;ztratné 5%; 6,3</t>
  </si>
  <si>
    <t>128</t>
  </si>
  <si>
    <t>Montáž podlah keram.,hladké, tmel, velko formát</t>
  </si>
  <si>
    <t>Prefa hnízdo jiřičky (kotvící deska k podhledu, hnízdo - plastbeton)</t>
  </si>
  <si>
    <t>Hutnící zkoušky zásypů rýh IS</t>
  </si>
  <si>
    <t>-(1*2,2+3,8*3,2+4,6*3,2+1,3*2,9+4,8*0,7+2*1,2*2,2+1,5*2,2+5,4*2,7+5,6*0,7)*0,175</t>
  </si>
  <si>
    <t>529</t>
  </si>
  <si>
    <t>H766_</t>
  </si>
  <si>
    <t>59</t>
  </si>
  <si>
    <t>Příčka sádrokarton. ocel.kce, 2x oplášť. tl.150 mm</t>
  </si>
  <si>
    <t>kleštiny</t>
  </si>
  <si>
    <t>SO 05_9_</t>
  </si>
  <si>
    <t>499</t>
  </si>
  <si>
    <t>2*25,8*8,4</t>
  </si>
  <si>
    <t>411354174R00</t>
  </si>
  <si>
    <t>250</t>
  </si>
  <si>
    <t>28_</t>
  </si>
  <si>
    <t>1000 ks</t>
  </si>
  <si>
    <t>Tyč ocelová I 140, S235JR</t>
  </si>
  <si>
    <t>61161805-D7</t>
  </si>
  <si>
    <t>34,53</t>
  </si>
  <si>
    <t>762332130RT2</t>
  </si>
  <si>
    <t>594</t>
  </si>
  <si>
    <t>781419701R00</t>
  </si>
  <si>
    <t>30*0,4*0,2</t>
  </si>
  <si>
    <t>282</t>
  </si>
  <si>
    <t>941941031R00</t>
  </si>
  <si>
    <t>109</t>
  </si>
  <si>
    <t>580</t>
  </si>
  <si>
    <t>t</t>
  </si>
  <si>
    <t>429</t>
  </si>
  <si>
    <t>355</t>
  </si>
  <si>
    <t>26,49</t>
  </si>
  <si>
    <t>88,4</t>
  </si>
  <si>
    <t>pozice okna PS1 východní strana</t>
  </si>
  <si>
    <t>117</t>
  </si>
  <si>
    <t>7*5</t>
  </si>
  <si>
    <t>boční stěny mezi schodnicemi a stropem ve schodišti z 1PP do 1NP</t>
  </si>
  <si>
    <t>1/3 trasy</t>
  </si>
  <si>
    <t>Montáž vázan.krovů pravidelných do 120cm2 ocel.spojkami fošny 6/14 cm</t>
  </si>
  <si>
    <t> </t>
  </si>
  <si>
    <t>53</t>
  </si>
  <si>
    <t>723_</t>
  </si>
  <si>
    <t>246</t>
  </si>
  <si>
    <t>pozice ST2.1+ST2.2 - přístvba</t>
  </si>
  <si>
    <t>Zkouška tlaku potrubí závitového DN 50</t>
  </si>
  <si>
    <t>Konstrukce truhlářské</t>
  </si>
  <si>
    <t>295</t>
  </si>
  <si>
    <t>99</t>
  </si>
  <si>
    <t>161</t>
  </si>
  <si>
    <t>"kapotáž" atiky</t>
  </si>
  <si>
    <t>povrch podlahy v 2.01</t>
  </si>
  <si>
    <t>722237224R00</t>
  </si>
  <si>
    <t>476</t>
  </si>
  <si>
    <t>5*1,2</t>
  </si>
  <si>
    <t>107</t>
  </si>
  <si>
    <t>274/2</t>
  </si>
  <si>
    <t>243</t>
  </si>
  <si>
    <t>Nástěnka K 247, pro baterii G 1/2</t>
  </si>
  <si>
    <t>Svislá doprava vybouraných hmot na výšku do 3,5 m</t>
  </si>
  <si>
    <t>10+11</t>
  </si>
  <si>
    <t>522</t>
  </si>
  <si>
    <t>15*1,5</t>
  </si>
  <si>
    <t>Omítka vnější stěn, MVC, hladká, složitost 1-2</t>
  </si>
  <si>
    <t>1+6+1</t>
  </si>
  <si>
    <t>405</t>
  </si>
  <si>
    <t>577161124RT3</t>
  </si>
  <si>
    <t>125</t>
  </si>
  <si>
    <t>;ztratné 20%; 5,8</t>
  </si>
  <si>
    <t>Trubka PVC kanalizační hrdlovaná d 160x4,0x5000 mm</t>
  </si>
  <si>
    <t>28651662.A</t>
  </si>
  <si>
    <t>Recyklace suti - cihelné výrobky, skupina odpadu 170102</t>
  </si>
  <si>
    <t>Demontáž doplňků staveb o hmotnosti do 100 kg</t>
  </si>
  <si>
    <t>Bourání zdiva komínového z cihel na MC</t>
  </si>
  <si>
    <t>Nové konstr. - 1PP</t>
  </si>
  <si>
    <t>Vnitřní plynovod</t>
  </si>
  <si>
    <t>777101101T00</t>
  </si>
  <si>
    <t>Deska akustická - skelná vata -  tl. 100 x 625 x 1250 mm</t>
  </si>
  <si>
    <t>722220121R00</t>
  </si>
  <si>
    <t>762341630R00</t>
  </si>
  <si>
    <t>61581620</t>
  </si>
  <si>
    <t>JKSO:</t>
  </si>
  <si>
    <t>553508866</t>
  </si>
  <si>
    <t>399</t>
  </si>
  <si>
    <t>776572200R00</t>
  </si>
  <si>
    <t>45_</t>
  </si>
  <si>
    <t>466</t>
  </si>
  <si>
    <t>85</t>
  </si>
  <si>
    <t>713121111RT1</t>
  </si>
  <si>
    <t>893152111R00</t>
  </si>
  <si>
    <t>64</t>
  </si>
  <si>
    <t>VZT</t>
  </si>
  <si>
    <t>417351111R00</t>
  </si>
  <si>
    <t>18_</t>
  </si>
  <si>
    <t>mimo budovu</t>
  </si>
  <si>
    <t>ostatní místnosti</t>
  </si>
  <si>
    <t>2*25*(0,6+0,4)</t>
  </si>
  <si>
    <t>762321911RT2</t>
  </si>
  <si>
    <t>Baterie dřezová stojánková ruční s výsuv. sprchou včetn ědodávky</t>
  </si>
  <si>
    <t>SO 03d_9_</t>
  </si>
  <si>
    <t>Oplechování parapetů, rš 330 mm - poplast ocel plech</t>
  </si>
  <si>
    <t>vstup 600/600 m; uzamakatelný poklop pojezdový; vstupní žebřík nebo stupadla</t>
  </si>
  <si>
    <t>733VD_</t>
  </si>
  <si>
    <t>odstrananí degradované plochy - chodba + schodiště</t>
  </si>
  <si>
    <t>H763</t>
  </si>
  <si>
    <t>722181211RT8</t>
  </si>
  <si>
    <t>255</t>
  </si>
  <si>
    <t>783122110R00</t>
  </si>
  <si>
    <t>Přesun hmot pro dřevostavby, výšky do 12 m</t>
  </si>
  <si>
    <t>Montáž vestavěné varné desky</t>
  </si>
  <si>
    <t>SO 03d_72_</t>
  </si>
  <si>
    <t>622311837RV1</t>
  </si>
  <si>
    <t>Zahradní protimrazový ventil na fasádu</t>
  </si>
  <si>
    <t>120*4,5+2*14*5</t>
  </si>
  <si>
    <t>M220VD_</t>
  </si>
  <si>
    <t>569</t>
  </si>
  <si>
    <t>jižní a západní fas staré části domu</t>
  </si>
  <si>
    <t>722237125R00</t>
  </si>
  <si>
    <t>197</t>
  </si>
  <si>
    <t>762342811R00</t>
  </si>
  <si>
    <t>611653538 - DX2</t>
  </si>
  <si>
    <t>274*0,2</t>
  </si>
  <si>
    <t>329</t>
  </si>
  <si>
    <t>;ztratné 15%; 14,7</t>
  </si>
  <si>
    <t>Obec Malý Újezd</t>
  </si>
  <si>
    <t>174101102R00</t>
  </si>
  <si>
    <t>12_</t>
  </si>
  <si>
    <t>Deska dřevoštěpková OSB 3 nebroušená,   tl. 22 mm</t>
  </si>
  <si>
    <t>55162545.A</t>
  </si>
  <si>
    <t>Kryty pozemních komunikací, letišť a ploch z kameniva nebo živičné</t>
  </si>
  <si>
    <t>Hloubení rýh š.do 60 cm v hor.4 do 50 m3,STROJNĚ</t>
  </si>
  <si>
    <t>622311863R00</t>
  </si>
  <si>
    <t>Osazení plastové šachty revizní prům.425 mm,</t>
  </si>
  <si>
    <t>624</t>
  </si>
  <si>
    <t>4*(4)*2</t>
  </si>
  <si>
    <t>Vrut zápustný 021814   5   x  80 mm</t>
  </si>
  <si>
    <t>77</t>
  </si>
  <si>
    <t>suť</t>
  </si>
  <si>
    <t>233</t>
  </si>
  <si>
    <t>prohloubení v podlahách 1.NP - stará budova pro nové vrstvy</t>
  </si>
  <si>
    <t>pomocný materiál kotvení OSB k HEB/I</t>
  </si>
  <si>
    <t>;ztratné 15%; 4,5</t>
  </si>
  <si>
    <t>Otlučení omítek vnějších MVC v složit.1-4 do 100 %</t>
  </si>
  <si>
    <t>SO 02C_1_</t>
  </si>
  <si>
    <t>SO 04_9_</t>
  </si>
  <si>
    <t>DN celkem</t>
  </si>
  <si>
    <t>28349010</t>
  </si>
  <si>
    <t>444</t>
  </si>
  <si>
    <t>421</t>
  </si>
  <si>
    <t>642942221R00</t>
  </si>
  <si>
    <t>492</t>
  </si>
  <si>
    <t>549</t>
  </si>
  <si>
    <t>Přístroj hasicí 1CO2</t>
  </si>
  <si>
    <t>762724120RT3</t>
  </si>
  <si>
    <t>485</t>
  </si>
  <si>
    <t>721242110RT2</t>
  </si>
  <si>
    <t>horní a dolní pásnice vazníků základní</t>
  </si>
  <si>
    <t>286</t>
  </si>
  <si>
    <t>SO 02A_4_</t>
  </si>
  <si>
    <t>31148755</t>
  </si>
  <si>
    <t>Dlažba slinutá reliéfní 200x200x9 mm</t>
  </si>
  <si>
    <t>764410291R00</t>
  </si>
  <si>
    <t>((138*0,085*(1000/80)))*21</t>
  </si>
  <si>
    <t>Hloubení rýh š.do 600 mm v hor.3 do 50 m3, ručně</t>
  </si>
  <si>
    <t>433351132R00</t>
  </si>
  <si>
    <t>Zásyp jam, rýh, šachet se zhutněním</t>
  </si>
  <si>
    <t>;ztratné 20%; 3,32</t>
  </si>
  <si>
    <t>116</t>
  </si>
  <si>
    <t>GROUPCODE</t>
  </si>
  <si>
    <t>146</t>
  </si>
  <si>
    <t>722268616R00</t>
  </si>
  <si>
    <t>podesta</t>
  </si>
  <si>
    <t>618</t>
  </si>
  <si>
    <t>Nátěr syntetický OK "A" dvojnásobný</t>
  </si>
  <si>
    <t>0</t>
  </si>
  <si>
    <t>182</t>
  </si>
  <si>
    <t>dřevěný obklad fasády</t>
  </si>
  <si>
    <t>59764207</t>
  </si>
  <si>
    <t>Qn 4,8 m3/hod; Hn 45 m; P 0,55 kW,230VAC/50Hz + snímač hladiny, ponorná sonda, sací koš, plovák</t>
  </si>
  <si>
    <t>131201110T00</t>
  </si>
  <si>
    <t>Provozní vlivy</t>
  </si>
  <si>
    <t>Dveře vnitřní CPL 0,2 KLASIK 1/3 sklo 2kř. 120x220</t>
  </si>
  <si>
    <t>5</t>
  </si>
  <si>
    <t>Malý Újezd Vavřineč</t>
  </si>
  <si>
    <t>;ztratné 10%; 2,1</t>
  </si>
  <si>
    <t>310*4/1000</t>
  </si>
  <si>
    <t>kotvení pozednic</t>
  </si>
  <si>
    <t>713191100R00</t>
  </si>
  <si>
    <t>;ztratné 10%; 30,7</t>
  </si>
  <si>
    <t>725814104R00</t>
  </si>
  <si>
    <t>kruhové okno D2,9 m + příplatek za segmentaci a spojení segmentů</t>
  </si>
  <si>
    <t>Přesun hmot pro vnitřní vodovod, výšky do 6 m</t>
  </si>
  <si>
    <t>Dveře vnitřní fólie KLASIK 1/3 sklo 2kř. 110x2100</t>
  </si>
  <si>
    <t>634830002</t>
  </si>
  <si>
    <t>pozice šikmé části ST1</t>
  </si>
  <si>
    <t>203</t>
  </si>
  <si>
    <t>520</t>
  </si>
  <si>
    <t>394</t>
  </si>
  <si>
    <t>411351105RT4</t>
  </si>
  <si>
    <t>530</t>
  </si>
  <si>
    <t>ST 04</t>
  </si>
  <si>
    <t>55330384</t>
  </si>
  <si>
    <t>248</t>
  </si>
  <si>
    <t>odpočet výplní otvorů</t>
  </si>
  <si>
    <t>9,55</t>
  </si>
  <si>
    <t>771441017R00</t>
  </si>
  <si>
    <t>Geotextilie netkaná geo S 300 g/m2  2x50 m</t>
  </si>
  <si>
    <t>Dveře vnitřní laminované plné 1kř. 90x197 cm</t>
  </si>
  <si>
    <t>Vedení trubní dálková a přípojná</t>
  </si>
  <si>
    <t>767712811R00</t>
  </si>
  <si>
    <t>Deska dřevoštěpková OSB 3 broušená 4PD,  tl. 18 mm</t>
  </si>
  <si>
    <t>144</t>
  </si>
  <si>
    <t>416</t>
  </si>
  <si>
    <t>Stavební rozpočet</t>
  </si>
  <si>
    <t>725851001RT1</t>
  </si>
  <si>
    <t>264</t>
  </si>
  <si>
    <t>609</t>
  </si>
  <si>
    <t>15*(3,6)*2</t>
  </si>
  <si>
    <t>SO 03a_9_</t>
  </si>
  <si>
    <t>Druh stavby:</t>
  </si>
  <si>
    <t>Přípravné a přidružené práce</t>
  </si>
  <si>
    <t>(5,2+30,6+17+5,3)*3,2</t>
  </si>
  <si>
    <t>PS1</t>
  </si>
  <si>
    <t>odpočet v místech SO</t>
  </si>
  <si>
    <t>Souprava zemní   teleskopická DN 40-50,max.1,75m</t>
  </si>
  <si>
    <t>721273150R00</t>
  </si>
  <si>
    <t>611653537 - D3</t>
  </si>
  <si>
    <t>766642231R00</t>
  </si>
  <si>
    <t>10,1+8,9</t>
  </si>
  <si>
    <t>Přístroj hasicí práškový PG 6 PDC</t>
  </si>
  <si>
    <t>531</t>
  </si>
  <si>
    <t>;ztratné 20%; 4,6</t>
  </si>
  <si>
    <t>Zpevňování hornin a konstrukcí</t>
  </si>
  <si>
    <t>162</t>
  </si>
  <si>
    <t>722181214RV9</t>
  </si>
  <si>
    <t>strop přístvba</t>
  </si>
  <si>
    <t>Bednění podest a podstupnic desek přímočararých - zřízení</t>
  </si>
  <si>
    <t>-(6*(1,47*1,47)+1*1,2*1,5+1*1,3*2,2+8*(0,6*0,6)+1*(0,9*0,6))*0,3</t>
  </si>
  <si>
    <t>Strojní přebroušení podlah před pokládkou nášpané vrstvy</t>
  </si>
  <si>
    <t>784</t>
  </si>
  <si>
    <t>51+10+9+220+68+3+15</t>
  </si>
  <si>
    <t>Deska MV  lambda 0,039 -  tl. 80 mm š. 625 mm</t>
  </si>
  <si>
    <t>238</t>
  </si>
  <si>
    <t>96</t>
  </si>
  <si>
    <t>316</t>
  </si>
  <si>
    <t>potrubí SK</t>
  </si>
  <si>
    <t>28651650.A</t>
  </si>
  <si>
    <t>899101111R00</t>
  </si>
  <si>
    <t>předstěna vnitřních vapis stěn - brut</t>
  </si>
  <si>
    <t>485*2</t>
  </si>
  <si>
    <t>333</t>
  </si>
  <si>
    <t>Vybourání kovových dveřních zárubní pl. do 2 m2</t>
  </si>
  <si>
    <t>Montáž pojistné hydroizolační fólie šikmých střech - dočesné umístění po dubu parcí na novém krovu - ochrana proti zatečení do otevřené stavby</t>
  </si>
  <si>
    <t>558</t>
  </si>
  <si>
    <t>Osazení poklopů litinových ventilových</t>
  </si>
  <si>
    <t>162*2</t>
  </si>
  <si>
    <t>(2+2)*(2,5)*2</t>
  </si>
  <si>
    <t>Zpracováno dne:</t>
  </si>
  <si>
    <t>Lak na korkové podlahy 2x, přebroušení</t>
  </si>
  <si>
    <t>Obkládání stěn obkl. pórovin. do tmele do 300x300</t>
  </si>
  <si>
    <t>42640301</t>
  </si>
  <si>
    <t>919726212R00</t>
  </si>
  <si>
    <t>2*(25*0,3*0,2)</t>
  </si>
  <si>
    <t>462</t>
  </si>
  <si>
    <t>24000100VD</t>
  </si>
  <si>
    <t>302</t>
  </si>
  <si>
    <t>299</t>
  </si>
  <si>
    <t>55243064.A</t>
  </si>
  <si>
    <t>H27</t>
  </si>
  <si>
    <t>štíty</t>
  </si>
  <si>
    <t>(295)*0,15</t>
  </si>
  <si>
    <t>Příplatek za spárovací vodotěsnou hmotu - plošně</t>
  </si>
  <si>
    <t>455</t>
  </si>
  <si>
    <t>18*2,5</t>
  </si>
  <si>
    <t>Montáž vázaných konstr.polohraněných do 120 cm2  včetně dodávky řeziva, fošny neomítané 6/14</t>
  </si>
  <si>
    <t>202</t>
  </si>
  <si>
    <t>523+130+32</t>
  </si>
  <si>
    <t>35/3</t>
  </si>
  <si>
    <t>Trubka tlaková  PE100 75x6,8 mm PN16</t>
  </si>
  <si>
    <t>3,5+51,5+3,5+35,6+3,8</t>
  </si>
  <si>
    <t>420</t>
  </si>
  <si>
    <t>Předokenní žaluzie - plechový kastlík + AL vodící lišty 22/20 mm - délka kastlíku 5500 mm</t>
  </si>
  <si>
    <t>(5+27,8+5+5,5+11,9+5,5+5,5+4,9+4,9)*0,5*0,85</t>
  </si>
  <si>
    <t>Demontáž vázaných konstrukcí hraněných do 224 cm2</t>
  </si>
  <si>
    <t>545</t>
  </si>
  <si>
    <t>Připojovací plech povrch PVC - kotvený do zdiva dl 2,5 m</t>
  </si>
  <si>
    <t>Bourání a odstraňování stávajících konstrukcí</t>
  </si>
  <si>
    <t>Nízkotlaká injektáž cihelného zdiva tl. do 100 cm plošná</t>
  </si>
  <si>
    <t>194</t>
  </si>
  <si>
    <t>353</t>
  </si>
  <si>
    <t>783</t>
  </si>
  <si>
    <t>RTS II / 2021</t>
  </si>
  <si>
    <t>vnitřní nosné brutto</t>
  </si>
  <si>
    <t>28651700.A</t>
  </si>
  <si>
    <t>725014161R00</t>
  </si>
  <si>
    <t>Montáž pisoárových stání oddělovací příčka včetně dodávky clony</t>
  </si>
  <si>
    <t>722237665R00</t>
  </si>
  <si>
    <t>Bourání zdiva z cihel pálených na MVC</t>
  </si>
  <si>
    <t>963013530R00</t>
  </si>
  <si>
    <t>Potrubí z PPR, D 25x4,2 mm, PN 20, vč. zed. výpom.</t>
  </si>
  <si>
    <t>565</t>
  </si>
  <si>
    <t>10</t>
  </si>
  <si>
    <t>Provedení vnitřní omítky stěn, MVC, štukové</t>
  </si>
  <si>
    <t>212</t>
  </si>
  <si>
    <t>149</t>
  </si>
  <si>
    <t>H781</t>
  </si>
  <si>
    <t>607201050</t>
  </si>
  <si>
    <t>58</t>
  </si>
  <si>
    <t>544</t>
  </si>
  <si>
    <t>31171694.A</t>
  </si>
  <si>
    <t>Potrubí z PPR, D 40x5,5 mm, PN 16, vč.zed.výpom.</t>
  </si>
  <si>
    <t>763782212R00</t>
  </si>
  <si>
    <t>plochá zelená střecha + vytažení atikové kce</t>
  </si>
  <si>
    <t>střecha hrubý rozměr</t>
  </si>
  <si>
    <t>762812510R00</t>
  </si>
  <si>
    <t>454</t>
  </si>
  <si>
    <t>2*0,3*0,3*3+1*0,3*0,3*5</t>
  </si>
  <si>
    <t>284</t>
  </si>
  <si>
    <t>Obklad soklíků hutných, rovných do MC, 25x6,5v6,5</t>
  </si>
  <si>
    <t>725814106R00</t>
  </si>
  <si>
    <t>36</t>
  </si>
  <si>
    <t>97+65*0,1</t>
  </si>
  <si>
    <t>871231121R00</t>
  </si>
  <si>
    <t>(2,1+3,5+3,6+5,1)*0,4*0,6</t>
  </si>
  <si>
    <t>764348211R00</t>
  </si>
  <si>
    <t>427</t>
  </si>
  <si>
    <t>Vyvedení odpadních výpustek D 50 x 1,8</t>
  </si>
  <si>
    <t>180802113R00</t>
  </si>
  <si>
    <t>Poplatek za uložení suti - obal. kamenivo, asfalt, skupina odpadu 170302</t>
  </si>
  <si>
    <t>;ztratné 20%; 4,2</t>
  </si>
  <si>
    <t>762331812R00</t>
  </si>
  <si>
    <t>14</t>
  </si>
  <si>
    <t>31171674.A</t>
  </si>
  <si>
    <t>31</t>
  </si>
  <si>
    <t>Pažení stěn výkopu - příložné - hloubky do 4 m</t>
  </si>
  <si>
    <t>Zařizovací předměty</t>
  </si>
  <si>
    <t>423</t>
  </si>
  <si>
    <t>84</t>
  </si>
  <si>
    <t>508</t>
  </si>
  <si>
    <t>763721201R00</t>
  </si>
  <si>
    <t>;ztratné 20%; 42</t>
  </si>
  <si>
    <t>305</t>
  </si>
  <si>
    <t>hurdis strop přístavby</t>
  </si>
  <si>
    <t>60515812</t>
  </si>
  <si>
    <t>nosníky stropu hurdis</t>
  </si>
  <si>
    <t>(30,7*6,6+12*5,9)*0,2</t>
  </si>
  <si>
    <t>Podlahy vlysové do tmele, tl.22 mm, úzké, BK I.jak včetně dodávky BUK</t>
  </si>
  <si>
    <t>30,6*5,3+12*5,8+4,5*2,5</t>
  </si>
  <si>
    <t>Množství</t>
  </si>
  <si>
    <t>442</t>
  </si>
  <si>
    <t>Zdivo nosné cihelné z cihel pálených 290 mm P15 na maltu vápenocementovou 2,5 MPa</t>
  </si>
  <si>
    <t>891213111R00</t>
  </si>
  <si>
    <t>13380625</t>
  </si>
  <si>
    <t>M210VD</t>
  </si>
  <si>
    <t>Příplatek za podpěrnou konstrukci podest výšky 4-6 m - zřízení</t>
  </si>
  <si>
    <t>38</t>
  </si>
  <si>
    <t>mezistěna mezi 1.08 a 1.02</t>
  </si>
  <si>
    <t>pozednice 160/240</t>
  </si>
  <si>
    <t>430</t>
  </si>
  <si>
    <t>2*21/6</t>
  </si>
  <si>
    <t>Ventil rohový s připojovací trubičkou G1/2</t>
  </si>
  <si>
    <t>369</t>
  </si>
  <si>
    <t>725860167R00</t>
  </si>
  <si>
    <t>762334110RT3</t>
  </si>
  <si>
    <t>Přesun hmot pro podlahy vlysové, výšky do 6 m</t>
  </si>
  <si>
    <t>HEB 200 pozice stropu P5 strop stará budova - bez sálu</t>
  </si>
  <si>
    <t>Pomocné a podpůrné konstrukce - provizor. zastřeš.</t>
  </si>
  <si>
    <t>174</t>
  </si>
  <si>
    <t>D6</t>
  </si>
  <si>
    <t>Budovy občanské výstavby</t>
  </si>
  <si>
    <t>721223425RT1</t>
  </si>
  <si>
    <t>východní štít pozice O1B</t>
  </si>
  <si>
    <t>95_</t>
  </si>
  <si>
    <t>Beton asfalt. ACO 11+,nebo ACO 16+,do 3 m, tl.5 cm</t>
  </si>
  <si>
    <t>Potrubí HT odpadní svislé D 75 x 1,9 mm</t>
  </si>
  <si>
    <t>Nové konstr. - 1NP</t>
  </si>
  <si>
    <t>722290226R00</t>
  </si>
  <si>
    <t>764352292R00</t>
  </si>
  <si>
    <t>5cm nová část nad PS - pozice P3</t>
  </si>
  <si>
    <t>KVH 100</t>
  </si>
  <si>
    <t>Vnitřní vodovod</t>
  </si>
  <si>
    <t>64214361</t>
  </si>
  <si>
    <t>611981857</t>
  </si>
  <si>
    <t>539</t>
  </si>
  <si>
    <t>Typ skupiny</t>
  </si>
  <si>
    <t>73</t>
  </si>
  <si>
    <t>312000102VD</t>
  </si>
  <si>
    <t>7,3+8,2</t>
  </si>
  <si>
    <t>Deska izolační stabilizov. EPS 150  1000 x 500 mm</t>
  </si>
  <si>
    <t>894432112R00</t>
  </si>
  <si>
    <t>762</t>
  </si>
  <si>
    <t>Plech hladký S235JR 10,00 x 1000 x 2000 mm</t>
  </si>
  <si>
    <t>23+1,5+17+7+9+5+2</t>
  </si>
  <si>
    <t>60726122</t>
  </si>
  <si>
    <t>Úpravy povrchů a osazování výplní otvorů</t>
  </si>
  <si>
    <t>620</t>
  </si>
  <si>
    <t>SO 03f_</t>
  </si>
  <si>
    <t>410</t>
  </si>
  <si>
    <t>;ztratné 10%; 6,5</t>
  </si>
  <si>
    <t>597</t>
  </si>
  <si>
    <t>29+63+11</t>
  </si>
  <si>
    <t>256</t>
  </si>
  <si>
    <t>771275511R00</t>
  </si>
  <si>
    <t>Demontáž podbití stropů z prken s omítkou</t>
  </si>
  <si>
    <t>762_</t>
  </si>
  <si>
    <t>SO 03d_1_</t>
  </si>
  <si>
    <t>83_</t>
  </si>
  <si>
    <t>SO 03c</t>
  </si>
  <si>
    <t>Hranol konstrukční KVH NSi, SM, C24, 40 x 60 mm, 5 m</t>
  </si>
  <si>
    <t>363</t>
  </si>
  <si>
    <t>762722110RT2</t>
  </si>
  <si>
    <t>okno západní štít</t>
  </si>
  <si>
    <t>20*11</t>
  </si>
  <si>
    <t>61_</t>
  </si>
  <si>
    <t>Příprava podkladu - vysávání podlah průmyslovým vysavačem</t>
  </si>
  <si>
    <t>188</t>
  </si>
  <si>
    <t>stará část</t>
  </si>
  <si>
    <t>56</t>
  </si>
  <si>
    <t>766695212R00</t>
  </si>
  <si>
    <t>722_</t>
  </si>
  <si>
    <t>Vyvedení odpadních výpustek D 32 x 1,8 + přípojka pro pračku nebo myčku HL 2</t>
  </si>
  <si>
    <t>19</t>
  </si>
  <si>
    <t>582</t>
  </si>
  <si>
    <t>;ztratné 10%; 34,2</t>
  </si>
  <si>
    <t>C</t>
  </si>
  <si>
    <t>;ztratné 15%; 72</t>
  </si>
  <si>
    <t>M240VD_</t>
  </si>
  <si>
    <t>62852254</t>
  </si>
  <si>
    <t>bezpečnostní sklo + pákové ovládání ventilace (1x) z boku</t>
  </si>
  <si>
    <t>Náklady (Kč)</t>
  </si>
  <si>
    <t>542</t>
  </si>
  <si>
    <t>721</t>
  </si>
  <si>
    <t>612</t>
  </si>
  <si>
    <t>110</t>
  </si>
  <si>
    <t>4+11,9+5,8+2,8+8,2+3,9+4,7+3,9+2,2</t>
  </si>
  <si>
    <t>417361821R00</t>
  </si>
  <si>
    <t>Dřevostavby</t>
  </si>
  <si>
    <t>21*10</t>
  </si>
  <si>
    <t>39</t>
  </si>
  <si>
    <t>Montáž obložení stěn pl. nad 1 m2, palubky MD, š. do 100 mm</t>
  </si>
  <si>
    <t>30</t>
  </si>
  <si>
    <t>722172332R00</t>
  </si>
  <si>
    <t>241</t>
  </si>
  <si>
    <t>2*26</t>
  </si>
  <si>
    <t>Ostatní konstrukce a práce na trubním vedení</t>
  </si>
  <si>
    <t xml:space="preserve"> 85 mm  21 kg/pytel (80l)</t>
  </si>
  <si>
    <t>151101311R00</t>
  </si>
  <si>
    <t>IČO/DIČ:</t>
  </si>
  <si>
    <t>(5,2+3,2)*1,1+1,8*2,5</t>
  </si>
  <si>
    <t>H01</t>
  </si>
  <si>
    <t>480</t>
  </si>
  <si>
    <t>551</t>
  </si>
  <si>
    <t>721176127R00</t>
  </si>
  <si>
    <t>Ostatní</t>
  </si>
  <si>
    <t>pod DOF</t>
  </si>
  <si>
    <t>564</t>
  </si>
  <si>
    <t>364</t>
  </si>
  <si>
    <t>507</t>
  </si>
  <si>
    <t>;ztratné 5%; 153,9565</t>
  </si>
  <si>
    <t>433</t>
  </si>
  <si>
    <t>Výroba a montáž kov. atypických konstr. do 20 kg  umístění PHP na stěnu</t>
  </si>
  <si>
    <t>611653557 - D5</t>
  </si>
  <si>
    <t>Dlažba slinutá matná 600x600x9 mm</t>
  </si>
  <si>
    <t>Přesun hmot pro zámečnické konstr., výšky do 6 m</t>
  </si>
  <si>
    <t>86</t>
  </si>
  <si>
    <t>417351113R00</t>
  </si>
  <si>
    <t>278</t>
  </si>
  <si>
    <t>222</t>
  </si>
  <si>
    <t>342264091R00</t>
  </si>
  <si>
    <t>605</t>
  </si>
  <si>
    <t>trám pod stropem</t>
  </si>
  <si>
    <t>Potrubí HT připojovací D 40 x 1,8 mm</t>
  </si>
  <si>
    <t>55</t>
  </si>
  <si>
    <t>402</t>
  </si>
  <si>
    <t>Podlahy povlakové</t>
  </si>
  <si>
    <t>SDK konstrukce + štuk</t>
  </si>
  <si>
    <t>370</t>
  </si>
  <si>
    <t>15*25</t>
  </si>
  <si>
    <t>28355031</t>
  </si>
  <si>
    <t>deska pod novou vnější stavbou</t>
  </si>
  <si>
    <t>762341320R00</t>
  </si>
  <si>
    <t>Zpracoval:</t>
  </si>
  <si>
    <t>omítka na zeplení ploch schodiště</t>
  </si>
  <si>
    <t>312000202VD</t>
  </si>
  <si>
    <t>372</t>
  </si>
  <si>
    <t>Omítka vnitřní zdiva, MVC, hladká</t>
  </si>
  <si>
    <t>H766</t>
  </si>
  <si>
    <t>Zateplovací systém fasáda, EPS F GREY tl.240 mm - Zakončení perlinkou + lepidlo/Součinitel lambda izolantu 0,031 W/mK</t>
  </si>
  <si>
    <t>(3,6+3,6+3*1,4+1*0,9+2,2)*2,2</t>
  </si>
  <si>
    <t>611653534 -DX1</t>
  </si>
  <si>
    <t>Nové konstr.  - technika prostředí staveb - ZTI</t>
  </si>
  <si>
    <t>76</t>
  </si>
  <si>
    <t>486</t>
  </si>
  <si>
    <t>0,408+0,156</t>
  </si>
  <si>
    <t>Podkladní vrstvy komunikací, letišť a ploch</t>
  </si>
  <si>
    <t>311271115R00</t>
  </si>
  <si>
    <t>430361721R00</t>
  </si>
  <si>
    <t>Demontáž žlabů půlkruh. rovných, rš 250 mm, do 30°</t>
  </si>
  <si>
    <t>1+3+2+1+1</t>
  </si>
  <si>
    <t>290</t>
  </si>
  <si>
    <t>41,85</t>
  </si>
  <si>
    <t>453</t>
  </si>
  <si>
    <t>431351121T00</t>
  </si>
  <si>
    <t>722237134R00</t>
  </si>
  <si>
    <t>Vrut zápustný 021814   5   x  30 mm s podložkou</t>
  </si>
  <si>
    <t>346</t>
  </si>
  <si>
    <t>764391240R00</t>
  </si>
  <si>
    <t>315</t>
  </si>
  <si>
    <t>764908303R00</t>
  </si>
  <si>
    <t>64_</t>
  </si>
  <si>
    <t>28,45</t>
  </si>
  <si>
    <t>Trubní vedení</t>
  </si>
  <si>
    <t>722172913R00</t>
  </si>
  <si>
    <t>766990010VD</t>
  </si>
  <si>
    <t>151101201R00</t>
  </si>
  <si>
    <t>151101111R00</t>
  </si>
  <si>
    <t>+ pákový ovladač ventilace (2x)</t>
  </si>
  <si>
    <t>998722101R00</t>
  </si>
  <si>
    <t>713121111R00</t>
  </si>
  <si>
    <t>;ztratné 10%; 3,968</t>
  </si>
  <si>
    <t>576</t>
  </si>
  <si>
    <t>207</t>
  </si>
  <si>
    <t>Přesun hmot, trubní vedení plastová, otevř. výkop</t>
  </si>
  <si>
    <t>výškový rozdíl desky stropu</t>
  </si>
  <si>
    <t>721176125R00</t>
  </si>
  <si>
    <t>Zhotovitel</t>
  </si>
  <si>
    <t>380</t>
  </si>
  <si>
    <t>199000002R00</t>
  </si>
  <si>
    <t>632922951RT6</t>
  </si>
  <si>
    <t>28376064</t>
  </si>
  <si>
    <t>I 140 strop B - strojovna nad sálem (P7)</t>
  </si>
  <si>
    <t>Vodorovné přemístění výkopku z hor.1-4 do 6000 m</t>
  </si>
  <si>
    <t>1x základ, přebroušení, 2x lak</t>
  </si>
  <si>
    <t>517</t>
  </si>
  <si>
    <t>RTS I / 2023</t>
  </si>
  <si>
    <t>767995102R00</t>
  </si>
  <si>
    <t>766417111T00</t>
  </si>
  <si>
    <t>spojovací a pomocný materiál statické ocelové konstrukce (šrouby, podložky, plechy, stahovadla,...)</t>
  </si>
  <si>
    <t>190</t>
  </si>
  <si>
    <t>601+26,31</t>
  </si>
  <si>
    <t>579</t>
  </si>
  <si>
    <t>552</t>
  </si>
  <si>
    <t>1,86</t>
  </si>
  <si>
    <t>27_</t>
  </si>
  <si>
    <t>2</t>
  </si>
  <si>
    <t>Dno šachetní   PP DN 400/160 mm KG sběrné T2</t>
  </si>
  <si>
    <t>Projektant:</t>
  </si>
  <si>
    <t>Vrut zápustný 02 1814 d 3,5 x 40 mm</t>
  </si>
  <si>
    <t>(6,5+6,5+6,4+6)*0,5*0,5</t>
  </si>
  <si>
    <t>Podpěrná konstr. stropů do 12 kPa - zřízení</t>
  </si>
  <si>
    <t>ORN celkem</t>
  </si>
  <si>
    <t>Demontáž laťování střech, rozteč latí do 22 cm</t>
  </si>
  <si>
    <t/>
  </si>
  <si>
    <t>4+2+1</t>
  </si>
  <si>
    <t>;ztratné 15%; 7,2</t>
  </si>
  <si>
    <t>60725016</t>
  </si>
  <si>
    <t>309</t>
  </si>
  <si>
    <t>2*10</t>
  </si>
  <si>
    <t>152</t>
  </si>
  <si>
    <t>Založení extenzivní zelené střechy</t>
  </si>
  <si>
    <t>17</t>
  </si>
  <si>
    <t>+10% na kaverny ve zdivu</t>
  </si>
  <si>
    <t>471</t>
  </si>
  <si>
    <t>183*10/1000</t>
  </si>
  <si>
    <t>(2+1,5+1,5+6+6+1,7+5,5+0,4+0,6+0,4+0,6+6,5+6,4+10+9)*3,2</t>
  </si>
  <si>
    <t>SO 02A</t>
  </si>
  <si>
    <t>63140156</t>
  </si>
  <si>
    <t>567</t>
  </si>
  <si>
    <t>406</t>
  </si>
  <si>
    <t>837395121RT2</t>
  </si>
  <si>
    <t>51,65+35,33</t>
  </si>
  <si>
    <t>Bednění stěn základových kleneb - odstranění</t>
  </si>
  <si>
    <t>527</t>
  </si>
  <si>
    <t>721176224R00</t>
  </si>
  <si>
    <t>Penetrace podkladu pod hydroizolační nátěr,vč.dod.</t>
  </si>
  <si>
    <t>komíny v 2.NP+nadstřešní část</t>
  </si>
  <si>
    <t>boční stěny vikýřů - trojúhelníkový průmět do roviny střechy</t>
  </si>
  <si>
    <t>777553210R00</t>
  </si>
  <si>
    <t>21*0,15</t>
  </si>
  <si>
    <t>1*5,6+1*5,3</t>
  </si>
  <si>
    <t>98</t>
  </si>
  <si>
    <t>55147017</t>
  </si>
  <si>
    <t>112</t>
  </si>
  <si>
    <t>Lešení a stavební výtahy</t>
  </si>
  <si>
    <t>vodorovná ve staré části  pozice P1</t>
  </si>
  <si>
    <t>15_</t>
  </si>
  <si>
    <t>;ztratné 0,5%; 0,08315</t>
  </si>
  <si>
    <t>21</t>
  </si>
  <si>
    <t>bez povrchoví úpravy - bude oplechováno</t>
  </si>
  <si>
    <t>533</t>
  </si>
  <si>
    <t>Podlahy</t>
  </si>
  <si>
    <t>Montáž tepelné/zvukové izolace podlah na sucho, jednovrstvá</t>
  </si>
  <si>
    <t>kruhové okno</t>
  </si>
  <si>
    <t>2,15</t>
  </si>
  <si>
    <t>34_</t>
  </si>
  <si>
    <t>2+3</t>
  </si>
  <si>
    <t>SO 03c_9_</t>
  </si>
  <si>
    <t>Montáž hrdel rovných Pz půlkruhových s dodávkouu mat</t>
  </si>
  <si>
    <t>783782212R00</t>
  </si>
  <si>
    <t>451572111R00</t>
  </si>
  <si>
    <t>138*2</t>
  </si>
  <si>
    <t>(4,9+4,9+3+3+1,3+1,3+1,3+1,8+5+2+4+5,2+1,1+3,96+2,5+2,5+1,5)*0,15*3,25</t>
  </si>
  <si>
    <t>4*(4*0,4*3*0,7)</t>
  </si>
  <si>
    <t>Montáž prahů dveří jednokřídlových š. do 10 cm</t>
  </si>
  <si>
    <t>445</t>
  </si>
  <si>
    <t>Potrubí z trub kameninových</t>
  </si>
  <si>
    <t>722130233R00</t>
  </si>
  <si>
    <t>725139101R00</t>
  </si>
  <si>
    <t>15*(6*0,4+4*0,7)</t>
  </si>
  <si>
    <t>61165612</t>
  </si>
  <si>
    <t>plocha stropu - beton deska</t>
  </si>
  <si>
    <t>509</t>
  </si>
  <si>
    <t>892233111R00</t>
  </si>
  <si>
    <t>;ztratné 10%; 21</t>
  </si>
  <si>
    <t>351</t>
  </si>
  <si>
    <t>362</t>
  </si>
  <si>
    <t>Úprava povrchů vnitřní</t>
  </si>
  <si>
    <t>vodorovná část nad pobytováými místnostmi</t>
  </si>
  <si>
    <t>Práce přesčas</t>
  </si>
  <si>
    <t>723</t>
  </si>
  <si>
    <t>;ztratné 20%; 75,2</t>
  </si>
  <si>
    <t>31_</t>
  </si>
  <si>
    <t>Nízkotlaká injektáž cihelného zdiva tl. do 100 cm</t>
  </si>
  <si>
    <t>59590780</t>
  </si>
  <si>
    <t>519</t>
  </si>
  <si>
    <t>(3,5+3,5+4,9+2+2+2+6)*2,5</t>
  </si>
  <si>
    <t>273353101R00</t>
  </si>
  <si>
    <t>Šoupě vodárenské DN 65</t>
  </si>
  <si>
    <t>Montáž háků Pz půlkruhových s dodávkou háku</t>
  </si>
  <si>
    <t>Bednění stěn základových desek - odstranění</t>
  </si>
  <si>
    <t>41_</t>
  </si>
  <si>
    <t>61</t>
  </si>
  <si>
    <t>345</t>
  </si>
  <si>
    <t>313</t>
  </si>
  <si>
    <t>Montáž šachty vodoměrné a revizní plastové hranaté</t>
  </si>
  <si>
    <t>8,4*3,7</t>
  </si>
  <si>
    <t>SO 03f</t>
  </si>
  <si>
    <t>368</t>
  </si>
  <si>
    <t>126</t>
  </si>
  <si>
    <t>124</t>
  </si>
  <si>
    <t>17,4</t>
  </si>
  <si>
    <t>764352800R00</t>
  </si>
  <si>
    <t>174101101R00</t>
  </si>
  <si>
    <t>SO 02C_4_</t>
  </si>
  <si>
    <t>722172313R00</t>
  </si>
  <si>
    <t>541</t>
  </si>
  <si>
    <t>Lešení lehké pomocné,schodiště, H podlahy do 1,5 m</t>
  </si>
  <si>
    <t>158</t>
  </si>
  <si>
    <t>svislé vzpěry a šikmá táhla vazníků</t>
  </si>
  <si>
    <t>Hydroizolační povlak - nátěr</t>
  </si>
  <si>
    <t>559</t>
  </si>
  <si>
    <t>459</t>
  </si>
  <si>
    <t>12</t>
  </si>
  <si>
    <t>764421260R00</t>
  </si>
  <si>
    <t>563</t>
  </si>
  <si>
    <t>Montáž KZS stena vikýře - kotvenína porobeton</t>
  </si>
  <si>
    <t>724_</t>
  </si>
  <si>
    <t>234</t>
  </si>
  <si>
    <t>725139102R00</t>
  </si>
  <si>
    <t>Deska varná vestavná elektrická  elektrické napětí: 230/380</t>
  </si>
  <si>
    <t>;ztratné 5%; 0,24</t>
  </si>
  <si>
    <t>63151435.A</t>
  </si>
  <si>
    <t>(25+12+25+12)*3,5</t>
  </si>
  <si>
    <t>Baterie umyvadlová stoján. ruční, vč. otvír.odpadu včetně dodávky</t>
  </si>
  <si>
    <t>Kulturní památka</t>
  </si>
  <si>
    <t>641952341R00</t>
  </si>
  <si>
    <t>Odvoz suti a vybour. hmot na skládku do 1 km</t>
  </si>
  <si>
    <t>Objekt</t>
  </si>
  <si>
    <t>Deska izolační kročejová EPS T 4000 tl. 40 mm</t>
  </si>
  <si>
    <t>Různé dokončovací konstrukce a práce na pozemních stavbách</t>
  </si>
  <si>
    <t>Montáž a dílenská výroba schodiště přímého s podstupnicemi š.1 m včteně pomocného a kotevního materiálu</t>
  </si>
  <si>
    <t>722237654R00</t>
  </si>
  <si>
    <t>168</t>
  </si>
  <si>
    <t>61165003</t>
  </si>
  <si>
    <t>Stropy a stropní konstrukce (pro pozemní stavby)</t>
  </si>
  <si>
    <t>Bourání konstrukcí</t>
  </si>
  <si>
    <t>150/2,5</t>
  </si>
  <si>
    <t>Vodorovné konstrukce</t>
  </si>
  <si>
    <t>7+9+3+1</t>
  </si>
  <si>
    <t>(4,7+1,3+2,1+2,1+3,6+8,8+4)*3,2*0,15</t>
  </si>
  <si>
    <t>306</t>
  </si>
  <si>
    <t>28651657.A</t>
  </si>
  <si>
    <t>463</t>
  </si>
  <si>
    <t>;ztratné 10%; 2</t>
  </si>
  <si>
    <t>Šachta vodoměrná 2,4x1,2x1,8 m</t>
  </si>
  <si>
    <t>503</t>
  </si>
  <si>
    <t>DPH 21%</t>
  </si>
  <si>
    <t>504</t>
  </si>
  <si>
    <t>Zdivo z tvárnic porobeton hladkých tl. 25 cm</t>
  </si>
  <si>
    <t>Deska dřevoštěpková OSB 3 N tl. 18 mm</t>
  </si>
  <si>
    <t>298</t>
  </si>
  <si>
    <t>55330388</t>
  </si>
  <si>
    <t>184</t>
  </si>
  <si>
    <t>1,8*2,5*0,25</t>
  </si>
  <si>
    <t>249</t>
  </si>
  <si>
    <t>458</t>
  </si>
  <si>
    <t>941941191RT4</t>
  </si>
  <si>
    <t>502</t>
  </si>
  <si>
    <t>134</t>
  </si>
  <si>
    <t>Zdivo nosné z cihel vápenopískových 5DF (300) na SMS 5</t>
  </si>
  <si>
    <t>211</t>
  </si>
  <si>
    <t>SO 02B</t>
  </si>
  <si>
    <t>SO 02B_</t>
  </si>
  <si>
    <t>899712111R00</t>
  </si>
  <si>
    <t>Potrubí z PPR, D 32x5,4 mm, PN 20, vč. zed. výpom.</t>
  </si>
  <si>
    <t>stávající zdivo zachované staré části budovy</t>
  </si>
  <si>
    <t>196</t>
  </si>
  <si>
    <t>skládací stěna - dřevená - masiv  2550/2200 - dělena v lamelách na polovinu, zamykatelná - rozložení k obou stranám ostění</t>
  </si>
  <si>
    <t>55329030</t>
  </si>
  <si>
    <t>2*5,6+2*3,9+2*5,3</t>
  </si>
  <si>
    <t>H763_</t>
  </si>
  <si>
    <t>;ztratné 20%; 27,6</t>
  </si>
  <si>
    <t>216-51,65-35,35</t>
  </si>
  <si>
    <t>2,66</t>
  </si>
  <si>
    <t>318</t>
  </si>
  <si>
    <t>766111110R00</t>
  </si>
  <si>
    <t>Závětrná lišta horní pro přivaření PVC folie - délka 2000 mm / výška 200 mm</t>
  </si>
  <si>
    <t>(13*11,6+1*10,3+2*5,8+2*2)*61,3/1000</t>
  </si>
  <si>
    <t>SO 01</t>
  </si>
  <si>
    <t>61110553 - O3</t>
  </si>
  <si>
    <t>Potrubí z PPR, D 20x3,4 mm, PN 20, vč. zed. výpom.</t>
  </si>
  <si>
    <t>2,43</t>
  </si>
  <si>
    <t>40,25-5,5</t>
  </si>
  <si>
    <t>998764101R00</t>
  </si>
  <si>
    <t>272,85-1,17-17,6-38,4-2,43-12,64-0,76</t>
  </si>
  <si>
    <t>371</t>
  </si>
  <si>
    <t>Železobeton zákl. desek z cem.portladských C 25/30</t>
  </si>
  <si>
    <t>367</t>
  </si>
  <si>
    <t>283231434</t>
  </si>
  <si>
    <t>998762102R00</t>
  </si>
  <si>
    <t>27,10-10,23</t>
  </si>
  <si>
    <t>187</t>
  </si>
  <si>
    <t>61110565</t>
  </si>
  <si>
    <t>Podkladní vrstva z betonu prostého C 25/30 do 10cm</t>
  </si>
  <si>
    <t>611601218</t>
  </si>
  <si>
    <t>496</t>
  </si>
  <si>
    <t>kpl</t>
  </si>
  <si>
    <t>ORN celkem z obj.</t>
  </si>
  <si>
    <t>;ztratné 10%; 16,2</t>
  </si>
  <si>
    <t>611437474</t>
  </si>
  <si>
    <t>317</t>
  </si>
  <si>
    <t>2*10,2</t>
  </si>
  <si>
    <t>518</t>
  </si>
  <si>
    <t>191</t>
  </si>
  <si>
    <t>30*(0,4+0,2)</t>
  </si>
  <si>
    <t>2*26*1,5+13*6,5</t>
  </si>
  <si>
    <t>SO 02B_77_</t>
  </si>
  <si>
    <t>524</t>
  </si>
  <si>
    <t>prohloubení v podlahách 1.NP - odstraněná přístavba pro nové vrstvy</t>
  </si>
  <si>
    <t>Přesun hmot pro podlahy z dlaždic, výšky do 6 m</t>
  </si>
  <si>
    <t>Podkladní a vedlejší konstrukce (kromě vozovek a železničního svršku)</t>
  </si>
  <si>
    <t>Nátěr fasády hydrofobní Hydrofuge Incolore 1 x</t>
  </si>
  <si>
    <t>404</t>
  </si>
  <si>
    <t>49</t>
  </si>
  <si>
    <t>podpůrné vodorovné prvky</t>
  </si>
  <si>
    <t>Vytyčení IS</t>
  </si>
  <si>
    <t>763_</t>
  </si>
  <si>
    <t>72</t>
  </si>
  <si>
    <t>severní, východní a jižní fas přístavby (plochy dřevěného obkladu)</t>
  </si>
  <si>
    <t>713_</t>
  </si>
  <si>
    <t>275</t>
  </si>
  <si>
    <t>766624036R00</t>
  </si>
  <si>
    <t>512</t>
  </si>
  <si>
    <t>19_</t>
  </si>
  <si>
    <t>521</t>
  </si>
  <si>
    <t>3,2*3,3</t>
  </si>
  <si>
    <t>Přesuny</t>
  </si>
  <si>
    <t>deska spodní - strojovna nad sálem</t>
  </si>
  <si>
    <t>ST 01</t>
  </si>
  <si>
    <t>MAT</t>
  </si>
  <si>
    <t>1*4,3+2*1,1+1*4,8+1*5,3</t>
  </si>
  <si>
    <t>Demontáž výkladců zapuštěných šroubovaných</t>
  </si>
  <si>
    <t>Deska dřevoštěpková OSB 3 B - 4PD tl. 25 mm</t>
  </si>
  <si>
    <t>Přesun hmot pro izolace proti vodě, výšky do 6 m</t>
  </si>
  <si>
    <t>978013191R00</t>
  </si>
  <si>
    <t>775_</t>
  </si>
  <si>
    <t>267</t>
  </si>
  <si>
    <t>H771</t>
  </si>
  <si>
    <t>538</t>
  </si>
  <si>
    <t>724211122R00</t>
  </si>
  <si>
    <t>70</t>
  </si>
  <si>
    <t>SO 05_5_</t>
  </si>
  <si>
    <t>776</t>
  </si>
  <si>
    <t>277</t>
  </si>
  <si>
    <t>8</t>
  </si>
  <si>
    <t>SO 02C_78_</t>
  </si>
  <si>
    <t>Celkem:</t>
  </si>
  <si>
    <t>přesah - římsa pro hnízda jiřeiček - východní strana</t>
  </si>
  <si>
    <t>M.vázan.konstr.polohraněn. do 224 cm2 ocel. spojk. včetně dodávky řeziva, trámy 14/14 cm</t>
  </si>
  <si>
    <t>Mimostav. doprava</t>
  </si>
  <si>
    <t>Geotextilie netkaná  PET 200 g/m2</t>
  </si>
  <si>
    <t>-(12*1*2*0,15+3*1,7*2*0,3+1,5*2,6*0,75+3*1,5*1,9*0,75)</t>
  </si>
  <si>
    <t>H781_</t>
  </si>
  <si>
    <t>Nátěry</t>
  </si>
  <si>
    <t>764410250R00</t>
  </si>
  <si>
    <t>766423341R00</t>
  </si>
  <si>
    <t>trasy ZTI pod podlahou 1.NP</t>
  </si>
  <si>
    <t>předstěna obvodových vapis stěn - bruto</t>
  </si>
  <si>
    <t>266</t>
  </si>
  <si>
    <t>Bednění stropu trámového, vlastní - odstranění</t>
  </si>
  <si>
    <t>713121121RT1</t>
  </si>
  <si>
    <t>18</t>
  </si>
  <si>
    <t>DN celkem z obj.</t>
  </si>
  <si>
    <t>764311821R00</t>
  </si>
  <si>
    <t>1,1*7,5*0,25</t>
  </si>
  <si>
    <t>Dodávka a montáž NN</t>
  </si>
  <si>
    <t>Přesun hmot pro truhlářské konstr., výšky do 6 m</t>
  </si>
  <si>
    <t>20,5+13</t>
  </si>
  <si>
    <t>516</t>
  </si>
  <si>
    <t>766829100R00</t>
  </si>
  <si>
    <t>7*2*6</t>
  </si>
  <si>
    <t>46</t>
  </si>
  <si>
    <t>764_</t>
  </si>
  <si>
    <t>114*2</t>
  </si>
  <si>
    <t>781</t>
  </si>
  <si>
    <t>14,5*15</t>
  </si>
  <si>
    <t>713</t>
  </si>
  <si>
    <t>181</t>
  </si>
  <si>
    <t>484</t>
  </si>
  <si>
    <t>4*8,1</t>
  </si>
  <si>
    <t>31179109</t>
  </si>
  <si>
    <t>Zrušení stávající přípojky - zaslepení na řadu</t>
  </si>
  <si>
    <t>(15+9)*1,1*(0,157+0,3)</t>
  </si>
  <si>
    <t>434</t>
  </si>
  <si>
    <t>;ztratné 15%; 12,45</t>
  </si>
  <si>
    <t>Poplatek za skládku suti - cihelné výrobky, skupina odpadu 170102</t>
  </si>
  <si>
    <t>(2*(25+12)+11,9)</t>
  </si>
  <si>
    <t>10,23*15</t>
  </si>
  <si>
    <t>622311230RT7</t>
  </si>
  <si>
    <t>214</t>
  </si>
  <si>
    <t>;ztratné 15%; 1,05</t>
  </si>
  <si>
    <t>61731617</t>
  </si>
  <si>
    <t>do konstrukce  SDK EI30</t>
  </si>
  <si>
    <t>550</t>
  </si>
  <si>
    <t>Potrubí HT připojovací D 50 x 1,8 mm</t>
  </si>
  <si>
    <t>Baterie termost.sprchová nástěn.,+ držákový set</t>
  </si>
  <si>
    <t>625</t>
  </si>
  <si>
    <t>okno  ve štítě</t>
  </si>
  <si>
    <t>Demontáž krytiny, tabule 2 x 1 m, do 25 m2, do 30°</t>
  </si>
  <si>
    <t>385</t>
  </si>
  <si>
    <t>staré omítky degradované omítky - stěny</t>
  </si>
  <si>
    <t>11,24</t>
  </si>
  <si>
    <t>SO 02C_</t>
  </si>
  <si>
    <t>SO 02B_1_</t>
  </si>
  <si>
    <t>176</t>
  </si>
  <si>
    <t>Proplach a dezinfekce vodovod.potrubí DN 80</t>
  </si>
  <si>
    <t>Úprava povrchů vnější</t>
  </si>
  <si>
    <t>80*1,9</t>
  </si>
  <si>
    <t>722172311R00</t>
  </si>
  <si>
    <t>113108310R00</t>
  </si>
  <si>
    <t>Nové konstr.  - technika prostředí staveb - FVE</t>
  </si>
  <si>
    <t>H777</t>
  </si>
  <si>
    <t>Demontáž krytiny dvoudrážkové, na sucho, do suti</t>
  </si>
  <si>
    <t>100</t>
  </si>
  <si>
    <t>108</t>
  </si>
  <si>
    <t>17,6</t>
  </si>
  <si>
    <t>281606214R X1</t>
  </si>
  <si>
    <t>44984124</t>
  </si>
  <si>
    <t>50</t>
  </si>
  <si>
    <t>Základy</t>
  </si>
  <si>
    <t>Předokenní žaluzie - žaluzie AL 90 mm RAL 9006 el. pohon + ovládání</t>
  </si>
  <si>
    <t>Nové konstr. - 2NP</t>
  </si>
  <si>
    <t>397</t>
  </si>
  <si>
    <t>340</t>
  </si>
  <si>
    <t>28697166</t>
  </si>
  <si>
    <t>Zkouška těsnosti kanalizace vodou DN 125</t>
  </si>
  <si>
    <t>Osazení válcovaných nosníků ve stropech č. 14 - 22</t>
  </si>
  <si>
    <t>67352003</t>
  </si>
  <si>
    <t>283762325</t>
  </si>
  <si>
    <t>Zárubeň ocelová YH100   800x1970x100</t>
  </si>
  <si>
    <t>zakončení "kapotáž vyzníků" ve štítech</t>
  </si>
  <si>
    <t>Bednění stropů deskových, vlastní - odstranění</t>
  </si>
  <si>
    <t>581</t>
  </si>
  <si>
    <t>Bednění ztužujících věnců, obě strany - odstranění</t>
  </si>
  <si>
    <t>H767</t>
  </si>
  <si>
    <t>314</t>
  </si>
  <si>
    <t>SO 02A_</t>
  </si>
  <si>
    <t>622391233R00</t>
  </si>
  <si>
    <t>m</t>
  </si>
  <si>
    <t>2*11,9*5,8/2</t>
  </si>
  <si>
    <t>286967597</t>
  </si>
  <si>
    <t>373</t>
  </si>
  <si>
    <t>Předokenní žaluzie - žaluzie AL 90 mm RAL 9006 el. pohon + ovládání ze třídy</t>
  </si>
  <si>
    <t>6*1</t>
  </si>
  <si>
    <t>M210VD_</t>
  </si>
  <si>
    <t>217</t>
  </si>
  <si>
    <t>526</t>
  </si>
  <si>
    <t>500</t>
  </si>
  <si>
    <t>225</t>
  </si>
  <si>
    <t>zádveří + posuvné dveře - prodejna 1.24/1.25 - zádveří do prodejny</t>
  </si>
  <si>
    <t>Přemístění výkopku</t>
  </si>
  <si>
    <t>(63*6+70*(0,5+1,0))*0,06*0,08</t>
  </si>
  <si>
    <t>2*26*9</t>
  </si>
  <si>
    <t>627</t>
  </si>
  <si>
    <t>11</t>
  </si>
  <si>
    <t>0,5*0,8*3,5</t>
  </si>
  <si>
    <t>Bourání pilířů cihelných</t>
  </si>
  <si>
    <t>398</t>
  </si>
  <si>
    <t>160+38+39</t>
  </si>
  <si>
    <t>Odstranění asfaltové vrstvy pl. do 50 m2, tl.10 cm</t>
  </si>
  <si>
    <t>62*(0,7+0,7)</t>
  </si>
  <si>
    <t>Vodorovné přemístění výkopku z hor.1-4 do 10000 m</t>
  </si>
  <si>
    <t>240</t>
  </si>
  <si>
    <t>SO 03d_Z_</t>
  </si>
  <si>
    <t>25/2</t>
  </si>
  <si>
    <t>611653539</t>
  </si>
  <si>
    <t>výstupy na zelenou střechu - boční stěny k zateplení</t>
  </si>
  <si>
    <t>Beton schodišťových konstrukcí železový C 25/30</t>
  </si>
  <si>
    <t>;ztratné 20%; 3,8</t>
  </si>
  <si>
    <t>32</t>
  </si>
  <si>
    <t>Stavební rozpočet - Jen skupiny</t>
  </si>
  <si>
    <t>721290111R00</t>
  </si>
  <si>
    <t>272361721R00</t>
  </si>
  <si>
    <t>725291131R00</t>
  </si>
  <si>
    <t>776997111R00</t>
  </si>
  <si>
    <t>Objednatel:</t>
  </si>
  <si>
    <t>70+32+37</t>
  </si>
  <si>
    <t>50*0,5</t>
  </si>
  <si>
    <t>204</t>
  </si>
  <si>
    <t>2*5,13*14,75</t>
  </si>
  <si>
    <t>488</t>
  </si>
  <si>
    <t>2*1,5</t>
  </si>
  <si>
    <t>390</t>
  </si>
  <si>
    <t>777111125</t>
  </si>
  <si>
    <t>Koleno kanalizační KGB 110/ 45° PVC</t>
  </si>
  <si>
    <t>473</t>
  </si>
  <si>
    <t>725219401T00</t>
  </si>
  <si>
    <t>61160426</t>
  </si>
  <si>
    <t>998766101R00</t>
  </si>
  <si>
    <t>Montáž tvarovek odboč. plast. gum. kroužek DN 200</t>
  </si>
  <si>
    <t>Kačírek pro okapový chodník tl. 100 mm</t>
  </si>
  <si>
    <t>;ztratné 1%; 0,0104</t>
  </si>
  <si>
    <t>28697196</t>
  </si>
  <si>
    <t>nosné vnitřní zdivo - přístavba - bruto</t>
  </si>
  <si>
    <t>132301110R00</t>
  </si>
  <si>
    <t>8018912</t>
  </si>
  <si>
    <t>482</t>
  </si>
  <si>
    <t>PSV mat</t>
  </si>
  <si>
    <t>300</t>
  </si>
  <si>
    <t>Nové konstr.  - technika prostředí staveb - MAR</t>
  </si>
  <si>
    <t>280</t>
  </si>
  <si>
    <t>131301110R00</t>
  </si>
  <si>
    <t>Koleno kanalizační KGB 160/ 45° PVC</t>
  </si>
  <si>
    <t>162701101RT3</t>
  </si>
  <si>
    <t>Demontáž podlah s polštáři z prken tl. do 32 mm</t>
  </si>
  <si>
    <t>777</t>
  </si>
  <si>
    <t>55220105.M</t>
  </si>
  <si>
    <t>61731071</t>
  </si>
  <si>
    <t>Izolace tepelné</t>
  </si>
  <si>
    <t>Injektážní krém - tixotropní do cihelního a smíženého zdiva</t>
  </si>
  <si>
    <t>2*24,6</t>
  </si>
  <si>
    <t>31141992</t>
  </si>
  <si>
    <t>440+440*0,65</t>
  </si>
  <si>
    <t>-(4*0,8*2+3*0,9*2)</t>
  </si>
  <si>
    <t>47,05</t>
  </si>
  <si>
    <t>vazný trám 200/200 VT2+VT3+VT4</t>
  </si>
  <si>
    <t>273</t>
  </si>
  <si>
    <t>596</t>
  </si>
  <si>
    <t>pozednice</t>
  </si>
  <si>
    <t>Krytina tvrdá</t>
  </si>
  <si>
    <t>Linka kuchyňská atypická  - sestava do (L)</t>
  </si>
  <si>
    <t>577</t>
  </si>
  <si>
    <t>3</t>
  </si>
  <si>
    <t>767995106R00</t>
  </si>
  <si>
    <t>Zabezpečení konců vodovod. potrubí DN 300</t>
  </si>
  <si>
    <t>SO 03b_</t>
  </si>
  <si>
    <t>;ztratné 10%; 32,4</t>
  </si>
  <si>
    <t>pultová střecha přístavby</t>
  </si>
  <si>
    <t>711111001RZ1</t>
  </si>
  <si>
    <t>Podhled sádrokartonový na zavěšenou ocel. konstr.</t>
  </si>
  <si>
    <t>Roubení</t>
  </si>
  <si>
    <t>Bednění stěn základových desek - zřízení</t>
  </si>
  <si>
    <t>Požární příslušenství - požární ucpávky</t>
  </si>
  <si>
    <t>horní a dolní pásnice vazníků vikýře</t>
  </si>
  <si>
    <t>711_</t>
  </si>
  <si>
    <t>14,7</t>
  </si>
  <si>
    <t>hřeben trám</t>
  </si>
  <si>
    <t>Montáž trubek polyetylenových ve výkopu d 75 mm</t>
  </si>
  <si>
    <t>staré zdivo (obnova po odsekání)</t>
  </si>
  <si>
    <t>607</t>
  </si>
  <si>
    <t>+ pákový ovladač venitlace (2x)</t>
  </si>
  <si>
    <t>722202214R00</t>
  </si>
  <si>
    <t>11,9*5,4/2</t>
  </si>
  <si>
    <t>horní a dolní pásnice vazníků základní/velký vikýř</t>
  </si>
  <si>
    <t>SO 06_76_</t>
  </si>
  <si>
    <t>308</t>
  </si>
  <si>
    <t>998276101R00</t>
  </si>
  <si>
    <t>383</t>
  </si>
  <si>
    <t>102</t>
  </si>
  <si>
    <t>28611143.A</t>
  </si>
  <si>
    <t>SO 02A_1_</t>
  </si>
  <si>
    <t>kročejová - přístavba  pozice P3</t>
  </si>
  <si>
    <t>Zhotovitel:</t>
  </si>
  <si>
    <t>19*0,25</t>
  </si>
  <si>
    <t>175101101RT2</t>
  </si>
  <si>
    <t>1*25</t>
  </si>
  <si>
    <t>;ztratné 10%; 27,45</t>
  </si>
  <si>
    <t>%</t>
  </si>
  <si>
    <t>491</t>
  </si>
  <si>
    <t>642942111R00</t>
  </si>
  <si>
    <t>Podlahy z dlaždic</t>
  </si>
  <si>
    <t>Vrut zápustný 021814   6   x  80 mm</t>
  </si>
  <si>
    <t>Deska z minerální plsti N tl. 30 mm</t>
  </si>
  <si>
    <t>765901182T00</t>
  </si>
  <si>
    <t>210000450VD</t>
  </si>
  <si>
    <t>96_</t>
  </si>
  <si>
    <t>952901111R00</t>
  </si>
  <si>
    <t>M240VD</t>
  </si>
  <si>
    <t>60726121</t>
  </si>
  <si>
    <t>25*2*8</t>
  </si>
  <si>
    <t>784_</t>
  </si>
  <si>
    <t>Výroba a montáž kov. atypických konstr. do 10 kg</t>
  </si>
  <si>
    <t>296</t>
  </si>
  <si>
    <t>586</t>
  </si>
  <si>
    <t>35</t>
  </si>
  <si>
    <t>(14+14)*0,2*0,2*0,01*9</t>
  </si>
  <si>
    <t>Začátek výstavby:</t>
  </si>
  <si>
    <t>642952440T00</t>
  </si>
  <si>
    <t>7,83</t>
  </si>
  <si>
    <t>SDK konstrukce</t>
  </si>
  <si>
    <t>55330390</t>
  </si>
  <si>
    <t>388</t>
  </si>
  <si>
    <t>vnitřní nosné zdivo 1NP</t>
  </si>
  <si>
    <t>381</t>
  </si>
  <si>
    <t>566</t>
  </si>
  <si>
    <t>776411000R00</t>
  </si>
  <si>
    <t>395</t>
  </si>
  <si>
    <t>;ztratné 5%; 0,87</t>
  </si>
  <si>
    <t>58,48</t>
  </si>
  <si>
    <t>Montáž lešení leh.řad.s podlahami,š.do 1 m, H 10 m</t>
  </si>
  <si>
    <t>Předokenní žaluzie - žaluzie AL 90 mm RAL 9006 el. pohon</t>
  </si>
  <si>
    <t>Rozchodníkový koberec předpěstovaný</t>
  </si>
  <si>
    <t>6*1+4</t>
  </si>
  <si>
    <t>220200150VD</t>
  </si>
  <si>
    <t>312000205VD</t>
  </si>
  <si>
    <t>A</t>
  </si>
  <si>
    <t>Montáž keramických dlaždic na podstupnice, TM</t>
  </si>
  <si>
    <t>8,26</t>
  </si>
  <si>
    <t>287</t>
  </si>
  <si>
    <t>208</t>
  </si>
  <si>
    <t>Izolace proti vlhkosti svislá, fólií, volně</t>
  </si>
  <si>
    <t>998777101R00</t>
  </si>
  <si>
    <t>H713_</t>
  </si>
  <si>
    <t>Mont mat</t>
  </si>
  <si>
    <t>550*4/1000</t>
  </si>
  <si>
    <t>163</t>
  </si>
  <si>
    <t>SO 01_</t>
  </si>
  <si>
    <t>13_</t>
  </si>
  <si>
    <t>722</t>
  </si>
  <si>
    <t>784115722R00</t>
  </si>
  <si>
    <t>přechod mezi podlahami</t>
  </si>
  <si>
    <t>11+1</t>
  </si>
  <si>
    <t>Kryt komunikací z asfalt.recyklátu po zhutnění 7cm</t>
  </si>
  <si>
    <t>963065311R00</t>
  </si>
  <si>
    <t>Páska těsnicí lepicí parozábrana - zaručená přilnavist k podkladu, min šíře pásky - 100 mm</t>
  </si>
  <si>
    <t>2*6</t>
  </si>
  <si>
    <t>zakrývací fólie silná, odolná věrtu a zátěží deštěm</t>
  </si>
  <si>
    <t>Pojistná HI vlhkosti vodorovná, fólií, volně - kotvená k podkladu (BETON) + svařováná v pásech</t>
  </si>
  <si>
    <t>274</t>
  </si>
  <si>
    <t>trám - atika</t>
  </si>
  <si>
    <t>;ztratné 25%; 9,5</t>
  </si>
  <si>
    <t>407</t>
  </si>
  <si>
    <t>93</t>
  </si>
  <si>
    <t>Výztuž zákl. desek nad 12mm, ocel BSt 500S</t>
  </si>
  <si>
    <t>Železobeton základových kleneb C 25/30</t>
  </si>
  <si>
    <t>764339230R00</t>
  </si>
  <si>
    <t>Osazení zárubní dveřních ocelových, pl. do 2,5 m2</t>
  </si>
  <si>
    <t>Strojní vybavení</t>
  </si>
  <si>
    <t>285</t>
  </si>
  <si>
    <t>279</t>
  </si>
  <si>
    <t>(5,2+3,2)*0,3*1,1</t>
  </si>
  <si>
    <t>273351215R00</t>
  </si>
  <si>
    <t>767995101R00</t>
  </si>
  <si>
    <t>173</t>
  </si>
  <si>
    <t>Zaměření skutečného provedení</t>
  </si>
  <si>
    <t>H777_</t>
  </si>
  <si>
    <t>493</t>
  </si>
  <si>
    <t>598</t>
  </si>
  <si>
    <t>63_</t>
  </si>
  <si>
    <t>Podlahy ze syntetických hmot</t>
  </si>
  <si>
    <t>157</t>
  </si>
  <si>
    <t>311</t>
  </si>
  <si>
    <t>;ztratné 20%; 97</t>
  </si>
  <si>
    <t>Lemování z Pz-poilastovaný plechu zdí, hřeben, rš 330 mm</t>
  </si>
  <si>
    <t>470+162</t>
  </si>
  <si>
    <t>101</t>
  </si>
  <si>
    <t>;ztratné 5%; 19,8</t>
  </si>
  <si>
    <t>75</t>
  </si>
  <si>
    <t>dozdívky + zdi stará budovva - plocha zdiva * výška</t>
  </si>
  <si>
    <t>366</t>
  </si>
  <si>
    <t>4+0,5+5,3+2*1+4,5</t>
  </si>
  <si>
    <t>433351131R00</t>
  </si>
  <si>
    <t>54</t>
  </si>
  <si>
    <t>ZTP</t>
  </si>
  <si>
    <t>odbočka + navrtávací odpočný ventil</t>
  </si>
  <si>
    <t>205</t>
  </si>
  <si>
    <t>3*114</t>
  </si>
  <si>
    <t>;ztratné 25%; 117,5</t>
  </si>
  <si>
    <t>Potrubí KG svodné (ležaté) v zemi D 125 x 3,2 mm</t>
  </si>
  <si>
    <t xml:space="preserve"> </t>
  </si>
  <si>
    <t>tepelná - stará část budovy  pozice P1</t>
  </si>
  <si>
    <t>311271176RT6</t>
  </si>
  <si>
    <t>Přesun hmot pro izolace tepelné, výšky do 6 m</t>
  </si>
  <si>
    <t>Zkoušky - pitná voda</t>
  </si>
  <si>
    <t>finální vrtsva na EPS</t>
  </si>
  <si>
    <t>16_</t>
  </si>
  <si>
    <t>Baterie k výlevce nástěnná ruční</t>
  </si>
  <si>
    <t>Krytina hladká z Pz s poplastovanou vrstvou , svitky š.670 mm do 45° včtně dodávky svitků 670 mm</t>
  </si>
  <si>
    <t>elektro montáže</t>
  </si>
  <si>
    <t>722181211RU1</t>
  </si>
  <si>
    <t>136</t>
  </si>
  <si>
    <t>Odbočka kanalizační KGEA 110/ 110/45° PVC</t>
  </si>
  <si>
    <t>603</t>
  </si>
  <si>
    <t>odečet výplní otvorů</t>
  </si>
  <si>
    <t>153</t>
  </si>
  <si>
    <t>HL900N ventil(hlavice) přivzdušňovací DN 50/75/100</t>
  </si>
  <si>
    <t>892241111R00</t>
  </si>
  <si>
    <t>441</t>
  </si>
  <si>
    <t>SO 02A_71_</t>
  </si>
  <si>
    <t>ST 1 - spodní deska - dolní pásnice vazníku - parozábrana + 100% izolace spár</t>
  </si>
  <si>
    <t>8*6*1,5*14,4</t>
  </si>
  <si>
    <t>762841812R00</t>
  </si>
  <si>
    <t>Montáž sprchových mís a vaniček</t>
  </si>
  <si>
    <t>387</t>
  </si>
  <si>
    <t>621</t>
  </si>
  <si>
    <t>O2</t>
  </si>
  <si>
    <t>SO 03d_8_</t>
  </si>
  <si>
    <t>334</t>
  </si>
  <si>
    <t>54112124</t>
  </si>
  <si>
    <t>123</t>
  </si>
  <si>
    <t>Matice přesná šestihranná 02 1401 M16</t>
  </si>
  <si>
    <t>159</t>
  </si>
  <si>
    <t>Dveře sklo - posuvné - automat 1000/2100 + skleněná stěna celková délka 7200 mm, výška skleněné výpkně 2900 mm - bezpečnostní sklo</t>
  </si>
  <si>
    <t>Poklop litina 425/40 t kruhový do teleskopu</t>
  </si>
  <si>
    <t>2*(2*1,4*2,5)</t>
  </si>
  <si>
    <t>998763101R00</t>
  </si>
  <si>
    <t>Zdivo z tvárnic porobeton hladkých tl. 30 cm</t>
  </si>
  <si>
    <t>kg</t>
  </si>
  <si>
    <t>403</t>
  </si>
  <si>
    <t>534</t>
  </si>
  <si>
    <t>28320271</t>
  </si>
  <si>
    <t>DIO</t>
  </si>
  <si>
    <t>548</t>
  </si>
  <si>
    <t>Podzemní PE šachta na vodu  26 m3</t>
  </si>
  <si>
    <t>(15+9)*1,1</t>
  </si>
  <si>
    <t>Objednatel</t>
  </si>
  <si>
    <t>Sestava   s ventily Qn 6 DN 50-50</t>
  </si>
  <si>
    <t>zateplení spodního líce výstupního ramene schodiště v 1NP</t>
  </si>
  <si>
    <t>150*0,25</t>
  </si>
  <si>
    <t>Dokončovací práce, demolice</t>
  </si>
  <si>
    <t>57</t>
  </si>
  <si>
    <t>257</t>
  </si>
  <si>
    <t>průřezová plocha izolace x délka (nad byty)</t>
  </si>
  <si>
    <t>998711101R00</t>
  </si>
  <si>
    <t>(Kč)</t>
  </si>
  <si>
    <t>40*5*0,1*0,14</t>
  </si>
  <si>
    <t>výkopek základů</t>
  </si>
  <si>
    <t>nosné obvodové zdivo - přístavba - bruto</t>
  </si>
  <si>
    <t>pozice PS1 - 1700x700mm</t>
  </si>
  <si>
    <t>762342205RT3</t>
  </si>
  <si>
    <t>H722</t>
  </si>
  <si>
    <t>451311811R00</t>
  </si>
  <si>
    <t>včetně dopravy na místo</t>
  </si>
  <si>
    <t>44984140</t>
  </si>
  <si>
    <t>511</t>
  </si>
  <si>
    <t>Hranol konstrukční masivní KVH NSi 60x100 mm l=5 m</t>
  </si>
  <si>
    <t>Nádrž podzemní akumulační - vstřikolis PE (žebrovaná, dva revizní otvory s poklopem "C") - užitný objem 26 m3</t>
  </si>
  <si>
    <t>22</t>
  </si>
  <si>
    <t>Montáž umyvadla na šrouby do zdiva</t>
  </si>
  <si>
    <t>606</t>
  </si>
  <si>
    <t>Montáž bednění okapových říms z desek tvrdých</t>
  </si>
  <si>
    <t>311231114R00</t>
  </si>
  <si>
    <t>(15+9)*0,5*2</t>
  </si>
  <si>
    <t>998775101R00</t>
  </si>
  <si>
    <t>115</t>
  </si>
  <si>
    <t>12,06</t>
  </si>
  <si>
    <t xml:space="preserve">Výroba a montáž kov. atypických konstr. do 10 kg - montáž předokenních žaluzií (kastlík + vodítka) + montáž žaluzií do kastlíku na místě	</t>
  </si>
  <si>
    <t>Nové konstr.  - technika prostředí staveb - TOP</t>
  </si>
  <si>
    <t>61165004</t>
  </si>
  <si>
    <t>štít východ 2NP</t>
  </si>
  <si>
    <t>479</t>
  </si>
  <si>
    <t>Územní vlivy</t>
  </si>
  <si>
    <t>110*10/1000</t>
  </si>
  <si>
    <t>Osazení zárubní dveřních dřevo-hliníkových, pl. nad 10 m2</t>
  </si>
  <si>
    <t>Zdi podpěrné a volné</t>
  </si>
  <si>
    <t>dřevěná konstrukce spádové vrstvy střechy přístavby</t>
  </si>
  <si>
    <t>12730107</t>
  </si>
  <si>
    <t>vnitřné příčkové a výplňové zdivo 1NP</t>
  </si>
  <si>
    <t>615</t>
  </si>
  <si>
    <t>Zřízení lože z kameniva    tl. do 100 mm</t>
  </si>
  <si>
    <t>Dvířka z plastu, 200 x 300 mm</t>
  </si>
  <si>
    <t>m3</t>
  </si>
  <si>
    <t>725</t>
  </si>
  <si>
    <t>55330386</t>
  </si>
  <si>
    <t>Odstranění pažení stěn rýh - příložné - hl. do 2 m</t>
  </si>
  <si>
    <t>597813752</t>
  </si>
  <si>
    <t>781210131R00</t>
  </si>
  <si>
    <t>265</t>
  </si>
  <si>
    <t>T</t>
  </si>
  <si>
    <t>259</t>
  </si>
  <si>
    <t>411</t>
  </si>
  <si>
    <t>722172331R00</t>
  </si>
  <si>
    <t>941955101R00</t>
  </si>
  <si>
    <t>Hranol konstrukční KVH NSi, SM, C24, 60 x 140 mm, 5 m</t>
  </si>
  <si>
    <t>28697253</t>
  </si>
  <si>
    <t>M220VD</t>
  </si>
  <si>
    <t>Montáž trub kanaliz. z plastu, hrdlových, DN 150</t>
  </si>
  <si>
    <t>nad sálem - vyšší složitost</t>
  </si>
  <si>
    <t>584</t>
  </si>
  <si>
    <t>28,34</t>
  </si>
  <si>
    <t>izolace stropu nad sálem ú strojovna VZT (P7)</t>
  </si>
  <si>
    <t>Datum:</t>
  </si>
  <si>
    <t>91_</t>
  </si>
  <si>
    <t>25,4</t>
  </si>
  <si>
    <t>725823121RT1</t>
  </si>
  <si>
    <t>Dlažba  slinutá   SL 300x300x8 mm</t>
  </si>
  <si>
    <t>215</t>
  </si>
  <si>
    <t>762334110RT2</t>
  </si>
  <si>
    <t>642947111T00</t>
  </si>
  <si>
    <t>Zárubeň ocelová YH100   700x1970x100</t>
  </si>
  <si>
    <t>Potrubí z PPR, D 32x4,4 mm, PN 16, vč.zed.výpom.</t>
  </si>
  <si>
    <t>1+1+2+1</t>
  </si>
  <si>
    <t>27</t>
  </si>
  <si>
    <t xml:space="preserve">Systémové kotevní prvky pro navaření PVC izolac k podkladu/lomy/rohy	</t>
  </si>
  <si>
    <t>Odtoková souprava s ventilem HL24 D 40 mm</t>
  </si>
  <si>
    <t>37</t>
  </si>
  <si>
    <t>Montáž podkladového dřevěného roštu pod obložení stěn včetně materiálu a kotev</t>
  </si>
  <si>
    <t>80</t>
  </si>
  <si>
    <t>12*9,5</t>
  </si>
  <si>
    <t>m2</t>
  </si>
  <si>
    <t>41</t>
  </si>
  <si>
    <t>337</t>
  </si>
  <si>
    <t>00590010</t>
  </si>
  <si>
    <t>64214330</t>
  </si>
  <si>
    <t>podlaha</t>
  </si>
  <si>
    <t>725825114R00</t>
  </si>
  <si>
    <t>78+48</t>
  </si>
  <si>
    <t>Bednění stěn základových kleneb - zřízení</t>
  </si>
  <si>
    <t>podkladní štěrk pod podlahami ve staré budově</t>
  </si>
  <si>
    <t>Montáž umyvadel na šrouby do zdiva</t>
  </si>
  <si>
    <t>877313123R00</t>
  </si>
  <si>
    <t>762512125R00</t>
  </si>
  <si>
    <t>61110563 - O2</t>
  </si>
  <si>
    <t>186</t>
  </si>
  <si>
    <t>Přesun hmot a sutí</t>
  </si>
  <si>
    <t>NUS z rozpočtu</t>
  </si>
  <si>
    <t>251</t>
  </si>
  <si>
    <t>614</t>
  </si>
  <si>
    <t>plná vazba</t>
  </si>
  <si>
    <t>Vodorovná doprava vybour. hmot po suchu do 3 km</t>
  </si>
  <si>
    <t>(1,6+1,6+1,6+1,6+1,6+5+5+5+4+2,2+2,2+2,2+2,2)*2</t>
  </si>
  <si>
    <t>H711</t>
  </si>
  <si>
    <t>1</t>
  </si>
  <si>
    <t>-(5*1,5*1,7+1,2*2+2*2*1,5+6*1,2*1,2+1*1,2+1,5*2+8*0,5*0,5)</t>
  </si>
  <si>
    <t>411351106R00</t>
  </si>
  <si>
    <t>365+16,5</t>
  </si>
  <si>
    <t>Topení rozvody - dodávka a montáž - převod ze záložky</t>
  </si>
  <si>
    <t>Deska sádrovláknitá suchá podlaha, rozměr 1500 x 1000 x 12,5 mm</t>
  </si>
  <si>
    <t>777242908R00</t>
  </si>
  <si>
    <t>přístavba</t>
  </si>
  <si>
    <t>460</t>
  </si>
  <si>
    <t>11,31</t>
  </si>
  <si>
    <t>206</t>
  </si>
  <si>
    <t>468</t>
  </si>
  <si>
    <t>2*(4,7+1,3+2,1+2,1+3,6+8,8+4)*3,2</t>
  </si>
  <si>
    <t>477</t>
  </si>
  <si>
    <t>7</t>
  </si>
  <si>
    <t>kompaktní čerpacéí stanice v 1.PP - sání z jímky v podlaze</t>
  </si>
  <si>
    <t>sklepní chodba + schodiště - schodnice</t>
  </si>
  <si>
    <t>281606214R00</t>
  </si>
  <si>
    <t>236</t>
  </si>
  <si>
    <t>Rozměry</t>
  </si>
  <si>
    <t>7,195+3,036</t>
  </si>
  <si>
    <t>nápis OBECNÍ DŮM, JMÉNO PROVOZOVNY</t>
  </si>
  <si>
    <t>321</t>
  </si>
  <si>
    <t>H767_</t>
  </si>
  <si>
    <t>777511113R00</t>
  </si>
  <si>
    <t>449</t>
  </si>
  <si>
    <t>Obsyp potrubí bez prohození sypaniny s dodáním štěrkopísku</t>
  </si>
  <si>
    <t>vytvoření sekcí mezi vazníky pro oddělené foukání izolace</t>
  </si>
  <si>
    <t>Fólie výstražná z PVC modrá, šířka 30 cm</t>
  </si>
  <si>
    <t>722172334R00</t>
  </si>
  <si>
    <t>532</t>
  </si>
  <si>
    <t>Pozice stropu P5 - kročejová iz</t>
  </si>
  <si>
    <t>350</t>
  </si>
  <si>
    <t>31141918</t>
  </si>
  <si>
    <t>Potrubí HT připojovací D 110 x 2,7 mm</t>
  </si>
  <si>
    <t>899401111R00</t>
  </si>
  <si>
    <t>120+42</t>
  </si>
  <si>
    <t>74</t>
  </si>
  <si>
    <t>342264513RT2</t>
  </si>
  <si>
    <t>19,7*(0,5+0,15+0,5)</t>
  </si>
  <si>
    <t>61110591</t>
  </si>
  <si>
    <t>Položek:</t>
  </si>
  <si>
    <t>132201110T00</t>
  </si>
  <si>
    <t>Substrát zahradnický pro zelené střechy</t>
  </si>
  <si>
    <t>NUS celkem</t>
  </si>
  <si>
    <t>Podlahy a podlahové konstrukce</t>
  </si>
  <si>
    <t>WORK</t>
  </si>
  <si>
    <t>Povrchové úpravy terénu</t>
  </si>
  <si>
    <t>164</t>
  </si>
  <si>
    <t>vnitřní přesah atiky, horní plocha atiky</t>
  </si>
  <si>
    <t>Zárubeň ocelová YH100 1250x1970x100</t>
  </si>
  <si>
    <t>452</t>
  </si>
  <si>
    <t>783626311R00</t>
  </si>
  <si>
    <t>131</t>
  </si>
  <si>
    <t>472</t>
  </si>
  <si>
    <t>979013312R00</t>
  </si>
  <si>
    <t>H01_</t>
  </si>
  <si>
    <t>979082111R00</t>
  </si>
  <si>
    <t>Trubka tlaková PVC hrdlovaná d 125x 4,2x5000 mm</t>
  </si>
  <si>
    <t>Kladení dlaždic 30x30 cm na stavitel. terče plast.</t>
  </si>
  <si>
    <t>Výztuž ztužujících pásů a věnců z oceli 10505(R)</t>
  </si>
  <si>
    <t>611653537 - D4</t>
  </si>
  <si>
    <t>83</t>
  </si>
  <si>
    <t>41,1+12,1+14,9+12,5+4,5+8,6+59,5+10,2+4,9</t>
  </si>
  <si>
    <t>Hloubení zapažených jam v hor.4 do 100 m3</t>
  </si>
  <si>
    <t>Trubka nerez 22,0 x 1,0 mm</t>
  </si>
  <si>
    <t>465</t>
  </si>
  <si>
    <t>497</t>
  </si>
  <si>
    <t>771_</t>
  </si>
  <si>
    <t>Výplně otvorů</t>
  </si>
  <si>
    <t>762812240R00</t>
  </si>
  <si>
    <t>prostor pro zatažení venců 1np do štítů</t>
  </si>
  <si>
    <t>Řezání stávajícího živičného krytu tl. 10 - 15 cm</t>
  </si>
  <si>
    <t>213</t>
  </si>
  <si>
    <t>(31,7*7+12,3*6,3)*(1,1-0,15)</t>
  </si>
  <si>
    <t>schodiště mezi 2.00 a 3.01; 3.03</t>
  </si>
  <si>
    <t>28322103.A</t>
  </si>
  <si>
    <t>Montáž + dodávka  pisoáru v s integrovaným napájením - zdroj</t>
  </si>
  <si>
    <t>55102018</t>
  </si>
  <si>
    <t>Montáž vázaných krovů pravidelných do 288 cm2 včetně dodávky řeziva, hranoly 160/240; 200/200; 200/240; 200/260</t>
  </si>
  <si>
    <t>899623171R00</t>
  </si>
  <si>
    <t>odečet otovrů</t>
  </si>
  <si>
    <t>114</t>
  </si>
  <si>
    <t>Montáž ochranné textilie vodorovné</t>
  </si>
  <si>
    <t>pozice O2 - 1400x800 mm</t>
  </si>
  <si>
    <t>pozice st.2.1+2.2 - pojistná HI</t>
  </si>
  <si>
    <t>Ostatní rozpočtové náklady ORN</t>
  </si>
  <si>
    <t>286538218</t>
  </si>
  <si>
    <t>535</t>
  </si>
  <si>
    <t>rýha + rozšíření na propoj</t>
  </si>
  <si>
    <t>H721</t>
  </si>
  <si>
    <t>47</t>
  </si>
  <si>
    <t>Granulát z pěnového skla  4-16 mm</t>
  </si>
  <si>
    <t>Tlaková zkouška vodovodního potrubí DN 80</t>
  </si>
  <si>
    <t>Montáž kuchyňských linek dřevěných linek š.do 1,2m</t>
  </si>
  <si>
    <t>Síť svařovaná Kari KY 50 3 x 2 m rohož</t>
  </si>
  <si>
    <t>22*1,1*2,1</t>
  </si>
  <si>
    <t>SO 03d_4_</t>
  </si>
  <si>
    <t>64,5*(0,54*8)*1,1</t>
  </si>
  <si>
    <t>Koleno kanalizační KGB 110/ 15° PVC</t>
  </si>
  <si>
    <t>21*0,1</t>
  </si>
  <si>
    <t>Potrubí z PPR, D 50x6,9 mm, PN 16, vč.zed.výpom.</t>
  </si>
  <si>
    <t>1,8*2,5</t>
  </si>
  <si>
    <t>179,31-28,53-41,85</t>
  </si>
  <si>
    <t>680</t>
  </si>
  <si>
    <t>67390503</t>
  </si>
  <si>
    <t>Poplatek za uložení výkopek</t>
  </si>
  <si>
    <t>766812111R00</t>
  </si>
  <si>
    <t>384</t>
  </si>
  <si>
    <t>561</t>
  </si>
  <si>
    <t>Deska dřevoštěpková OSB 3 nebroušená,  tl. 15 mm</t>
  </si>
  <si>
    <t>593</t>
  </si>
  <si>
    <t>962032241R00</t>
  </si>
  <si>
    <t>725019103R00</t>
  </si>
  <si>
    <t>HSV mat</t>
  </si>
  <si>
    <t>Kč</t>
  </si>
  <si>
    <t>294</t>
  </si>
  <si>
    <t>Umyvadlo   s otv. bater. 600x490x195 mm</t>
  </si>
  <si>
    <t>400</t>
  </si>
  <si>
    <t>574</t>
  </si>
  <si>
    <t>Potrubí HT svodné (ležaté) v zemi D 160 x 3,9 mm</t>
  </si>
  <si>
    <t>SO 04_8_</t>
  </si>
  <si>
    <t>771475034T00</t>
  </si>
  <si>
    <t>722264114R00</t>
  </si>
  <si>
    <t>962032432R00</t>
  </si>
  <si>
    <t>978015291R00</t>
  </si>
  <si>
    <t>762822830R00</t>
  </si>
  <si>
    <t>348</t>
  </si>
  <si>
    <t>Stavební rozpočet - Jen objekty celkem</t>
  </si>
  <si>
    <t>staré omítky na zachovaném zdivu</t>
  </si>
  <si>
    <t>177</t>
  </si>
  <si>
    <t>SO 03e_9_</t>
  </si>
  <si>
    <t>66</t>
  </si>
  <si>
    <t>10 cm stará budova nad kamenivem</t>
  </si>
  <si>
    <t>(2+2+4,9+2,8+1,1+4,9+5,7+0,6+0,6)*3,2</t>
  </si>
  <si>
    <t>25*2</t>
  </si>
  <si>
    <t>28653010.A</t>
  </si>
  <si>
    <t>komplet - výsek + vložení odbožení do kanalizace + utěsnění spojů a obetonování  propojneí</t>
  </si>
  <si>
    <t>staré omítky degradované omítky - stropy</t>
  </si>
  <si>
    <t>56_</t>
  </si>
  <si>
    <t>722229103R00</t>
  </si>
  <si>
    <t>Vrut zápustný 021814   6   x  45 mm</t>
  </si>
  <si>
    <t>Celkem VRN</t>
  </si>
  <si>
    <t>Podpěrná konstr. stropů do 12 kPa - odstranění</t>
  </si>
  <si>
    <t>zápachová klapka, koš na listí, DN 100</t>
  </si>
  <si>
    <t>Fólie separační PE   2 x 50 m</t>
  </si>
  <si>
    <t>74+64</t>
  </si>
  <si>
    <t>Montáž dřezů jednoduchých</t>
  </si>
  <si>
    <t>764331230R00</t>
  </si>
  <si>
    <t>Stupnice borovice, průběžná lamela, 1000 x 300 x 40 mm</t>
  </si>
  <si>
    <t>365</t>
  </si>
  <si>
    <t>431351129R00</t>
  </si>
  <si>
    <t>414</t>
  </si>
  <si>
    <t>572</t>
  </si>
  <si>
    <t>Zdivo nosné z cihel vápenopískových 5DF (175) na SMS 5</t>
  </si>
  <si>
    <t>288</t>
  </si>
  <si>
    <t>766624044R00</t>
  </si>
  <si>
    <t>Zatepl.syst.  ostění, miner.desky PV 40 mm</t>
  </si>
  <si>
    <t>Izolace minerální foukaná  lamb = &lt;0,037 do střešních konstrukcí s objemovou stabilizací</t>
  </si>
  <si>
    <t>723211111R00</t>
  </si>
  <si>
    <t>Poklop litinový typ 510 - ventilový</t>
  </si>
  <si>
    <t>pod krytinou</t>
  </si>
  <si>
    <t>201</t>
  </si>
  <si>
    <t>555</t>
  </si>
  <si>
    <t>(160+38+39)*(0,49-0,15)</t>
  </si>
  <si>
    <t>Prah bukový délka do 100 cm šířka 10 cm 2 cm</t>
  </si>
  <si>
    <t>Konstrukce tesařské</t>
  </si>
  <si>
    <t>722181211RV9</t>
  </si>
  <si>
    <t>61143746</t>
  </si>
  <si>
    <t>347</t>
  </si>
  <si>
    <t>155</t>
  </si>
  <si>
    <t>247</t>
  </si>
  <si>
    <t>Omítka vnější stěn, MVC, hrubá zatřená (pod KZS)</t>
  </si>
  <si>
    <t>964073221R00</t>
  </si>
  <si>
    <t>90</t>
  </si>
  <si>
    <t>Deska dřevoštěpková OSB ECO 3 N tl. 15 mm</t>
  </si>
  <si>
    <t>892561111T00</t>
  </si>
  <si>
    <t>599</t>
  </si>
  <si>
    <t>210</t>
  </si>
  <si>
    <t>89</t>
  </si>
  <si>
    <t>(1*(25+12))*0,7*0,25+(1*(25+12))*0,46*0,25</t>
  </si>
  <si>
    <t>Nové konstr.  - technika prostředí staveb - NN</t>
  </si>
  <si>
    <t>5,4*0,75*3,25+(1,97+2,8+1,4+2,3)*0,5*3,25+(2+2,2+4,4+4,4)*0,3*3,25</t>
  </si>
  <si>
    <t>Stropy deskové ze železobetonu C 25/30</t>
  </si>
  <si>
    <t>pozice O1B</t>
  </si>
  <si>
    <t>55111845</t>
  </si>
  <si>
    <t>564731111R00</t>
  </si>
  <si>
    <t>245</t>
  </si>
  <si>
    <t>31148334</t>
  </si>
  <si>
    <t>Vybourání dřevěných rámů oken jednoduch. pl. 2 m2</t>
  </si>
  <si>
    <t>Lišta korková masivní bez úpravy 900x70x8 mm</t>
  </si>
  <si>
    <t>Ostatní rozpočtové náklady (ORN)</t>
  </si>
  <si>
    <t>;ztratné 5%; 0,0505</t>
  </si>
  <si>
    <t>354</t>
  </si>
  <si>
    <t>725810402R00</t>
  </si>
  <si>
    <t>Zdivo nosné z cihel vápenopískových 5DF na SMS 5</t>
  </si>
  <si>
    <t>Potrubí z PPR, D 25x3,5 mm, PN 16, vč.zed.výpom.</t>
  </si>
  <si>
    <t>Zateplovací systém fasáda, EPS F GREY tl.240 mm - Součinitel lambda izolantu 0,031 W/mK</t>
  </si>
  <si>
    <t>447</t>
  </si>
  <si>
    <t>Hlavice ventilační přivětrávací HL900</t>
  </si>
  <si>
    <t>601</t>
  </si>
  <si>
    <t>1+2+1+4+3</t>
  </si>
  <si>
    <t>179</t>
  </si>
  <si>
    <t>899731113R00</t>
  </si>
  <si>
    <t>Deska fasádní minerální vlákno podélné tl. 100 mm</t>
  </si>
  <si>
    <t>711212000R00</t>
  </si>
  <si>
    <t>28697983</t>
  </si>
  <si>
    <t>Celkem DN</t>
  </si>
  <si>
    <t>474</t>
  </si>
  <si>
    <t>(6,6+30,7+6,6+12+5,9)*0,3</t>
  </si>
  <si>
    <t>Potrubí KG svodné (ležaté) v zemi D 160 x 4,0 mm</t>
  </si>
  <si>
    <t>Přesun hmot pro klempířské konstr., výšky do 6 m</t>
  </si>
  <si>
    <t>na zábradlí</t>
  </si>
  <si>
    <t>Přesun hmot pro tesařské konstrukce, výšky do 12 m</t>
  </si>
  <si>
    <t>185</t>
  </si>
  <si>
    <t>88</t>
  </si>
  <si>
    <t>775599141R00</t>
  </si>
  <si>
    <t>Citkulační čerpadlo D+M    Z 20/1</t>
  </si>
  <si>
    <t>úsek</t>
  </si>
  <si>
    <t>Podesta borovice, průběžná lamela, tl. 40 mm</t>
  </si>
  <si>
    <t>31316662</t>
  </si>
  <si>
    <t>5,9*14</t>
  </si>
  <si>
    <t>612456219R00</t>
  </si>
  <si>
    <t>Poplatek za skládku horniny 1- 4, č. dle katal. odpadů 17 05 04</t>
  </si>
  <si>
    <t>Zárubeň ocelová YH100 1100x1970x100</t>
  </si>
  <si>
    <t>Montáž vázaných konstr.polohraněných do 224 cm2 včetně dodávky řeziva, trámy 16/11</t>
  </si>
  <si>
    <t>Vyvedení odpadních výpustek D 40 x 1,8</t>
  </si>
  <si>
    <t>SO 01_9_</t>
  </si>
  <si>
    <t>bruto</t>
  </si>
  <si>
    <t>61110565 - O1</t>
  </si>
  <si>
    <t>148</t>
  </si>
  <si>
    <t>(0,5*0,5+0,5*0,8)*(9,3-3,5)</t>
  </si>
  <si>
    <t>(6,5+30,7+18,5+5,9)*3,2*0,175</t>
  </si>
  <si>
    <t>344</t>
  </si>
  <si>
    <t>326</t>
  </si>
  <si>
    <t>303</t>
  </si>
  <si>
    <t>Zkrácený popis</t>
  </si>
  <si>
    <t>-(1*1*2+3*0,9*2+4*0,8*2)*0,3</t>
  </si>
  <si>
    <t>607201030</t>
  </si>
  <si>
    <t>443</t>
  </si>
  <si>
    <t>325*0,5</t>
  </si>
  <si>
    <t>Bourání zdiva z cihel pálených na MC</t>
  </si>
  <si>
    <t>28</t>
  </si>
  <si>
    <t>111</t>
  </si>
  <si>
    <t>962032231R00</t>
  </si>
  <si>
    <t>převod</t>
  </si>
  <si>
    <t>18+4,7+2+5,3</t>
  </si>
  <si>
    <t>114,99</t>
  </si>
  <si>
    <t>vaznice</t>
  </si>
  <si>
    <t>272351216R00</t>
  </si>
  <si>
    <t>Okna fix, do dř.konstr.2kř.do 5,8 m2 - kruhové okno ve východním štítě</t>
  </si>
  <si>
    <t>312</t>
  </si>
  <si>
    <t>Výroba a montáž kov. atypických konstr. do 5 kg - laserové vyřezání písmen z plechové desky</t>
  </si>
  <si>
    <t>417</t>
  </si>
  <si>
    <t>622421131R00</t>
  </si>
  <si>
    <t>722172315R00</t>
  </si>
  <si>
    <t>239</t>
  </si>
  <si>
    <t>(13*11,6+1*10,4+1*5,7+2*2)*61,3</t>
  </si>
  <si>
    <t>411321414R00</t>
  </si>
  <si>
    <t>771</t>
  </si>
  <si>
    <t>Dveře vnitřní CPL 0,2 KLASIK 1/3 sklo 2kř. 800+500/2250+750 nasvetlík</t>
  </si>
  <si>
    <t>CELK</t>
  </si>
  <si>
    <t>483</t>
  </si>
  <si>
    <t>materiál bude po recyklaci předán obci k využití</t>
  </si>
  <si>
    <t>501</t>
  </si>
  <si>
    <t>středová část stará budova</t>
  </si>
  <si>
    <t>113</t>
  </si>
  <si>
    <t>Ústřední vytápění</t>
  </si>
  <si>
    <t>106</t>
  </si>
  <si>
    <t>Žlaby z Pz-poplastovaný plechu podokapní půlkruhové, rš 330 mm</t>
  </si>
  <si>
    <t>376</t>
  </si>
  <si>
    <t>94_</t>
  </si>
  <si>
    <t>151101101R00</t>
  </si>
  <si>
    <t>10,7*5/2*0,15</t>
  </si>
  <si>
    <t>47,5</t>
  </si>
  <si>
    <t>16+16</t>
  </si>
  <si>
    <t>425</t>
  </si>
  <si>
    <t>611981893</t>
  </si>
  <si>
    <t>470</t>
  </si>
  <si>
    <t>722237426R00</t>
  </si>
  <si>
    <t>65</t>
  </si>
  <si>
    <t>Oplechování Pz -poplastovaný  říms pod nadříms. žlabem, rš 500 mm</t>
  </si>
  <si>
    <t>339</t>
  </si>
  <si>
    <t>Prorážení otvorů a ostatní bourací práce</t>
  </si>
  <si>
    <t>764352295R00</t>
  </si>
  <si>
    <t>411322424R00</t>
  </si>
  <si>
    <t>725860300RT1</t>
  </si>
  <si>
    <t>244</t>
  </si>
  <si>
    <t>413941123R00</t>
  </si>
  <si>
    <t>464</t>
  </si>
  <si>
    <t>5535089160</t>
  </si>
  <si>
    <t>301</t>
  </si>
  <si>
    <t>169</t>
  </si>
  <si>
    <t>schodiště 1-2NP</t>
  </si>
  <si>
    <t>34</t>
  </si>
  <si>
    <t>43_</t>
  </si>
  <si>
    <t>62</t>
  </si>
  <si>
    <t>193</t>
  </si>
  <si>
    <t>prohloubení v podlahách - stará budova pro nové vrstvy</t>
  </si>
  <si>
    <t>Kotva FIX Z 10x120/60-45  průvlaková, nerez</t>
  </si>
  <si>
    <t>;ztratné 8%; 12,16</t>
  </si>
  <si>
    <t>Spojovací a ochranné prostředky pro střechy</t>
  </si>
  <si>
    <t>481</t>
  </si>
  <si>
    <t>Doplňkové náklady DN</t>
  </si>
  <si>
    <t>;ztratné 2%; 6,48</t>
  </si>
  <si>
    <t>722130234R00</t>
  </si>
  <si>
    <t>SO 02C_77_</t>
  </si>
  <si>
    <t>VŠ</t>
  </si>
  <si>
    <t>SO 04_</t>
  </si>
  <si>
    <t>Odbočka kanalizační KGEA 125/ 125/45° PVC</t>
  </si>
  <si>
    <t>432</t>
  </si>
  <si>
    <t>Zatepl.systém  parapet, miner.vlna PV 30 mm</t>
  </si>
  <si>
    <t>55330382</t>
  </si>
  <si>
    <t>;ztratné 5%; 11,4</t>
  </si>
  <si>
    <t>608</t>
  </si>
  <si>
    <t>komín v 1.NP</t>
  </si>
  <si>
    <t>335</t>
  </si>
  <si>
    <t>suterén - sklep s technologií ZTI  - plošná injketáž , 5 vrtů po výšce a 12 cm v</t>
  </si>
  <si>
    <t>428</t>
  </si>
  <si>
    <t>762342203RT4</t>
  </si>
  <si>
    <t>457</t>
  </si>
  <si>
    <t>415</t>
  </si>
  <si>
    <t>podlahy pozice P1+3</t>
  </si>
  <si>
    <t>Izolace proti vodě</t>
  </si>
  <si>
    <t>218</t>
  </si>
  <si>
    <t>54,68*0,115</t>
  </si>
  <si>
    <t>341</t>
  </si>
  <si>
    <t>materiál (R250D DN40 - 1x; R250D DN 15-1x; ZK DN40 - 1x; poj ventil DN40-1x; Refix DD 18 litr. - 1)</t>
  </si>
  <si>
    <t>2,729+0,02+0,06+0,94</t>
  </si>
  <si>
    <t>Montáž vodovodních armatur,1závit, G 1</t>
  </si>
  <si>
    <t>horní deska sbíjeného vazníku</t>
  </si>
  <si>
    <t>478</t>
  </si>
  <si>
    <t>50/5</t>
  </si>
  <si>
    <t>Osazení zárubní dveřních hliníkových, pl. nad 10 m2</t>
  </si>
  <si>
    <t>78,6</t>
  </si>
  <si>
    <t>ST 03</t>
  </si>
  <si>
    <t>Dveře vnitřní laminované plné 1kř. 70x197 cm</t>
  </si>
  <si>
    <t>711801003RT3</t>
  </si>
  <si>
    <t>568</t>
  </si>
  <si>
    <t>577141112RT3</t>
  </si>
  <si>
    <t>Montáž vázan.krovů pravidelných do 120cm2 ocel.spojkami - fošny 8/16 cm</t>
  </si>
  <si>
    <t>16+66</t>
  </si>
  <si>
    <t>Hloubení nezapaž. jam hor.4 do 50 m3, STROJNĚ</t>
  </si>
  <si>
    <t>61187396</t>
  </si>
  <si>
    <t>941941831R00</t>
  </si>
  <si>
    <t>rovná okna</t>
  </si>
  <si>
    <t>Montáž příplatek za segmetaci v kruhovém okně</t>
  </si>
  <si>
    <t>721176223R00</t>
  </si>
  <si>
    <t>H722_</t>
  </si>
  <si>
    <t>SO 05_72_</t>
  </si>
  <si>
    <t>svislice podlahy</t>
  </si>
  <si>
    <t>Lemování z Pz-poplast, komínů na hladké krytině, v ploše</t>
  </si>
  <si>
    <t>Zkouška těsnosti kanalizace do DN 125, vodou</t>
  </si>
  <si>
    <t>293</t>
  </si>
  <si>
    <t>Vnitřní kanalizace</t>
  </si>
  <si>
    <t>467</t>
  </si>
  <si>
    <t>Geotextilie netkaná  PET 300 g/m2</t>
  </si>
  <si>
    <t>Podlaha korková přírodní   300x300x8 mm</t>
  </si>
  <si>
    <t>Kohout vod.kul.,2xvnitřní záv.- R910 DN 32</t>
  </si>
  <si>
    <t>Kohout vod.kul.,2xvnitř.záv.- R250D DN 25</t>
  </si>
  <si>
    <t>Kohout vod.kul.,2xvnitř.záv.- R250D DN 40</t>
  </si>
  <si>
    <t>Ventil zpětný dvojitý, - R623 DN 25</t>
  </si>
  <si>
    <t>Klapka ventil zpětný,2xvnitřní závit - N5 DN 40</t>
  </si>
  <si>
    <t>Kohout vod.kulový s vypouš.,- R250DS DN 25</t>
  </si>
  <si>
    <t>Kohout vod.kulový s vypouš.,- R250DS DN 32</t>
  </si>
  <si>
    <t>Nástěnka MZD PP-R - D 20xR1/2 P</t>
  </si>
  <si>
    <t>SESTAVA  Vodoměr bytový SV   JET DN 15x110 mm,Qn 1,5 - SESTAVA  (ventil 2x + ZK-1x + VDM-1x)</t>
  </si>
  <si>
    <t>SESTAVA  Vodoměr bytový SV   JET DN 20x130 mm, Qn 2,5 - SESTAVA  (ventil 2x + ZK-1x + VDM-1x)</t>
  </si>
  <si>
    <t>Čerpadlo elektronické oběhové   Z20/1</t>
  </si>
  <si>
    <t>Klozet závěsný  včetně sedátka, hl.530 mm</t>
  </si>
  <si>
    <t>Výlevka závěsná   s plastovou mřížkou</t>
  </si>
  <si>
    <t>Kloz.kombi   ZTP,nádrž s arm.odpad svislý,bílý</t>
  </si>
  <si>
    <t>Vanička sprchová   80 EX</t>
  </si>
  <si>
    <t>Adaptér teleskopický PP   600</t>
  </si>
  <si>
    <t xml:space="preserve">Postřik stěn maltou s adhezní přís. </t>
  </si>
  <si>
    <t>Zateplovací systém  , fasáda, EPS Open, 60 mm</t>
  </si>
  <si>
    <t>Pás modifikovaný asfalt   miner</t>
  </si>
  <si>
    <t xml:space="preserve">Oprava podlah plastbet. do 10 mm,  </t>
  </si>
  <si>
    <t>Revizní dvířka   do SDK podhledu, 400x400 mm</t>
  </si>
  <si>
    <t>Revizní dvířka   do SDK podhledu, 300x300 mm</t>
  </si>
  <si>
    <t>Zatepl.syst.  , fasáda, miner.desky PV 200 mm - KOTVY NA TI CELKOVÉ TL. 300 MM DO CIHLENÉHO ZDIVA</t>
  </si>
  <si>
    <t>Potěr betonový  , silo, tl. 50 mm pevnost v tlaku 30 MPa</t>
  </si>
  <si>
    <t>Malta chem.2slož. náplň 380ml-patrona</t>
  </si>
  <si>
    <t>Dlažba   matná 600x600x9 mm</t>
  </si>
  <si>
    <t>Dřez   keramický bez přepadu 1200x450x200 mm</t>
  </si>
  <si>
    <t>Pozice</t>
  </si>
  <si>
    <t>Název</t>
  </si>
  <si>
    <t>Mj</t>
  </si>
  <si>
    <t>Počet</t>
  </si>
  <si>
    <t>Materiál</t>
  </si>
  <si>
    <t>Materiál celkem</t>
  </si>
  <si>
    <t>Montáž celkem</t>
  </si>
  <si>
    <t>Cena</t>
  </si>
  <si>
    <t>Cena celkem</t>
  </si>
  <si>
    <t>Hmotnost</t>
  </si>
  <si>
    <t>Hmotnost celkem</t>
  </si>
  <si>
    <t>Zařízení č.1</t>
  </si>
  <si>
    <t>PARAPETNÍ VZDUCHOTECHNICKÁ JEDNOTKA S REKUPERACÍ</t>
  </si>
  <si>
    <t>1.1</t>
  </si>
  <si>
    <t xml:space="preserve">Parapetní jednotka velikosti 5500 v provedení 10/0 s pracovním objemem větracího vzduchu 4800 m3/h, ext. dp=300 Pa (max. 6000m3/h dp= 430 Pa), jednotka ve složení s deskovým rekuperátorem 90,1% (min 85%), vestavěným teplovodním ohřívačem Q=4,2 kW (Qmax=13 kW) (45/30), vestavěným přímým chladičem (R410A) 21 kW, filtry ePM1 55% (F7) - přívod, Coarse 90% (G4) - odvod, uzavírací klapka E1 a I1, bypass, cirkulační klapka. Maximální rozměr jednotky bez hrdel 2500x1800x1065 mm (DxHxŠ). Další minimální technické požadavky a technické podrobnosti viz TZ případně příloha TZ. </t>
  </si>
  <si>
    <t>ks</t>
  </si>
  <si>
    <t>Digitální regulace, regulační modul umístěný vně jednotky. Cena započítána v ceně jednotky</t>
  </si>
  <si>
    <t>Dodávka jednotky v dílech</t>
  </si>
  <si>
    <t>Sestavení jednotky na místě - paušál</t>
  </si>
  <si>
    <t>Diditální dotykový ovladač jednotky</t>
  </si>
  <si>
    <t>Čidlo CO2, prostorové</t>
  </si>
  <si>
    <t>Teplotní čidlo prostorové</t>
  </si>
  <si>
    <t>Venkovní kondenzační jednotka</t>
  </si>
  <si>
    <t>1.2</t>
  </si>
  <si>
    <t>KONDENZAČNÍ JEDNOTKA DO VZT inverter, R410A, 3x400 V, připojovací potrubí - max. délka/max. převýšení=400 m/40 m, Qch=22 kW, Qt=25 kW, Rozměry skříně 1428x1080x480 (VxŠxD), max ak. tlak v 1 m 66 dB(A)</t>
  </si>
  <si>
    <t>Ovládání a regulace, výstup 0-10V</t>
  </si>
  <si>
    <t>Expanzní ventil, rozdělovač, příslušenství</t>
  </si>
  <si>
    <t>sada</t>
  </si>
  <si>
    <t>Podstavný rám nebo sokl pod venkovní kondenzační jednotky</t>
  </si>
  <si>
    <t>Propojení venkovní kondenzační jednotky s přímým výparníkem</t>
  </si>
  <si>
    <t>Propojovací potrubí Cu 9,52/19,05  včetně izolace a elektropropojení</t>
  </si>
  <si>
    <t>bm</t>
  </si>
  <si>
    <t>PROTIDEŠŤOVÁ ŽALUZIE HLINÍKOVÁ</t>
  </si>
  <si>
    <t>1.3</t>
  </si>
  <si>
    <t>PZA-K II. 1400x1000 TPJ 38-12-98</t>
  </si>
  <si>
    <t>1.4</t>
  </si>
  <si>
    <t>G 200x500x1000 . 1 náběhy na obou koncích tlumiče</t>
  </si>
  <si>
    <t>1.5</t>
  </si>
  <si>
    <t>1.6</t>
  </si>
  <si>
    <t>G 200x500x1500 . 1 náběhy na obou koncích tlumiče</t>
  </si>
  <si>
    <t>1.7</t>
  </si>
  <si>
    <t>1.8</t>
  </si>
  <si>
    <t>1.9</t>
  </si>
  <si>
    <t>DS203 balení po 10 m</t>
  </si>
  <si>
    <t>1.10</t>
  </si>
  <si>
    <t>DS254 balení po 10 m</t>
  </si>
  <si>
    <t>ŠTĚRBINOVÁ VÝUSŤ RT355  /bez boxu/</t>
  </si>
  <si>
    <t>1.11</t>
  </si>
  <si>
    <t>RT 355-1000 - Pětištěrbinová vyúsť, pro přívod, uchycení na plenum box, hliník, délka 1m</t>
  </si>
  <si>
    <t>1.12</t>
  </si>
  <si>
    <t>VÍŘIVÉ VÝUSTI
OD-8</t>
  </si>
  <si>
    <t>1.13</t>
  </si>
  <si>
    <t xml:space="preserve">OD-8/K1/Z/600/48 </t>
  </si>
  <si>
    <t>čtvercová vířivá vyúsť, pro přívod, 600x600mm / 48 lamel</t>
  </si>
  <si>
    <t>1.14</t>
  </si>
  <si>
    <t>VYÚSTKA NASTAVITELNÁ VNM  TPM  015/01</t>
  </si>
  <si>
    <t>1.15</t>
  </si>
  <si>
    <t>400x200 2/R1</t>
  </si>
  <si>
    <t>VYÚSTKA NASTAVITELNÁ VNM   TPM  015/01</t>
  </si>
  <si>
    <t>1.16</t>
  </si>
  <si>
    <t>400x200 1/R1</t>
  </si>
  <si>
    <t>1.17</t>
  </si>
  <si>
    <t>560x280 1/R1</t>
  </si>
  <si>
    <t>KRYCÍ MŘÍŽKY
 - KM /hranatá/</t>
  </si>
  <si>
    <t>1.18</t>
  </si>
  <si>
    <t xml:space="preserve">KM-H-1000x630 </t>
  </si>
  <si>
    <t>1.19 - 1.29</t>
  </si>
  <si>
    <t>NEOBSAZENO</t>
  </si>
  <si>
    <t>TEPELNÉ IZOLACE POTRUBÍ DLE OZNAČENÍ NA VÝKRESU:  Izolace se strukturou uzavřených buněk s vysokým odporem proti difúzi vodní páry, lambda =0,033W/m.K AF/A</t>
  </si>
  <si>
    <t>Desky 2x0,5 m"</t>
  </si>
  <si>
    <t>1.30</t>
  </si>
  <si>
    <t>tl. 40mm AF/A - tl 40mm</t>
  </si>
  <si>
    <t>1.31</t>
  </si>
  <si>
    <t>tl. 25mm AF/A - tl 25mm</t>
  </si>
  <si>
    <t>1.32</t>
  </si>
  <si>
    <t>TEPELNÉ IZOLACE POTRUBÍ DLE
OZNAČENÍ NA VÝKRESU:
'IZOLACE POTRUBÍ DESKOU Z MIN.
'PLSTI KONSTRUKCE 
Z POZINKOVANÉHO PLECHU</t>
  </si>
  <si>
    <t>1.33</t>
  </si>
  <si>
    <t>tl. 40mm Minerální plst s oplechováním pozink. plechem tl.0,7 mm</t>
  </si>
  <si>
    <t>HLUKOVÁ IZOLACE POTRUBÍ
DLE OZNAČENÍ NA VÝKRESU:
IZOLACE POTRUBÍ DESKOU
Z MIN. PLSTI
POLEP. AL FOLIÍ NA TRNY</t>
  </si>
  <si>
    <t>1.34</t>
  </si>
  <si>
    <t xml:space="preserve">tl. 80 mm </t>
  </si>
  <si>
    <t>ČTYŘHRANNÉ POTRUBÍ SKUPINY I.
MATERIÁL POZINKOVANÝ PLECH</t>
  </si>
  <si>
    <t xml:space="preserve"> do obvodu 1050 20% tvarovek</t>
  </si>
  <si>
    <t xml:space="preserve"> do obvodu 1500 30% tvarovek</t>
  </si>
  <si>
    <t xml:space="preserve"> do obvodu 1890 60% tvarovek</t>
  </si>
  <si>
    <t xml:space="preserve"> do obvodu 2630 30% tvarovek</t>
  </si>
  <si>
    <t xml:space="preserve"> do obvodu 3500 50% tvarovek</t>
  </si>
  <si>
    <t xml:space="preserve"> do obvodu 4000 20% tvarovek</t>
  </si>
  <si>
    <t xml:space="preserve"> do obvodu 5600 40% tvarovek</t>
  </si>
  <si>
    <t>KRUHOVÉ POTRUBÍ SKUPINY I.
MATERIÁL POZINKOVANÝ PLECH</t>
  </si>
  <si>
    <t xml:space="preserve"> do průměru280 40% tvarovek</t>
  </si>
  <si>
    <t xml:space="preserve"> do průměru400 30% tvarovek</t>
  </si>
  <si>
    <t>ZÁVĚSY, ZÁVĚSNÉ LIŠTY,
ZÁVITOVÉ TYČE,ZÁVĚSY,
KRUHOVÉ ZÁVĚSY,HMOŽDINKY</t>
  </si>
  <si>
    <t>Montážní materiál celkem</t>
  </si>
  <si>
    <t>Zařízení č.1 - celkem</t>
  </si>
  <si>
    <t>Zařízení č.3</t>
  </si>
  <si>
    <t>3.1</t>
  </si>
  <si>
    <t xml:space="preserve">Parapetní jednotka velikosti 2500 v provedení 10/0 s pracovním objemem větracího vzduchu 2000 m3/h, ext. dp=300 Pa (max. 2500m3/h dp= 430 Pa), jednotka ve složení s deskovým rekuperátorem 91,1% (min 85%), vestavěným teplovodním ohřívačem Q=2 kW (Qmax=8 kW) (45/30), vestavěným přímým chladičem (R410A) 9 kW, filtry ePM1 55% (F7) - přívod, Coarse 90% (G4) - odvod, uzavírací klapka E1 a I1, bypass. Maximální rozměr jednotky bez hrdel 2300x1600x580 mm (DxHxŠ). Další minimální technické požadavky a technické podrobnosti viz TZ, případně příloha TZ. </t>
  </si>
  <si>
    <t>Digitální regulace, regulační modul umístěný uvnitř jednotky. Cena započítána v ceně jednotky</t>
  </si>
  <si>
    <t>3.2</t>
  </si>
  <si>
    <t>KONDENZAČNÍ JEDNOTKA DO VZT inverter, R410A, 400 V, připojovací potrubí - max. délka/max. převýšení=50 m/30 m, Qch=12,5 kW, Qt=14 kW, Rozměry skříně 1290x900x330 (VxŠxD), max ak. tlak v 1 m 54 dB(A)</t>
  </si>
  <si>
    <t>Propojovací potrubí Cu 9,52/16  včetně izolace a elektropropojení</t>
  </si>
  <si>
    <t>NÁSTĚNNÁ DIGESTOŘ</t>
  </si>
  <si>
    <t>3.3</t>
  </si>
  <si>
    <t xml:space="preserve">DIGESTOŘ NEREZOVÁ 2800x1050x360 se dvěmi hrdly 315x150 se zářivkami a 3 ks tukových filtrů (lamelový odlučovač) </t>
  </si>
  <si>
    <t>PROTIDEŠŤOVÉ ŽALUZIE
HLINÍKOVÉ - PZAL
/se sítem/</t>
  </si>
  <si>
    <t>3.4</t>
  </si>
  <si>
    <t xml:space="preserve">PZAL-900x400-S </t>
  </si>
  <si>
    <t>3.5</t>
  </si>
  <si>
    <t>3.6</t>
  </si>
  <si>
    <t>3.7</t>
  </si>
  <si>
    <t>3.8</t>
  </si>
  <si>
    <t>3.9</t>
  </si>
  <si>
    <t>TEXTILNÍ VYÚSTKA KRUHOVÁ 
/vyústka na zavěšené liště, včetně mont. materiálu /</t>
  </si>
  <si>
    <t>3.10</t>
  </si>
  <si>
    <t xml:space="preserve">Kruhová vyústka 400-4500 napojení napojení kruhové 400-100, zprava, Qmax=2500 m3/h, instalace s profilem na strop, napínání. Látka v nehořlavém provedení. Barvu určit po dohodě s investorem před realizací. </t>
  </si>
  <si>
    <t>3.11</t>
  </si>
  <si>
    <t>425x200 1/R1</t>
  </si>
  <si>
    <t>3.30</t>
  </si>
  <si>
    <t>3.31</t>
  </si>
  <si>
    <t>3.32</t>
  </si>
  <si>
    <t>3.33</t>
  </si>
  <si>
    <t>PROTIPOŽ.IZOLACE POTRUBÍ DLE
OZNAČENÍ NA VÝKRESU:
IZOLACE DESKOU Z MIN.PLSTI
1x POLEP. AL FOLIÍ</t>
  </si>
  <si>
    <t>3.34</t>
  </si>
  <si>
    <t>tl. 60 mm odolnost 30 min</t>
  </si>
  <si>
    <t xml:space="preserve"> do obvodu 1050 10% tvarovek</t>
  </si>
  <si>
    <t xml:space="preserve"> do obvodu 1890 40% tvarovek</t>
  </si>
  <si>
    <t xml:space="preserve"> do obvodu 2630 40% tvarovek</t>
  </si>
  <si>
    <t>ZASLEPENÍ ČTYŘHRANNÉ TROUBY
SKUPINY I. Z POZINKOVANÉHO PLECHU</t>
  </si>
  <si>
    <t xml:space="preserve"> do obvodu 1050 </t>
  </si>
  <si>
    <t>Zařízení č.3 - celkem</t>
  </si>
  <si>
    <t>Zařízení č.4</t>
  </si>
  <si>
    <t>4.1</t>
  </si>
  <si>
    <t xml:space="preserve">Parapetní jednotka velikosti 2500 v provedení 10/0 s pracovním objemem větracího vzduchu 2750 m3/h, ext. dp=300 Pa, jednotka ve složení s deskovým rekuperátorem 90,6% (min 85%), vestavěným teplovodním ohřívačem Q=2 kW (Qmax=8 kW) (45/30), vestavěným přímým chladičem (R410A) 8,0 kW, filtry ePM1 55% (F7) - přívod, Coarse 90% (G4) - odvod, uzavírací klapka E1 a I1, bypass. Maximální rozměr jednotky bez hrdel 2300x1800x580 mm (DxHxŠ). Další minimální technické požadavky a technické podrobnosti viz TZ, případně příloha TZ. </t>
  </si>
  <si>
    <t>4.2</t>
  </si>
  <si>
    <t>KONDENZAČNÍ JEDNOTKA DO VZT inverter, R410A, 400 V, připojovací potrubí - max. délka/max. převýšení=50 m/30 m, Qch=10,0 kW, Qt=11 kW, Rozměry skříně 1290x900x330 (VxŠxD), max ak. tlak v 1 m 53 dB(A)</t>
  </si>
  <si>
    <t>POŽÁRNÍ KLAPKA</t>
  </si>
  <si>
    <t>4.3</t>
  </si>
  <si>
    <t>PKTM-III 500x315 TPM 075/09 .62</t>
  </si>
  <si>
    <t>4.4</t>
  </si>
  <si>
    <t>4.5</t>
  </si>
  <si>
    <t>4.6</t>
  </si>
  <si>
    <t>4.7</t>
  </si>
  <si>
    <t>4.8</t>
  </si>
  <si>
    <t>4.9</t>
  </si>
  <si>
    <t>4.10</t>
  </si>
  <si>
    <t>4.11</t>
  </si>
  <si>
    <t xml:space="preserve">OD-8/K1/A/600/48 </t>
  </si>
  <si>
    <t>čtvercová vířivá vyúsť, pro odvod, 600x600mm / 48 lamel</t>
  </si>
  <si>
    <t>4.12</t>
  </si>
  <si>
    <t>4.13</t>
  </si>
  <si>
    <t>725x280 2/R1</t>
  </si>
  <si>
    <t>4.14</t>
  </si>
  <si>
    <t>VENTILY TALÍŘOVÉ 
PLASTOVÉ ELF</t>
  </si>
  <si>
    <t>4.15</t>
  </si>
  <si>
    <t>ELF125 odvod</t>
  </si>
  <si>
    <t>4.16</t>
  </si>
  <si>
    <t>ELF100 odvod</t>
  </si>
  <si>
    <t>4.17-4.29</t>
  </si>
  <si>
    <t>4.30</t>
  </si>
  <si>
    <t>4.31</t>
  </si>
  <si>
    <t>4.32</t>
  </si>
  <si>
    <t>TEPELNÉ IZOLACE POTRUBÍ DLE
OZNAČENÍ NA VÝKRESU:
IZOLACE POTRUBÍ DESKOU
Z MINERÁLNÍ PLSTI  1x POLEP
AL FOLIÍ NA TRNY</t>
  </si>
  <si>
    <t>4.33</t>
  </si>
  <si>
    <t xml:space="preserve">tl 80 mm </t>
  </si>
  <si>
    <t>4.34</t>
  </si>
  <si>
    <t>4.35</t>
  </si>
  <si>
    <t xml:space="preserve"> do obvodu 1050 50% tvarovek</t>
  </si>
  <si>
    <t xml:space="preserve"> do obvodu 1500 20% tvarovek</t>
  </si>
  <si>
    <t xml:space="preserve"> do obvodu 1890 50% tvarovek</t>
  </si>
  <si>
    <t xml:space="preserve"> do průměru100 30% tvarovek</t>
  </si>
  <si>
    <t xml:space="preserve"> do průměru140 30% tvarovek</t>
  </si>
  <si>
    <t xml:space="preserve"> do průměru200 30% tvarovek</t>
  </si>
  <si>
    <t xml:space="preserve"> do průměru280 100% tvarovek</t>
  </si>
  <si>
    <t>Zařízení č.4 - celkem</t>
  </si>
  <si>
    <t>Zařízení č.5</t>
  </si>
  <si>
    <t>PODSTROPNÍ VZDUCHOTECHNICKÁ JEDNOTKA S REKUPERACÍ</t>
  </si>
  <si>
    <t>5.1</t>
  </si>
  <si>
    <t xml:space="preserve">Podstropní jednotka velikosti 570 s pracovním objemem větracího vzduchu 500 m3/h, ext. dp=200 Pa, jednotka ve složení s deskovým rekuperátorem 89,2% (min 80%), filtry Coarse 90% (G4) - přívod, Coarse 90% (G4) - odvod, uzavírací klapka E1 a I1, vestavěným elektrickým předehřívačem 1,3 kW a vestavěným elektrickým dohřívačem 0,5 kW,  bypass. Maximální rozměr jednotky bez hrdel 1290x370x930 mm (DxHxŠ). Další minimální technické požadavky a technické podrobnosti viz TZ, případně příloha TZ. </t>
  </si>
  <si>
    <t>Závěsné silentbloky</t>
  </si>
  <si>
    <t>Vestavěný elektrický předehřívač 1,3 kW</t>
  </si>
  <si>
    <t>Vestavěný elektrický dohřívač 0,5 kW</t>
  </si>
  <si>
    <t>5.2</t>
  </si>
  <si>
    <t>PROTIDEŠŤOVÉ ŽALUZIE
HLINÍKOVÉ-PZAL
/se sítem/</t>
  </si>
  <si>
    <t>5.3</t>
  </si>
  <si>
    <t xml:space="preserve">PZAL-400x400-S </t>
  </si>
  <si>
    <t>5.4</t>
  </si>
  <si>
    <t>KRUHOVÉ TLUMIČE HLUKU
SPT-GLX</t>
  </si>
  <si>
    <t>5.5</t>
  </si>
  <si>
    <t>5.6</t>
  </si>
  <si>
    <t>SAMOČINNÉ ZPĚTNÉ
KLAPKY RSKR-Z/pozink. plech/</t>
  </si>
  <si>
    <t>5.7</t>
  </si>
  <si>
    <t xml:space="preserve">RSKR-Z-200 </t>
  </si>
  <si>
    <t>VYÚSTKA PRO KRUHOVÉ POTRUBÍ TPM 034/04</t>
  </si>
  <si>
    <t>SAMOČINNÉ ZPĚTNÉ
KLAPKA TĚSNÁ RSKT /pozink. plech/</t>
  </si>
  <si>
    <t>5.8</t>
  </si>
  <si>
    <t xml:space="preserve">RSKT-200 </t>
  </si>
  <si>
    <t>5.9</t>
  </si>
  <si>
    <t>5.10</t>
  </si>
  <si>
    <t>5.11</t>
  </si>
  <si>
    <t>5.12-5.19</t>
  </si>
  <si>
    <t>5.20</t>
  </si>
  <si>
    <t>5.21</t>
  </si>
  <si>
    <t xml:space="preserve"> do obvodu 1050 rovné</t>
  </si>
  <si>
    <t xml:space="preserve"> do obvodu 1500 50% tvarovek</t>
  </si>
  <si>
    <t xml:space="preserve"> do obvodu 1500 </t>
  </si>
  <si>
    <t xml:space="preserve"> do průměru100 10% tvarovek</t>
  </si>
  <si>
    <t xml:space="preserve"> do průměru200 60% tvarovek</t>
  </si>
  <si>
    <t>ZASLEPENÍ KRUHOVÉ TROUBY
SKUPINY I POZINKOVANÝ PLECH</t>
  </si>
  <si>
    <t xml:space="preserve"> do průměru200</t>
  </si>
  <si>
    <t>Zařízení č.5 - celkem</t>
  </si>
  <si>
    <t>Zařízení č.6</t>
  </si>
  <si>
    <t>NÁSTĚNNÁ VZDUCHOTECHNICKÁ JEDNOTKA S REKUPERACÍ</t>
  </si>
  <si>
    <t>6.1</t>
  </si>
  <si>
    <t xml:space="preserve">Nástěnná jednotka velikosti 580 s pracovním objemem větracího vzduchu 410 m3/h, ext. dp=200 Pa, jednotka ve složení s deskovým rekuperátorem 90,9% (min 80%), filtry Coarse 90% (G4) - přívod, Coarse 90% (G4) - odvod, uzavírací klapka E1 a I1, vestavěným elektrickým předehřívačem 1,3 kW a vestavěným elektrickým dohřívačem 0,6 kW,  bypass. Maximální rozměr jednotky bez hrdel 928x1080x509 mm (DxHxŠ). Další minimální technické požadavky a technické podrobnosti viz TZ, případně příloha TZ. </t>
  </si>
  <si>
    <t>Vestavěný elektrický dohřívač 0,6 kW</t>
  </si>
  <si>
    <t>6.2</t>
  </si>
  <si>
    <t>6.3</t>
  </si>
  <si>
    <t>6.4</t>
  </si>
  <si>
    <t>VENTILY TALÍŘOVÉ 
PLASTOVÉ ELI</t>
  </si>
  <si>
    <t>6.5</t>
  </si>
  <si>
    <t>ELI200 přívod</t>
  </si>
  <si>
    <t>6.6</t>
  </si>
  <si>
    <t>ELI125 přívod</t>
  </si>
  <si>
    <t>6.7</t>
  </si>
  <si>
    <t>ELK160 odvod</t>
  </si>
  <si>
    <t>6.8</t>
  </si>
  <si>
    <t>6.9</t>
  </si>
  <si>
    <t>SAMOČINNÉ ZPĚTNÉ
KLAPKY RSKR-Z
/pozink. plech/</t>
  </si>
  <si>
    <t>6.10</t>
  </si>
  <si>
    <t>6.20</t>
  </si>
  <si>
    <t>6.21</t>
  </si>
  <si>
    <t>Zařízení č.6 - celkem</t>
  </si>
  <si>
    <t>Zařízení č.7</t>
  </si>
  <si>
    <t>7.1</t>
  </si>
  <si>
    <t xml:space="preserve">Nástěnná jednotka velikosti 380 s pracovním objemem větracího vzduchu 245 m3/h, ext. dp=200 Pa, jednotka ve složení s deskovým rekuperátorem 92,2%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</si>
  <si>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Vestavěný elektrický předehřívač 1,0 kW</t>
  </si>
  <si>
    <t>7.2</t>
  </si>
  <si>
    <t>7.3</t>
  </si>
  <si>
    <t xml:space="preserve">SPT-GLX-160-1,0 </t>
  </si>
  <si>
    <t>7.4</t>
  </si>
  <si>
    <t xml:space="preserve">SPT-GLX-160-0,5 </t>
  </si>
  <si>
    <t>SAMOČINNÉ ZPĚTNÉ
KLAPKA TĚSNÁ RSKT
/pozink. plech/</t>
  </si>
  <si>
    <t>7.5</t>
  </si>
  <si>
    <t xml:space="preserve">RSKT-160 </t>
  </si>
  <si>
    <t>7.6</t>
  </si>
  <si>
    <t>7.7</t>
  </si>
  <si>
    <t>7.8</t>
  </si>
  <si>
    <t>7.9</t>
  </si>
  <si>
    <t>7.10-7.19</t>
  </si>
  <si>
    <t>7.20</t>
  </si>
  <si>
    <t>7.21</t>
  </si>
  <si>
    <t>7.22</t>
  </si>
  <si>
    <t xml:space="preserve"> do obvodu 1500 70% tvarovek</t>
  </si>
  <si>
    <t xml:space="preserve"> do průměru140 100% tvarovek</t>
  </si>
  <si>
    <t xml:space="preserve"> do průměru200 40% tvarovek</t>
  </si>
  <si>
    <t>Zařízení č.7 - celkem</t>
  </si>
  <si>
    <t>Zařízení č.8</t>
  </si>
  <si>
    <t>8.1</t>
  </si>
  <si>
    <t xml:space="preserve">Nástěnná jednotka velikosti 380 s pracovním objemem větracího vzduchu 215 m3/h, ext. dp=200 Pa, jednotka ve složení s deskovým rekuperátorem 93,0% (min 80%), filtry Coarse 90% (G4) - přívod, Coarse 90% (G4) - odvod, uzavírací klapka E1 a I1, vestavěným elektrickým předehřívačem 1,0 kW a vestavěným elektrickým dohřívačem 0,6 kW,  bypass. Maximální rozměr jednotky bez hrdel 617x1000x490 mm (DxHxŠ). Další minimální technické požadavky a technické podrobnosti viz TZ, případně příloha TZ. </t>
  </si>
  <si>
    <t>8.2-8.3</t>
  </si>
  <si>
    <t>8.4</t>
  </si>
  <si>
    <t>8.5</t>
  </si>
  <si>
    <t>8.6</t>
  </si>
  <si>
    <t xml:space="preserve">RSKT-125 </t>
  </si>
  <si>
    <t>8.7</t>
  </si>
  <si>
    <t>8.8</t>
  </si>
  <si>
    <t>8.9</t>
  </si>
  <si>
    <t>8.10</t>
  </si>
  <si>
    <t>8.11</t>
  </si>
  <si>
    <t>8.12 - 8.19</t>
  </si>
  <si>
    <t>8.20</t>
  </si>
  <si>
    <t>8.21</t>
  </si>
  <si>
    <t>8.22</t>
  </si>
  <si>
    <t xml:space="preserve"> do průměru100 20% tvarovek</t>
  </si>
  <si>
    <t xml:space="preserve"> do průměru140 20% tvarovek</t>
  </si>
  <si>
    <t xml:space="preserve"> do průměru200 50% tvarovek</t>
  </si>
  <si>
    <t>KRUHOVÉ POTRUBÍ SKUPINY I.
POZINK. PLECH - PÁJENÉ SPOJE</t>
  </si>
  <si>
    <t>Zařízení č.8 - celkem</t>
  </si>
  <si>
    <t>Hodinové zúčtovací sazby</t>
  </si>
  <si>
    <t>Zpracování dodavatelské dokumentace</t>
  </si>
  <si>
    <t>Příprava ke komplexnímu vyzkoušení, oživení a vyregulování zařízení</t>
  </si>
  <si>
    <t xml:space="preserve"> komplexní vyzkoušení zařízení</t>
  </si>
  <si>
    <t xml:space="preserve"> vypracování provozních předpisů</t>
  </si>
  <si>
    <t xml:space="preserve"> projekt skutečného provedení</t>
  </si>
  <si>
    <t>Měření hlučnosti zařízení</t>
  </si>
  <si>
    <t>Hodinové zúčtovací sazby - celkem</t>
  </si>
  <si>
    <t>Volitelné příslušenství - Mimo rozpočet</t>
  </si>
  <si>
    <t xml:space="preserve">Nástěný digitální ovladač </t>
  </si>
  <si>
    <t>Regulátor množství vzduchu</t>
  </si>
  <si>
    <t>Čidlo CO2, kanálové</t>
  </si>
  <si>
    <t>Čidlo relativní vlhkosti, prostorové</t>
  </si>
  <si>
    <t>Čidlo relativní vlhkosti, kanálové</t>
  </si>
  <si>
    <t>Hodnota A</t>
  </si>
  <si>
    <t>Hodnota B</t>
  </si>
  <si>
    <t>Hodnota C</t>
  </si>
  <si>
    <t>Základní náklady</t>
  </si>
  <si>
    <t>Zařízení: Dodávka, Montáž</t>
  </si>
  <si>
    <t>Vzduchotechnická zařízení celkem</t>
  </si>
  <si>
    <t>Dodávka celkem, Montážní náklady</t>
  </si>
  <si>
    <t>Hodinové zůčtovací sazby</t>
  </si>
  <si>
    <t>Lešení</t>
  </si>
  <si>
    <t>Izolace protipožární</t>
  </si>
  <si>
    <t>Izolace protihlukové</t>
  </si>
  <si>
    <t>Základní náklady celkem</t>
  </si>
  <si>
    <t>Vedlejší náklady</t>
  </si>
  <si>
    <t>Vedlejší náklady celkem</t>
  </si>
  <si>
    <t>Kompletační činnost</t>
  </si>
  <si>
    <t>Náklady celkem</t>
  </si>
  <si>
    <t>Náklady celkem s DPH</t>
  </si>
  <si>
    <t>Součty odstavců</t>
  </si>
  <si>
    <t>Hmotnost
[kg]</t>
  </si>
  <si>
    <t>dodávka celkem</t>
  </si>
  <si>
    <t>montáž celkem</t>
  </si>
  <si>
    <t>CELKEM</t>
  </si>
  <si>
    <t>Stavba:</t>
  </si>
  <si>
    <t>Obecní dům Vavřineč – přestavba objektu č.p. 9, Malý Újezd_úpravy 06/2023</t>
  </si>
  <si>
    <t>Investor:</t>
  </si>
  <si>
    <t>Obec Malý Újezd, Malý Újezd 95, 277 31 Velký Borek</t>
  </si>
  <si>
    <t>Část:</t>
  </si>
  <si>
    <t>D.1.4.a Zařízení pro vytápění</t>
  </si>
  <si>
    <t>č.z.</t>
  </si>
  <si>
    <t>2022-42</t>
  </si>
  <si>
    <t>rev.1</t>
  </si>
  <si>
    <t>Jednotková cena - základ DPH</t>
  </si>
  <si>
    <t>Hodnota DPH</t>
  </si>
  <si>
    <t>TYP</t>
  </si>
  <si>
    <t>Zařazení</t>
  </si>
  <si>
    <t>KCN</t>
  </si>
  <si>
    <t>Kód položky</t>
  </si>
  <si>
    <t>J. hmotnost</t>
  </si>
  <si>
    <t>J. suť</t>
  </si>
  <si>
    <t>Poznámka</t>
  </si>
  <si>
    <t>D</t>
  </si>
  <si>
    <t>OST</t>
  </si>
  <si>
    <t>N.C.RE.PSZ</t>
  </si>
  <si>
    <t>Montážní a demontážní práce, doprava</t>
  </si>
  <si>
    <t>K</t>
  </si>
  <si>
    <t>M</t>
  </si>
  <si>
    <t>R</t>
  </si>
  <si>
    <t>444-001</t>
  </si>
  <si>
    <t>Montážní práce zařízení pro vytápění</t>
  </si>
  <si>
    <t>hod</t>
  </si>
  <si>
    <t>444-002</t>
  </si>
  <si>
    <t>Doprava zařízení pro vytápění na místo stavby</t>
  </si>
  <si>
    <t>444-003</t>
  </si>
  <si>
    <t>Montáž směšovacích uzlů VZT jednotek - dodávka směšovacích uzlů je od profese VZT</t>
  </si>
  <si>
    <t>N.C.RE.RRE</t>
  </si>
  <si>
    <t>Kontrolní činnost (revize a zkoušky)</t>
  </si>
  <si>
    <t>555-001</t>
  </si>
  <si>
    <t>Zkoušky, uvedení do provozu a vyregulování</t>
  </si>
  <si>
    <t>555-002</t>
  </si>
  <si>
    <t>Zajištění chodu zařízení ve zkušebním provozu</t>
  </si>
  <si>
    <t>555-003</t>
  </si>
  <si>
    <t>Zaškolení obsluhy</t>
  </si>
  <si>
    <t>555-004</t>
  </si>
  <si>
    <t>Návrh provozního řádu</t>
  </si>
  <si>
    <t>555-005</t>
  </si>
  <si>
    <t>Dokumentace skutečného provedení</t>
  </si>
  <si>
    <t>N.C.RE.SP</t>
  </si>
  <si>
    <t>Stavební přípomoce</t>
  </si>
  <si>
    <t>333-001</t>
  </si>
  <si>
    <t>Stavební přípomoce - spolupráce se stavbou na vyznačení míst, kde budou provedeny stavební otvory pro vedení potrubních rozvodů topné vody</t>
  </si>
  <si>
    <t>333-002</t>
  </si>
  <si>
    <t>Lešení pomocné jednořadové lehké s podlahami do výšky 2,0 m</t>
  </si>
  <si>
    <r>
      <t>m</t>
    </r>
    <r>
      <rPr>
        <vertAlign val="superscript"/>
        <sz val="10"/>
        <rFont val="Arial CE"/>
        <charset val="238"/>
      </rPr>
      <t>2</t>
    </r>
  </si>
  <si>
    <t>333-003</t>
  </si>
  <si>
    <t>Jeřáb pro přesun zařízení TČ na pozici, váha nejtěžšího zařízení do 0,3 tun, dopravní výška do 5 metrů</t>
  </si>
  <si>
    <t>N.V.ND.KOT</t>
  </si>
  <si>
    <t>Kotle, čerpadla, armatury, topný tělesa</t>
  </si>
  <si>
    <t>MD</t>
  </si>
  <si>
    <t>777-001</t>
  </si>
  <si>
    <t>1.1a,b,c, 1.2a,b,c - Tepelné čerpadlo vzduch-voda v zapojení se splitbox (kondenzátor+výparník), topný výkon 15,4 kW (při A-7/W55), resp. 17,1 kW (při A2/W35), splitové provedení, el. příkon na 1 jednotku max. 6 kW (při A-7/W55), resp. 2 kW (při A2/W35), U = 3x 400 V, ustálený I = 4,2 A, rozběhový I = 18,6 A, chladivo R410A
- včetně ovládacího panelu a elektrického rozváděče vnitřní jednotky
- včetně propojovacího elektro vedení mezi vnitřní a venkovní jednotkami, cca 15 m
- váha vnitřní jednotky 25 kg, vnější jednotky 225 kg
- rozměry vnitřní jednotky ŠxHxV - 525x300x670 mm
- rozměry venkovní jednotky ŠxHxV - 1430x680x1360 mm
- včetně vyvakuování a naplnění chladivem
- včetně zprovoznění TČ a zaškolení obsluhy
- včetně odkapní vany s elektrootopem</t>
  </si>
  <si>
    <t>777-002</t>
  </si>
  <si>
    <t>Akumulační zásobník topné vody 800 litrů, průměr včetně izolace 990 mm, výška 1825 mm
- včetně izolace tl. 100 mm
- včetně elektrických topných těles - 4x 6,0 kW</t>
  </si>
  <si>
    <t>777-003</t>
  </si>
  <si>
    <t>Rozdělovač a sběrač – DN 100, L = 900 mm, vč. izolace (minerální vlna + Al fólie - tl. 50 mm) a pomocné OK pro uchycení rozdělovače a sběrače, hrdla (5 ks) udělat závitová 1x 2“, 1x 6/4", 1x 5/4", 1x 1", 1x 1/2“ - viz schéma</t>
  </si>
  <si>
    <t>777-004</t>
  </si>
  <si>
    <t>Zásobník TV, 400 litrů, se 2 trubkovými výměníky tepla
příslušenství - tepelná izolace 100 mm zásobníku TV
průměr zásobníku včetně izolace 700 mm, výška 1631 mm
- včetně elektrického topného tělesa - 8,0 kW</t>
  </si>
  <si>
    <t>777-005</t>
  </si>
  <si>
    <r>
      <t xml:space="preserve">Expanzní nádoba 100 litrů, 6 bar, teplota topné vody do 60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
- včetně servisního ventilu MK 1" se zajištěním</t>
    </r>
  </si>
  <si>
    <t>777-006</t>
  </si>
  <si>
    <r>
      <t>Čerpadlo P1, ohřev VZT + vytápění OT,
elektronicky regulované otáčky,
průtok Q = 0,78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20 kPa, P = 85 W</t>
    </r>
  </si>
  <si>
    <t>777-007</t>
  </si>
  <si>
    <r>
      <t>Čerpadlo P2, podlahové vytápění společenské prostory
elektronicky regulované otáčky,
průtok Q = 2,21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</si>
  <si>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777-008</t>
  </si>
  <si>
    <r>
      <t>Čerpadlo P3, podlahové vytápění byty
elektronicky regulované otáčky,
průtok Q = 1,24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85 W</t>
    </r>
  </si>
  <si>
    <t>777-009</t>
  </si>
  <si>
    <r>
      <t>Čerpadlo P11, sekundární okruh TČ na poz.1.1a,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</si>
  <si>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777-010</t>
  </si>
  <si>
    <r>
      <t>Čerpadlo P12, sekundární okruh TČ na poz.1.1b,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</si>
  <si>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777-011</t>
  </si>
  <si>
    <r>
      <t>Čerpadlo P12, sekundární okruh TČ na poz.1.1c,
elektronicky regulované otáčky,
průtok Q = 2,80 m</t>
    </r>
    <r>
      <rPr>
        <vertAlign val="superscript"/>
        <sz val="10"/>
        <rFont val="Arial CE"/>
        <charset val="238"/>
      </rPr>
      <t>3</t>
    </r>
    <r>
      <rPr>
        <sz val="6"/>
        <rFont val="Arial"/>
      </rPr>
      <t>/h, p = 25 kPa, P = 180 W</t>
    </r>
  </si>
  <si>
    <t>777-012</t>
  </si>
  <si>
    <t>Směšovací ventil závitový Rp 3/4", Kv = 6,3
se servopohonem - 230 V</t>
  </si>
  <si>
    <t>777-013</t>
  </si>
  <si>
    <t>Směšovací ventil závitový Rp 1/2", Kv = 2,5
se servopohonem - 230 V</t>
  </si>
  <si>
    <t>777-014</t>
  </si>
  <si>
    <t>Rozdělovací ventil závitový Rp 2", Kv = 40
se servopohonem - 230 V</t>
  </si>
  <si>
    <t>777-015</t>
  </si>
  <si>
    <t>Otopné těleso připojení klasik 22-600/1200</t>
  </si>
  <si>
    <t>777-016</t>
  </si>
  <si>
    <t>Topný registr 1500.450
- připojení zdola dolů</t>
  </si>
  <si>
    <t>777-017</t>
  </si>
  <si>
    <t>Termostatická hlavice K s vestavěným teplotním čidlem</t>
  </si>
  <si>
    <t>777-018</t>
  </si>
  <si>
    <t>Ventilový spodek přímý s předregulací pro napojení topných těles a topných registrů, 1/2"</t>
  </si>
  <si>
    <t>777-019</t>
  </si>
  <si>
    <t>Uzavíratelné radiátorové šroubení přímé 1/2“</t>
  </si>
  <si>
    <t>777-020</t>
  </si>
  <si>
    <t>Pojišťovací ventil závitový 1“ (o.p. 5 baru)</t>
  </si>
  <si>
    <t>777-021</t>
  </si>
  <si>
    <t>Vypouštěcí kohout závitový 1/2“</t>
  </si>
  <si>
    <t>777-022</t>
  </si>
  <si>
    <t>Automatický odvzdušňovací ventil závitový 3/8“</t>
  </si>
  <si>
    <t>777-023</t>
  </si>
  <si>
    <t>Kulový kohout závitový 2-1/2“</t>
  </si>
  <si>
    <t>777-024</t>
  </si>
  <si>
    <t>Kulový kohout závitový 2“</t>
  </si>
  <si>
    <t>777-025</t>
  </si>
  <si>
    <t>Kulový kohout závitový 6/4“</t>
  </si>
  <si>
    <t>777-026</t>
  </si>
  <si>
    <t>Kulový kohout závitový 5/4“</t>
  </si>
  <si>
    <t>777-027</t>
  </si>
  <si>
    <t>Kulový kohout závitový 1“</t>
  </si>
  <si>
    <t>777-028</t>
  </si>
  <si>
    <t>Kulový kohout závitový 1/2“</t>
  </si>
  <si>
    <t>777-029</t>
  </si>
  <si>
    <t>Manometr D100, 0-600 kPa, včetně jímky, konden. smyčky a manometr. ventilu</t>
  </si>
  <si>
    <t>777-030</t>
  </si>
  <si>
    <r>
      <t xml:space="preserve">Teploměr, L = 60 mm, D100 mm, 0-120 </t>
    </r>
    <r>
      <rPr>
        <vertAlign val="superscript"/>
        <sz val="10"/>
        <rFont val="Arial CE"/>
        <charset val="238"/>
      </rPr>
      <t>o</t>
    </r>
    <r>
      <rPr>
        <sz val="6"/>
        <rFont val="Arial"/>
      </rPr>
      <t>C, včetně teploměrné jímky M20x1,5 a návarku</t>
    </r>
  </si>
  <si>
    <t>777-031</t>
  </si>
  <si>
    <t>Zpětný ventil závitový 6/4"</t>
  </si>
  <si>
    <t>777-032</t>
  </si>
  <si>
    <t>Zpětný ventil závitový 5/4"</t>
  </si>
  <si>
    <t>777-033</t>
  </si>
  <si>
    <t>Zpětný ventil závitový 1"</t>
  </si>
  <si>
    <t>777-034</t>
  </si>
  <si>
    <t>Filtr závitový 6/4"</t>
  </si>
  <si>
    <t>777-035</t>
  </si>
  <si>
    <t>Filtr závitový 5/4"</t>
  </si>
  <si>
    <t>777-036</t>
  </si>
  <si>
    <t>Filtr závitový 1"</t>
  </si>
  <si>
    <t>777-037</t>
  </si>
  <si>
    <t>Demineralizační filtr, závitový 1"
- včetně náhraní náplně pro 1. napuštění</t>
  </si>
  <si>
    <t>777-038</t>
  </si>
  <si>
    <t>777-039</t>
  </si>
  <si>
    <t>777-040</t>
  </si>
  <si>
    <t>N.V.PM.STP</t>
  </si>
  <si>
    <t>Potrubní díly + ostatní materiál</t>
  </si>
  <si>
    <t>111-001</t>
  </si>
  <si>
    <t>Měděné potrubí 76x2,0</t>
  </si>
  <si>
    <t>111-002</t>
  </si>
  <si>
    <t>Měděné potrubí 64x2,0</t>
  </si>
  <si>
    <t>111-003</t>
  </si>
  <si>
    <t>Měděné potrubí 54x2,0</t>
  </si>
  <si>
    <t>111-004</t>
  </si>
  <si>
    <t>Měděné potrubí 42x1,5</t>
  </si>
  <si>
    <t>111-005</t>
  </si>
  <si>
    <t>Měděné potrubí 35x1,5</t>
  </si>
  <si>
    <t>111-006</t>
  </si>
  <si>
    <t>Měděné potrubí 28x1,0</t>
  </si>
  <si>
    <t>111-007</t>
  </si>
  <si>
    <t>Měděné potrubí 22x1,0</t>
  </si>
  <si>
    <t>111-008</t>
  </si>
  <si>
    <t>Měděné potrubí 18x1,0</t>
  </si>
  <si>
    <t>111-009</t>
  </si>
  <si>
    <t>Měděné potrubí 15x1,0</t>
  </si>
  <si>
    <t>111-010</t>
  </si>
  <si>
    <r>
      <t>Měděné potrubí pro potrubí chladiva tepelných čerpadel Cu</t>
    </r>
    <r>
      <rPr>
        <sz val="9"/>
        <rFont val="Arial CE"/>
        <family val="2"/>
        <charset val="238"/>
      </rPr>
      <t xml:space="preserve"> </t>
    </r>
    <r>
      <rPr>
        <sz val="6"/>
        <rFont val="Arial"/>
      </rPr>
      <t>16x1 včetně izolace z pěnového kaučuku tl.13 mm + Al plech ve venkovním prostředí</t>
    </r>
  </si>
  <si>
    <t>111-011</t>
  </si>
  <si>
    <t>Plastová trubka s kyslíkovou bariérou 16x2, pro podlahové vytápění</t>
  </si>
  <si>
    <t>111-012</t>
  </si>
  <si>
    <t>Plastová trubka ohebná 20x2 (systém trubka v trubce), pro napojení topných registrů</t>
  </si>
  <si>
    <t>111-013</t>
  </si>
  <si>
    <t>Chránička pro plastové potrubí na vstupu a výstupu z rozdělovací sestavy podlahového vytápění</t>
  </si>
  <si>
    <t>111-014</t>
  </si>
  <si>
    <t>Systémová deska pro podlahové vytápění, rozteč 75 mm (s fólií)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</si>
  <si>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</si>
  <si>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111-015</t>
  </si>
  <si>
    <t>Okrajová dilatační páska 10x160 mm</t>
  </si>
  <si>
    <t>111-016</t>
  </si>
  <si>
    <t>111-017</t>
  </si>
  <si>
    <t>111-018</t>
  </si>
  <si>
    <t>Svěrné šroubení pro spojení OT a plastového potrubí – přechodka press - závit vnější ½“</t>
  </si>
  <si>
    <t>111-019</t>
  </si>
  <si>
    <t>Tepelná izolace na potrubí Cu 76x2,0, tl. izolace 50 mm - minerální vlna + Al polep</t>
  </si>
  <si>
    <t>111-020</t>
  </si>
  <si>
    <t>Tepelná izolace na potrubí Cu 64x2,0, tl. izolace 50 mm - minerální vlna + Al polep</t>
  </si>
  <si>
    <t>111-021</t>
  </si>
  <si>
    <t>Tepelná izolace na potrubí Cu 54x2,0, tl. izolace 50 mm - minerální vlna + Al polep</t>
  </si>
  <si>
    <t>111-022</t>
  </si>
  <si>
    <t>Tepelná izolace na potrubí Cu 42x1,5, tl. izolace 40 mm - minerální vlna + Al polep</t>
  </si>
  <si>
    <t>111-023</t>
  </si>
  <si>
    <t>Tepelná izolace na potrubí Cu 35x1,5, tl. izolace 40 mm - minerální vlna + Al polep</t>
  </si>
  <si>
    <t>111-024</t>
  </si>
  <si>
    <t>Tepelná izolace na potrubí Cu 28x1,0, tl. izolace 30 mm - minerální vlna + Al polep</t>
  </si>
  <si>
    <t>111-025</t>
  </si>
  <si>
    <t>Tepelná izolace na potrubí Cu 22x1,0, tl. izolace 30 mm - minerální vlna + Al polep</t>
  </si>
  <si>
    <t>111-026</t>
  </si>
  <si>
    <t>Tepelná izolace na potrubí Cu 18x1,0, tl. izolace 20 mm - pěnová navlékací</t>
  </si>
  <si>
    <t>111-027</t>
  </si>
  <si>
    <t>Tepelná izolace na potrubí Cu 15x1,0, tl. izolace 20 mm - pěnová navlékací</t>
  </si>
  <si>
    <t>111-028</t>
  </si>
  <si>
    <t>Chladivo R410A</t>
  </si>
  <si>
    <t>111-029</t>
  </si>
  <si>
    <t>Cu - kolena, redukce, T-kusy a další tvarovky příslušných dimenzí - přesný počet bude stanoven při montáži, odborný odhad tvarovek cca 40% z rovných dílů</t>
  </si>
  <si>
    <t>111-030</t>
  </si>
  <si>
    <t>Pomocný ocelový materiál pro uchycení potrubí – konzole, třmeny, objímky, nastřelovací šrouby, matice, hmoždinky, ostatní spojovací materiál atd. - přesný počet bude stanoven na stavbě při montáži – cca  400 kg</t>
  </si>
  <si>
    <t>111-031</t>
  </si>
  <si>
    <t>Jímka do potrubí pro snímače teploty – pouze montáž - počet bude stanoven profesí elektro</t>
  </si>
  <si>
    <t>111-032</t>
  </si>
  <si>
    <t>Popisné štítky na zařízení včetně šipek proudění</t>
  </si>
  <si>
    <t>DPH nízke</t>
  </si>
  <si>
    <t>DPH vysoké</t>
  </si>
  <si>
    <t>Celkem s DPH</t>
  </si>
  <si>
    <t>dodávka</t>
  </si>
  <si>
    <t>montáž</t>
  </si>
  <si>
    <t>celkem</t>
  </si>
  <si>
    <t>název akce: Vavřineč-Obecní dům</t>
  </si>
  <si>
    <t>objekt: elektroinstalace</t>
  </si>
  <si>
    <t>Rekapitulace ceny</t>
  </si>
  <si>
    <t>p.č.</t>
  </si>
  <si>
    <t>základ</t>
  </si>
  <si>
    <t>cena /Kč/</t>
  </si>
  <si>
    <t>dodávky zařízení</t>
  </si>
  <si>
    <t>doprava dodávek</t>
  </si>
  <si>
    <t>přesun dodávek</t>
  </si>
  <si>
    <t>materiál elektromontážní</t>
  </si>
  <si>
    <t>prořez</t>
  </si>
  <si>
    <t>materiál podružný</t>
  </si>
  <si>
    <t>materiál nátěrový</t>
  </si>
  <si>
    <t>elektromontáže</t>
  </si>
  <si>
    <t>zemní práce</t>
  </si>
  <si>
    <t>PPV pro elektromontáže</t>
  </si>
  <si>
    <t>PPV pro zemní práce</t>
  </si>
  <si>
    <t>dodávky celkem</t>
  </si>
  <si>
    <t>materiál+výkony celkem</t>
  </si>
  <si>
    <t>ostatní náklady</t>
  </si>
  <si>
    <t>NÁKLADY hl.III celkem</t>
  </si>
  <si>
    <t>zařízení staveniště</t>
  </si>
  <si>
    <t>PV/ rušení provozem investora</t>
  </si>
  <si>
    <t>NÁKLADY hl.VI celkem</t>
  </si>
  <si>
    <t>kompletační činnost dodavatele</t>
  </si>
  <si>
    <t>revize</t>
  </si>
  <si>
    <t>investorská činnost</t>
  </si>
  <si>
    <t>NÁKLADY hl.XI celkem</t>
  </si>
  <si>
    <t>projekty - skutečné provedení</t>
  </si>
  <si>
    <t>autorský dozor</t>
  </si>
  <si>
    <t>NÁKLADY hl.I celkem</t>
  </si>
  <si>
    <t>CENA bez DPH (Kč)</t>
  </si>
  <si>
    <t>dodávky</t>
  </si>
  <si>
    <t>montáže</t>
  </si>
  <si>
    <t>Soupis položek</t>
  </si>
  <si>
    <t>č.položky</t>
  </si>
  <si>
    <t>popis položky</t>
  </si>
  <si>
    <t>mj.</t>
  </si>
  <si>
    <t>množství</t>
  </si>
  <si>
    <t xml:space="preserve">cena/mj.     </t>
  </si>
  <si>
    <t>cena celkem</t>
  </si>
  <si>
    <t>Nh/mj.</t>
  </si>
  <si>
    <t>Nh celkem</t>
  </si>
  <si>
    <t>DPH</t>
  </si>
  <si>
    <t>VKP</t>
  </si>
  <si>
    <t>TC</t>
  </si>
  <si>
    <t>kap.</t>
  </si>
  <si>
    <t>Dodávky díla</t>
  </si>
  <si>
    <t>skupina A</t>
  </si>
  <si>
    <t>DD</t>
  </si>
  <si>
    <t>Prodejna</t>
  </si>
  <si>
    <t xml:space="preserve">                                        dílčí součet </t>
  </si>
  <si>
    <t>skupina B</t>
  </si>
  <si>
    <t>Obecní dům</t>
  </si>
  <si>
    <t>skupina C</t>
  </si>
  <si>
    <t>Společné prostory</t>
  </si>
  <si>
    <t>Z</t>
  </si>
  <si>
    <t>skupina D</t>
  </si>
  <si>
    <t>Byty</t>
  </si>
  <si>
    <t>skupina E</t>
  </si>
  <si>
    <t>E</t>
  </si>
  <si>
    <t>Hromosvod</t>
  </si>
  <si>
    <t>součet</t>
  </si>
  <si>
    <t>Dodávky zařízení</t>
  </si>
  <si>
    <t>plastový zapuštěný 2x12mod     ozn.R-1</t>
  </si>
  <si>
    <t>*</t>
  </si>
  <si>
    <t>DE</t>
  </si>
  <si>
    <t>elektroměrový rozvaděč OCEP    ozn.RE1</t>
  </si>
  <si>
    <t>plastový na úpovrch            ozn.R-01</t>
  </si>
  <si>
    <t>plastový zapuštěný 36mod.      ozn.R-2</t>
  </si>
  <si>
    <t>plastový zapuštěný 16mod.      ozn.R-3</t>
  </si>
  <si>
    <t>plastový zapuštěný 6mod.       ozn.R-4</t>
  </si>
  <si>
    <t>plastový zapuštěný 24mod.      ozn.R-5</t>
  </si>
  <si>
    <t>plastový                       ozn.R-spol</t>
  </si>
  <si>
    <t>plastový, zapuštěný 48mod      ozn.R-top</t>
  </si>
  <si>
    <t>plastový zapuštěný 36mod.      ozn.Rb-1.2</t>
  </si>
  <si>
    <t>svít BRS 4x12 LED 3000K kryt opál PCBN IP40 pr300</t>
  </si>
  <si>
    <t xml:space="preserve">LED  5200/840 </t>
  </si>
  <si>
    <t>LED 1.4.ft 6400/840</t>
  </si>
  <si>
    <t>LED 1.5.ft 8000/840</t>
  </si>
  <si>
    <t>LED 5880/840 PAR</t>
  </si>
  <si>
    <t>nouzové svítidlo LED</t>
  </si>
  <si>
    <t>Svítidlo LED 34W 600x600</t>
  </si>
  <si>
    <t>svítidlo průmyslové LED s difusorem 6400/840</t>
  </si>
  <si>
    <t>LED-3500-3K IP40  LED  2586lm  27W</t>
  </si>
  <si>
    <t>Materiál elektromontážní</t>
  </si>
  <si>
    <t>ME</t>
  </si>
  <si>
    <t>vodič CYY 4</t>
  </si>
  <si>
    <t>kabel CYKY 2x1,5</t>
  </si>
  <si>
    <t>kabel CYKY 3x1,5</t>
  </si>
  <si>
    <t>kabel CYKY 3x2,5</t>
  </si>
  <si>
    <t>kabel CYKY 5x1,5</t>
  </si>
  <si>
    <t>kabel CYKY 5x4</t>
  </si>
  <si>
    <t>krabice univerzální/přístrojová KU68-1901</t>
  </si>
  <si>
    <t>krabice univerz/rozvodka KU68-1903 vč.KO68 +S66</t>
  </si>
  <si>
    <t>spínač 10A/250Vstř Classic 3553-01289 řaz.1</t>
  </si>
  <si>
    <t>zásuvka 2násobná 16A/250V Classic 5512-2249</t>
  </si>
  <si>
    <t>kabel NYM-O 2x1,5</t>
  </si>
  <si>
    <t>kabel CYKY 5x2,5</t>
  </si>
  <si>
    <t>kabel CYKY 5x6</t>
  </si>
  <si>
    <t>přepínač 10A/250Vstř Classic 3553-05289 řaz.5</t>
  </si>
  <si>
    <t>přepínač 10A/250Vstř Classic 3553-06289 řaz.6</t>
  </si>
  <si>
    <t>přepínač 10A/250Vstř Classic 3553-07289 řaz.7</t>
  </si>
  <si>
    <t>strojek stmívač 700W/230Vstř 6599-0-2035 pro zářiv</t>
  </si>
  <si>
    <t>kryt stmívače 3294A-A123 otočné ovladání</t>
  </si>
  <si>
    <t>sporáková kombinace 400V/16A</t>
  </si>
  <si>
    <t>snímač pohybu  SL2400 0-250/300/1200W IP44 nástěn</t>
  </si>
  <si>
    <t>vodič CY 4  /H07V-U/</t>
  </si>
  <si>
    <t>vodič CY 6  /H07V-U/</t>
  </si>
  <si>
    <t>kabel CYKY 4x10</t>
  </si>
  <si>
    <t>krabicová rozvodka ACIDUR 6455-11</t>
  </si>
  <si>
    <t>spínač 10A/250Vstř 3553-01929 Praktik IP44 řaz.1</t>
  </si>
  <si>
    <t>2zásuvka 16A/250Vstř Praktik 5518-2029/IP44(plast)</t>
  </si>
  <si>
    <t>PIRsenzor 180* SL2400 0-250/300/1200W IP44 nástěn</t>
  </si>
  <si>
    <t>krabice univerzální/odbočná KU68-1902 vč.KO68</t>
  </si>
  <si>
    <t>Sporáková kombinace</t>
  </si>
  <si>
    <t>Ks</t>
  </si>
  <si>
    <t>tyč zemnící ZT2,0sv FeZn 2000/26mm vč.svorky SR3b</t>
  </si>
  <si>
    <t>ekvipotenciální svorkovnice EPS 3 bez krytu</t>
  </si>
  <si>
    <t>drát AlMgSi pr.8mm polotvrdý 0,135kg/m</t>
  </si>
  <si>
    <t>ochranný úhelník svodu OU délka 1,7m</t>
  </si>
  <si>
    <t>držák úhelníku DOUa 200mm FeZn středový do zdiva</t>
  </si>
  <si>
    <t>označovací štítek zemního svodu</t>
  </si>
  <si>
    <t>vedení FeZn 30/4 (0,96kg/m)</t>
  </si>
  <si>
    <t>Materiál další obory</t>
  </si>
  <si>
    <t>MN</t>
  </si>
  <si>
    <t>barva syntetická základní</t>
  </si>
  <si>
    <t>email syntetický vrchní šedý</t>
  </si>
  <si>
    <t>ředidlo S6006</t>
  </si>
  <si>
    <t>Elektromontáže</t>
  </si>
  <si>
    <t>rozvodnice do hmotnosti 50kg</t>
  </si>
  <si>
    <t>CE</t>
  </si>
  <si>
    <t>vodič Cu(-CY,CYA) pevně uložený do 1x35</t>
  </si>
  <si>
    <t>rozvodnice do hmotnosti 100kg</t>
  </si>
  <si>
    <t>rozvodnice do hmotnosti 20kg</t>
  </si>
  <si>
    <t>ochranná svorkovnice(nulový můstek)vč.zapoj.do 63A</t>
  </si>
  <si>
    <t>kabel(-CYKY) pevně uložený do 3x6/4x4/7x2,5</t>
  </si>
  <si>
    <t>kabel(-CYKY) pevně uložený do 5x6/7x4/12x1,5</t>
  </si>
  <si>
    <t>ukončení v rozvaděči vč.zapojení vodiče do 6mm2</t>
  </si>
  <si>
    <t>krabicová rozvodka vč.svorkovn.a zapojení(-KR68)</t>
  </si>
  <si>
    <t>spínač zapuštěný vč.zapojení 1pólový/řazení 1</t>
  </si>
  <si>
    <t>zásuvka domovní zapuštěná vč.zapojení</t>
  </si>
  <si>
    <t>svítidlo zářivkové bytové stropní/1 zdroj</t>
  </si>
  <si>
    <t>svítidlo žárovkové bytové stropní/více zdrojů</t>
  </si>
  <si>
    <t>přepínač zapuštěný vč.zapojení sériový/řazení 5-5A</t>
  </si>
  <si>
    <t>přepínač zapuštěný vč.zapojení střídavý/řazení 6</t>
  </si>
  <si>
    <t>přepínač zapuštěný vč.zapojení křížový/řazení 7</t>
  </si>
  <si>
    <t>spínač zapuštěný vč.zapojení s plynulou regulací</t>
  </si>
  <si>
    <t>spínač nástěnný od IP.2 vč.zapojení 1pólový/ř.1</t>
  </si>
  <si>
    <t>čídlo pohybu</t>
  </si>
  <si>
    <t>svítidlo LED orientační</t>
  </si>
  <si>
    <t>svítidlo LEDE stropní</t>
  </si>
  <si>
    <t>kabel(-CYKY) pevně ulož.do 5x10/12x4/19x2,5/24x1,5</t>
  </si>
  <si>
    <t>krabicová rozvodka vč.ukonč.a zapojení (-6455/11)</t>
  </si>
  <si>
    <t>zásuvka nástěnná od IP.2 vč.zapojení 2P+Z</t>
  </si>
  <si>
    <t>čidlo pohybu vč.zapojení</t>
  </si>
  <si>
    <t>svítidlo zářivkové bytové stropní/2 zdroje</t>
  </si>
  <si>
    <t>spínač vč.zapoj.do25A/5pól</t>
  </si>
  <si>
    <t>tyčový zemnič 2m vč.připojení</t>
  </si>
  <si>
    <t>svod vč.podpěr drát do pr.10mm</t>
  </si>
  <si>
    <t>ochranný úhelník nebo trubka/ držáky do zdiva</t>
  </si>
  <si>
    <t>označení svodu štítkem</t>
  </si>
  <si>
    <t>nátěr svodového vodiče</t>
  </si>
  <si>
    <t>uzemňov.vedení v zemi úplná mtž FeZn do 120mm2</t>
  </si>
  <si>
    <t>CZ</t>
  </si>
  <si>
    <t>výkop kabel.rýhy šířka 50/hloubka 50cm tz.3/ko1.2</t>
  </si>
  <si>
    <t>jáma úplná pro zemnící desku 2000x250x3 tz.3/ko1.2</t>
  </si>
  <si>
    <t>zához kabelové rýhy šířka 50/hloubka 50cm tz.3</t>
  </si>
  <si>
    <t>odvoz zeminy do 10km vč.poplatku za skládku</t>
  </si>
  <si>
    <t>betonová vozovka vrstva 5cm vč.materiálu</t>
  </si>
  <si>
    <t>obalovaná drť ABJII tl.10cm vč.materiálu</t>
  </si>
  <si>
    <t>Ostatní náklady</t>
  </si>
  <si>
    <t>ON</t>
  </si>
  <si>
    <t>poplatek za recyklaci svítidla přes 50cm</t>
  </si>
  <si>
    <t>Datum: 18.08.2022</t>
  </si>
  <si>
    <t xml:space="preserve">Vypracoval: </t>
  </si>
  <si>
    <t>označení rozvaděče: R-1</t>
  </si>
  <si>
    <t>popis rozvaděče: plastový zapuštěný 2x12mod</t>
  </si>
  <si>
    <t xml:space="preserve">Rekapitulace rozvaděče </t>
  </si>
  <si>
    <t>Materiál nosný</t>
  </si>
  <si>
    <t>podružný (%)</t>
  </si>
  <si>
    <t>Výroba rozvaděče (Nh)</t>
  </si>
  <si>
    <t>Cena za 1 ks</t>
  </si>
  <si>
    <t>počet (ks)</t>
  </si>
  <si>
    <t>popis rozvaděče: plastový</t>
  </si>
  <si>
    <t>cena/mj.</t>
  </si>
  <si>
    <t>Rozpis rozvaděče R-1</t>
  </si>
  <si>
    <t>skříň plast do63A 2x12M/330x442x90 IP30zapu VU24NE</t>
  </si>
  <si>
    <t>sběrnice hřebeno KB163A 1pól 12x10mm2 zubová</t>
  </si>
  <si>
    <t>ochranná přípojnice FeZn30/4</t>
  </si>
  <si>
    <t>vypínač páčkový 3pól SBN325 400V/25A na lištu</t>
  </si>
  <si>
    <t>jistič MBN110 1pól/ch.B/6kA/ 10A</t>
  </si>
  <si>
    <t>jistič MCN104 1pól/ch.C/6kA/ 4A</t>
  </si>
  <si>
    <t>chránič komb ADA916D 1P+N 6kA/16A/0,03A/charB typA</t>
  </si>
  <si>
    <t>označení rozvaděče: RE1</t>
  </si>
  <si>
    <t>popis rozvaděče: elektroměrový rozvaděč OCEP</t>
  </si>
  <si>
    <t>popis rozvaděče: elektromě</t>
  </si>
  <si>
    <t>Rozpis rozvaděče RE1</t>
  </si>
  <si>
    <t>rozvodnice OCEP DZ43-3503 zapu/IP43 3x35mod</t>
  </si>
  <si>
    <t xml:space="preserve">Rozpis rozvaděče </t>
  </si>
  <si>
    <t>710/550mm</t>
  </si>
  <si>
    <t>sběrnice hřebenová 404943 3pól 57x16mm2 zubová</t>
  </si>
  <si>
    <t>montážní přístrojový rošt s lištami</t>
  </si>
  <si>
    <t>jistič LTN-25B-3 3pól/ch.B/ 25A/10kA</t>
  </si>
  <si>
    <t>jistič LTN-32B-3 3pól/ch.B/ 32A/10kA</t>
  </si>
  <si>
    <t>jistič LTN-63B-3 3pól/ch.B/ 63A/10kA</t>
  </si>
  <si>
    <t>jistič 3pól BC160NT305-160-L 690V/25kA/160A</t>
  </si>
  <si>
    <t>spoušť na podpětí SP-BHD-X230</t>
  </si>
  <si>
    <t>označení rozvaděče: R-01</t>
  </si>
  <si>
    <t>popis rozvaděče: plastový na úpovrch</t>
  </si>
  <si>
    <t>Rozpis rozvaděče R-01</t>
  </si>
  <si>
    <t>skříň plast 3x12M/500x300x160mm/IP65 nást   VP36AE</t>
  </si>
  <si>
    <t>sběrnice hřebenová KDN363A 3pól 12x10mm2 vidlicová</t>
  </si>
  <si>
    <t>vypínač páčkový 3pól SBN363 400V/63A na lištu</t>
  </si>
  <si>
    <t>jistič NBN340 3pól/ch.B/10kA/ 40A</t>
  </si>
  <si>
    <t>chránič komb ADA516D 1P+N 10kA/16A/0,03A/chaB typA</t>
  </si>
  <si>
    <t>jistič NBN106 1pól/ch.B/10kA/ 6A</t>
  </si>
  <si>
    <t>jistič NBN110 1pól/ch.B/10kA/ 10A</t>
  </si>
  <si>
    <t>jistič NCN104 1pól/ch.C/10kA/ 4A</t>
  </si>
  <si>
    <t>označení rozvaděče: R-2</t>
  </si>
  <si>
    <t>popis rozvaděče: plastový zapuštěný 36mod.</t>
  </si>
  <si>
    <t>Rozpis rozvaděče R-2</t>
  </si>
  <si>
    <t>skříň plast do63A 4x12M/330x692x90 IP30zapu VU48NE</t>
  </si>
  <si>
    <t>jistič MBN106 1pól/ch.B/6kA/ 6A</t>
  </si>
  <si>
    <t>jistič NCN110 1pól/ch.C/10kA/ 10A</t>
  </si>
  <si>
    <t>jistič NBN316 3pól/ch.B/10kA/ 16A</t>
  </si>
  <si>
    <t>jistič NBN325 3pól/ch.B/10kA/ 25A</t>
  </si>
  <si>
    <t>chránič komb ADA910D 1P+N 6kA/10A/0,03A/charB typA</t>
  </si>
  <si>
    <t>označení rozvaděče: R-3</t>
  </si>
  <si>
    <t>popis rozvaděče: plastový zapuštěný 16mod.</t>
  </si>
  <si>
    <t>Rozpis rozvaděče R-3</t>
  </si>
  <si>
    <t>skříň plast do63A 3x12M/330x567x90 IP30zapu VU36NE</t>
  </si>
  <si>
    <t>jistič NBN320 3pól/ch.B/10kA/ 20A</t>
  </si>
  <si>
    <t>označení rozvaděče: R-4</t>
  </si>
  <si>
    <t>popis rozvaděče: plastový zapuštěný 6mod.</t>
  </si>
  <si>
    <t>Rozpis rozvaděče R-4</t>
  </si>
  <si>
    <t>skříň plast do63A 12M/330x317x90 IP30 zapu  VU12NE</t>
  </si>
  <si>
    <t>přístrojový zákryt plastový</t>
  </si>
  <si>
    <t>označení rozvaděče: R-5</t>
  </si>
  <si>
    <t>popis rozvaděče: plastový zapuštěný 24mod.</t>
  </si>
  <si>
    <t>Rozpis rozvaděče R-5</t>
  </si>
  <si>
    <t>vypínač páčkový 3pól SBN332 400V/32A na lištu</t>
  </si>
  <si>
    <t>jistič MBN316 3pól/ch.B/6kA/ 16A</t>
  </si>
  <si>
    <t>označení rozvaděče: R-spol</t>
  </si>
  <si>
    <t>Rozpis rozvaděče R-spol</t>
  </si>
  <si>
    <t>jistič MBN320 3pól/ch.B/6kA/ 20A</t>
  </si>
  <si>
    <t>jistič MBN332 3pól/ch.B/6kA/ 32A</t>
  </si>
  <si>
    <t>jistič MBN340 3pól/ch.B/6kA/ 40A</t>
  </si>
  <si>
    <t>označení rozvaděče: R-top</t>
  </si>
  <si>
    <t>popis rozvaděče: plastový, zapuštěný 48mod</t>
  </si>
  <si>
    <t>popis rozvaděče: plastový,</t>
  </si>
  <si>
    <t>Rozpis rozvaděče R-top</t>
  </si>
  <si>
    <t>skříň plast do63A 4x12M/IP41 zapu plnáDv   VF412PD</t>
  </si>
  <si>
    <t>jistič MBN310 3pól/ch.B/6kA/ 10A</t>
  </si>
  <si>
    <t>označení rozvaděče: Rb-1.2</t>
  </si>
  <si>
    <t>Rozpis rozvaděče Rb-1.2</t>
  </si>
  <si>
    <t>R O Z P O Č E T</t>
  </si>
  <si>
    <t>akce:</t>
  </si>
  <si>
    <t>Obecní dům Vavřineč - přestavba objektu č.p.9, Malý Újezd</t>
  </si>
  <si>
    <t>část:</t>
  </si>
  <si>
    <t>D.1.4.1   Měření a regulace</t>
  </si>
  <si>
    <t>vypracoval:</t>
  </si>
  <si>
    <t>Jan Honig</t>
  </si>
  <si>
    <t xml:space="preserve">Datum: </t>
  </si>
  <si>
    <t>Popis</t>
  </si>
  <si>
    <t>Dodávka celkem bez DPH</t>
  </si>
  <si>
    <t>Montáž celkem bez DPH</t>
  </si>
  <si>
    <t>Cena celkem bez DPH</t>
  </si>
  <si>
    <t>800-741+HZS+46-M</t>
  </si>
  <si>
    <t>elektroinstalace nn</t>
  </si>
  <si>
    <t>doprava osob a materiálu  /cca500km/</t>
  </si>
  <si>
    <t>zařízení staveniště z celkové ceny bez DPH</t>
  </si>
  <si>
    <t>celkem včetně DPH</t>
  </si>
  <si>
    <t>cenová úroveň - montážčrvenec ÚRS 2022-2</t>
  </si>
  <si>
    <t>cenová úroveň - materiál - červenec 2022 - základní cena velkoobchodu</t>
  </si>
  <si>
    <t>P o z n á m k a:</t>
  </si>
  <si>
    <t>Výkaz výměr, dodávek a prací není ani úplný, ani vyčerpávající. Je souhrnný, tzn. že poskytuje</t>
  </si>
  <si>
    <t xml:space="preserve">objednateli ucelený přehled o rozsahu a ceně dodávek a prací. Pokud zhotovitel shledá nezbytně </t>
  </si>
  <si>
    <t xml:space="preserve"> nutným doplnit další položky do souhrnného výkazu, pak lze tak učinit pouze se souhlasem </t>
  </si>
  <si>
    <t>zástupce objednatele a na tuto skutečnost pak zhotovitel upozorní.</t>
  </si>
  <si>
    <t>Nabídku lze odpovědně zpracovat pouze na základě kompletní dokumentace, tzn. ¨průvodní</t>
  </si>
  <si>
    <t>a souhrnné části dokumentace a příslušné textové, výkresové části a výkazů výměru.</t>
  </si>
  <si>
    <t>rozpočet</t>
  </si>
  <si>
    <t xml:space="preserve">          materiál</t>
  </si>
  <si>
    <t>pozice</t>
  </si>
  <si>
    <t>č.ceníku</t>
  </si>
  <si>
    <t>popis</t>
  </si>
  <si>
    <t xml:space="preserve">J.cena </t>
  </si>
  <si>
    <t>Cenová soustava</t>
  </si>
  <si>
    <t>zásuvky a příslušenství</t>
  </si>
  <si>
    <t>1.</t>
  </si>
  <si>
    <t>Zásuvka RJ 45, UTP, 1 modul cat. 6</t>
  </si>
  <si>
    <t>materiál</t>
  </si>
  <si>
    <t>2.</t>
  </si>
  <si>
    <t>Konektor RJ45 CAT6 UTP 8p8c nestíněný skládaný na drát</t>
  </si>
  <si>
    <t>kabely a vodiče</t>
  </si>
  <si>
    <t>3.</t>
  </si>
  <si>
    <t>Kabel pro vnitřní rozvody ve sdělovací technice, v telekomunikacích 2x2x0,5  /SYKFY, JYTY, J-Y(St)Y  /</t>
  </si>
  <si>
    <t>4.</t>
  </si>
  <si>
    <t>Nestíněný vnitřní kabel UTP cat 6</t>
  </si>
  <si>
    <t>5.</t>
  </si>
  <si>
    <t xml:space="preserve">Vodič HO7V-R 6 zž - PVC izolovaný jednožilový vodič pro vnitřní vedení </t>
  </si>
  <si>
    <t>Nadřazený řídící systém - předběžná cena</t>
  </si>
  <si>
    <t>6.</t>
  </si>
  <si>
    <t>R0001</t>
  </si>
  <si>
    <t>Řídící systém s procesní jednotkou, komunikačním modulem a IO moduly</t>
  </si>
  <si>
    <t>7.</t>
  </si>
  <si>
    <t>R0002</t>
  </si>
  <si>
    <t>Barevný dotykový displej, 3,5", komunikace BACnet MS/TP</t>
  </si>
  <si>
    <t>montážní materiál</t>
  </si>
  <si>
    <t>8.</t>
  </si>
  <si>
    <t>Elektroinstalační lišta PVC 20x10  včetně rohů a koncovek</t>
  </si>
  <si>
    <t>9.</t>
  </si>
  <si>
    <t>Elektroinstalační trubka ohebná PVC  průměr 23 mm - střední mechanické zatížení</t>
  </si>
  <si>
    <t>10.</t>
  </si>
  <si>
    <t>Silikonový tmel pro utěsnění prostupů</t>
  </si>
  <si>
    <t>11.</t>
  </si>
  <si>
    <t>Hmoždinky univerzální 10x60</t>
  </si>
  <si>
    <t>protipožární přepážky</t>
  </si>
  <si>
    <t>12.</t>
  </si>
  <si>
    <t>Požární prostupy stěnou</t>
  </si>
  <si>
    <t>13.</t>
  </si>
  <si>
    <t>Požární prostupy stropem</t>
  </si>
  <si>
    <t>ostatní</t>
  </si>
  <si>
    <t>14.</t>
  </si>
  <si>
    <t>R.0003</t>
  </si>
  <si>
    <t>Příplatek za použití silových oheň retardujících bezhalogenových kabelů s funkční schopností při požáru 180min a P60-R třídareakce na oheň B2cas1d0 jádro Cu 0,6/1kV (1-CXKH-V) v případě požadavků PO např. únikové cesty ( bez požárních podhlédů) včetně příslušných kabelových příchytek</t>
  </si>
  <si>
    <t>15.</t>
  </si>
  <si>
    <t>R.0004</t>
  </si>
  <si>
    <t>Materiál pro zednické práce</t>
  </si>
  <si>
    <t>16.</t>
  </si>
  <si>
    <t>Drobný jednicový materiál, jehož podíl na celkových materiálových nákladech je malý, a proto se nespecifikuje, jako: vývodky spojky vodičové do průžezu 16 mm2. sponky, příchytky, drát vázací a svařovací, spojovací materiál,nýty, elektrody…   5% z nosného materiálu</t>
  </si>
  <si>
    <t>rozšíření o propojení TOP - převod</t>
  </si>
  <si>
    <t>materiál celkem bez DPH</t>
  </si>
  <si>
    <t>Nádražní 400, Mariánské údolí, 78365 Hlubočky</t>
  </si>
  <si>
    <t xml:space="preserve">             montáž</t>
  </si>
  <si>
    <t>17.</t>
  </si>
  <si>
    <t>Montáž strukturované kabeláže zásuvek datových pod omítku, do nábytku, do parapetního žlabu nebo podlahové krabice 1 až 6 pozic</t>
  </si>
  <si>
    <t>CS ÚRS 2023 02</t>
  </si>
  <si>
    <t>18.</t>
  </si>
  <si>
    <t>Montáž strukturované kabeláže zásuvek datových popis portu zásuvky</t>
  </si>
  <si>
    <t>19.</t>
  </si>
  <si>
    <t>Montáž strukturované kabeláže měření segmentu metalického s vyhotovením protokolu</t>
  </si>
  <si>
    <t>20.</t>
  </si>
  <si>
    <t>Montáž kabelů měděných ovládacích bez ukončení uložených volně, stíněných ovládacích s plným jádrem (JYTY) počtu a průřezu žil 2 až 19x1 mm2</t>
  </si>
  <si>
    <t>21.</t>
  </si>
  <si>
    <t>Montáž kabelů sdělovacích pro vnitřní rozvody počtu žil do 15</t>
  </si>
  <si>
    <t>22.</t>
  </si>
  <si>
    <t>Montáž vodičů izolovaných měděných bez ukončení uložených pevně plných a laněných s PVC pláštěm, bezhalogenových, ohniodolných (např. CY, CHAH-V) průřezu žíly 0,55 až 16 mm2</t>
  </si>
  <si>
    <t>23.</t>
  </si>
  <si>
    <t>HZS.001</t>
  </si>
  <si>
    <t>Montáž řídícího systému včeně napojení vodičů a vyzkoušení</t>
  </si>
  <si>
    <t>HZS</t>
  </si>
  <si>
    <t>24.</t>
  </si>
  <si>
    <t>HZS.002</t>
  </si>
  <si>
    <t>Montáž barevného dotykového displej, 3,5", komunikace BACnet MS/TP, napojení, vyzkoušení</t>
  </si>
  <si>
    <t>25.</t>
  </si>
  <si>
    <t>R0003</t>
  </si>
  <si>
    <t>Datové body ( minimálně 26 ks)</t>
  </si>
  <si>
    <t>26.</t>
  </si>
  <si>
    <t>Montáž lišt a kanálků elektroinstalačních se spojkami, ohyby a rohy a s nasunutím do krabic vkládacích s víčkem, šířky do 60 mm</t>
  </si>
  <si>
    <t>27.</t>
  </si>
  <si>
    <t>Montáž trubek elektroinstalačních s nasunutím nebo našroubováním do krabic plastových ohebných, uložených pevně, vnější Ø přes 11 do 23 mm</t>
  </si>
  <si>
    <t>28.</t>
  </si>
  <si>
    <t>HZS.003</t>
  </si>
  <si>
    <t>Utěsnění prostupů silikonovým tmelem</t>
  </si>
  <si>
    <t>29.</t>
  </si>
  <si>
    <t xml:space="preserve">Osazení kotevních prvků  hmoždinek včetně vyvrtání otvorů, pro upevnění elektroinstalací ve stěnách cihelných, vnějšího průměru do 8 mm   </t>
  </si>
  <si>
    <t>30.</t>
  </si>
  <si>
    <t>Montáž a zhotovení ohnivzdorných konstrukcí pro elektrozařízení přepážek z desek nebo vyztužených omítek silikátových s výplní ve stěnovém průchodu, tl. do 150 mm</t>
  </si>
  <si>
    <t>31.</t>
  </si>
  <si>
    <t>Montáž a zhotovení ohnivzdorných konstrukcí pro elektrozařízení přepážek z desek nebo vyztužených omítek silikátových s výplní ve stropním průchodu, do 200 mm</t>
  </si>
  <si>
    <t>32.</t>
  </si>
  <si>
    <t>HZS.004</t>
  </si>
  <si>
    <t>33.</t>
  </si>
  <si>
    <t>HZS.005</t>
  </si>
  <si>
    <t>Montáž uzemnění VZT jednotek</t>
  </si>
  <si>
    <t>34.</t>
  </si>
  <si>
    <t>HZS.006</t>
  </si>
  <si>
    <t>Ukončení slaboproudých a silnoproudých kabelů se zapojením na svorkovnici v rozvaděči nebo na přístroji bez letování</t>
  </si>
  <si>
    <t>35.</t>
  </si>
  <si>
    <t>HZS.007</t>
  </si>
  <si>
    <t>Uvedení do provozu, zaškolení obsluhy, včetně řízení</t>
  </si>
  <si>
    <t>36.</t>
  </si>
  <si>
    <t>HZS.008</t>
  </si>
  <si>
    <t xml:space="preserve">Účast montéra elektro při zprovoznění regulace systému  </t>
  </si>
  <si>
    <t>37.</t>
  </si>
  <si>
    <t>HZS.009</t>
  </si>
  <si>
    <t>Práce nezahrnuté v cenících 21_M, 46 -M, PSV 800-741, PSV 800-742 a zapsané v montážním deníku a potvrzené investorem</t>
  </si>
  <si>
    <t>38.</t>
  </si>
  <si>
    <t>HZS.010</t>
  </si>
  <si>
    <t>Koordinace profesí</t>
  </si>
  <si>
    <t>39.</t>
  </si>
  <si>
    <t>HZS.011</t>
  </si>
  <si>
    <t>Autorský dozor</t>
  </si>
  <si>
    <t>40.</t>
  </si>
  <si>
    <t>Zkoušky a prohlídky elektrických rozvodů a zařízení celková prohlídka a vyhotovení revizní zprávy pro objem montážních prací do 100 tis.Kč</t>
  </si>
  <si>
    <t>CS ÚRS 2022 02</t>
  </si>
  <si>
    <t>41.</t>
  </si>
  <si>
    <t>HZS.12</t>
  </si>
  <si>
    <t>Zednické výpomoce, sekání drážek, průrazy včetně vyplnění rýh pro kabely a začištění</t>
  </si>
  <si>
    <t>42.</t>
  </si>
  <si>
    <t>HZS.13</t>
  </si>
  <si>
    <t>montáž celkem bez DPH</t>
  </si>
  <si>
    <t>vzejde z výběrového řízení</t>
  </si>
  <si>
    <t>Vyrovnání podlah, samonivel. hmota samonivelační  tl. 2mm</t>
  </si>
  <si>
    <t>Podlahová stěrka ext. systémová - vícesložková cca 3 mm</t>
  </si>
  <si>
    <t>Penetrace podkladu nátěrem  1 x vápenný pačok štukových omítek</t>
  </si>
  <si>
    <t>Malba  sádrokarton, barva, bez penetrace, 2x</t>
  </si>
  <si>
    <t>Fólie nopová  nopy min. 40 mm  zahradní - střechy tl. 1 mm 1,5 x 2 m perforovaná</t>
  </si>
  <si>
    <t>Fólie nopová nopy min. 40 mm  zahradní tl. 1 mm 1,5x2 m Protivlhkostní a drenážní fólie s nopy o výšce 40 mm s perforací</t>
  </si>
  <si>
    <t>Fólie  speciál podstřešní difúzně otevřená</t>
  </si>
  <si>
    <t>Deska cementotřísková lisovaná tl. 18 mm</t>
  </si>
  <si>
    <t>Vrut do dřevotřísky  částečný závit / zápustná hlava  4 x 60 mm</t>
  </si>
  <si>
    <t>Vrut do dřevotřísky  částečný závit / zápustná hlava 5 x 100 mm</t>
  </si>
  <si>
    <t>Vrut systémový do betonu turbo 7.5x372 mm</t>
  </si>
  <si>
    <t>Deska dřevoštěpková  OSB 3 broušená 4PD,  tl. 22 mm</t>
  </si>
  <si>
    <t>Okno střešní 2600/1000 ST 04;  U/gmax=0,55 W/m2/.K;  Uw &lt;0,84 manuál otvírání</t>
  </si>
  <si>
    <t>Okno střešní 2800/1000 ST 01; U/gmax=0,55 W/m2/.K;  Uw &lt;0,84;  + el. ovl nadsvetlíku</t>
  </si>
  <si>
    <t>Okno střešní 930/3000 ST 03; U/gmax=0,55 W/m2/.K;  Uw &lt;0,84; + el. otvíravé celek</t>
  </si>
  <si>
    <t>Osazení rámů okenních dřevo systémový profil  plocha do 4 m2</t>
  </si>
  <si>
    <t>Malta chem.2slož. náplň 380 ml-patrona</t>
  </si>
  <si>
    <t>Malta chem.2slož.  náplň 380 ml-patrona</t>
  </si>
  <si>
    <t>Vyrovnání podlah, samonivel. hmota   tl. 2mm</t>
  </si>
  <si>
    <t>Nátěr syntetický OK "A" základní,</t>
  </si>
  <si>
    <t>Nátěr tesařských konstrukcí  - fungicid, 2x</t>
  </si>
  <si>
    <t>Penetrace podkladu nátěrem   1 x vápenný pačok štukových omítek</t>
  </si>
  <si>
    <t>Malba   sádrokarton, barva, bez penetrace, 2x</t>
  </si>
  <si>
    <t>Izolace návleková expandovaná pěna  tl. stěny 6 mm vnitřní průměr 22 mm</t>
  </si>
  <si>
    <t>Izolace návleková expandovaná pěna  tl. stěny 6 mm vnitřní průměr 32 mm</t>
  </si>
  <si>
    <t>Izolace návleková expandovaná pěna  tl. stěny 6 mm vnitřní průměr 25 mm</t>
  </si>
  <si>
    <t>Izolace návleková expandovaná pěna  tl. stěny 6 mm vnitřní průměr 40 mm</t>
  </si>
  <si>
    <t>Izolace návleková expandovaná pěna  tl. stěny 6 mm vnitřní průměr 50 mm</t>
  </si>
  <si>
    <t>Izolace návleková expandovaná pěna  tl. stěny 20 mm vnitřní průměr 20 mm</t>
  </si>
  <si>
    <t>Izolace návleková expandovaná pěna  tl. stěny 20 mm vnitřní průměr 25 mm</t>
  </si>
  <si>
    <t>Izolace návleková expandovaná pěna  tl. stěny 20 mm vnitřní průměr 32 mm</t>
  </si>
  <si>
    <t>Izolace návleková expandovaná pěna  tl. stěny 20 mm vnitřní průměr 40 mm</t>
  </si>
  <si>
    <t>Domovní vodárny, bez potrubí,    35-2</t>
  </si>
  <si>
    <t>Splachovač WC  pro splach nádrž zazděnou do stěny</t>
  </si>
  <si>
    <t xml:space="preserve">Rám do sádrokartonu  </t>
  </si>
  <si>
    <t>Madlo dvojité pevné bílé s certifikátem pro použití ZTP dl. 564 mm</t>
  </si>
  <si>
    <t>Modul-umyvadlo s certifikátem pro použití  ZTP, h=112 cm</t>
  </si>
  <si>
    <t>Dodávka a montáž přečerpávací stanice - splaškové vody</t>
  </si>
  <si>
    <t>Elektrotvarovka - odbočka d160/63</t>
  </si>
  <si>
    <t>BUŇKOVÝ TLUMIČ HLUKU
s děrovaným plechem</t>
  </si>
  <si>
    <t>OHEBNÉ HADICE
DS25 
 /cena za 1 bm/</t>
  </si>
  <si>
    <t>BOX PRO ŠTĚRBINOVÉ STROPNÍ VYÚSŤ</t>
  </si>
  <si>
    <t>RP305--D1/0250-1000,   box pro pětištěrbinovou vyúsť RT 355-1000, boční napojení 250mm, klapka, montážní patky, délka 1m</t>
  </si>
  <si>
    <t xml:space="preserve">  BOXY</t>
  </si>
  <si>
    <t>box-OD8K160048-250PHR</t>
  </si>
  <si>
    <t>box pro OD-8/600/48 s regulací, horizontální napojení, pro přívod, 
napojení 250mm</t>
  </si>
  <si>
    <t>BUŇKOVÝ TLUMIČ HLUKU
s děrovaným plechem</t>
  </si>
  <si>
    <t>VYÚSTKA NASTAVITELNÁ VNM   015/01</t>
  </si>
  <si>
    <t>OHEBNÉ HADICE
DS25 /cena za 1 bm/</t>
  </si>
  <si>
    <t xml:space="preserve"> balení po 10 m</t>
  </si>
  <si>
    <t xml:space="preserve"> BOXY</t>
  </si>
  <si>
    <t xml:space="preserve"> OD8K160048-250PHR</t>
  </si>
  <si>
    <t xml:space="preserve"> box pro OD-8/600/48 s regulací, horizontální napojení, pro přívod,</t>
  </si>
  <si>
    <t xml:space="preserve"> OD8K160048-250OHR </t>
  </si>
  <si>
    <t xml:space="preserve"> box pro OD-8/600/48 s regulací, horizontální napojení, pro odvod,</t>
  </si>
  <si>
    <t>VYÚSTKA NASTAVITELNÁ   015/01</t>
  </si>
  <si>
    <t>KRUHOVÉ TLUMIČE HLUKU
 GLX</t>
  </si>
  <si>
    <t xml:space="preserve"> GLX-200-1,0 </t>
  </si>
  <si>
    <t xml:space="preserve"> GLX-200-0,5 </t>
  </si>
  <si>
    <t xml:space="preserve"> 2-625x85 </t>
  </si>
  <si>
    <t xml:space="preserve">2-625x85 </t>
  </si>
  <si>
    <t xml:space="preserve">1-625x85 </t>
  </si>
  <si>
    <t xml:space="preserve"> GLX-125-1,0 </t>
  </si>
  <si>
    <r>
      <t>Vyvažovací ventil STAD , závitový 1/2" K</t>
    </r>
    <r>
      <rPr>
        <vertAlign val="subscript"/>
        <sz val="10"/>
        <rFont val="Arial CE"/>
        <family val="2"/>
        <charset val="238"/>
      </rPr>
      <t>VS</t>
    </r>
    <r>
      <rPr>
        <sz val="6"/>
        <rFont val="Arial"/>
      </rPr>
      <t xml:space="preserve"> 2,56, s vypouštěním</t>
    </r>
  </si>
  <si>
    <t>Sestava VP – 10.cestný
- včetně uzavíracích a regulačních armatur s průtokoměry, odvzdušňovacích a vypouštěcích ventilů, teploměrů a držáků sestavy
- včetně skříně pro rozdělovače pod omítku P4 – klasik 1030x640x130 mm</t>
  </si>
  <si>
    <t>Sestava  VP – 7.cestný
- včetně uzavíracích a regulačních armatur s průtokoměry, odvzdušňovacích a vypouštěcích ventilů, teploměrů a držáků sestavy
- včetně skříně pro rozdělovače pod omítku P3 – klasik 1030x640x130 mm</t>
  </si>
  <si>
    <t>Šroubení svěrné pro AL  potrubí 16x2 Alu-EK</t>
  </si>
  <si>
    <t>Šroubení svěrné pro AL  potrubí 20x2 Alu-EK</t>
  </si>
  <si>
    <t>SESTAVA  stmívač 700W - 6599-0-2035</t>
  </si>
  <si>
    <t>rámeček pro 1 přístroj - 3901A-B10</t>
  </si>
  <si>
    <t xml:space="preserve"> 2xLED  E5 čtv600mm t-bílá zdr700mA st</t>
  </si>
  <si>
    <t>svít  4x12 LED 3000K kryt opál PCBN IP40 pr300</t>
  </si>
  <si>
    <t xml:space="preserve">  5200/840</t>
  </si>
  <si>
    <t>/skříň systémová/ svorkovnice PE/N 2x13 svorek   VZ521</t>
  </si>
  <si>
    <t>/skříň systémová/ dvířka průhledná  VZ134N</t>
  </si>
  <si>
    <t>/skříň systémová/  dvířka průhledná  VZ133N</t>
  </si>
  <si>
    <t>/skříň systémová/  dvířka průhledná  VZ131N</t>
  </si>
  <si>
    <t>/skříň systémová/  dvířka průhledná  VZ132N</t>
  </si>
  <si>
    <t>syst. dod. - rám + sklo bezpečnostní, otvírí automat-čidlo, při výpadku NN-autom. otevř+aretace</t>
  </si>
  <si>
    <t>Dveře vchodové dřevo systémový profil  posuvné 2265/2220 vsazené do plochy 4810/3030 izolační trojsklo Uw &lt;0.70; Ud&lt;0,82 viz specifIkace D1</t>
  </si>
  <si>
    <t>Dveře vchodové dřevo systémový profil  posuvné dvojité oboustranné 1300/3300 vsazené do plochy 5790/3430  izolační trojsklo Ud&lt;0,82 viz specifIkace D1 viz specifIkace D2</t>
  </si>
  <si>
    <t>Dveře vchod dřevo systémový profil  dvoukřídlé 2000/2630 vsazené do plochy 4985/2795 + boční nadsvětlík 5600/745 s ventilačku -  IT - Uw &lt;0.70; Ud&lt;0,82 viz spec. PS1</t>
  </si>
  <si>
    <t>Dveře vchodové dřevo systémový profil  dvoukřídlé 1600/2250 vsazené do plochy 2045+1400+2965/3015  izolační trojsklo Uw &lt;0.70; Ud&lt;0,82  viz specifIkace PS2</t>
  </si>
  <si>
    <t>pozice D9 - míst. 1.02 - východ ven západní stěna</t>
  </si>
  <si>
    <t>Dveře dřevo systémový profil  jednokřídlé 900/2250, plná výplň + fixní boční zaskení do plochy 1485/2970  izolační trojsklo Uw &lt;0.70; Ud&lt;0,82  viz specifikace D3</t>
  </si>
  <si>
    <t>Dveře dřevo systémový profil  jednokřídlé 900/2250, plná výplň + fixní boční zaskení do plochy 1440/2920  izolační trojsklo Uw &lt;0.70; Ud&lt;0,82  viz specifikace D4</t>
  </si>
  <si>
    <t>Dveře dřevo systémový profil  dvoukřídlé 1000+285/2150, plná výplň + nadsvětlík  fix + fixní boční zaskení do plochy 1500/2700 izolační trojsklo Uw &lt;0.70; Ud&lt;0,82  viz specifikace D5</t>
  </si>
  <si>
    <t>Okno dřevo systémový profil  - kruhové - D 3,10 m - FIX, izolační trojsklo Uw &lt;0,70 - pozice O1A</t>
  </si>
  <si>
    <t>Okno dřevo systémový profil  - 1270/830+2740/830 - do plochy 4260/830 - výklopné - ventilace - trojsklo Uw &lt;0,70 - pozice O2</t>
  </si>
  <si>
    <t>Okno dřevo systémový profil  - 1200/2160 - trojsklo Uw &lt;0,70 - pozice O3</t>
  </si>
  <si>
    <t>Okno dřevo systémový profil  - 960/710+2340/710fix+960/710 - do plochy 4760/710 - výklopné - ventilace (2x) - trojsklo Uw &lt;0,70 - pozice O4</t>
  </si>
  <si>
    <t>Dveře balkonové dřevo systémový profil  1000 x 2305mm vzazené do plochy 2800 x 2460 + doční zaskelní fix - Uw &lt;0.70; Ud&lt;0,82 viz specifIkace D6</t>
  </si>
  <si>
    <t>Dveře balkonové dřevo systémový profil  1000 x 2305 mm - Uw  &lt; 0,70</t>
  </si>
  <si>
    <t>Okno dřevo systémový profil  - kruhové - D 2460 mm - FIX, izolační trojsklo Uw &lt;0,70 - pozice O1B</t>
  </si>
  <si>
    <t>O1A</t>
  </si>
  <si>
    <t>Předokenní roleta - roleta s potiskem el. pohon + ovládání</t>
  </si>
  <si>
    <t>Předokenní roleta - plechový kastlík + AL vodící lišty 22/20 mm - délka kastlíku 3300 mm</t>
  </si>
  <si>
    <t>pozice okna O1A</t>
  </si>
  <si>
    <t xml:space="preserve">pozice O1A - 3300/3300 - pojezd v čtvercovém rámu v TI před kruhovým oknem </t>
  </si>
  <si>
    <t>Dveře vchodové dřevo systémový profil  jednokřídlé 1100(900)/2150, plné izolační trojsklo Ud &lt;0,71 viz specifikace D8</t>
  </si>
  <si>
    <t>pozice D8 - míst. 1.03 - východ ven západní stěna</t>
  </si>
  <si>
    <t>Dveře vchodové dřevo systémový profil  dvoukřídlé 1400(900+300)/2250, plné izolační trojsklo Ud &lt;0,71 viz specifikace D9</t>
  </si>
  <si>
    <t xml:space="preserve">způsobilé výdaje 100% - pro snížení energetické náročnosti </t>
  </si>
  <si>
    <t xml:space="preserve">způsobilé výdaje 100% - mimo snížení energetické náročnosti </t>
  </si>
  <si>
    <t>nezpůsobilé výdaje 100% - položka nebo několik položek</t>
  </si>
  <si>
    <t xml:space="preserve">skupina obsahuje jen položky se 100% nezpůsobilými výdaji </t>
  </si>
  <si>
    <t>oddíl obsahuje způsobilé i nezpůsobilé výdaje - nutno upravit/rozdělit souhrnnou cenu oddílu</t>
  </si>
  <si>
    <t xml:space="preserve">způsobilé výdaje 100% - smíšené: ke snížení i mimo snížení energetické náročnosti </t>
  </si>
  <si>
    <t>Tyw:z celkového rozpočtu je 33,5 mil. Kč asi ZPŮSOBILÝCH výdajů-energetických.  Z nich je asi 3 mil.Kč na neenergetické způs. úpravy. Z celku způsobilých musí být energetické 90% a 10% neenergeticé způs. výdaje.</t>
  </si>
  <si>
    <t>Dotace max. může být 24 485 500 Kč bez DPH. DPH je nezpůsobilé! Položka může být i 100% dotována. Tzn. na jistotu musíme mít 24,5 mil. Kč bez DPH ve způsobilých výdajích, i kdyby nám něco neuznali.</t>
  </si>
  <si>
    <t>směs způs.výdajů - energ i neenerg.</t>
  </si>
  <si>
    <t>směs NEZpůsob. i ZPůs.výdajů - energ i neenerg.</t>
  </si>
  <si>
    <t>NEZpůsob. Výdaje 100%</t>
  </si>
  <si>
    <t>ZPůsob. výdaje 100% - neenergetické</t>
  </si>
  <si>
    <t>ZPůsob. výdaje 100% - Energetické</t>
  </si>
  <si>
    <t>Pomocné výpočty - způsobilé/nezpůsobilé výdaje</t>
  </si>
  <si>
    <t>způsobilé 100%</t>
  </si>
  <si>
    <t>SNÍŽENÍ EN</t>
  </si>
  <si>
    <t>MIMO SNÍŽENÍ EN</t>
  </si>
  <si>
    <t>SMÍŠENÉ EN</t>
  </si>
  <si>
    <t>nezpůsobilé 100%</t>
  </si>
  <si>
    <t>POLOŽKA</t>
  </si>
  <si>
    <t>SKUPINA</t>
  </si>
  <si>
    <t>SMÍŠENÉ</t>
  </si>
  <si>
    <t xml:space="preserve"> zpsobilé a nezpůsobilé</t>
  </si>
  <si>
    <t>URČI CENU ZA PŘESUN Kč/kg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</si>
</sst>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00"/>
    <numFmt numFmtId="165" formatCode="#,##0.00000"/>
    <numFmt numFmtId="166" formatCode="###\ ###\ ###\ ##0.00"/>
    <numFmt numFmtId="167" formatCode="#\ ###\ ##0;#\ ###\ ##0;"/>
    <numFmt numFmtId="168" formatCode="##\ ###\ ##0;##\ ###\ ##0;"/>
    <numFmt numFmtId="169" formatCode="000000000"/>
    <numFmt numFmtId="170" formatCode="#\ ###\ ###"/>
    <numFmt numFmtId="171" formatCode="0.000;0.000;"/>
    <numFmt numFmtId="172" formatCode="0.00;0.00;"/>
    <numFmt numFmtId="173" formatCode="#\ ###\ ##0.00"/>
    <numFmt numFmtId="174" formatCode="#\ ###\ ##0"/>
    <numFmt numFmtId="175" formatCode="#,##0.0&quot; Kč&quot;"/>
    <numFmt numFmtId="176" formatCode="#,##0.0\ &quot;Kč&quot;"/>
    <numFmt numFmtId="177" formatCode="#,##0.00\ &quot;Kč&quot;"/>
    <numFmt numFmtId="178" formatCode="0.0"/>
  </numFmts>
  <fonts count="61">
    <font>
      <sz val="6"/>
      <name val="Arial"/>
    </font>
    <font>
      <sz val="11"/>
      <name val="Arial"/>
    </font>
    <font>
      <sz val="11"/>
      <name val="Calibri"/>
    </font>
    <font>
      <sz val="10"/>
      <color rgb="FF0000FF"/>
      <name val="Arial"/>
      <charset val="238"/>
    </font>
    <font>
      <sz val="12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i/>
      <sz val="10"/>
      <color rgb="FF008000"/>
      <name val="Arial"/>
      <charset val="238"/>
    </font>
    <font>
      <b/>
      <sz val="12"/>
      <color rgb="FF000000"/>
      <name val="Arial"/>
      <charset val="238"/>
    </font>
    <font>
      <i/>
      <sz val="10"/>
      <color rgb="FF8000FF"/>
      <name val="Arial"/>
      <charset val="238"/>
    </font>
    <font>
      <b/>
      <sz val="20"/>
      <color rgb="FF000000"/>
      <name val="Arial"/>
      <charset val="238"/>
    </font>
    <font>
      <sz val="18"/>
      <color rgb="FF000000"/>
      <name val="Arial"/>
      <charset val="238"/>
    </font>
    <font>
      <i/>
      <sz val="8"/>
      <color rgb="FF000000"/>
      <name val="Arial"/>
      <charset val="238"/>
    </font>
    <font>
      <b/>
      <sz val="11"/>
      <color rgb="FF000000"/>
      <name val="Arial"/>
      <charset val="238"/>
    </font>
    <font>
      <b/>
      <sz val="18"/>
      <color rgb="FF000000"/>
      <name val="Arial"/>
      <charset val="238"/>
    </font>
    <font>
      <sz val="11"/>
      <color theme="1"/>
      <name val="Calibri"/>
      <family val="2"/>
      <charset val="238"/>
      <scheme val="minor"/>
    </font>
    <font>
      <sz val="7"/>
      <color rgb="FF000000"/>
      <name val="敓潧⁥䥕蘀宺꺠˅☸¸_x0008_"/>
      <charset val="238"/>
    </font>
    <font>
      <b/>
      <sz val="9"/>
      <color rgb="FF000000"/>
      <name val="敓潧⁥䥕蘀宺꺠˅☸¸_x0008_"/>
      <charset val="238"/>
    </font>
    <font>
      <b/>
      <sz val="8"/>
      <color rgb="FF000000"/>
      <name val="敓潧⁥䥕蘀宺꺠˅☸¸_x0008_"/>
      <charset val="238"/>
    </font>
    <font>
      <b/>
      <sz val="7"/>
      <color rgb="FF000000"/>
      <name val="敓潧⁥䥕蘀宺꺠˅☸¸_x0008_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 CE"/>
      <charset val="238"/>
    </font>
    <font>
      <b/>
      <sz val="10"/>
      <color indexed="18"/>
      <name val="Arial CE"/>
      <charset val="238"/>
    </font>
    <font>
      <b/>
      <sz val="10"/>
      <color indexed="9"/>
      <name val="Arial CE"/>
      <charset val="238"/>
    </font>
    <font>
      <b/>
      <sz val="10"/>
      <name val="Arial CE"/>
      <charset val="238"/>
    </font>
    <font>
      <sz val="10"/>
      <color indexed="9"/>
      <name val="Arial CE"/>
      <charset val="238"/>
    </font>
    <font>
      <b/>
      <sz val="10"/>
      <color indexed="9"/>
      <name val="Arial"/>
      <family val="2"/>
      <charset val="238"/>
    </font>
    <font>
      <b/>
      <sz val="10"/>
      <color indexed="13"/>
      <name val="Arial"/>
      <family val="2"/>
      <charset val="238"/>
    </font>
    <font>
      <sz val="10"/>
      <color indexed="18"/>
      <name val="Arial"/>
      <family val="2"/>
      <charset val="238"/>
    </font>
    <font>
      <vertAlign val="superscript"/>
      <sz val="10"/>
      <name val="Arial CE"/>
      <charset val="238"/>
    </font>
    <font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9"/>
      <name val="Arial CE"/>
      <family val="2"/>
      <charset val="238"/>
    </font>
    <font>
      <vertAlign val="superscript"/>
      <sz val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12"/>
      <color theme="1"/>
      <name val="Times New Roman CE"/>
      <charset val="238"/>
    </font>
    <font>
      <b/>
      <sz val="12"/>
      <color theme="1"/>
      <name val="Times New Roman CE"/>
      <charset val="238"/>
    </font>
    <font>
      <sz val="11"/>
      <color theme="1"/>
      <name val="Times New Roman CE"/>
      <charset val="238"/>
    </font>
    <font>
      <b/>
      <sz val="16"/>
      <color theme="1"/>
      <name val="Times New Roman CE"/>
      <charset val="238"/>
    </font>
    <font>
      <b/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ahoma"/>
      <family val="2"/>
      <charset val="238"/>
    </font>
    <font>
      <sz val="10"/>
      <color rgb="FF000000"/>
      <name val="Arial"/>
      <family val="2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i/>
      <sz val="11"/>
      <color rgb="FFFF33CC"/>
      <name val="Calibri"/>
      <family val="2"/>
      <charset val="238"/>
    </font>
    <font>
      <b/>
      <sz val="10"/>
      <color rgb="FFFF33CC"/>
      <name val="Arial"/>
      <family val="2"/>
      <charset val="238"/>
    </font>
    <font>
      <sz val="11"/>
      <color rgb="FFFF33CC"/>
      <name val="Calibri"/>
      <family val="2"/>
      <charset val="238"/>
    </font>
    <font>
      <sz val="11"/>
      <color rgb="FFFF66CC"/>
      <name val="Calibri"/>
      <family val="2"/>
      <charset val="238"/>
    </font>
    <font>
      <b/>
      <sz val="16"/>
      <name val="Calibri"/>
      <family val="2"/>
      <charset val="238"/>
    </font>
    <font>
      <strike/>
      <sz val="11"/>
      <color theme="1"/>
      <name val="Times New Roman CE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rgb="FFC0C0C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9"/>
      </patternFill>
    </fill>
    <fill>
      <patternFill patternType="solid">
        <fgColor rgb="FFF0F0F0"/>
        <bgColor rgb="FF000000"/>
      </patternFill>
    </fill>
    <fill>
      <patternFill patternType="solid">
        <fgColor rgb="FFE0FEE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EAFF"/>
        <bgColor rgb="FF000000"/>
      </patternFill>
    </fill>
    <fill>
      <patternFill patternType="solid">
        <fgColor rgb="FFBFEB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indexed="18"/>
      </patternFill>
    </fill>
    <fill>
      <patternFill patternType="solid">
        <fgColor indexed="21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9"/>
      </patternFill>
    </fill>
    <fill>
      <patternFill patternType="solid">
        <fgColor rgb="FFFF33CC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9"/>
      </patternFill>
    </fill>
    <fill>
      <patternFill patternType="solid">
        <fgColor rgb="FF66FF33"/>
        <bgColor indexed="64"/>
      </patternFill>
    </fill>
    <fill>
      <patternFill patternType="solid">
        <fgColor rgb="FF66FF33"/>
        <bgColor indexed="9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C0C0C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hair">
        <color indexed="64"/>
      </right>
      <top style="hair">
        <color indexed="64"/>
      </top>
      <bottom style="hair">
        <color indexed="9"/>
      </bottom>
      <diagonal/>
    </border>
    <border>
      <left/>
      <right/>
      <top style="hair">
        <color indexed="64"/>
      </top>
      <bottom style="hair">
        <color indexed="9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rgb="FF969696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 applyNumberFormat="0" applyFont="0" applyFill="0" applyBorder="0" applyAlignment="0" applyProtection="0"/>
    <xf numFmtId="0" fontId="22" fillId="0" borderId="0"/>
    <xf numFmtId="0" fontId="15" fillId="0" borderId="0"/>
    <xf numFmtId="0" fontId="48" fillId="0" borderId="0"/>
    <xf numFmtId="0" fontId="31" fillId="0" borderId="0"/>
    <xf numFmtId="0" fontId="45" fillId="0" borderId="0" applyProtection="0"/>
    <xf numFmtId="0" fontId="45" fillId="0" borderId="0" applyProtection="0"/>
    <xf numFmtId="0" fontId="45" fillId="0" borderId="0" applyProtection="0"/>
    <xf numFmtId="0" fontId="45" fillId="0" borderId="0" applyProtection="0"/>
  </cellStyleXfs>
  <cellXfs count="758">
    <xf numFmtId="0" fontId="2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>
      <alignment horizontal="lef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4" fontId="7" fillId="0" borderId="5" xfId="0" applyNumberFormat="1" applyFont="1" applyFill="1" applyBorder="1" applyAlignment="1" applyProtection="1">
      <alignment horizontal="right" vertical="center"/>
    </xf>
    <xf numFmtId="0" fontId="6" fillId="3" borderId="3" xfId="0" applyNumberFormat="1" applyFont="1" applyFill="1" applyBorder="1" applyAlignment="1" applyProtection="1">
      <alignment horizontal="righ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righ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4" fontId="7" fillId="5" borderId="0" xfId="0" applyNumberFormat="1" applyFont="1" applyFill="1" applyBorder="1" applyAlignment="1" applyProtection="1">
      <alignment horizontal="right" vertical="center"/>
    </xf>
    <xf numFmtId="0" fontId="1" fillId="5" borderId="1" xfId="0" applyNumberFormat="1" applyFont="1" applyFill="1" applyBorder="1" applyAlignment="1" applyProtection="1"/>
    <xf numFmtId="4" fontId="6" fillId="3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7" fillId="0" borderId="5" xfId="0" applyNumberFormat="1" applyFont="1" applyFill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horizontal="right" vertical="center"/>
    </xf>
    <xf numFmtId="0" fontId="9" fillId="5" borderId="0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6" fillId="4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6" fillId="0" borderId="12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6" fillId="0" borderId="18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10" fillId="4" borderId="19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 vertical="center"/>
    </xf>
    <xf numFmtId="0" fontId="5" fillId="0" borderId="3" xfId="0" applyNumberFormat="1" applyFont="1" applyFill="1" applyBorder="1" applyAlignment="1" applyProtection="1">
      <alignment horizontal="right" vertical="center"/>
    </xf>
    <xf numFmtId="0" fontId="5" fillId="4" borderId="8" xfId="0" applyNumberFormat="1" applyFont="1" applyFill="1" applyBorder="1" applyAlignment="1" applyProtection="1">
      <alignment horizontal="left" vertical="center"/>
    </xf>
    <xf numFmtId="4" fontId="4" fillId="0" borderId="21" xfId="0" applyNumberFormat="1" applyFont="1" applyFill="1" applyBorder="1" applyAlignment="1" applyProtection="1">
      <alignment horizontal="right"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1" fillId="2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4" fontId="7" fillId="2" borderId="0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right" vertical="center"/>
    </xf>
    <xf numFmtId="0" fontId="6" fillId="6" borderId="0" xfId="0" applyNumberFormat="1" applyFont="1" applyFill="1" applyBorder="1" applyAlignment="1" applyProtection="1">
      <alignment horizontal="right" vertical="center"/>
    </xf>
    <xf numFmtId="0" fontId="3" fillId="2" borderId="22" xfId="0" applyNumberFormat="1" applyFont="1" applyFill="1" applyBorder="1" applyAlignment="1" applyProtection="1">
      <alignment horizontal="right" vertical="center"/>
    </xf>
    <xf numFmtId="0" fontId="1" fillId="5" borderId="0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left" vertical="center"/>
    </xf>
    <xf numFmtId="0" fontId="5" fillId="6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right" vertical="center"/>
    </xf>
    <xf numFmtId="4" fontId="5" fillId="0" borderId="5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5" fillId="0" borderId="25" xfId="0" applyNumberFormat="1" applyFont="1" applyFill="1" applyBorder="1" applyAlignment="1" applyProtection="1">
      <alignment horizontal="left" vertical="center"/>
    </xf>
    <xf numFmtId="0" fontId="6" fillId="6" borderId="22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0" fontId="5" fillId="5" borderId="22" xfId="0" applyNumberFormat="1" applyFont="1" applyFill="1" applyBorder="1" applyAlignment="1" applyProtection="1">
      <alignment horizontal="right" vertical="center"/>
    </xf>
    <xf numFmtId="0" fontId="5" fillId="0" borderId="21" xfId="0" applyNumberFormat="1" applyFont="1" applyFill="1" applyBorder="1" applyAlignment="1" applyProtection="1">
      <alignment horizontal="left" vertical="center"/>
    </xf>
    <xf numFmtId="4" fontId="5" fillId="0" borderId="21" xfId="0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horizontal="right" vertical="center"/>
    </xf>
    <xf numFmtId="0" fontId="5" fillId="0" borderId="26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center" vertical="center"/>
    </xf>
    <xf numFmtId="0" fontId="5" fillId="5" borderId="1" xfId="0" applyNumberFormat="1" applyFont="1" applyFill="1" applyBorder="1" applyAlignment="1" applyProtection="1">
      <alignment horizontal="lef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5" fillId="6" borderId="1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6" fillId="0" borderId="2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right" vertical="center"/>
    </xf>
    <xf numFmtId="0" fontId="4" fillId="0" borderId="21" xfId="0" applyNumberFormat="1" applyFont="1" applyFill="1" applyBorder="1" applyAlignment="1" applyProtection="1">
      <alignment horizontal="right" vertical="center"/>
    </xf>
    <xf numFmtId="4" fontId="4" fillId="0" borderId="29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8" fillId="0" borderId="31" xfId="0" applyNumberFormat="1" applyFont="1" applyFill="1" applyBorder="1" applyAlignment="1" applyProtection="1">
      <alignment horizontal="left" vertical="center"/>
    </xf>
    <xf numFmtId="4" fontId="6" fillId="6" borderId="0" xfId="0" applyNumberFormat="1" applyFont="1" applyFill="1" applyBorder="1" applyAlignment="1" applyProtection="1">
      <alignment horizontal="right" vertical="center"/>
    </xf>
    <xf numFmtId="0" fontId="5" fillId="3" borderId="0" xfId="0" applyNumberFormat="1" applyFont="1" applyFill="1" applyBorder="1" applyAlignment="1" applyProtection="1">
      <alignment horizontal="left" vertical="center"/>
    </xf>
    <xf numFmtId="0" fontId="8" fillId="0" borderId="33" xfId="0" applyNumberFormat="1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4" fontId="8" fillId="4" borderId="21" xfId="0" applyNumberFormat="1" applyFont="1" applyFill="1" applyBorder="1" applyAlignment="1" applyProtection="1">
      <alignment horizontal="right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1" fillId="5" borderId="22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>
      <alignment horizontal="right" vertical="center"/>
    </xf>
    <xf numFmtId="4" fontId="6" fillId="0" borderId="12" xfId="0" applyNumberFormat="1" applyFont="1" applyFill="1" applyBorder="1" applyAlignment="1" applyProtection="1">
      <alignment horizontal="right" vertical="center"/>
    </xf>
    <xf numFmtId="4" fontId="5" fillId="5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2" fillId="0" borderId="32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5" fillId="0" borderId="32" xfId="0" applyNumberFormat="1" applyFont="1" applyFill="1" applyBorder="1" applyAlignment="1" applyProtection="1">
      <alignment horizontal="left" vertical="center"/>
    </xf>
    <xf numFmtId="4" fontId="8" fillId="4" borderId="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6" fillId="0" borderId="36" xfId="0" applyNumberFormat="1" applyFont="1" applyFill="1" applyBorder="1" applyAlignment="1" applyProtection="1">
      <alignment horizontal="left" vertical="center"/>
    </xf>
    <xf numFmtId="0" fontId="10" fillId="4" borderId="2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/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1" fillId="2" borderId="22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7" fillId="5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wrapText="1"/>
    </xf>
    <xf numFmtId="0" fontId="16" fillId="7" borderId="37" xfId="0" applyFont="1" applyFill="1" applyBorder="1" applyAlignment="1">
      <alignment horizontal="left"/>
    </xf>
    <xf numFmtId="4" fontId="16" fillId="7" borderId="37" xfId="0" applyNumberFormat="1" applyFont="1" applyFill="1" applyBorder="1" applyAlignment="1">
      <alignment horizontal="left"/>
    </xf>
    <xf numFmtId="0" fontId="18" fillId="8" borderId="37" xfId="0" applyFont="1" applyFill="1" applyBorder="1" applyAlignment="1">
      <alignment horizontal="left"/>
    </xf>
    <xf numFmtId="4" fontId="18" fillId="8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/>
    </xf>
    <xf numFmtId="4" fontId="16" fillId="9" borderId="37" xfId="0" applyNumberFormat="1" applyFont="1" applyFill="1" applyBorder="1" applyAlignment="1">
      <alignment horizontal="right"/>
    </xf>
    <xf numFmtId="0" fontId="19" fillId="10" borderId="37" xfId="0" applyFont="1" applyFill="1" applyBorder="1" applyAlignment="1">
      <alignment horizontal="left"/>
    </xf>
    <xf numFmtId="4" fontId="19" fillId="10" borderId="37" xfId="0" applyNumberFormat="1" applyFont="1" applyFill="1" applyBorder="1" applyAlignment="1">
      <alignment horizontal="right"/>
    </xf>
    <xf numFmtId="0" fontId="16" fillId="9" borderId="37" xfId="0" applyFont="1" applyFill="1" applyBorder="1" applyAlignment="1">
      <alignment horizontal="left" wrapText="1"/>
    </xf>
    <xf numFmtId="0" fontId="17" fillId="11" borderId="37" xfId="0" applyFont="1" applyFill="1" applyBorder="1" applyAlignment="1">
      <alignment horizontal="left"/>
    </xf>
    <xf numFmtId="4" fontId="17" fillId="11" borderId="37" xfId="0" applyNumberFormat="1" applyFont="1" applyFill="1" applyBorder="1" applyAlignment="1">
      <alignment horizontal="right"/>
    </xf>
    <xf numFmtId="49" fontId="18" fillId="8" borderId="37" xfId="0" applyNumberFormat="1" applyFont="1" applyFill="1" applyBorder="1" applyAlignment="1">
      <alignment horizontal="center"/>
    </xf>
    <xf numFmtId="49" fontId="18" fillId="8" borderId="37" xfId="0" applyNumberFormat="1" applyFont="1" applyFill="1" applyBorder="1" applyAlignment="1">
      <alignment horizontal="center" wrapText="1"/>
    </xf>
    <xf numFmtId="0" fontId="20" fillId="0" borderId="0" xfId="0" applyFont="1" applyFill="1" applyBorder="1"/>
    <xf numFmtId="4" fontId="20" fillId="0" borderId="0" xfId="0" applyNumberFormat="1" applyFont="1" applyFill="1" applyBorder="1"/>
    <xf numFmtId="0" fontId="20" fillId="12" borderId="0" xfId="0" applyFont="1" applyFill="1" applyBorder="1"/>
    <xf numFmtId="4" fontId="20" fillId="12" borderId="0" xfId="0" applyNumberFormat="1" applyFont="1" applyFill="1" applyBorder="1"/>
    <xf numFmtId="0" fontId="21" fillId="12" borderId="0" xfId="0" applyFont="1" applyFill="1" applyBorder="1"/>
    <xf numFmtId="4" fontId="21" fillId="12" borderId="0" xfId="0" applyNumberFormat="1" applyFont="1" applyFill="1" applyBorder="1"/>
    <xf numFmtId="0" fontId="23" fillId="0" borderId="0" xfId="1" applyFont="1" applyAlignment="1">
      <alignment vertical="center"/>
    </xf>
    <xf numFmtId="0" fontId="22" fillId="0" borderId="0" xfId="1" applyAlignment="1">
      <alignment vertical="center"/>
    </xf>
    <xf numFmtId="4" fontId="22" fillId="0" borderId="0" xfId="1" applyNumberFormat="1" applyAlignment="1">
      <alignment vertical="center"/>
    </xf>
    <xf numFmtId="0" fontId="22" fillId="0" borderId="0" xfId="1"/>
    <xf numFmtId="3" fontId="22" fillId="0" borderId="0" xfId="1" applyNumberFormat="1" applyAlignment="1">
      <alignment horizontal="left" vertical="center"/>
    </xf>
    <xf numFmtId="0" fontId="24" fillId="13" borderId="38" xfId="1" applyFont="1" applyFill="1" applyBorder="1" applyAlignment="1">
      <alignment horizontal="centerContinuous" vertical="center"/>
    </xf>
    <xf numFmtId="0" fontId="25" fillId="13" borderId="39" xfId="1" applyFont="1" applyFill="1" applyBorder="1" applyAlignment="1">
      <alignment horizontal="centerContinuous" vertical="center"/>
    </xf>
    <xf numFmtId="0" fontId="24" fillId="13" borderId="40" xfId="1" applyFont="1" applyFill="1" applyBorder="1" applyAlignment="1">
      <alignment horizontal="centerContinuous" vertical="center"/>
    </xf>
    <xf numFmtId="0" fontId="26" fillId="13" borderId="39" xfId="1" applyFont="1" applyFill="1" applyBorder="1" applyAlignment="1">
      <alignment horizontal="centerContinuous" vertical="center"/>
    </xf>
    <xf numFmtId="49" fontId="27" fillId="14" borderId="41" xfId="1" applyNumberFormat="1" applyFont="1" applyFill="1" applyBorder="1" applyAlignment="1">
      <alignment horizontal="center" vertical="center"/>
    </xf>
    <xf numFmtId="164" fontId="27" fillId="14" borderId="41" xfId="1" applyNumberFormat="1" applyFont="1" applyFill="1" applyBorder="1" applyAlignment="1">
      <alignment horizontal="center" vertical="center"/>
    </xf>
    <xf numFmtId="9" fontId="27" fillId="14" borderId="42" xfId="1" applyNumberFormat="1" applyFont="1" applyFill="1" applyBorder="1" applyAlignment="1">
      <alignment horizontal="center" vertical="center"/>
    </xf>
    <xf numFmtId="4" fontId="28" fillId="14" borderId="41" xfId="1" applyNumberFormat="1" applyFont="1" applyFill="1" applyBorder="1" applyAlignment="1">
      <alignment horizontal="center" vertical="center"/>
    </xf>
    <xf numFmtId="165" fontId="27" fillId="14" borderId="41" xfId="1" applyNumberFormat="1" applyFon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horizontal="center" vertical="center"/>
    </xf>
    <xf numFmtId="49" fontId="22" fillId="15" borderId="43" xfId="1" applyNumberFormat="1" applyFill="1" applyBorder="1" applyAlignment="1">
      <alignment vertical="center"/>
    </xf>
    <xf numFmtId="49" fontId="25" fillId="15" borderId="43" xfId="1" applyNumberFormat="1" applyFont="1" applyFill="1" applyBorder="1" applyAlignment="1">
      <alignment vertical="center"/>
    </xf>
    <xf numFmtId="164" fontId="22" fillId="15" borderId="43" xfId="1" applyNumberFormat="1" applyFill="1" applyBorder="1" applyAlignment="1">
      <alignment vertical="center"/>
    </xf>
    <xf numFmtId="4" fontId="22" fillId="15" borderId="43" xfId="1" applyNumberFormat="1" applyFill="1" applyBorder="1" applyAlignment="1">
      <alignment vertical="center"/>
    </xf>
    <xf numFmtId="4" fontId="29" fillId="15" borderId="43" xfId="1" applyNumberFormat="1" applyFont="1" applyFill="1" applyBorder="1" applyAlignment="1">
      <alignment vertical="center"/>
    </xf>
    <xf numFmtId="165" fontId="22" fillId="15" borderId="43" xfId="1" applyNumberFormat="1" applyFill="1" applyBorder="1" applyAlignment="1">
      <alignment vertical="center"/>
    </xf>
    <xf numFmtId="49" fontId="22" fillId="0" borderId="43" xfId="1" applyNumberFormat="1" applyBorder="1" applyAlignment="1">
      <alignment horizontal="center" vertical="center"/>
    </xf>
    <xf numFmtId="49" fontId="22" fillId="0" borderId="43" xfId="1" applyNumberFormat="1" applyBorder="1" applyAlignment="1">
      <alignment vertical="center"/>
    </xf>
    <xf numFmtId="164" fontId="22" fillId="0" borderId="43" xfId="1" applyNumberFormat="1" applyBorder="1" applyAlignment="1">
      <alignment vertical="center"/>
    </xf>
    <xf numFmtId="4" fontId="22" fillId="16" borderId="43" xfId="1" applyNumberFormat="1" applyFill="1" applyBorder="1" applyAlignment="1" applyProtection="1">
      <alignment vertical="center"/>
      <protection locked="0"/>
    </xf>
    <xf numFmtId="4" fontId="29" fillId="0" borderId="43" xfId="1" applyNumberFormat="1" applyFont="1" applyBorder="1" applyAlignment="1">
      <alignment vertical="center"/>
    </xf>
    <xf numFmtId="4" fontId="22" fillId="0" borderId="43" xfId="1" applyNumberFormat="1" applyBorder="1" applyAlignment="1">
      <alignment vertical="center"/>
    </xf>
    <xf numFmtId="49" fontId="22" fillId="16" borderId="43" xfId="1" applyNumberFormat="1" applyFill="1" applyBorder="1" applyAlignment="1" applyProtection="1">
      <alignment vertical="center"/>
      <protection locked="0"/>
    </xf>
    <xf numFmtId="49" fontId="22" fillId="0" borderId="43" xfId="1" applyNumberFormat="1" applyBorder="1" applyAlignment="1">
      <alignment vertical="center" wrapText="1"/>
    </xf>
    <xf numFmtId="0" fontId="31" fillId="0" borderId="43" xfId="1" applyFont="1" applyBorder="1" applyAlignment="1">
      <alignment vertical="center" wrapText="1"/>
    </xf>
    <xf numFmtId="49" fontId="31" fillId="0" borderId="43" xfId="1" applyNumberFormat="1" applyFont="1" applyBorder="1" applyAlignment="1">
      <alignment vertical="center" wrapText="1"/>
    </xf>
    <xf numFmtId="0" fontId="35" fillId="0" borderId="0" xfId="1" applyFont="1"/>
    <xf numFmtId="9" fontId="35" fillId="0" borderId="0" xfId="1" applyNumberFormat="1" applyFont="1"/>
    <xf numFmtId="166" fontId="35" fillId="0" borderId="0" xfId="1" applyNumberFormat="1" applyFont="1"/>
    <xf numFmtId="4" fontId="22" fillId="0" borderId="0" xfId="1" applyNumberFormat="1"/>
    <xf numFmtId="0" fontId="36" fillId="0" borderId="0" xfId="1" applyFont="1"/>
    <xf numFmtId="9" fontId="36" fillId="0" borderId="0" xfId="1" applyNumberFormat="1" applyFont="1"/>
    <xf numFmtId="166" fontId="36" fillId="0" borderId="0" xfId="1" applyNumberFormat="1" applyFont="1"/>
    <xf numFmtId="0" fontId="22" fillId="5" borderId="44" xfId="1" applyFill="1" applyBorder="1"/>
    <xf numFmtId="4" fontId="22" fillId="5" borderId="44" xfId="1" applyNumberFormat="1" applyFill="1" applyBorder="1"/>
    <xf numFmtId="0" fontId="25" fillId="5" borderId="44" xfId="1" applyFont="1" applyFill="1" applyBorder="1"/>
    <xf numFmtId="4" fontId="25" fillId="5" borderId="44" xfId="1" applyNumberFormat="1" applyFont="1" applyFill="1" applyBorder="1"/>
    <xf numFmtId="0" fontId="37" fillId="0" borderId="0" xfId="2" applyFont="1"/>
    <xf numFmtId="0" fontId="38" fillId="0" borderId="0" xfId="2" quotePrefix="1" applyFont="1"/>
    <xf numFmtId="2" fontId="37" fillId="0" borderId="0" xfId="2" applyNumberFormat="1" applyFont="1"/>
    <xf numFmtId="167" fontId="37" fillId="0" borderId="0" xfId="2" applyNumberFormat="1" applyFont="1"/>
    <xf numFmtId="168" fontId="37" fillId="0" borderId="0" xfId="2" applyNumberFormat="1" applyFont="1"/>
    <xf numFmtId="0" fontId="39" fillId="0" borderId="0" xfId="2" applyFont="1"/>
    <xf numFmtId="0" fontId="40" fillId="17" borderId="45" xfId="2" applyFont="1" applyFill="1" applyBorder="1" applyAlignment="1">
      <alignment vertical="center"/>
    </xf>
    <xf numFmtId="0" fontId="40" fillId="17" borderId="46" xfId="2" applyFont="1" applyFill="1" applyBorder="1" applyAlignment="1">
      <alignment vertical="center"/>
    </xf>
    <xf numFmtId="2" fontId="40" fillId="17" borderId="46" xfId="2" applyNumberFormat="1" applyFont="1" applyFill="1" applyBorder="1" applyAlignment="1">
      <alignment vertical="center"/>
    </xf>
    <xf numFmtId="167" fontId="40" fillId="17" borderId="46" xfId="2" applyNumberFormat="1" applyFont="1" applyFill="1" applyBorder="1" applyAlignment="1">
      <alignment vertical="center"/>
    </xf>
    <xf numFmtId="168" fontId="40" fillId="17" borderId="47" xfId="2" applyNumberFormat="1" applyFont="1" applyFill="1" applyBorder="1" applyAlignment="1">
      <alignment vertical="center"/>
    </xf>
    <xf numFmtId="0" fontId="40" fillId="0" borderId="0" xfId="2" applyFont="1" applyAlignment="1">
      <alignment vertical="center"/>
    </xf>
    <xf numFmtId="0" fontId="37" fillId="0" borderId="48" xfId="2" applyFont="1" applyBorder="1" applyAlignment="1">
      <alignment horizontal="right"/>
    </xf>
    <xf numFmtId="0" fontId="37" fillId="0" borderId="49" xfId="2" applyFont="1" applyBorder="1" applyAlignment="1">
      <alignment horizontal="right"/>
    </xf>
    <xf numFmtId="2" fontId="37" fillId="0" borderId="49" xfId="2" applyNumberFormat="1" applyFont="1" applyBorder="1" applyAlignment="1">
      <alignment horizontal="right"/>
    </xf>
    <xf numFmtId="167" fontId="37" fillId="0" borderId="49" xfId="2" applyNumberFormat="1" applyFont="1" applyBorder="1" applyAlignment="1">
      <alignment horizontal="right"/>
    </xf>
    <xf numFmtId="168" fontId="37" fillId="0" borderId="50" xfId="2" applyNumberFormat="1" applyFont="1" applyBorder="1" applyAlignment="1">
      <alignment horizontal="right"/>
    </xf>
    <xf numFmtId="0" fontId="37" fillId="0" borderId="51" xfId="2" applyFont="1" applyBorder="1"/>
    <xf numFmtId="49" fontId="37" fillId="0" borderId="52" xfId="2" applyNumberFormat="1" applyFont="1" applyBorder="1"/>
    <xf numFmtId="2" fontId="37" fillId="0" borderId="43" xfId="2" applyNumberFormat="1" applyFont="1" applyBorder="1"/>
    <xf numFmtId="167" fontId="37" fillId="0" borderId="43" xfId="2" applyNumberFormat="1" applyFont="1" applyBorder="1"/>
    <xf numFmtId="168" fontId="37" fillId="0" borderId="53" xfId="2" applyNumberFormat="1" applyFont="1" applyBorder="1"/>
    <xf numFmtId="168" fontId="39" fillId="0" borderId="0" xfId="2" applyNumberFormat="1" applyFont="1"/>
    <xf numFmtId="0" fontId="37" fillId="0" borderId="54" xfId="2" applyFont="1" applyBorder="1"/>
    <xf numFmtId="49" fontId="37" fillId="0" borderId="55" xfId="2" applyNumberFormat="1" applyFont="1" applyBorder="1"/>
    <xf numFmtId="2" fontId="37" fillId="0" borderId="56" xfId="2" applyNumberFormat="1" applyFont="1" applyBorder="1"/>
    <xf numFmtId="167" fontId="37" fillId="0" borderId="56" xfId="2" applyNumberFormat="1" applyFont="1" applyBorder="1"/>
    <xf numFmtId="168" fontId="37" fillId="0" borderId="57" xfId="2" applyNumberFormat="1" applyFont="1" applyBorder="1"/>
    <xf numFmtId="0" fontId="37" fillId="17" borderId="45" xfId="2" applyFont="1" applyFill="1" applyBorder="1"/>
    <xf numFmtId="49" fontId="37" fillId="17" borderId="46" xfId="2" applyNumberFormat="1" applyFont="1" applyFill="1" applyBorder="1"/>
    <xf numFmtId="2" fontId="37" fillId="17" borderId="46" xfId="2" applyNumberFormat="1" applyFont="1" applyFill="1" applyBorder="1"/>
    <xf numFmtId="167" fontId="37" fillId="17" borderId="46" xfId="2" applyNumberFormat="1" applyFont="1" applyFill="1" applyBorder="1"/>
    <xf numFmtId="168" fontId="37" fillId="17" borderId="47" xfId="2" applyNumberFormat="1" applyFont="1" applyFill="1" applyBorder="1"/>
    <xf numFmtId="0" fontId="37" fillId="0" borderId="58" xfId="2" applyFont="1" applyBorder="1"/>
    <xf numFmtId="49" fontId="37" fillId="0" borderId="59" xfId="2" applyNumberFormat="1" applyFont="1" applyBorder="1"/>
    <xf numFmtId="2" fontId="37" fillId="0" borderId="60" xfId="2" applyNumberFormat="1" applyFont="1" applyBorder="1"/>
    <xf numFmtId="167" fontId="37" fillId="0" borderId="60" xfId="2" applyNumberFormat="1" applyFont="1" applyBorder="1"/>
    <xf numFmtId="168" fontId="37" fillId="0" borderId="61" xfId="2" applyNumberFormat="1" applyFont="1" applyBorder="1"/>
    <xf numFmtId="0" fontId="38" fillId="0" borderId="62" xfId="2" applyFont="1" applyBorder="1"/>
    <xf numFmtId="49" fontId="38" fillId="0" borderId="63" xfId="2" applyNumberFormat="1" applyFont="1" applyBorder="1"/>
    <xf numFmtId="2" fontId="38" fillId="0" borderId="64" xfId="2" applyNumberFormat="1" applyFont="1" applyBorder="1"/>
    <xf numFmtId="167" fontId="38" fillId="0" borderId="64" xfId="2" applyNumberFormat="1" applyFont="1" applyBorder="1"/>
    <xf numFmtId="168" fontId="38" fillId="0" borderId="65" xfId="2" applyNumberFormat="1" applyFont="1" applyBorder="1"/>
    <xf numFmtId="0" fontId="37" fillId="5" borderId="44" xfId="2" applyFont="1" applyFill="1" applyBorder="1"/>
    <xf numFmtId="168" fontId="37" fillId="5" borderId="44" xfId="2" applyNumberFormat="1" applyFont="1" applyFill="1" applyBorder="1"/>
    <xf numFmtId="0" fontId="38" fillId="5" borderId="44" xfId="2" applyFont="1" applyFill="1" applyBorder="1"/>
    <xf numFmtId="168" fontId="38" fillId="5" borderId="44" xfId="2" applyNumberFormat="1" applyFont="1" applyFill="1" applyBorder="1"/>
    <xf numFmtId="2" fontId="39" fillId="0" borderId="0" xfId="2" applyNumberFormat="1" applyFont="1"/>
    <xf numFmtId="167" fontId="39" fillId="0" borderId="0" xfId="2" applyNumberFormat="1" applyFont="1"/>
    <xf numFmtId="0" fontId="38" fillId="0" borderId="0" xfId="2" applyFont="1"/>
    <xf numFmtId="0" fontId="38" fillId="0" borderId="0" xfId="2" applyFont="1" applyAlignment="1">
      <alignment horizontal="center"/>
    </xf>
    <xf numFmtId="0" fontId="40" fillId="17" borderId="0" xfId="2" applyFont="1" applyFill="1" applyAlignment="1">
      <alignment vertical="center"/>
    </xf>
    <xf numFmtId="0" fontId="40" fillId="17" borderId="0" xfId="2" applyFont="1" applyFill="1" applyAlignment="1">
      <alignment horizontal="center" vertical="center"/>
    </xf>
    <xf numFmtId="0" fontId="39" fillId="0" borderId="48" xfId="2" applyFont="1" applyBorder="1"/>
    <xf numFmtId="169" fontId="39" fillId="0" borderId="49" xfId="2" applyNumberFormat="1" applyFont="1" applyBorder="1"/>
    <xf numFmtId="0" fontId="39" fillId="0" borderId="49" xfId="2" applyFont="1" applyBorder="1"/>
    <xf numFmtId="2" fontId="39" fillId="0" borderId="49" xfId="2" applyNumberFormat="1" applyFont="1" applyBorder="1"/>
    <xf numFmtId="170" fontId="39" fillId="0" borderId="49" xfId="2" applyNumberFormat="1" applyFont="1" applyBorder="1"/>
    <xf numFmtId="171" fontId="39" fillId="0" borderId="49" xfId="2" applyNumberFormat="1" applyFont="1" applyBorder="1"/>
    <xf numFmtId="172" fontId="39" fillId="0" borderId="50" xfId="2" applyNumberFormat="1" applyFont="1" applyBorder="1"/>
    <xf numFmtId="0" fontId="39" fillId="0" borderId="49" xfId="2" applyFont="1" applyBorder="1" applyAlignment="1">
      <alignment horizontal="center"/>
    </xf>
    <xf numFmtId="0" fontId="38" fillId="0" borderId="66" xfId="2" applyFont="1" applyBorder="1"/>
    <xf numFmtId="169" fontId="38" fillId="0" borderId="0" xfId="2" applyNumberFormat="1" applyFont="1"/>
    <xf numFmtId="2" fontId="38" fillId="0" borderId="0" xfId="2" applyNumberFormat="1" applyFont="1"/>
    <xf numFmtId="170" fontId="38" fillId="0" borderId="0" xfId="2" applyNumberFormat="1" applyFont="1"/>
    <xf numFmtId="171" fontId="38" fillId="0" borderId="0" xfId="2" applyNumberFormat="1" applyFont="1"/>
    <xf numFmtId="172" fontId="38" fillId="0" borderId="67" xfId="2" applyNumberFormat="1" applyFont="1" applyBorder="1"/>
    <xf numFmtId="0" fontId="39" fillId="0" borderId="51" xfId="2" applyFont="1" applyBorder="1"/>
    <xf numFmtId="169" fontId="39" fillId="0" borderId="43" xfId="2" applyNumberFormat="1" applyFont="1" applyBorder="1"/>
    <xf numFmtId="0" fontId="41" fillId="0" borderId="43" xfId="2" applyFont="1" applyBorder="1"/>
    <xf numFmtId="0" fontId="39" fillId="0" borderId="43" xfId="2" applyFont="1" applyBorder="1"/>
    <xf numFmtId="2" fontId="39" fillId="0" borderId="43" xfId="2" applyNumberFormat="1" applyFont="1" applyBorder="1"/>
    <xf numFmtId="170" fontId="39" fillId="0" borderId="43" xfId="2" applyNumberFormat="1" applyFont="1" applyBorder="1"/>
    <xf numFmtId="171" fontId="39" fillId="0" borderId="43" xfId="2" applyNumberFormat="1" applyFont="1" applyBorder="1"/>
    <xf numFmtId="172" fontId="39" fillId="0" borderId="53" xfId="2" applyNumberFormat="1" applyFont="1" applyBorder="1"/>
    <xf numFmtId="0" fontId="39" fillId="0" borderId="43" xfId="2" applyFont="1" applyBorder="1" applyAlignment="1">
      <alignment horizontal="center"/>
    </xf>
    <xf numFmtId="49" fontId="39" fillId="0" borderId="43" xfId="2" applyNumberFormat="1" applyFont="1" applyBorder="1"/>
    <xf numFmtId="49" fontId="39" fillId="0" borderId="43" xfId="2" applyNumberFormat="1" applyFont="1" applyBorder="1" applyAlignment="1">
      <alignment horizontal="center"/>
    </xf>
    <xf numFmtId="49" fontId="39" fillId="0" borderId="0" xfId="2" applyNumberFormat="1" applyFont="1"/>
    <xf numFmtId="49" fontId="41" fillId="0" borderId="43" xfId="2" applyNumberFormat="1" applyFont="1" applyBorder="1"/>
    <xf numFmtId="2" fontId="41" fillId="0" borderId="43" xfId="2" applyNumberFormat="1" applyFont="1" applyBorder="1"/>
    <xf numFmtId="0" fontId="39" fillId="0" borderId="62" xfId="2" applyFont="1" applyBorder="1"/>
    <xf numFmtId="169" fontId="39" fillId="0" borderId="64" xfId="2" applyNumberFormat="1" applyFont="1" applyBorder="1"/>
    <xf numFmtId="49" fontId="41" fillId="0" borderId="64" xfId="2" applyNumberFormat="1" applyFont="1" applyBorder="1"/>
    <xf numFmtId="0" fontId="39" fillId="0" borderId="64" xfId="2" applyFont="1" applyBorder="1"/>
    <xf numFmtId="2" fontId="39" fillId="0" borderId="64" xfId="2" applyNumberFormat="1" applyFont="1" applyBorder="1"/>
    <xf numFmtId="2" fontId="41" fillId="0" borderId="64" xfId="2" applyNumberFormat="1" applyFont="1" applyBorder="1"/>
    <xf numFmtId="170" fontId="39" fillId="0" borderId="64" xfId="2" applyNumberFormat="1" applyFont="1" applyBorder="1"/>
    <xf numFmtId="171" fontId="39" fillId="0" borderId="64" xfId="2" applyNumberFormat="1" applyFont="1" applyBorder="1"/>
    <xf numFmtId="172" fontId="39" fillId="0" borderId="68" xfId="2" applyNumberFormat="1" applyFont="1" applyBorder="1"/>
    <xf numFmtId="49" fontId="39" fillId="0" borderId="64" xfId="2" applyNumberFormat="1" applyFont="1" applyBorder="1" applyAlignment="1">
      <alignment horizontal="center"/>
    </xf>
    <xf numFmtId="0" fontId="41" fillId="17" borderId="66" xfId="2" applyFont="1" applyFill="1" applyBorder="1"/>
    <xf numFmtId="169" fontId="41" fillId="17" borderId="0" xfId="2" applyNumberFormat="1" applyFont="1" applyFill="1"/>
    <xf numFmtId="49" fontId="41" fillId="17" borderId="0" xfId="2" applyNumberFormat="1" applyFont="1" applyFill="1"/>
    <xf numFmtId="0" fontId="41" fillId="17" borderId="0" xfId="2" applyFont="1" applyFill="1"/>
    <xf numFmtId="2" fontId="41" fillId="17" borderId="0" xfId="2" applyNumberFormat="1" applyFont="1" applyFill="1"/>
    <xf numFmtId="170" fontId="41" fillId="17" borderId="0" xfId="2" applyNumberFormat="1" applyFont="1" applyFill="1"/>
    <xf numFmtId="171" fontId="41" fillId="17" borderId="0" xfId="2" applyNumberFormat="1" applyFont="1" applyFill="1"/>
    <xf numFmtId="172" fontId="41" fillId="17" borderId="67" xfId="2" applyNumberFormat="1" applyFont="1" applyFill="1" applyBorder="1"/>
    <xf numFmtId="49" fontId="41" fillId="17" borderId="0" xfId="2" applyNumberFormat="1" applyFont="1" applyFill="1" applyAlignment="1">
      <alignment horizontal="center"/>
    </xf>
    <xf numFmtId="0" fontId="41" fillId="0" borderId="0" xfId="2" applyFont="1"/>
    <xf numFmtId="49" fontId="41" fillId="0" borderId="0" xfId="2" applyNumberFormat="1" applyFont="1"/>
    <xf numFmtId="0" fontId="38" fillId="0" borderId="69" xfId="2" applyFont="1" applyBorder="1"/>
    <xf numFmtId="169" fontId="38" fillId="0" borderId="59" xfId="2" applyNumberFormat="1" applyFont="1" applyBorder="1"/>
    <xf numFmtId="49" fontId="38" fillId="0" borderId="59" xfId="2" applyNumberFormat="1" applyFont="1" applyBorder="1"/>
    <xf numFmtId="0" fontId="38" fillId="0" borderId="59" xfId="2" applyFont="1" applyBorder="1"/>
    <xf numFmtId="2" fontId="38" fillId="0" borderId="59" xfId="2" applyNumberFormat="1" applyFont="1" applyBorder="1"/>
    <xf numFmtId="170" fontId="38" fillId="0" borderId="59" xfId="2" applyNumberFormat="1" applyFont="1" applyBorder="1"/>
    <xf numFmtId="171" fontId="38" fillId="0" borderId="59" xfId="2" applyNumberFormat="1" applyFont="1" applyBorder="1"/>
    <xf numFmtId="172" fontId="38" fillId="0" borderId="70" xfId="2" applyNumberFormat="1" applyFont="1" applyBorder="1"/>
    <xf numFmtId="49" fontId="38" fillId="0" borderId="59" xfId="2" applyNumberFormat="1" applyFont="1" applyBorder="1" applyAlignment="1">
      <alignment horizontal="center"/>
    </xf>
    <xf numFmtId="49" fontId="38" fillId="0" borderId="0" xfId="2" applyNumberFormat="1" applyFont="1"/>
    <xf numFmtId="49" fontId="39" fillId="0" borderId="64" xfId="2" applyNumberFormat="1" applyFont="1" applyBorder="1"/>
    <xf numFmtId="0" fontId="41" fillId="17" borderId="71" xfId="2" applyFont="1" applyFill="1" applyBorder="1"/>
    <xf numFmtId="169" fontId="41" fillId="17" borderId="72" xfId="2" applyNumberFormat="1" applyFont="1" applyFill="1" applyBorder="1"/>
    <xf numFmtId="0" fontId="41" fillId="17" borderId="72" xfId="2" applyFont="1" applyFill="1" applyBorder="1"/>
    <xf numFmtId="2" fontId="41" fillId="17" borderId="72" xfId="2" applyNumberFormat="1" applyFont="1" applyFill="1" applyBorder="1"/>
    <xf numFmtId="170" fontId="41" fillId="17" borderId="72" xfId="2" applyNumberFormat="1" applyFont="1" applyFill="1" applyBorder="1"/>
    <xf numFmtId="171" fontId="41" fillId="17" borderId="72" xfId="2" applyNumberFormat="1" applyFont="1" applyFill="1" applyBorder="1"/>
    <xf numFmtId="172" fontId="41" fillId="17" borderId="73" xfId="2" applyNumberFormat="1" applyFont="1" applyFill="1" applyBorder="1"/>
    <xf numFmtId="0" fontId="41" fillId="17" borderId="0" xfId="2" applyFont="1" applyFill="1" applyAlignment="1">
      <alignment horizontal="center"/>
    </xf>
    <xf numFmtId="169" fontId="39" fillId="0" borderId="0" xfId="2" applyNumberFormat="1" applyFont="1"/>
    <xf numFmtId="170" fontId="39" fillId="0" borderId="0" xfId="2" applyNumberFormat="1" applyFont="1"/>
    <xf numFmtId="171" fontId="39" fillId="0" borderId="0" xfId="2" applyNumberFormat="1" applyFont="1"/>
    <xf numFmtId="172" fontId="39" fillId="0" borderId="0" xfId="2" applyNumberFormat="1" applyFont="1"/>
    <xf numFmtId="0" fontId="39" fillId="0" borderId="0" xfId="2" applyFont="1" applyAlignment="1">
      <alignment horizontal="center"/>
    </xf>
    <xf numFmtId="0" fontId="41" fillId="0" borderId="0" xfId="2" quotePrefix="1" applyFont="1"/>
    <xf numFmtId="173" fontId="39" fillId="0" borderId="0" xfId="2" applyNumberFormat="1" applyFont="1"/>
    <xf numFmtId="174" fontId="39" fillId="0" borderId="0" xfId="2" applyNumberFormat="1" applyFont="1"/>
    <xf numFmtId="0" fontId="42" fillId="0" borderId="0" xfId="2" applyFont="1"/>
    <xf numFmtId="0" fontId="43" fillId="0" borderId="0" xfId="2" quotePrefix="1" applyFont="1"/>
    <xf numFmtId="0" fontId="43" fillId="0" borderId="0" xfId="2" applyFont="1"/>
    <xf numFmtId="170" fontId="41" fillId="0" borderId="0" xfId="2" applyNumberFormat="1" applyFont="1"/>
    <xf numFmtId="174" fontId="41" fillId="0" borderId="0" xfId="2" applyNumberFormat="1" applyFont="1"/>
    <xf numFmtId="173" fontId="40" fillId="17" borderId="46" xfId="2" applyNumberFormat="1" applyFont="1" applyFill="1" applyBorder="1" applyAlignment="1">
      <alignment vertical="center"/>
    </xf>
    <xf numFmtId="170" fontId="40" fillId="17" borderId="46" xfId="2" applyNumberFormat="1" applyFont="1" applyFill="1" applyBorder="1" applyAlignment="1">
      <alignment vertical="center"/>
    </xf>
    <xf numFmtId="174" fontId="40" fillId="17" borderId="47" xfId="2" applyNumberFormat="1" applyFont="1" applyFill="1" applyBorder="1" applyAlignment="1">
      <alignment vertical="center"/>
    </xf>
    <xf numFmtId="0" fontId="42" fillId="0" borderId="48" xfId="2" applyFont="1" applyBorder="1" applyAlignment="1">
      <alignment horizontal="right"/>
    </xf>
    <xf numFmtId="0" fontId="42" fillId="0" borderId="74" xfId="2" applyFont="1" applyBorder="1" applyAlignment="1">
      <alignment horizontal="right"/>
    </xf>
    <xf numFmtId="173" fontId="42" fillId="0" borderId="49" xfId="2" applyNumberFormat="1" applyFont="1" applyBorder="1" applyAlignment="1">
      <alignment horizontal="right"/>
    </xf>
    <xf numFmtId="170" fontId="42" fillId="0" borderId="49" xfId="2" applyNumberFormat="1" applyFont="1" applyBorder="1" applyAlignment="1">
      <alignment horizontal="right"/>
    </xf>
    <xf numFmtId="174" fontId="42" fillId="0" borderId="50" xfId="2" applyNumberFormat="1" applyFont="1" applyBorder="1" applyAlignment="1">
      <alignment horizontal="right"/>
    </xf>
    <xf numFmtId="0" fontId="42" fillId="0" borderId="51" xfId="2" applyFont="1" applyBorder="1"/>
    <xf numFmtId="49" fontId="42" fillId="0" borderId="52" xfId="2" applyNumberFormat="1" applyFont="1" applyBorder="1"/>
    <xf numFmtId="173" fontId="42" fillId="0" borderId="43" xfId="2" applyNumberFormat="1" applyFont="1" applyBorder="1"/>
    <xf numFmtId="170" fontId="42" fillId="0" borderId="43" xfId="2" applyNumberFormat="1" applyFont="1" applyBorder="1"/>
    <xf numFmtId="174" fontId="42" fillId="0" borderId="53" xfId="2" applyNumberFormat="1" applyFont="1" applyBorder="1"/>
    <xf numFmtId="0" fontId="42" fillId="17" borderId="45" xfId="2" applyFont="1" applyFill="1" applyBorder="1"/>
    <xf numFmtId="49" fontId="42" fillId="17" borderId="46" xfId="2" applyNumberFormat="1" applyFont="1" applyFill="1" applyBorder="1"/>
    <xf numFmtId="173" fontId="42" fillId="17" borderId="46" xfId="2" applyNumberFormat="1" applyFont="1" applyFill="1" applyBorder="1"/>
    <xf numFmtId="170" fontId="42" fillId="17" borderId="46" xfId="2" applyNumberFormat="1" applyFont="1" applyFill="1" applyBorder="1"/>
    <xf numFmtId="174" fontId="42" fillId="17" borderId="47" xfId="2" applyNumberFormat="1" applyFont="1" applyFill="1" applyBorder="1"/>
    <xf numFmtId="0" fontId="42" fillId="0" borderId="58" xfId="2" applyFont="1" applyBorder="1"/>
    <xf numFmtId="49" fontId="42" fillId="0" borderId="59" xfId="2" applyNumberFormat="1" applyFont="1" applyBorder="1"/>
    <xf numFmtId="173" fontId="42" fillId="0" borderId="60" xfId="2" applyNumberFormat="1" applyFont="1" applyBorder="1"/>
    <xf numFmtId="170" fontId="42" fillId="0" borderId="60" xfId="2" applyNumberFormat="1" applyFont="1" applyBorder="1"/>
    <xf numFmtId="174" fontId="42" fillId="0" borderId="61" xfId="2" applyNumberFormat="1" applyFont="1" applyBorder="1"/>
    <xf numFmtId="0" fontId="43" fillId="0" borderId="75" xfId="2" applyFont="1" applyBorder="1"/>
    <xf numFmtId="49" fontId="43" fillId="0" borderId="74" xfId="2" applyNumberFormat="1" applyFont="1" applyBorder="1"/>
    <xf numFmtId="173" fontId="43" fillId="0" borderId="74" xfId="2" applyNumberFormat="1" applyFont="1" applyBorder="1"/>
    <xf numFmtId="170" fontId="43" fillId="0" borderId="74" xfId="2" applyNumberFormat="1" applyFont="1" applyBorder="1"/>
    <xf numFmtId="174" fontId="43" fillId="0" borderId="65" xfId="2" applyNumberFormat="1" applyFont="1" applyBorder="1"/>
    <xf numFmtId="172" fontId="39" fillId="0" borderId="49" xfId="2" applyNumberFormat="1" applyFont="1" applyBorder="1"/>
    <xf numFmtId="0" fontId="38" fillId="0" borderId="45" xfId="2" applyFont="1" applyBorder="1"/>
    <xf numFmtId="169" fontId="38" fillId="0" borderId="46" xfId="2" applyNumberFormat="1" applyFont="1" applyBorder="1"/>
    <xf numFmtId="0" fontId="38" fillId="0" borderId="46" xfId="2" applyFont="1" applyBorder="1"/>
    <xf numFmtId="2" fontId="38" fillId="0" borderId="46" xfId="2" applyNumberFormat="1" applyFont="1" applyBorder="1"/>
    <xf numFmtId="170" fontId="38" fillId="0" borderId="46" xfId="2" applyNumberFormat="1" applyFont="1" applyBorder="1"/>
    <xf numFmtId="171" fontId="38" fillId="0" borderId="46" xfId="2" applyNumberFormat="1" applyFont="1" applyBorder="1"/>
    <xf numFmtId="172" fontId="38" fillId="0" borderId="47" xfId="2" applyNumberFormat="1" applyFont="1" applyBorder="1"/>
    <xf numFmtId="0" fontId="45" fillId="0" borderId="0" xfId="3" applyFont="1" applyAlignment="1">
      <alignment vertical="center"/>
    </xf>
    <xf numFmtId="0" fontId="44" fillId="0" borderId="0" xfId="0" applyFont="1" applyFill="1" applyBorder="1"/>
    <xf numFmtId="0" fontId="45" fillId="0" borderId="0" xfId="0" applyFont="1" applyFill="1" applyBorder="1"/>
    <xf numFmtId="0" fontId="46" fillId="0" borderId="0" xfId="0" applyFont="1" applyFill="1" applyBorder="1"/>
    <xf numFmtId="0" fontId="45" fillId="0" borderId="0" xfId="0" applyFont="1" applyFill="1" applyBorder="1" applyProtection="1">
      <protection locked="0"/>
    </xf>
    <xf numFmtId="0" fontId="49" fillId="0" borderId="0" xfId="0" applyFont="1" applyFill="1" applyBorder="1"/>
    <xf numFmtId="14" fontId="45" fillId="0" borderId="0" xfId="0" applyNumberFormat="1" applyFont="1" applyFill="1" applyBorder="1" applyAlignment="1">
      <alignment horizontal="left"/>
    </xf>
    <xf numFmtId="0" fontId="47" fillId="0" borderId="76" xfId="0" applyFont="1" applyFill="1" applyBorder="1"/>
    <xf numFmtId="0" fontId="47" fillId="0" borderId="77" xfId="0" applyFont="1" applyFill="1" applyBorder="1"/>
    <xf numFmtId="0" fontId="47" fillId="0" borderId="78" xfId="0" applyFont="1" applyFill="1" applyBorder="1" applyAlignment="1">
      <alignment wrapText="1"/>
    </xf>
    <xf numFmtId="0" fontId="47" fillId="0" borderId="77" xfId="0" applyFont="1" applyFill="1" applyBorder="1" applyAlignment="1">
      <alignment wrapText="1"/>
    </xf>
    <xf numFmtId="0" fontId="47" fillId="0" borderId="79" xfId="0" applyFont="1" applyFill="1" applyBorder="1" applyAlignment="1">
      <alignment wrapText="1"/>
    </xf>
    <xf numFmtId="0" fontId="47" fillId="0" borderId="80" xfId="0" applyFont="1" applyFill="1" applyBorder="1"/>
    <xf numFmtId="0" fontId="47" fillId="0" borderId="29" xfId="0" applyFont="1" applyFill="1" applyBorder="1"/>
    <xf numFmtId="0" fontId="47" fillId="0" borderId="23" xfId="0" applyFont="1" applyFill="1" applyBorder="1"/>
    <xf numFmtId="0" fontId="47" fillId="0" borderId="81" xfId="0" applyFont="1" applyFill="1" applyBorder="1"/>
    <xf numFmtId="0" fontId="45" fillId="0" borderId="82" xfId="0" applyFont="1" applyFill="1" applyBorder="1"/>
    <xf numFmtId="0" fontId="45" fillId="0" borderId="25" xfId="0" applyFont="1" applyFill="1" applyBorder="1"/>
    <xf numFmtId="175" fontId="45" fillId="0" borderId="36" xfId="0" applyNumberFormat="1" applyFont="1" applyFill="1" applyBorder="1"/>
    <xf numFmtId="175" fontId="45" fillId="0" borderId="25" xfId="0" applyNumberFormat="1" applyFont="1" applyFill="1" applyBorder="1"/>
    <xf numFmtId="175" fontId="45" fillId="0" borderId="83" xfId="0" applyNumberFormat="1" applyFont="1" applyFill="1" applyBorder="1"/>
    <xf numFmtId="0" fontId="45" fillId="0" borderId="84" xfId="0" applyFont="1" applyFill="1" applyBorder="1"/>
    <xf numFmtId="0" fontId="45" fillId="0" borderId="35" xfId="0" applyFont="1" applyFill="1" applyBorder="1"/>
    <xf numFmtId="176" fontId="45" fillId="0" borderId="85" xfId="0" applyNumberFormat="1" applyFont="1" applyFill="1" applyBorder="1"/>
    <xf numFmtId="176" fontId="45" fillId="0" borderId="35" xfId="0" applyNumberFormat="1" applyFont="1" applyFill="1" applyBorder="1"/>
    <xf numFmtId="176" fontId="45" fillId="0" borderId="86" xfId="0" applyNumberFormat="1" applyFont="1" applyFill="1" applyBorder="1"/>
    <xf numFmtId="175" fontId="45" fillId="0" borderId="85" xfId="0" applyNumberFormat="1" applyFont="1" applyFill="1" applyBorder="1"/>
    <xf numFmtId="175" fontId="45" fillId="0" borderId="35" xfId="0" applyNumberFormat="1" applyFont="1" applyFill="1" applyBorder="1"/>
    <xf numFmtId="175" fontId="45" fillId="0" borderId="86" xfId="0" applyNumberFormat="1" applyFont="1" applyFill="1" applyBorder="1"/>
    <xf numFmtId="0" fontId="45" fillId="0" borderId="87" xfId="0" applyFont="1" applyFill="1" applyBorder="1"/>
    <xf numFmtId="0" fontId="45" fillId="0" borderId="2" xfId="0" applyFont="1" applyFill="1" applyBorder="1" applyAlignment="1">
      <alignment wrapText="1"/>
    </xf>
    <xf numFmtId="176" fontId="45" fillId="0" borderId="19" xfId="0" applyNumberFormat="1" applyFont="1" applyFill="1" applyBorder="1"/>
    <xf numFmtId="0" fontId="45" fillId="0" borderId="2" xfId="0" applyFont="1" applyFill="1" applyBorder="1"/>
    <xf numFmtId="176" fontId="45" fillId="0" borderId="2" xfId="0" applyNumberFormat="1" applyFont="1" applyFill="1" applyBorder="1"/>
    <xf numFmtId="176" fontId="45" fillId="0" borderId="88" xfId="0" applyNumberFormat="1" applyFont="1" applyFill="1" applyBorder="1"/>
    <xf numFmtId="0" fontId="45" fillId="0" borderId="89" xfId="0" applyFont="1" applyFill="1" applyBorder="1"/>
    <xf numFmtId="0" fontId="46" fillId="0" borderId="3" xfId="0" applyFont="1" applyFill="1" applyBorder="1"/>
    <xf numFmtId="176" fontId="46" fillId="12" borderId="31" xfId="0" applyNumberFormat="1" applyFont="1" applyFill="1" applyBorder="1"/>
    <xf numFmtId="176" fontId="46" fillId="12" borderId="90" xfId="0" applyNumberFormat="1" applyFont="1" applyFill="1" applyBorder="1"/>
    <xf numFmtId="0" fontId="46" fillId="0" borderId="2" xfId="0" applyFont="1" applyFill="1" applyBorder="1"/>
    <xf numFmtId="176" fontId="46" fillId="0" borderId="19" xfId="0" applyNumberFormat="1" applyFont="1" applyFill="1" applyBorder="1"/>
    <xf numFmtId="176" fontId="46" fillId="0" borderId="88" xfId="0" applyNumberFormat="1" applyFont="1" applyFill="1" applyBorder="1"/>
    <xf numFmtId="0" fontId="45" fillId="0" borderId="91" xfId="0" applyFont="1" applyFill="1" applyBorder="1"/>
    <xf numFmtId="0" fontId="45" fillId="0" borderId="92" xfId="0" applyFont="1" applyFill="1" applyBorder="1"/>
    <xf numFmtId="177" fontId="45" fillId="0" borderId="93" xfId="0" applyNumberFormat="1" applyFont="1" applyFill="1" applyBorder="1"/>
    <xf numFmtId="177" fontId="45" fillId="0" borderId="92" xfId="0" applyNumberFormat="1" applyFont="1" applyFill="1" applyBorder="1"/>
    <xf numFmtId="177" fontId="45" fillId="0" borderId="94" xfId="0" applyNumberFormat="1" applyFont="1" applyFill="1" applyBorder="1"/>
    <xf numFmtId="175" fontId="45" fillId="0" borderId="0" xfId="0" applyNumberFormat="1" applyFont="1" applyFill="1" applyBorder="1"/>
    <xf numFmtId="0" fontId="45" fillId="0" borderId="107" xfId="4" applyFont="1" applyBorder="1" applyProtection="1">
      <protection locked="0"/>
    </xf>
    <xf numFmtId="0" fontId="45" fillId="0" borderId="107" xfId="5" applyBorder="1" applyProtection="1">
      <protection locked="0"/>
    </xf>
    <xf numFmtId="0" fontId="45" fillId="0" borderId="107" xfId="6" applyBorder="1" applyAlignment="1" applyProtection="1">
      <alignment horizontal="left" wrapText="1"/>
      <protection locked="0"/>
    </xf>
    <xf numFmtId="0" fontId="45" fillId="0" borderId="110" xfId="6" applyBorder="1" applyProtection="1">
      <protection locked="0"/>
    </xf>
    <xf numFmtId="0" fontId="45" fillId="0" borderId="107" xfId="4" applyFont="1" applyBorder="1" applyAlignment="1" applyProtection="1">
      <alignment wrapText="1"/>
      <protection locked="0"/>
    </xf>
    <xf numFmtId="0" fontId="46" fillId="0" borderId="108" xfId="1" applyFont="1" applyBorder="1" applyProtection="1">
      <protection locked="0"/>
    </xf>
    <xf numFmtId="0" fontId="45" fillId="0" borderId="0" xfId="0" applyFont="1" applyFill="1" applyBorder="1" applyAlignment="1">
      <alignment vertical="center"/>
    </xf>
    <xf numFmtId="0" fontId="49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horizontal="left"/>
      <protection locked="0"/>
    </xf>
    <xf numFmtId="0" fontId="46" fillId="0" borderId="0" xfId="0" applyFont="1" applyFill="1" applyBorder="1" applyProtection="1">
      <protection locked="0"/>
    </xf>
    <xf numFmtId="0" fontId="49" fillId="0" borderId="0" xfId="0" applyFont="1" applyFill="1" applyBorder="1" applyAlignment="1" applyProtection="1">
      <alignment vertical="center"/>
      <protection locked="0"/>
    </xf>
    <xf numFmtId="0" fontId="47" fillId="0" borderId="95" xfId="0" applyFont="1" applyFill="1" applyBorder="1" applyProtection="1">
      <protection locked="0"/>
    </xf>
    <xf numFmtId="0" fontId="47" fillId="0" borderId="96" xfId="0" applyFont="1" applyFill="1" applyBorder="1" applyProtection="1">
      <protection locked="0"/>
    </xf>
    <xf numFmtId="0" fontId="47" fillId="0" borderId="46" xfId="0" applyFont="1" applyFill="1" applyBorder="1" applyAlignment="1" applyProtection="1">
      <alignment wrapText="1"/>
      <protection locked="0"/>
    </xf>
    <xf numFmtId="0" fontId="51" fillId="0" borderId="47" xfId="0" applyFont="1" applyFill="1" applyBorder="1" applyProtection="1">
      <protection locked="0"/>
    </xf>
    <xf numFmtId="0" fontId="47" fillId="0" borderId="99" xfId="0" applyFont="1" applyFill="1" applyBorder="1" applyProtection="1">
      <protection locked="0"/>
    </xf>
    <xf numFmtId="0" fontId="47" fillId="0" borderId="100" xfId="0" applyFont="1" applyFill="1" applyBorder="1" applyProtection="1">
      <protection locked="0"/>
    </xf>
    <xf numFmtId="0" fontId="47" fillId="0" borderId="72" xfId="0" applyFont="1" applyFill="1" applyBorder="1" applyProtection="1">
      <protection locked="0"/>
    </xf>
    <xf numFmtId="0" fontId="47" fillId="0" borderId="100" xfId="0" applyFont="1" applyFill="1" applyBorder="1" applyAlignment="1" applyProtection="1">
      <alignment horizontal="center"/>
      <protection locked="0"/>
    </xf>
    <xf numFmtId="0" fontId="47" fillId="0" borderId="101" xfId="0" applyFont="1" applyFill="1" applyBorder="1" applyAlignment="1" applyProtection="1">
      <alignment horizontal="center"/>
      <protection locked="0"/>
    </xf>
    <xf numFmtId="0" fontId="50" fillId="0" borderId="102" xfId="0" applyFont="1" applyFill="1" applyBorder="1" applyAlignment="1" applyProtection="1">
      <alignment horizontal="center"/>
      <protection locked="0"/>
    </xf>
    <xf numFmtId="0" fontId="49" fillId="0" borderId="114" xfId="0" applyFont="1" applyFill="1" applyBorder="1" applyProtection="1">
      <protection locked="0"/>
    </xf>
    <xf numFmtId="0" fontId="49" fillId="0" borderId="31" xfId="0" applyFont="1" applyFill="1" applyBorder="1" applyProtection="1">
      <protection locked="0"/>
    </xf>
    <xf numFmtId="0" fontId="49" fillId="0" borderId="115" xfId="0" applyFont="1" applyFill="1" applyBorder="1" applyAlignment="1" applyProtection="1">
      <alignment horizontal="left"/>
      <protection locked="0"/>
    </xf>
    <xf numFmtId="0" fontId="49" fillId="0" borderId="3" xfId="0" applyFont="1" applyFill="1" applyBorder="1" applyProtection="1">
      <protection locked="0"/>
    </xf>
    <xf numFmtId="0" fontId="49" fillId="0" borderId="31" xfId="0" applyFont="1" applyFill="1" applyBorder="1" applyAlignment="1" applyProtection="1">
      <alignment horizontal="right"/>
      <protection locked="0"/>
    </xf>
    <xf numFmtId="0" fontId="49" fillId="0" borderId="103" xfId="0" applyFont="1" applyFill="1" applyBorder="1" applyAlignment="1" applyProtection="1">
      <alignment horizontal="right"/>
      <protection locked="0"/>
    </xf>
    <xf numFmtId="0" fontId="51" fillId="0" borderId="104" xfId="0" applyFont="1" applyFill="1" applyBorder="1" applyProtection="1">
      <protection locked="0"/>
    </xf>
    <xf numFmtId="0" fontId="52" fillId="0" borderId="105" xfId="0" applyFont="1" applyFill="1" applyBorder="1" applyProtection="1">
      <protection locked="0"/>
    </xf>
    <xf numFmtId="0" fontId="46" fillId="0" borderId="106" xfId="0" applyFont="1" applyFill="1" applyBorder="1" applyAlignment="1" applyProtection="1">
      <alignment horizontal="center"/>
      <protection locked="0"/>
    </xf>
    <xf numFmtId="0" fontId="46" fillId="0" borderId="106" xfId="0" applyFont="1" applyFill="1" applyBorder="1" applyAlignment="1" applyProtection="1">
      <alignment horizontal="left" wrapText="1"/>
      <protection locked="0"/>
    </xf>
    <xf numFmtId="0" fontId="46" fillId="0" borderId="107" xfId="0" applyFont="1" applyFill="1" applyBorder="1" applyProtection="1">
      <protection locked="0"/>
    </xf>
    <xf numFmtId="0" fontId="49" fillId="0" borderId="116" xfId="0" applyFont="1" applyFill="1" applyBorder="1" applyAlignment="1" applyProtection="1">
      <alignment horizontal="right"/>
      <protection locked="0"/>
    </xf>
    <xf numFmtId="0" fontId="49" fillId="0" borderId="117" xfId="0" applyFont="1" applyFill="1" applyBorder="1" applyAlignment="1" applyProtection="1">
      <alignment horizontal="right"/>
      <protection locked="0"/>
    </xf>
    <xf numFmtId="0" fontId="49" fillId="0" borderId="118" xfId="0" applyFont="1" applyFill="1" applyBorder="1" applyAlignment="1" applyProtection="1">
      <alignment horizontal="right"/>
      <protection locked="0"/>
    </xf>
    <xf numFmtId="0" fontId="46" fillId="0" borderId="108" xfId="0" applyFont="1" applyFill="1" applyBorder="1" applyAlignment="1" applyProtection="1">
      <alignment horizontal="left"/>
      <protection locked="0"/>
    </xf>
    <xf numFmtId="0" fontId="46" fillId="0" borderId="118" xfId="0" applyFont="1" applyFill="1" applyBorder="1" applyAlignment="1" applyProtection="1">
      <alignment horizontal="center"/>
      <protection locked="0"/>
    </xf>
    <xf numFmtId="0" fontId="45" fillId="0" borderId="108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 applyProtection="1">
      <alignment horizontal="left"/>
      <protection locked="0"/>
    </xf>
    <xf numFmtId="0" fontId="49" fillId="0" borderId="106" xfId="0" applyFont="1" applyFill="1" applyBorder="1" applyProtection="1">
      <protection locked="0"/>
    </xf>
    <xf numFmtId="0" fontId="45" fillId="0" borderId="106" xfId="0" applyFont="1" applyFill="1" applyBorder="1" applyAlignment="1" applyProtection="1">
      <alignment horizontal="left" wrapText="1"/>
      <protection locked="0"/>
    </xf>
    <xf numFmtId="0" fontId="49" fillId="0" borderId="108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Alignment="1" applyProtection="1">
      <alignment horizontal="left" wrapText="1"/>
      <protection locked="0"/>
    </xf>
    <xf numFmtId="0" fontId="45" fillId="0" borderId="107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 applyProtection="1">
      <alignment horizontal="right"/>
      <protection locked="0"/>
    </xf>
    <xf numFmtId="0" fontId="52" fillId="0" borderId="119" xfId="0" applyFont="1" applyFill="1" applyBorder="1" applyAlignment="1" applyProtection="1">
      <alignment horizontal="left"/>
      <protection locked="0"/>
    </xf>
    <xf numFmtId="0" fontId="49" fillId="0" borderId="118" xfId="0" applyFont="1" applyFill="1" applyBorder="1" applyAlignment="1" applyProtection="1">
      <alignment horizontal="center"/>
      <protection locked="0"/>
    </xf>
    <xf numFmtId="0" fontId="49" fillId="0" borderId="107" xfId="0" applyFont="1" applyFill="1" applyBorder="1" applyAlignment="1" applyProtection="1">
      <alignment horizontal="left" wrapText="1"/>
      <protection locked="0"/>
    </xf>
    <xf numFmtId="0" fontId="49" fillId="0" borderId="116" xfId="0" applyFont="1" applyFill="1" applyBorder="1" applyAlignment="1" applyProtection="1">
      <alignment horizontal="center"/>
      <protection locked="0"/>
    </xf>
    <xf numFmtId="0" fontId="49" fillId="0" borderId="119" xfId="0" applyFont="1" applyFill="1" applyBorder="1" applyAlignment="1" applyProtection="1">
      <alignment horizontal="left"/>
      <protection locked="0"/>
    </xf>
    <xf numFmtId="0" fontId="51" fillId="0" borderId="104" xfId="0" applyFont="1" applyFill="1" applyBorder="1" applyAlignment="1" applyProtection="1">
      <alignment wrapText="1"/>
      <protection locked="0"/>
    </xf>
    <xf numFmtId="0" fontId="45" fillId="0" borderId="118" xfId="0" applyFont="1" applyFill="1" applyBorder="1" applyAlignment="1" applyProtection="1">
      <alignment horizontal="center"/>
      <protection locked="0"/>
    </xf>
    <xf numFmtId="0" fontId="45" fillId="0" borderId="107" xfId="0" applyFont="1" applyFill="1" applyBorder="1" applyProtection="1">
      <protection locked="0"/>
    </xf>
    <xf numFmtId="0" fontId="45" fillId="0" borderId="106" xfId="0" applyFont="1" applyFill="1" applyBorder="1" applyProtection="1">
      <protection locked="0"/>
    </xf>
    <xf numFmtId="0" fontId="45" fillId="0" borderId="107" xfId="1" applyFont="1" applyBorder="1" applyProtection="1">
      <protection locked="0"/>
    </xf>
    <xf numFmtId="0" fontId="49" fillId="0" borderId="116" xfId="0" applyFont="1" applyFill="1" applyBorder="1" applyAlignment="1" applyProtection="1">
      <alignment horizontal="left"/>
      <protection locked="0"/>
    </xf>
    <xf numFmtId="0" fontId="49" fillId="0" borderId="107" xfId="0" applyFont="1" applyFill="1" applyBorder="1" applyProtection="1">
      <protection locked="0"/>
    </xf>
    <xf numFmtId="0" fontId="49" fillId="0" borderId="109" xfId="0" applyFont="1" applyFill="1" applyBorder="1" applyAlignment="1" applyProtection="1">
      <alignment horizontal="left"/>
      <protection locked="0"/>
    </xf>
    <xf numFmtId="0" fontId="45" fillId="0" borderId="107" xfId="0" applyFont="1" applyFill="1" applyBorder="1" applyAlignment="1">
      <alignment horizontal="center"/>
    </xf>
    <xf numFmtId="49" fontId="49" fillId="0" borderId="106" xfId="0" applyNumberFormat="1" applyFont="1" applyFill="1" applyBorder="1" applyAlignment="1">
      <alignment horizontal="left" wrapText="1"/>
    </xf>
    <xf numFmtId="0" fontId="49" fillId="0" borderId="107" xfId="0" applyFont="1" applyFill="1" applyBorder="1" applyAlignment="1">
      <alignment horizontal="left"/>
    </xf>
    <xf numFmtId="0" fontId="49" fillId="0" borderId="116" xfId="0" applyFont="1" applyFill="1" applyBorder="1" applyAlignment="1">
      <alignment horizontal="right"/>
    </xf>
    <xf numFmtId="0" fontId="49" fillId="0" borderId="106" xfId="0" applyFont="1" applyFill="1" applyBorder="1" applyAlignment="1" applyProtection="1">
      <alignment horizontal="left" wrapText="1"/>
      <protection locked="0"/>
    </xf>
    <xf numFmtId="0" fontId="45" fillId="0" borderId="106" xfId="6" applyBorder="1" applyAlignment="1" applyProtection="1">
      <alignment horizontal="left"/>
      <protection locked="0"/>
    </xf>
    <xf numFmtId="0" fontId="45" fillId="0" borderId="106" xfId="6" applyBorder="1" applyProtection="1">
      <protection locked="0"/>
    </xf>
    <xf numFmtId="0" fontId="45" fillId="0" borderId="117" xfId="0" applyFont="1" applyFill="1" applyBorder="1" applyAlignment="1" applyProtection="1">
      <alignment horizontal="center"/>
      <protection locked="0"/>
    </xf>
    <xf numFmtId="0" fontId="45" fillId="0" borderId="106" xfId="0" applyFont="1" applyFill="1" applyBorder="1" applyAlignment="1">
      <alignment wrapText="1"/>
    </xf>
    <xf numFmtId="0" fontId="45" fillId="0" borderId="106" xfId="6" applyBorder="1" applyAlignment="1" applyProtection="1">
      <alignment horizontal="left" wrapText="1"/>
      <protection locked="0"/>
    </xf>
    <xf numFmtId="0" fontId="49" fillId="0" borderId="111" xfId="6" applyFont="1" applyBorder="1" applyAlignment="1" applyProtection="1">
      <alignment horizontal="right"/>
      <protection locked="0"/>
    </xf>
    <xf numFmtId="0" fontId="25" fillId="0" borderId="108" xfId="0" applyFont="1" applyFill="1" applyBorder="1" applyProtection="1">
      <protection locked="0"/>
    </xf>
    <xf numFmtId="0" fontId="20" fillId="0" borderId="107" xfId="0" applyFont="1" applyFill="1" applyBorder="1" applyProtection="1">
      <protection locked="0"/>
    </xf>
    <xf numFmtId="0" fontId="45" fillId="0" borderId="108" xfId="0" applyFont="1" applyFill="1" applyBorder="1" applyAlignment="1" applyProtection="1">
      <alignment wrapText="1"/>
      <protection locked="0"/>
    </xf>
    <xf numFmtId="0" fontId="45" fillId="0" borderId="107" xfId="0" applyFont="1" applyFill="1" applyBorder="1" applyAlignment="1" applyProtection="1">
      <alignment horizontal="center" wrapText="1"/>
      <protection locked="0"/>
    </xf>
    <xf numFmtId="0" fontId="45" fillId="0" borderId="107" xfId="0" applyFont="1" applyFill="1" applyBorder="1" applyAlignment="1" applyProtection="1">
      <alignment horizontal="right" wrapText="1"/>
      <protection locked="0"/>
    </xf>
    <xf numFmtId="0" fontId="45" fillId="0" borderId="120" xfId="0" applyFont="1" applyFill="1" applyBorder="1" applyAlignment="1" applyProtection="1">
      <alignment horizontal="center"/>
      <protection locked="0"/>
    </xf>
    <xf numFmtId="0" fontId="45" fillId="0" borderId="121" xfId="0" applyFont="1" applyFill="1" applyBorder="1" applyProtection="1">
      <protection locked="0"/>
    </xf>
    <xf numFmtId="0" fontId="45" fillId="0" borderId="108" xfId="1" applyFont="1" applyBorder="1" applyProtection="1">
      <protection locked="0"/>
    </xf>
    <xf numFmtId="0" fontId="45" fillId="0" borderId="121" xfId="0" applyFont="1" applyFill="1" applyBorder="1" applyAlignment="1" applyProtection="1">
      <alignment horizontal="left"/>
      <protection locked="0"/>
    </xf>
    <xf numFmtId="0" fontId="45" fillId="0" borderId="111" xfId="0" applyFont="1" applyFill="1" applyBorder="1" applyProtection="1">
      <protection locked="0"/>
    </xf>
    <xf numFmtId="0" fontId="45" fillId="0" borderId="110" xfId="0" applyFont="1" applyFill="1" applyBorder="1" applyProtection="1">
      <protection locked="0"/>
    </xf>
    <xf numFmtId="0" fontId="49" fillId="0" borderId="122" xfId="0" applyFont="1" applyFill="1" applyBorder="1" applyAlignment="1" applyProtection="1">
      <alignment horizontal="left" wrapText="1"/>
      <protection locked="0"/>
    </xf>
    <xf numFmtId="0" fontId="45" fillId="0" borderId="122" xfId="0" applyFont="1" applyFill="1" applyBorder="1" applyProtection="1">
      <protection locked="0"/>
    </xf>
    <xf numFmtId="0" fontId="45" fillId="0" borderId="123" xfId="6" applyBorder="1" applyProtection="1">
      <protection locked="0"/>
    </xf>
    <xf numFmtId="0" fontId="45" fillId="0" borderId="19" xfId="6" applyBorder="1" applyAlignment="1" applyProtection="1">
      <alignment horizontal="right"/>
      <protection locked="0"/>
    </xf>
    <xf numFmtId="0" fontId="49" fillId="0" borderId="121" xfId="0" applyFont="1" applyFill="1" applyBorder="1" applyAlignment="1" applyProtection="1">
      <alignment wrapText="1"/>
      <protection locked="0"/>
    </xf>
    <xf numFmtId="0" fontId="45" fillId="0" borderId="112" xfId="1" applyFont="1" applyBorder="1" applyProtection="1">
      <protection locked="0"/>
    </xf>
    <xf numFmtId="0" fontId="45" fillId="0" borderId="0" xfId="0" applyFont="1" applyFill="1" applyBorder="1" applyAlignment="1" applyProtection="1">
      <alignment horizontal="center"/>
      <protection locked="0"/>
    </xf>
    <xf numFmtId="0" fontId="49" fillId="0" borderId="103" xfId="0" applyFont="1" applyFill="1" applyBorder="1" applyAlignment="1" applyProtection="1">
      <alignment wrapText="1"/>
      <protection locked="0"/>
    </xf>
    <xf numFmtId="0" fontId="49" fillId="0" borderId="103" xfId="0" applyFont="1" applyFill="1" applyBorder="1" applyProtection="1">
      <protection locked="0"/>
    </xf>
    <xf numFmtId="0" fontId="49" fillId="0" borderId="113" xfId="0" applyFont="1" applyFill="1" applyBorder="1" applyProtection="1">
      <protection locked="0"/>
    </xf>
    <xf numFmtId="0" fontId="50" fillId="0" borderId="67" xfId="0" applyFont="1" applyFill="1" applyBorder="1" applyAlignment="1" applyProtection="1">
      <alignment horizontal="left" wrapText="1"/>
      <protection locked="0"/>
    </xf>
    <xf numFmtId="0" fontId="45" fillId="0" borderId="113" xfId="0" applyFont="1" applyFill="1" applyBorder="1" applyAlignment="1" applyProtection="1">
      <alignment horizontal="center"/>
      <protection locked="0"/>
    </xf>
    <xf numFmtId="0" fontId="49" fillId="0" borderId="113" xfId="0" applyFont="1" applyFill="1" applyBorder="1" applyAlignment="1" applyProtection="1">
      <alignment horizontal="left" wrapText="1"/>
      <protection locked="0"/>
    </xf>
    <xf numFmtId="0" fontId="45" fillId="0" borderId="103" xfId="0" applyFont="1" applyFill="1" applyBorder="1" applyAlignment="1" applyProtection="1">
      <alignment horizontal="left"/>
      <protection locked="0"/>
    </xf>
    <xf numFmtId="0" fontId="45" fillId="0" borderId="113" xfId="0" applyFont="1" applyFill="1" applyBorder="1" applyProtection="1">
      <protection locked="0"/>
    </xf>
    <xf numFmtId="0" fontId="49" fillId="0" borderId="45" xfId="0" applyFont="1" applyFill="1" applyBorder="1" applyProtection="1">
      <protection locked="0"/>
    </xf>
    <xf numFmtId="0" fontId="49" fillId="0" borderId="46" xfId="0" applyFont="1" applyFill="1" applyBorder="1" applyProtection="1">
      <protection locked="0"/>
    </xf>
    <xf numFmtId="0" fontId="49" fillId="0" borderId="46" xfId="0" applyFont="1" applyFill="1" applyBorder="1" applyAlignment="1" applyProtection="1">
      <alignment horizontal="left"/>
      <protection locked="0"/>
    </xf>
    <xf numFmtId="0" fontId="49" fillId="0" borderId="47" xfId="0" applyFont="1" applyFill="1" applyBorder="1" applyProtection="1">
      <protection locked="0"/>
    </xf>
    <xf numFmtId="0" fontId="52" fillId="0" borderId="66" xfId="0" applyFont="1" applyFill="1" applyBorder="1" applyProtection="1">
      <protection locked="0"/>
    </xf>
    <xf numFmtId="0" fontId="52" fillId="12" borderId="0" xfId="0" applyFont="1" applyFill="1" applyBorder="1" applyProtection="1">
      <protection locked="0"/>
    </xf>
    <xf numFmtId="0" fontId="52" fillId="12" borderId="0" xfId="0" applyFont="1" applyFill="1" applyBorder="1" applyAlignment="1" applyProtection="1">
      <alignment horizontal="left"/>
      <protection locked="0"/>
    </xf>
    <xf numFmtId="3" fontId="52" fillId="12" borderId="0" xfId="0" applyNumberFormat="1" applyFont="1" applyFill="1" applyBorder="1" applyProtection="1">
      <protection locked="0"/>
    </xf>
    <xf numFmtId="0" fontId="49" fillId="0" borderId="67" xfId="0" applyFont="1" applyFill="1" applyBorder="1" applyProtection="1">
      <protection locked="0"/>
    </xf>
    <xf numFmtId="0" fontId="49" fillId="0" borderId="71" xfId="0" applyFont="1" applyFill="1" applyBorder="1" applyProtection="1">
      <protection locked="0"/>
    </xf>
    <xf numFmtId="0" fontId="49" fillId="0" borderId="72" xfId="0" applyFont="1" applyFill="1" applyBorder="1" applyProtection="1">
      <protection locked="0"/>
    </xf>
    <xf numFmtId="0" fontId="49" fillId="0" borderId="72" xfId="0" applyFont="1" applyFill="1" applyBorder="1" applyAlignment="1" applyProtection="1">
      <alignment horizontal="left"/>
      <protection locked="0"/>
    </xf>
    <xf numFmtId="0" fontId="49" fillId="0" borderId="73" xfId="0" applyFont="1" applyFill="1" applyBorder="1" applyProtection="1">
      <protection locked="0"/>
    </xf>
    <xf numFmtId="0" fontId="2" fillId="0" borderId="0" xfId="0" applyFont="1" applyFill="1" applyBorder="1" applyAlignment="1" applyProtection="1"/>
    <xf numFmtId="1" fontId="2" fillId="0" borderId="0" xfId="0" applyNumberFormat="1" applyFont="1" applyFill="1" applyBorder="1" applyAlignment="1" applyProtection="1"/>
    <xf numFmtId="0" fontId="53" fillId="5" borderId="0" xfId="0" applyFont="1" applyFill="1" applyBorder="1" applyAlignment="1" applyProtection="1"/>
    <xf numFmtId="49" fontId="53" fillId="5" borderId="0" xfId="0" applyNumberFormat="1" applyFont="1" applyFill="1" applyBorder="1" applyAlignment="1" applyProtection="1">
      <alignment wrapText="1"/>
    </xf>
    <xf numFmtId="3" fontId="53" fillId="5" borderId="0" xfId="0" applyNumberFormat="1" applyFont="1" applyFill="1" applyBorder="1" applyAlignment="1" applyProtection="1"/>
    <xf numFmtId="0" fontId="2" fillId="5" borderId="0" xfId="0" applyNumberFormat="1" applyFont="1" applyFill="1" applyBorder="1" applyAlignment="1" applyProtection="1"/>
    <xf numFmtId="2" fontId="31" fillId="0" borderId="43" xfId="1" applyNumberFormat="1" applyFont="1" applyBorder="1" applyAlignment="1">
      <alignment vertical="center" wrapText="1"/>
    </xf>
    <xf numFmtId="0" fontId="5" fillId="18" borderId="0" xfId="0" applyNumberFormat="1" applyFont="1" applyFill="1" applyBorder="1" applyAlignment="1" applyProtection="1">
      <alignment horizontal="left" vertical="center"/>
    </xf>
    <xf numFmtId="4" fontId="5" fillId="18" borderId="0" xfId="0" applyNumberFormat="1" applyFont="1" applyFill="1" applyBorder="1" applyAlignment="1" applyProtection="1">
      <alignment horizontal="right" vertical="center"/>
    </xf>
    <xf numFmtId="0" fontId="5" fillId="18" borderId="3" xfId="0" applyNumberFormat="1" applyFont="1" applyFill="1" applyBorder="1" applyAlignment="1" applyProtection="1">
      <alignment horizontal="right" vertical="center"/>
    </xf>
    <xf numFmtId="0" fontId="2" fillId="18" borderId="0" xfId="0" applyNumberFormat="1" applyFont="1" applyFill="1" applyBorder="1" applyAlignment="1" applyProtection="1"/>
    <xf numFmtId="0" fontId="6" fillId="20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" fontId="6" fillId="21" borderId="0" xfId="0" applyNumberFormat="1" applyFont="1" applyFill="1" applyBorder="1" applyAlignment="1" applyProtection="1">
      <alignment horizontal="right" vertical="center"/>
    </xf>
    <xf numFmtId="4" fontId="6" fillId="20" borderId="0" xfId="0" applyNumberFormat="1" applyFont="1" applyFill="1" applyBorder="1" applyAlignment="1" applyProtection="1">
      <alignment horizontal="right" vertical="center"/>
    </xf>
    <xf numFmtId="4" fontId="5" fillId="22" borderId="0" xfId="0" applyNumberFormat="1" applyFont="1" applyFill="1" applyBorder="1" applyAlignment="1" applyProtection="1">
      <alignment horizontal="right" vertical="center"/>
    </xf>
    <xf numFmtId="0" fontId="6" fillId="23" borderId="0" xfId="0" applyNumberFormat="1" applyFont="1" applyFill="1" applyBorder="1" applyAlignment="1" applyProtection="1">
      <alignment horizontal="left" vertical="center"/>
    </xf>
    <xf numFmtId="0" fontId="7" fillId="18" borderId="0" xfId="0" applyNumberFormat="1" applyFont="1" applyFill="1" applyBorder="1" applyAlignment="1" applyProtection="1">
      <alignment horizontal="left" vertical="center"/>
    </xf>
    <xf numFmtId="0" fontId="9" fillId="18" borderId="0" xfId="0" applyNumberFormat="1" applyFont="1" applyFill="1" applyBorder="1" applyAlignment="1" applyProtection="1">
      <alignment horizontal="left" vertical="center"/>
    </xf>
    <xf numFmtId="4" fontId="7" fillId="18" borderId="0" xfId="0" applyNumberFormat="1" applyFont="1" applyFill="1" applyBorder="1" applyAlignment="1" applyProtection="1">
      <alignment horizontal="right" vertical="center"/>
    </xf>
    <xf numFmtId="0" fontId="2" fillId="22" borderId="0" xfId="0" applyNumberFormat="1" applyFont="1" applyFill="1" applyBorder="1" applyAlignment="1" applyProtection="1"/>
    <xf numFmtId="4" fontId="3" fillId="22" borderId="0" xfId="0" applyNumberFormat="1" applyFont="1" applyFill="1" applyBorder="1" applyAlignment="1" applyProtection="1">
      <alignment horizontal="right" vertical="center"/>
    </xf>
    <xf numFmtId="4" fontId="6" fillId="23" borderId="0" xfId="0" applyNumberFormat="1" applyFont="1" applyFill="1" applyBorder="1" applyAlignment="1" applyProtection="1">
      <alignment horizontal="right" vertical="center"/>
    </xf>
    <xf numFmtId="0" fontId="9" fillId="22" borderId="0" xfId="0" applyNumberFormat="1" applyFont="1" applyFill="1" applyBorder="1" applyAlignment="1" applyProtection="1">
      <alignment horizontal="left" vertical="center"/>
    </xf>
    <xf numFmtId="0" fontId="9" fillId="24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4" fontId="5" fillId="24" borderId="0" xfId="0" applyNumberFormat="1" applyFont="1" applyFill="1" applyBorder="1" applyAlignment="1" applyProtection="1">
      <alignment horizontal="righ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4" fontId="6" fillId="25" borderId="0" xfId="0" applyNumberFormat="1" applyFont="1" applyFill="1" applyBorder="1" applyAlignment="1" applyProtection="1">
      <alignment horizontal="right" vertical="center"/>
    </xf>
    <xf numFmtId="0" fontId="5" fillId="22" borderId="8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7" fillId="22" borderId="0" xfId="0" applyNumberFormat="1" applyFont="1" applyFill="1" applyBorder="1" applyAlignment="1" applyProtection="1">
      <alignment horizontal="left" vertical="center"/>
    </xf>
    <xf numFmtId="4" fontId="7" fillId="22" borderId="0" xfId="0" applyNumberFormat="1" applyFont="1" applyFill="1" applyBorder="1" applyAlignment="1" applyProtection="1">
      <alignment horizontal="right" vertical="center"/>
    </xf>
    <xf numFmtId="0" fontId="2" fillId="24" borderId="0" xfId="0" applyNumberFormat="1" applyFont="1" applyFill="1" applyBorder="1" applyAlignment="1" applyProtection="1"/>
    <xf numFmtId="0" fontId="5" fillId="21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5" fillId="19" borderId="0" xfId="0" applyNumberFormat="1" applyFont="1" applyFill="1" applyBorder="1" applyAlignment="1" applyProtection="1">
      <alignment horizontal="left" vertical="center"/>
    </xf>
    <xf numFmtId="4" fontId="6" fillId="19" borderId="0" xfId="0" applyNumberFormat="1" applyFont="1" applyFill="1" applyBorder="1" applyAlignment="1" applyProtection="1">
      <alignment horizontal="right" vertical="center"/>
    </xf>
    <xf numFmtId="0" fontId="5" fillId="25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4" fontId="3" fillId="18" borderId="0" xfId="0" applyNumberFormat="1" applyFont="1" applyFill="1" applyBorder="1" applyAlignment="1" applyProtection="1">
      <alignment horizontal="right" vertical="center"/>
    </xf>
    <xf numFmtId="0" fontId="7" fillId="24" borderId="0" xfId="0" applyNumberFormat="1" applyFont="1" applyFill="1" applyBorder="1" applyAlignment="1" applyProtection="1">
      <alignment horizontal="left" vertical="center"/>
    </xf>
    <xf numFmtId="0" fontId="2" fillId="27" borderId="0" xfId="0" applyNumberFormat="1" applyFont="1" applyFill="1" applyBorder="1" applyAlignment="1" applyProtection="1"/>
    <xf numFmtId="0" fontId="2" fillId="26" borderId="0" xfId="0" applyNumberFormat="1" applyFont="1" applyFill="1" applyBorder="1" applyAlignment="1" applyProtection="1"/>
    <xf numFmtId="0" fontId="52" fillId="0" borderId="8" xfId="0" applyNumberFormat="1" applyFont="1" applyFill="1" applyBorder="1" applyAlignment="1" applyProtection="1">
      <alignment horizontal="left" vertical="center"/>
    </xf>
    <xf numFmtId="0" fontId="52" fillId="0" borderId="0" xfId="0" applyNumberFormat="1" applyFont="1" applyFill="1" applyBorder="1" applyAlignment="1" applyProtection="1">
      <alignment horizontal="left" vertical="center"/>
    </xf>
    <xf numFmtId="4" fontId="3" fillId="24" borderId="0" xfId="0" applyNumberFormat="1" applyFont="1" applyFill="1" applyBorder="1" applyAlignment="1" applyProtection="1">
      <alignment horizontal="righ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4" fontId="5" fillId="27" borderId="0" xfId="0" applyNumberFormat="1" applyFont="1" applyFill="1" applyBorder="1" applyAlignment="1" applyProtection="1">
      <alignment horizontal="right" vertical="center"/>
    </xf>
    <xf numFmtId="4" fontId="5" fillId="26" borderId="0" xfId="0" applyNumberFormat="1" applyFont="1" applyFill="1" applyBorder="1" applyAlignment="1" applyProtection="1">
      <alignment horizontal="right" vertical="center"/>
    </xf>
    <xf numFmtId="4" fontId="5" fillId="28" borderId="0" xfId="0" applyNumberFormat="1" applyFont="1" applyFill="1" applyBorder="1" applyAlignment="1" applyProtection="1">
      <alignment horizontal="right" vertical="center"/>
    </xf>
    <xf numFmtId="0" fontId="6" fillId="29" borderId="0" xfId="0" applyNumberFormat="1" applyFont="1" applyFill="1" applyBorder="1" applyAlignment="1" applyProtection="1">
      <alignment horizontal="left" vertical="center"/>
    </xf>
    <xf numFmtId="4" fontId="6" fillId="29" borderId="0" xfId="0" applyNumberFormat="1" applyFont="1" applyFill="1" applyBorder="1" applyAlignment="1" applyProtection="1">
      <alignment horizontal="right" vertical="center"/>
    </xf>
    <xf numFmtId="0" fontId="2" fillId="28" borderId="0" xfId="0" applyNumberFormat="1" applyFont="1" applyFill="1" applyBorder="1" applyAlignment="1" applyProtection="1"/>
    <xf numFmtId="0" fontId="1" fillId="22" borderId="0" xfId="0" applyNumberFormat="1" applyFont="1" applyFill="1" applyBorder="1" applyAlignment="1" applyProtection="1"/>
    <xf numFmtId="4" fontId="6" fillId="24" borderId="0" xfId="0" applyNumberFormat="1" applyFont="1" applyFill="1" applyBorder="1" applyAlignment="1" applyProtection="1">
      <alignment horizontal="right" vertical="center"/>
    </xf>
    <xf numFmtId="0" fontId="54" fillId="0" borderId="0" xfId="0" applyNumberFormat="1" applyFont="1" applyFill="1" applyBorder="1" applyAlignment="1" applyProtection="1"/>
    <xf numFmtId="0" fontId="6" fillId="18" borderId="12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right" vertical="center"/>
    </xf>
    <xf numFmtId="4" fontId="6" fillId="18" borderId="12" xfId="0" applyNumberFormat="1" applyFont="1" applyFill="1" applyBorder="1" applyAlignment="1" applyProtection="1">
      <alignment horizontal="righ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4" fontId="5" fillId="18" borderId="21" xfId="0" applyNumberFormat="1" applyFont="1" applyFill="1" applyBorder="1" applyAlignment="1" applyProtection="1">
      <alignment horizontal="right" vertical="center"/>
    </xf>
    <xf numFmtId="0" fontId="5" fillId="24" borderId="8" xfId="0" applyNumberFormat="1" applyFont="1" applyFill="1" applyBorder="1" applyAlignment="1" applyProtection="1">
      <alignment horizontal="left" vertical="center"/>
    </xf>
    <xf numFmtId="0" fontId="5" fillId="27" borderId="8" xfId="0" applyNumberFormat="1" applyFont="1" applyFill="1" applyBorder="1" applyAlignment="1" applyProtection="1">
      <alignment horizontal="left" vertical="center"/>
    </xf>
    <xf numFmtId="0" fontId="5" fillId="27" borderId="32" xfId="0" applyNumberFormat="1" applyFont="1" applyFill="1" applyBorder="1" applyAlignment="1" applyProtection="1">
      <alignment horizontal="left" vertical="center"/>
    </xf>
    <xf numFmtId="4" fontId="5" fillId="27" borderId="5" xfId="0" applyNumberFormat="1" applyFont="1" applyFill="1" applyBorder="1" applyAlignment="1" applyProtection="1">
      <alignment horizontal="right" vertical="center"/>
    </xf>
    <xf numFmtId="0" fontId="5" fillId="28" borderId="8" xfId="0" applyNumberFormat="1" applyFont="1" applyFill="1" applyBorder="1" applyAlignment="1" applyProtection="1">
      <alignment horizontal="left" vertical="center"/>
    </xf>
    <xf numFmtId="0" fontId="5" fillId="26" borderId="8" xfId="0" applyNumberFormat="1" applyFont="1" applyFill="1" applyBorder="1" applyAlignment="1" applyProtection="1">
      <alignment horizontal="left" vertical="center"/>
    </xf>
    <xf numFmtId="0" fontId="55" fillId="0" borderId="0" xfId="0" applyNumberFormat="1" applyFont="1" applyFill="1" applyBorder="1" applyAlignment="1" applyProtection="1"/>
    <xf numFmtId="0" fontId="57" fillId="0" borderId="0" xfId="0" applyNumberFormat="1" applyFont="1" applyFill="1" applyBorder="1" applyAlignment="1" applyProtection="1"/>
    <xf numFmtId="4" fontId="6" fillId="30" borderId="0" xfId="0" applyNumberFormat="1" applyFont="1" applyFill="1" applyBorder="1" applyAlignment="1" applyProtection="1">
      <alignment horizontal="right" vertical="center"/>
    </xf>
    <xf numFmtId="0" fontId="6" fillId="30" borderId="0" xfId="0" applyNumberFormat="1" applyFont="1" applyFill="1" applyBorder="1" applyAlignment="1" applyProtection="1">
      <alignment horizontal="left" vertical="center"/>
    </xf>
    <xf numFmtId="0" fontId="2" fillId="0" borderId="71" xfId="0" applyNumberFormat="1" applyFont="1" applyFill="1" applyBorder="1" applyAlignment="1" applyProtection="1"/>
    <xf numFmtId="0" fontId="2" fillId="0" borderId="72" xfId="0" applyNumberFormat="1" applyFont="1" applyFill="1" applyBorder="1" applyAlignment="1" applyProtection="1"/>
    <xf numFmtId="4" fontId="2" fillId="31" borderId="0" xfId="0" applyNumberFormat="1" applyFont="1" applyFill="1" applyBorder="1" applyAlignment="1" applyProtection="1"/>
    <xf numFmtId="0" fontId="2" fillId="0" borderId="46" xfId="0" applyNumberFormat="1" applyFont="1" applyFill="1" applyBorder="1" applyAlignment="1" applyProtection="1">
      <alignment wrapText="1"/>
    </xf>
    <xf numFmtId="0" fontId="2" fillId="0" borderId="72" xfId="0" applyNumberFormat="1" applyFont="1" applyFill="1" applyBorder="1" applyAlignment="1" applyProtection="1">
      <alignment wrapText="1"/>
    </xf>
    <xf numFmtId="0" fontId="2" fillId="0" borderId="74" xfId="0" applyNumberFormat="1" applyFont="1" applyFill="1" applyBorder="1" applyAlignment="1" applyProtection="1"/>
    <xf numFmtId="0" fontId="2" fillId="22" borderId="44" xfId="0" applyNumberFormat="1" applyFont="1" applyFill="1" applyBorder="1" applyAlignment="1" applyProtection="1"/>
    <xf numFmtId="0" fontId="2" fillId="24" borderId="44" xfId="0" applyNumberFormat="1" applyFont="1" applyFill="1" applyBorder="1" applyAlignment="1" applyProtection="1"/>
    <xf numFmtId="0" fontId="2" fillId="18" borderId="44" xfId="0" applyNumberFormat="1" applyFont="1" applyFill="1" applyBorder="1" applyAlignment="1" applyProtection="1"/>
    <xf numFmtId="0" fontId="2" fillId="27" borderId="44" xfId="0" applyNumberFormat="1" applyFont="1" applyFill="1" applyBorder="1" applyAlignment="1" applyProtection="1"/>
    <xf numFmtId="0" fontId="54" fillId="0" borderId="125" xfId="0" applyNumberFormat="1" applyFont="1" applyFill="1" applyBorder="1" applyAlignment="1" applyProtection="1">
      <alignment horizontal="center" vertical="center" wrapText="1"/>
    </xf>
    <xf numFmtId="0" fontId="54" fillId="0" borderId="126" xfId="0" applyNumberFormat="1" applyFont="1" applyFill="1" applyBorder="1" applyAlignment="1" applyProtection="1">
      <alignment horizontal="center" vertical="center" wrapText="1"/>
    </xf>
    <xf numFmtId="4" fontId="53" fillId="22" borderId="75" xfId="0" applyNumberFormat="1" applyFont="1" applyFill="1" applyBorder="1" applyAlignment="1" applyProtection="1"/>
    <xf numFmtId="4" fontId="53" fillId="24" borderId="74" xfId="0" applyNumberFormat="1" applyFont="1" applyFill="1" applyBorder="1" applyAlignment="1" applyProtection="1"/>
    <xf numFmtId="4" fontId="53" fillId="28" borderId="74" xfId="0" applyNumberFormat="1" applyFont="1" applyFill="1" applyBorder="1" applyAlignment="1" applyProtection="1"/>
    <xf numFmtId="4" fontId="53" fillId="18" borderId="74" xfId="0" applyNumberFormat="1" applyFont="1" applyFill="1" applyBorder="1" applyAlignment="1" applyProtection="1"/>
    <xf numFmtId="4" fontId="53" fillId="27" borderId="74" xfId="0" applyNumberFormat="1" applyFont="1" applyFill="1" applyBorder="1" applyAlignment="1" applyProtection="1"/>
    <xf numFmtId="4" fontId="6" fillId="32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/>
    </xf>
    <xf numFmtId="4" fontId="2" fillId="34" borderId="0" xfId="0" applyNumberFormat="1" applyFont="1" applyFill="1" applyBorder="1" applyAlignment="1" applyProtection="1">
      <alignment horizontal="right"/>
    </xf>
    <xf numFmtId="4" fontId="54" fillId="0" borderId="0" xfId="0" applyNumberFormat="1" applyFont="1" applyFill="1" applyBorder="1" applyAlignment="1" applyProtection="1">
      <alignment horizontal="right"/>
    </xf>
    <xf numFmtId="4" fontId="53" fillId="22" borderId="74" xfId="0" applyNumberFormat="1" applyFont="1" applyFill="1" applyBorder="1" applyAlignment="1" applyProtection="1"/>
    <xf numFmtId="4" fontId="53" fillId="18" borderId="124" xfId="0" applyNumberFormat="1" applyFont="1" applyFill="1" applyBorder="1" applyAlignment="1" applyProtection="1"/>
    <xf numFmtId="4" fontId="53" fillId="0" borderId="75" xfId="0" applyNumberFormat="1" applyFont="1" applyFill="1" applyBorder="1" applyAlignment="1" applyProtection="1"/>
    <xf numFmtId="4" fontId="53" fillId="0" borderId="74" xfId="0" applyNumberFormat="1" applyFont="1" applyFill="1" applyBorder="1" applyAlignment="1" applyProtection="1"/>
    <xf numFmtId="4" fontId="53" fillId="26" borderId="74" xfId="0" applyNumberFormat="1" applyFont="1" applyFill="1" applyBorder="1" applyAlignment="1" applyProtection="1"/>
    <xf numFmtId="4" fontId="53" fillId="26" borderId="124" xfId="0" applyNumberFormat="1" applyFont="1" applyFill="1" applyBorder="1" applyAlignment="1" applyProtection="1"/>
    <xf numFmtId="0" fontId="2" fillId="35" borderId="0" xfId="0" applyFont="1" applyFill="1" applyBorder="1" applyAlignment="1" applyProtection="1"/>
    <xf numFmtId="178" fontId="2" fillId="35" borderId="0" xfId="0" applyNumberFormat="1" applyFont="1" applyFill="1" applyBorder="1" applyAlignment="1" applyProtection="1"/>
    <xf numFmtId="0" fontId="49" fillId="35" borderId="107" xfId="0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Protection="1">
      <protection locked="0"/>
    </xf>
    <xf numFmtId="0" fontId="45" fillId="35" borderId="107" xfId="0" applyFont="1" applyFill="1" applyBorder="1" applyProtection="1">
      <protection locked="0"/>
    </xf>
    <xf numFmtId="0" fontId="45" fillId="35" borderId="107" xfId="1" applyFont="1" applyFill="1" applyBorder="1" applyProtection="1">
      <protection locked="0"/>
    </xf>
    <xf numFmtId="0" fontId="49" fillId="35" borderId="107" xfId="0" applyFont="1" applyFill="1" applyBorder="1" applyProtection="1">
      <protection locked="0"/>
    </xf>
    <xf numFmtId="0" fontId="49" fillId="35" borderId="117" xfId="0" applyFont="1" applyFill="1" applyBorder="1" applyAlignment="1" applyProtection="1">
      <alignment horizontal="right"/>
      <protection locked="0"/>
    </xf>
    <xf numFmtId="0" fontId="49" fillId="35" borderId="107" xfId="6" applyFont="1" applyFill="1" applyBorder="1" applyAlignment="1" applyProtection="1">
      <alignment horizontal="right"/>
      <protection locked="0"/>
    </xf>
    <xf numFmtId="0" fontId="45" fillId="35" borderId="106" xfId="0" applyFont="1" applyFill="1" applyBorder="1" applyAlignment="1" applyProtection="1">
      <alignment horizontal="right"/>
      <protection locked="0"/>
    </xf>
    <xf numFmtId="0" fontId="45" fillId="35" borderId="121" xfId="0" applyFont="1" applyFill="1" applyBorder="1" applyProtection="1">
      <protection locked="0"/>
    </xf>
    <xf numFmtId="0" fontId="45" fillId="35" borderId="0" xfId="0" applyFont="1" applyFill="1" applyBorder="1" applyProtection="1">
      <protection locked="0"/>
    </xf>
    <xf numFmtId="0" fontId="45" fillId="35" borderId="2" xfId="6" applyFill="1" applyBorder="1" applyAlignment="1" applyProtection="1">
      <alignment horizontal="right"/>
      <protection locked="0"/>
    </xf>
    <xf numFmtId="0" fontId="49" fillId="35" borderId="103" xfId="0" applyFont="1" applyFill="1" applyBorder="1" applyAlignment="1" applyProtection="1">
      <alignment horizontal="right"/>
      <protection locked="0"/>
    </xf>
    <xf numFmtId="175" fontId="45" fillId="35" borderId="35" xfId="0" applyNumberFormat="1" applyFont="1" applyFill="1" applyBorder="1"/>
    <xf numFmtId="2" fontId="39" fillId="35" borderId="43" xfId="2" applyNumberFormat="1" applyFont="1" applyFill="1" applyBorder="1"/>
    <xf numFmtId="2" fontId="39" fillId="35" borderId="64" xfId="2" applyNumberFormat="1" applyFont="1" applyFill="1" applyBorder="1"/>
    <xf numFmtId="170" fontId="42" fillId="35" borderId="43" xfId="2" applyNumberFormat="1" applyFont="1" applyFill="1" applyBorder="1"/>
    <xf numFmtId="49" fontId="39" fillId="35" borderId="43" xfId="2" applyNumberFormat="1" applyFont="1" applyFill="1" applyBorder="1"/>
    <xf numFmtId="0" fontId="60" fillId="0" borderId="0" xfId="2" applyFont="1"/>
    <xf numFmtId="168" fontId="37" fillId="35" borderId="53" xfId="2" applyNumberFormat="1" applyFont="1" applyFill="1" applyBorder="1"/>
    <xf numFmtId="4" fontId="22" fillId="35" borderId="43" xfId="1" applyNumberFormat="1" applyFill="1" applyBorder="1" applyAlignment="1" applyProtection="1">
      <alignment vertical="center"/>
      <protection locked="0"/>
    </xf>
    <xf numFmtId="4" fontId="2" fillId="35" borderId="0" xfId="0" applyNumberFormat="1" applyFont="1" applyFill="1" applyBorder="1" applyAlignment="1" applyProtection="1"/>
    <xf numFmtId="0" fontId="2" fillId="35" borderId="44" xfId="0" applyNumberFormat="1" applyFont="1" applyFill="1" applyBorder="1" applyAlignment="1" applyProtection="1"/>
    <xf numFmtId="4" fontId="5" fillId="35" borderId="0" xfId="0" applyNumberFormat="1" applyFont="1" applyFill="1" applyBorder="1" applyAlignment="1" applyProtection="1">
      <alignment horizontal="right" vertical="center"/>
    </xf>
    <xf numFmtId="4" fontId="3" fillId="35" borderId="0" xfId="0" applyNumberFormat="1" applyFont="1" applyFill="1" applyBorder="1" applyAlignment="1" applyProtection="1">
      <alignment horizontal="right" vertical="center"/>
    </xf>
    <xf numFmtId="4" fontId="5" fillId="35" borderId="21" xfId="0" applyNumberFormat="1" applyFont="1" applyFill="1" applyBorder="1" applyAlignment="1" applyProtection="1">
      <alignment horizontal="right" vertical="center"/>
    </xf>
    <xf numFmtId="4" fontId="5" fillId="35" borderId="3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28" xfId="0" applyNumberFormat="1" applyFont="1" applyFill="1" applyBorder="1" applyAlignment="1" applyProtection="1">
      <alignment horizontal="left" vertical="center"/>
    </xf>
    <xf numFmtId="0" fontId="4" fillId="0" borderId="20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left" vertical="center"/>
    </xf>
    <xf numFmtId="0" fontId="4" fillId="0" borderId="6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27" xfId="0" applyNumberFormat="1" applyFont="1" applyFill="1" applyBorder="1" applyAlignment="1" applyProtection="1">
      <alignment horizontal="left" vertical="center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17" xfId="0" applyNumberFormat="1" applyFont="1" applyFill="1" applyBorder="1" applyAlignment="1" applyProtection="1">
      <alignment horizontal="left" vertical="center"/>
    </xf>
    <xf numFmtId="0" fontId="4" fillId="0" borderId="11" xfId="0" applyNumberFormat="1" applyFont="1" applyFill="1" applyBorder="1" applyAlignment="1" applyProtection="1">
      <alignment horizontal="left" vertical="center"/>
    </xf>
    <xf numFmtId="0" fontId="8" fillId="4" borderId="9" xfId="0" applyNumberFormat="1" applyFont="1" applyFill="1" applyBorder="1" applyAlignment="1" applyProtection="1">
      <alignment horizontal="left" vertical="center"/>
    </xf>
    <xf numFmtId="0" fontId="8" fillId="4" borderId="10" xfId="0" applyNumberFormat="1" applyFont="1" applyFill="1" applyBorder="1" applyAlignment="1" applyProtection="1">
      <alignment horizontal="left" vertical="center"/>
    </xf>
    <xf numFmtId="0" fontId="8" fillId="4" borderId="32" xfId="0" applyNumberFormat="1" applyFont="1" applyFill="1" applyBorder="1" applyAlignment="1" applyProtection="1">
      <alignment horizontal="left" vertical="center"/>
    </xf>
    <xf numFmtId="0" fontId="8" fillId="4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21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8" fillId="0" borderId="32" xfId="0" applyNumberFormat="1" applyFont="1" applyFill="1" applyBorder="1" applyAlignment="1" applyProtection="1">
      <alignment horizontal="left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left" vertical="center" wrapText="1"/>
    </xf>
    <xf numFmtId="0" fontId="5" fillId="0" borderId="16" xfId="0" applyNumberFormat="1" applyFont="1" applyFill="1" applyBorder="1" applyAlignment="1" applyProtection="1">
      <alignment horizontal="left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32" xfId="0" applyNumberFormat="1" applyFont="1" applyFill="1" applyBorder="1" applyAlignment="1" applyProtection="1">
      <alignment horizontal="left" vertical="center"/>
    </xf>
    <xf numFmtId="0" fontId="5" fillId="0" borderId="35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1" fontId="5" fillId="0" borderId="3" xfId="0" applyNumberFormat="1" applyFont="1" applyFill="1" applyBorder="1" applyAlignment="1" applyProtection="1">
      <alignment horizontal="left" vertical="center"/>
    </xf>
    <xf numFmtId="14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21" xfId="0" applyNumberFormat="1" applyFont="1" applyFill="1" applyBorder="1" applyAlignment="1" applyProtection="1">
      <alignment horizontal="left" vertical="center"/>
    </xf>
    <xf numFmtId="0" fontId="6" fillId="18" borderId="34" xfId="0" applyNumberFormat="1" applyFont="1" applyFill="1" applyBorder="1" applyAlignment="1" applyProtection="1">
      <alignment horizontal="left" vertical="center"/>
    </xf>
    <xf numFmtId="0" fontId="6" fillId="18" borderId="15" xfId="0" applyNumberFormat="1" applyFont="1" applyFill="1" applyBorder="1" applyAlignment="1" applyProtection="1">
      <alignment horizontal="left" vertical="center"/>
    </xf>
    <xf numFmtId="0" fontId="6" fillId="18" borderId="12" xfId="0" applyNumberFormat="1" applyFont="1" applyFill="1" applyBorder="1" applyAlignment="1" applyProtection="1">
      <alignment horizontal="left" vertical="center"/>
    </xf>
    <xf numFmtId="4" fontId="8" fillId="18" borderId="15" xfId="0" applyNumberFormat="1" applyFont="1" applyFill="1" applyBorder="1" applyAlignment="1" applyProtection="1">
      <alignment horizontal="right" vertical="center"/>
    </xf>
    <xf numFmtId="0" fontId="8" fillId="18" borderId="15" xfId="0" applyNumberFormat="1" applyFont="1" applyFill="1" applyBorder="1" applyAlignment="1" applyProtection="1">
      <alignment horizontal="right" vertical="center"/>
    </xf>
    <xf numFmtId="0" fontId="8" fillId="18" borderId="12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6" fillId="0" borderId="24" xfId="0" applyNumberFormat="1" applyFont="1" applyFill="1" applyBorder="1" applyAlignment="1" applyProtection="1">
      <alignment horizontal="left" vertical="center"/>
    </xf>
    <xf numFmtId="0" fontId="8" fillId="18" borderId="34" xfId="0" applyNumberFormat="1" applyFont="1" applyFill="1" applyBorder="1" applyAlignment="1" applyProtection="1">
      <alignment horizontal="left" vertical="center"/>
    </xf>
    <xf numFmtId="0" fontId="8" fillId="18" borderId="15" xfId="0" applyNumberFormat="1" applyFont="1" applyFill="1" applyBorder="1" applyAlignment="1" applyProtection="1">
      <alignment horizontal="left" vertical="center"/>
    </xf>
    <xf numFmtId="0" fontId="8" fillId="18" borderId="1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15" xfId="0" applyNumberFormat="1" applyFont="1" applyFill="1" applyBorder="1" applyAlignment="1" applyProtection="1">
      <alignment horizontal="left" vertical="center"/>
    </xf>
    <xf numFmtId="0" fontId="6" fillId="0" borderId="12" xfId="0" applyNumberFormat="1" applyFont="1" applyFill="1" applyBorder="1" applyAlignment="1" applyProtection="1">
      <alignment horizontal="left" vertical="center"/>
    </xf>
    <xf numFmtId="0" fontId="5" fillId="18" borderId="32" xfId="0" applyNumberFormat="1" applyFont="1" applyFill="1" applyBorder="1" applyAlignment="1" applyProtection="1">
      <alignment horizontal="left" vertical="center"/>
    </xf>
    <xf numFmtId="0" fontId="5" fillId="18" borderId="5" xfId="0" applyNumberFormat="1" applyFont="1" applyFill="1" applyBorder="1" applyAlignment="1" applyProtection="1">
      <alignment horizontal="left" vertical="center"/>
    </xf>
    <xf numFmtId="0" fontId="5" fillId="18" borderId="21" xfId="0" applyNumberFormat="1" applyFont="1" applyFill="1" applyBorder="1" applyAlignment="1" applyProtection="1">
      <alignment horizontal="left" vertical="center"/>
    </xf>
    <xf numFmtId="0" fontId="56" fillId="0" borderId="0" xfId="0" applyNumberFormat="1" applyFont="1" applyFill="1" applyBorder="1" applyAlignment="1" applyProtection="1">
      <alignment horizontal="left" vertical="center" wrapText="1"/>
    </xf>
    <xf numFmtId="0" fontId="5" fillId="26" borderId="0" xfId="0" applyNumberFormat="1" applyFont="1" applyFill="1" applyBorder="1" applyAlignment="1" applyProtection="1">
      <alignment horizontal="left" vertical="center"/>
    </xf>
    <xf numFmtId="0" fontId="5" fillId="22" borderId="0" xfId="0" applyNumberFormat="1" applyFont="1" applyFill="1" applyBorder="1" applyAlignment="1" applyProtection="1">
      <alignment horizontal="left" vertical="center"/>
    </xf>
    <xf numFmtId="0" fontId="5" fillId="27" borderId="0" xfId="0" applyNumberFormat="1" applyFont="1" applyFill="1" applyBorder="1" applyAlignment="1" applyProtection="1">
      <alignment horizontal="left" vertical="center"/>
    </xf>
    <xf numFmtId="0" fontId="5" fillId="24" borderId="0" xfId="0" applyNumberFormat="1" applyFont="1" applyFill="1" applyBorder="1" applyAlignment="1" applyProtection="1">
      <alignment horizontal="left" vertical="center"/>
    </xf>
    <xf numFmtId="0" fontId="5" fillId="27" borderId="5" xfId="0" applyNumberFormat="1" applyFont="1" applyFill="1" applyBorder="1" applyAlignment="1" applyProtection="1">
      <alignment horizontal="left" vertical="center"/>
    </xf>
    <xf numFmtId="0" fontId="5" fillId="0" borderId="20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4" xfId="0" applyNumberFormat="1" applyFont="1" applyFill="1" applyBorder="1" applyAlignment="1" applyProtection="1">
      <alignment horizontal="center" vertical="center"/>
    </xf>
    <xf numFmtId="0" fontId="5" fillId="28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 wrapText="1"/>
    </xf>
    <xf numFmtId="0" fontId="52" fillId="0" borderId="0" xfId="0" applyNumberFormat="1" applyFont="1" applyFill="1" applyBorder="1" applyAlignment="1" applyProtection="1">
      <alignment horizontal="left" vertical="center"/>
    </xf>
    <xf numFmtId="0" fontId="6" fillId="3" borderId="0" xfId="0" applyNumberFormat="1" applyFont="1" applyFill="1" applyBorder="1" applyAlignment="1" applyProtection="1">
      <alignment horizontal="lef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5" fillId="5" borderId="0" xfId="0" applyNumberFormat="1" applyFont="1" applyFill="1" applyBorder="1" applyAlignment="1" applyProtection="1">
      <alignment horizontal="left" vertical="center"/>
    </xf>
    <xf numFmtId="0" fontId="3" fillId="24" borderId="0" xfId="0" applyNumberFormat="1" applyFont="1" applyFill="1" applyBorder="1" applyAlignment="1" applyProtection="1">
      <alignment horizontal="left" vertical="center"/>
    </xf>
    <xf numFmtId="0" fontId="3" fillId="22" borderId="0" xfId="0" applyNumberFormat="1" applyFont="1" applyFill="1" applyBorder="1" applyAlignment="1" applyProtection="1">
      <alignment horizontal="left" vertical="center"/>
    </xf>
    <xf numFmtId="0" fontId="3" fillId="18" borderId="0" xfId="0" applyNumberFormat="1" applyFont="1" applyFill="1" applyBorder="1" applyAlignment="1" applyProtection="1">
      <alignment horizontal="left" vertical="center"/>
    </xf>
    <xf numFmtId="0" fontId="5" fillId="18" borderId="0" xfId="0" applyNumberFormat="1" applyFont="1" applyFill="1" applyBorder="1" applyAlignment="1" applyProtection="1">
      <alignment horizontal="left" vertical="center"/>
    </xf>
    <xf numFmtId="0" fontId="6" fillId="6" borderId="0" xfId="0" applyNumberFormat="1" applyFon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6" fillId="21" borderId="0" xfId="0" applyNumberFormat="1" applyFont="1" applyFill="1" applyBorder="1" applyAlignment="1" applyProtection="1">
      <alignment horizontal="left" vertical="center"/>
    </xf>
    <xf numFmtId="0" fontId="6" fillId="25" borderId="0" xfId="0" applyNumberFormat="1" applyFont="1" applyFill="1" applyBorder="1" applyAlignment="1" applyProtection="1">
      <alignment horizontal="left" vertical="center"/>
    </xf>
    <xf numFmtId="0" fontId="6" fillId="19" borderId="0" xfId="0" applyNumberFormat="1" applyFont="1" applyFill="1" applyBorder="1" applyAlignment="1" applyProtection="1">
      <alignment horizontal="left" vertical="center"/>
    </xf>
    <xf numFmtId="0" fontId="6" fillId="0" borderId="29" xfId="0" applyNumberFormat="1" applyFont="1" applyFill="1" applyBorder="1" applyAlignment="1" applyProtection="1">
      <alignment horizontal="left" vertical="center"/>
    </xf>
    <xf numFmtId="0" fontId="6" fillId="0" borderId="20" xfId="0" applyNumberFormat="1" applyFont="1" applyFill="1" applyBorder="1" applyAlignment="1" applyProtection="1">
      <alignment horizontal="left" vertical="center"/>
    </xf>
    <xf numFmtId="0" fontId="6" fillId="0" borderId="25" xfId="0" applyNumberFormat="1" applyFont="1" applyFill="1" applyBorder="1" applyAlignment="1" applyProtection="1">
      <alignment horizontal="left" vertical="center"/>
    </xf>
    <xf numFmtId="0" fontId="54" fillId="0" borderId="45" xfId="0" applyNumberFormat="1" applyFont="1" applyFill="1" applyBorder="1" applyAlignment="1" applyProtection="1">
      <alignment horizontal="center" vertical="center" wrapText="1"/>
    </xf>
    <xf numFmtId="0" fontId="2" fillId="0" borderId="47" xfId="0" applyNumberFormat="1" applyFont="1" applyFill="1" applyBorder="1" applyAlignment="1" applyProtection="1">
      <alignment horizontal="center" vertical="center" wrapText="1"/>
    </xf>
    <xf numFmtId="0" fontId="54" fillId="0" borderId="46" xfId="0" applyNumberFormat="1" applyFont="1" applyFill="1" applyBorder="1" applyAlignment="1" applyProtection="1">
      <alignment horizontal="center" vertical="center" wrapText="1"/>
    </xf>
    <xf numFmtId="0" fontId="54" fillId="0" borderId="72" xfId="0" applyNumberFormat="1" applyFont="1" applyFill="1" applyBorder="1" applyAlignment="1" applyProtection="1">
      <alignment horizontal="center" vertical="center" wrapText="1"/>
    </xf>
    <xf numFmtId="0" fontId="2" fillId="0" borderId="73" xfId="0" applyNumberFormat="1" applyFont="1" applyFill="1" applyBorder="1" applyAlignment="1" applyProtection="1">
      <alignment horizontal="center" vertical="center" wrapText="1"/>
    </xf>
    <xf numFmtId="0" fontId="59" fillId="0" borderId="45" xfId="0" applyNumberFormat="1" applyFont="1" applyFill="1" applyBorder="1" applyAlignment="1" applyProtection="1">
      <alignment horizontal="center" vertical="center"/>
    </xf>
    <xf numFmtId="0" fontId="59" fillId="0" borderId="46" xfId="0" applyNumberFormat="1" applyFont="1" applyFill="1" applyBorder="1" applyAlignment="1" applyProtection="1">
      <alignment horizontal="center" vertical="center"/>
    </xf>
    <xf numFmtId="0" fontId="59" fillId="0" borderId="47" xfId="0" applyNumberFormat="1" applyFont="1" applyFill="1" applyBorder="1" applyAlignment="1" applyProtection="1">
      <alignment horizontal="center" vertical="center"/>
    </xf>
    <xf numFmtId="0" fontId="59" fillId="0" borderId="71" xfId="0" applyNumberFormat="1" applyFont="1" applyFill="1" applyBorder="1" applyAlignment="1" applyProtection="1">
      <alignment horizontal="center" vertical="center"/>
    </xf>
    <xf numFmtId="0" fontId="59" fillId="0" borderId="72" xfId="0" applyNumberFormat="1" applyFont="1" applyFill="1" applyBorder="1" applyAlignment="1" applyProtection="1">
      <alignment horizontal="center" vertical="center"/>
    </xf>
    <xf numFmtId="0" fontId="59" fillId="0" borderId="73" xfId="0" applyNumberFormat="1" applyFont="1" applyFill="1" applyBorder="1" applyAlignment="1" applyProtection="1">
      <alignment horizontal="center" vertical="center"/>
    </xf>
    <xf numFmtId="0" fontId="58" fillId="26" borderId="75" xfId="0" applyNumberFormat="1" applyFont="1" applyFill="1" applyBorder="1" applyAlignment="1" applyProtection="1"/>
    <xf numFmtId="0" fontId="2" fillId="0" borderId="124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>
      <alignment horizontal="left" vertical="center"/>
    </xf>
    <xf numFmtId="4" fontId="53" fillId="0" borderId="75" xfId="0" applyNumberFormat="1" applyFont="1" applyFill="1" applyBorder="1" applyAlignment="1" applyProtection="1">
      <alignment horizontal="center" vertical="center"/>
    </xf>
    <xf numFmtId="4" fontId="53" fillId="0" borderId="74" xfId="0" applyNumberFormat="1" applyFont="1" applyFill="1" applyBorder="1" applyAlignment="1" applyProtection="1">
      <alignment horizontal="center" vertical="center"/>
    </xf>
    <xf numFmtId="4" fontId="53" fillId="0" borderId="124" xfId="0" applyNumberFormat="1" applyFont="1" applyFill="1" applyBorder="1" applyAlignment="1" applyProtection="1">
      <alignment horizontal="center" vertical="center"/>
    </xf>
    <xf numFmtId="4" fontId="53" fillId="33" borderId="75" xfId="0" applyNumberFormat="1" applyFont="1" applyFill="1" applyBorder="1" applyAlignment="1" applyProtection="1">
      <alignment horizontal="center" vertical="center"/>
    </xf>
    <xf numFmtId="4" fontId="53" fillId="33" borderId="74" xfId="0" applyNumberFormat="1" applyFont="1" applyFill="1" applyBorder="1" applyAlignment="1" applyProtection="1">
      <alignment horizontal="center" vertical="center"/>
    </xf>
    <xf numFmtId="4" fontId="53" fillId="33" borderId="124" xfId="0" applyNumberFormat="1" applyFont="1" applyFill="1" applyBorder="1" applyAlignment="1" applyProtection="1">
      <alignment horizontal="center" vertical="center"/>
    </xf>
    <xf numFmtId="4" fontId="53" fillId="22" borderId="75" xfId="0" applyNumberFormat="1" applyFont="1" applyFill="1" applyBorder="1" applyAlignment="1" applyProtection="1">
      <alignment horizontal="center"/>
    </xf>
    <xf numFmtId="0" fontId="2" fillId="0" borderId="74" xfId="0" applyNumberFormat="1" applyFont="1" applyFill="1" applyBorder="1" applyAlignment="1" applyProtection="1">
      <alignment horizontal="center"/>
    </xf>
    <xf numFmtId="4" fontId="53" fillId="24" borderId="74" xfId="0" applyNumberFormat="1" applyFont="1" applyFill="1" applyBorder="1" applyAlignment="1" applyProtection="1">
      <alignment horizontal="center"/>
    </xf>
    <xf numFmtId="0" fontId="2" fillId="24" borderId="74" xfId="0" applyNumberFormat="1" applyFont="1" applyFill="1" applyBorder="1" applyAlignment="1" applyProtection="1">
      <alignment horizontal="center"/>
    </xf>
    <xf numFmtId="4" fontId="53" fillId="18" borderId="74" xfId="0" applyNumberFormat="1" applyFont="1" applyFill="1" applyBorder="1" applyAlignment="1" applyProtection="1">
      <alignment horizontal="center"/>
    </xf>
    <xf numFmtId="0" fontId="2" fillId="0" borderId="124" xfId="0" applyNumberFormat="1" applyFont="1" applyFill="1" applyBorder="1" applyAlignment="1" applyProtection="1">
      <alignment horizontal="center"/>
    </xf>
    <xf numFmtId="0" fontId="54" fillId="0" borderId="71" xfId="0" applyNumberFormat="1" applyFont="1" applyFill="1" applyBorder="1" applyAlignment="1" applyProtection="1">
      <alignment horizontal="center" vertical="center" wrapText="1"/>
    </xf>
    <xf numFmtId="0" fontId="2" fillId="28" borderId="75" xfId="0" applyNumberFormat="1" applyFont="1" applyFill="1" applyBorder="1" applyAlignment="1" applyProtection="1"/>
    <xf numFmtId="0" fontId="54" fillId="0" borderId="75" xfId="0" applyNumberFormat="1" applyFont="1" applyFill="1" applyBorder="1" applyAlignment="1" applyProtection="1"/>
    <xf numFmtId="0" fontId="2" fillId="0" borderId="74" xfId="0" applyNumberFormat="1" applyFont="1" applyFill="1" applyBorder="1" applyAlignment="1" applyProtection="1"/>
    <xf numFmtId="0" fontId="47" fillId="0" borderId="97" xfId="0" applyFont="1" applyFill="1" applyBorder="1" applyAlignment="1" applyProtection="1">
      <alignment horizontal="center"/>
      <protection locked="0"/>
    </xf>
    <xf numFmtId="0" fontId="47" fillId="0" borderId="98" xfId="0" applyFont="1" applyFill="1" applyBorder="1" applyAlignment="1" applyProtection="1">
      <alignment horizontal="center"/>
      <protection locked="0"/>
    </xf>
    <xf numFmtId="2" fontId="39" fillId="0" borderId="43" xfId="2" applyNumberFormat="1" applyFont="1" applyFill="1" applyBorder="1"/>
  </cellXfs>
  <cellStyles count="9">
    <cellStyle name="Normální" xfId="0" builtinId="0"/>
    <cellStyle name="normální 17" xfId="5" xr:uid="{00000000-0005-0000-0000-000001000000}"/>
    <cellStyle name="Normální 2" xfId="1" xr:uid="{00000000-0005-0000-0000-000002000000}"/>
    <cellStyle name="normální 21" xfId="6" xr:uid="{00000000-0005-0000-0000-000003000000}"/>
    <cellStyle name="Normální 3" xfId="2" xr:uid="{00000000-0005-0000-0000-000004000000}"/>
    <cellStyle name="normální 4" xfId="7" xr:uid="{00000000-0005-0000-0000-000005000000}"/>
    <cellStyle name="normální 6" xfId="8" xr:uid="{00000000-0005-0000-0000-000006000000}"/>
    <cellStyle name="normální_Kalkulace_UT" xfId="3" xr:uid="{00000000-0005-0000-0000-000007000000}"/>
    <cellStyle name="normální_List1" xfId="4" xr:uid="{00000000-0005-0000-0000-000008000000}"/>
  </cellStyles>
  <dxfs count="0"/>
  <tableStyles count="0" defaultTableStyle="TableStyleMedium2" defaultPivotStyle="PivotStyleLight16"/>
  <colors>
    <mruColors>
      <color rgb="FF66FF33"/>
      <color rgb="FFFF33CC"/>
      <color rgb="FFFFCCFF"/>
      <color rgb="FFCCECFF"/>
      <color rgb="FF99FF99"/>
      <color rgb="FF00FFFF"/>
      <color rgb="FFFF66CC"/>
      <color rgb="FFFF99FF"/>
      <color rgb="FF33CC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VZT%202023\03_P&#345;edpokl&#225;dan&#253;%20soupis%20materi&#225;lu%20a%20prac&#237;_SC_VZ%20-%20p&#345;evod%20do%20z&#225;lo&#382;ky%20RZP%20-%202.xlsx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VZT%202023/03_P&#345;edpokl&#225;dan&#253;%20soupis%20materi&#225;lu%20a%20prac&#237;_SC_VZ%20-%20p&#345;evod%20do%20z&#225;lo&#382;ky%20RZP%20-%20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cuments\A%20ADMIN\PROJEKTY\Mal&#253;%20&#250;jezd%20-%20obec%20-%20VAV&#344;INE&#268;%20-%20OD\VAV&#344;INE&#268;%20-%20OD%20-%20TOP%202023\ROZ_&#218;V_r1%20-%20p&#345;evod%20do%20z&#225;lo&#382;ky%20RZP.xls" TargetMode="External"/><Relationship Id="rId1" Type="http://schemas.openxmlformats.org/officeDocument/2006/relationships/externalLinkPath" Target="/Users/admin/Documents/A%20ADMIN/PROJEKTY/Mal&#253;%20&#250;jezd%20-%20obec%20-%20VAV&#344;INE&#268;%20-%20OD/VAV&#344;INE&#268;%20-%20OD%20-%20TOP%202023/ROZ_&#218;V_r1%20-%20p&#345;evod%20do%20z&#225;lo&#382;ky%20RZ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Rozpočet"/>
      <sheetName val="Parametry"/>
    </sheetNames>
    <sheetDataSet>
      <sheetData sheetId="0"/>
      <sheetData sheetId="1"/>
      <sheetData sheetId="2">
        <row r="16">
          <cell r="B16">
            <v>6</v>
          </cell>
        </row>
        <row r="17">
          <cell r="B17">
            <v>5</v>
          </cell>
        </row>
        <row r="18">
          <cell r="B18">
            <v>5</v>
          </cell>
        </row>
        <row r="19">
          <cell r="B19">
            <v>1.6</v>
          </cell>
        </row>
        <row r="20">
          <cell r="B20">
            <v>0</v>
          </cell>
        </row>
        <row r="21">
          <cell r="B21">
            <v>0</v>
          </cell>
        </row>
        <row r="22">
          <cell r="B22">
            <v>0</v>
          </cell>
        </row>
        <row r="29">
          <cell r="B29">
            <v>21</v>
          </cell>
        </row>
        <row r="30">
          <cell r="B3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itulace"/>
      <sheetName val="1"/>
      <sheetName val="2"/>
    </sheetNames>
    <sheetDataSet>
      <sheetData sheetId="0">
        <row r="4">
          <cell r="G4">
            <v>0.15</v>
          </cell>
          <cell r="H4">
            <v>0.21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 fitToPage="1"/>
  </sheetPr>
  <dimension ref="A1:I37"/>
  <sheetViews>
    <sheetView tabSelected="1" showOutlineSymbols="0" zoomScale="70" zoomScaleNormal="70" workbookViewId="0">
      <selection activeCell="J46" sqref="J46"/>
    </sheetView>
  </sheetViews>
  <sheetFormatPr defaultColWidth="21.28515625" defaultRowHeight="15" customHeight="1"/>
  <cols>
    <col min="1" max="1" width="16"/>
    <col min="2" max="2" width="22.42578125"/>
    <col min="3" max="3" width="47.42578125"/>
    <col min="4" max="4" width="17.42578125"/>
    <col min="5" max="5" width="24.42578125"/>
    <col min="6" max="6" width="47.42578125"/>
    <col min="7" max="7" width="16"/>
    <col min="8" max="8" width="22.42578125"/>
    <col min="9" max="9" width="47.42578125"/>
  </cols>
  <sheetData>
    <row r="1" spans="1:9" ht="28" customHeight="1">
      <c r="A1" s="664" t="s">
        <v>729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1960</v>
      </c>
      <c r="F2" s="658" t="str">
        <f>'Stavební rozpočet'!I2</f>
        <v>Obec Malý Újezd</v>
      </c>
      <c r="G2" s="659"/>
      <c r="H2" s="658" t="s">
        <v>1492</v>
      </c>
      <c r="I2" s="670" t="s">
        <v>915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1264</v>
      </c>
      <c r="B4" s="630"/>
      <c r="C4" s="629" t="str">
        <f>'Stavební rozpočet'!C4</f>
        <v>Rekonstrukce a rozšíření objektu</v>
      </c>
      <c r="D4" s="630"/>
      <c r="E4" s="629" t="s">
        <v>1591</v>
      </c>
      <c r="F4" s="629" t="str">
        <f>'Stavební rozpočet'!I4</f>
        <v> </v>
      </c>
      <c r="G4" s="630"/>
      <c r="H4" s="629" t="s">
        <v>1492</v>
      </c>
      <c r="I4" s="671" t="s">
        <v>1597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2037</v>
      </c>
      <c r="F6" s="629" t="str">
        <f>'Stavební rozpočet'!I6</f>
        <v>vzejde z výběrového řízení</v>
      </c>
      <c r="G6" s="630"/>
      <c r="H6" s="629" t="s">
        <v>1492</v>
      </c>
      <c r="I6" s="671" t="s">
        <v>1597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2061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2338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1126</v>
      </c>
      <c r="B10" s="630"/>
      <c r="C10" s="629" t="str">
        <f>'Stavební rozpočet'!C8</f>
        <v>8018912</v>
      </c>
      <c r="D10" s="630"/>
      <c r="E10" s="629" t="s">
        <v>1526</v>
      </c>
      <c r="F10" s="629" t="str">
        <f>'Stavební rozpočet'!I8</f>
        <v>Ing. Jiří Šír - VISTA</v>
      </c>
      <c r="G10" s="630"/>
      <c r="H10" s="630" t="s">
        <v>2256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2" spans="1:9" ht="22.5" customHeight="1">
      <c r="A12" s="657" t="s">
        <v>392</v>
      </c>
      <c r="B12" s="657"/>
      <c r="C12" s="657"/>
      <c r="D12" s="657"/>
      <c r="E12" s="657"/>
      <c r="F12" s="657"/>
      <c r="G12" s="657"/>
      <c r="H12" s="657"/>
      <c r="I12" s="657"/>
    </row>
    <row r="13" spans="1:9" ht="26.25" customHeight="1">
      <c r="A13" s="29" t="s">
        <v>2080</v>
      </c>
      <c r="B13" s="652" t="s">
        <v>272</v>
      </c>
      <c r="C13" s="653"/>
      <c r="D13" s="99" t="s">
        <v>419</v>
      </c>
      <c r="E13" s="652" t="s">
        <v>833</v>
      </c>
      <c r="F13" s="653"/>
      <c r="G13" s="99" t="s">
        <v>1469</v>
      </c>
      <c r="H13" s="652" t="s">
        <v>423</v>
      </c>
      <c r="I13" s="653"/>
    </row>
    <row r="14" spans="1:9" ht="15" customHeight="1">
      <c r="A14" s="76" t="s">
        <v>855</v>
      </c>
      <c r="B14" s="49" t="s">
        <v>582</v>
      </c>
      <c r="C14" s="33">
        <f>SUM('Stavební rozpočet'!AD12:AD1564)</f>
        <v>0</v>
      </c>
      <c r="D14" s="644" t="s">
        <v>1663</v>
      </c>
      <c r="E14" s="645"/>
      <c r="F14" s="33">
        <f>VORN!I15</f>
        <v>0</v>
      </c>
      <c r="G14" s="644" t="s">
        <v>234</v>
      </c>
      <c r="H14" s="645"/>
      <c r="I14" s="33">
        <f>VORN!I21</f>
        <v>0</v>
      </c>
    </row>
    <row r="15" spans="1:9" ht="15" customHeight="1">
      <c r="A15" s="79" t="s">
        <v>1597</v>
      </c>
      <c r="B15" s="49" t="s">
        <v>437</v>
      </c>
      <c r="C15" s="33">
        <f>SUM('Stavební rozpočet'!AE12:AE1564)</f>
        <v>0</v>
      </c>
      <c r="D15" s="644" t="s">
        <v>227</v>
      </c>
      <c r="E15" s="645"/>
      <c r="F15" s="33">
        <f>VORN!I16</f>
        <v>0</v>
      </c>
      <c r="G15" s="644" t="s">
        <v>1834</v>
      </c>
      <c r="H15" s="645"/>
      <c r="I15" s="33">
        <f>VORN!I22</f>
        <v>0</v>
      </c>
    </row>
    <row r="16" spans="1:9" ht="15" customHeight="1">
      <c r="A16" s="76" t="s">
        <v>214</v>
      </c>
      <c r="B16" s="49" t="s">
        <v>582</v>
      </c>
      <c r="C16" s="33">
        <f>SUM('Stavební rozpočet'!AF12:AF1564)</f>
        <v>0</v>
      </c>
      <c r="D16" s="644" t="s">
        <v>1709</v>
      </c>
      <c r="E16" s="645"/>
      <c r="F16" s="33">
        <f>VORN!I17</f>
        <v>0</v>
      </c>
      <c r="G16" s="644" t="s">
        <v>2226</v>
      </c>
      <c r="H16" s="645"/>
      <c r="I16" s="33">
        <f>VORN!I23</f>
        <v>0</v>
      </c>
    </row>
    <row r="17" spans="1:9" ht="15" customHeight="1">
      <c r="A17" s="79" t="s">
        <v>1597</v>
      </c>
      <c r="B17" s="49" t="s">
        <v>437</v>
      </c>
      <c r="C17" s="33">
        <f>SUM('Stavební rozpočet'!AG12:AG1564)</f>
        <v>0</v>
      </c>
      <c r="D17" s="644" t="s">
        <v>1597</v>
      </c>
      <c r="E17" s="645"/>
      <c r="F17" s="73" t="s">
        <v>1597</v>
      </c>
      <c r="G17" s="644" t="s">
        <v>1225</v>
      </c>
      <c r="H17" s="645"/>
      <c r="I17" s="33">
        <f>VORN!I24</f>
        <v>0</v>
      </c>
    </row>
    <row r="18" spans="1:9" ht="15" customHeight="1">
      <c r="A18" s="76" t="s">
        <v>702</v>
      </c>
      <c r="B18" s="49" t="s">
        <v>582</v>
      </c>
      <c r="C18" s="33">
        <f>SUM('Stavební rozpočet'!AH12:AH1564)</f>
        <v>0</v>
      </c>
      <c r="D18" s="644" t="s">
        <v>1597</v>
      </c>
      <c r="E18" s="645"/>
      <c r="F18" s="73" t="s">
        <v>1597</v>
      </c>
      <c r="G18" s="644" t="s">
        <v>1498</v>
      </c>
      <c r="H18" s="645"/>
      <c r="I18" s="33">
        <f>VORN!I25</f>
        <v>0</v>
      </c>
    </row>
    <row r="19" spans="1:9" ht="15" customHeight="1">
      <c r="A19" s="79" t="s">
        <v>1597</v>
      </c>
      <c r="B19" s="49" t="s">
        <v>437</v>
      </c>
      <c r="C19" s="33">
        <f>SUM('Stavební rozpočet'!AI12:AI1564)</f>
        <v>0</v>
      </c>
      <c r="D19" s="644" t="s">
        <v>1597</v>
      </c>
      <c r="E19" s="645"/>
      <c r="F19" s="73" t="s">
        <v>1597</v>
      </c>
      <c r="G19" s="644" t="s">
        <v>2290</v>
      </c>
      <c r="H19" s="645"/>
      <c r="I19" s="33">
        <f>VORN!I26</f>
        <v>0</v>
      </c>
    </row>
    <row r="20" spans="1:9" ht="15" customHeight="1">
      <c r="A20" s="651" t="s">
        <v>170</v>
      </c>
      <c r="B20" s="650"/>
      <c r="C20" s="33">
        <f>SUM('Stavební rozpočet'!AJ12:AJ1564)</f>
        <v>0</v>
      </c>
      <c r="D20" s="644" t="s">
        <v>1597</v>
      </c>
      <c r="E20" s="645"/>
      <c r="F20" s="73" t="s">
        <v>1597</v>
      </c>
      <c r="G20" s="644" t="s">
        <v>1597</v>
      </c>
      <c r="H20" s="645"/>
      <c r="I20" s="73" t="s">
        <v>1597</v>
      </c>
    </row>
    <row r="21" spans="1:9" ht="15" customHeight="1">
      <c r="A21" s="654" t="s">
        <v>2289</v>
      </c>
      <c r="B21" s="655"/>
      <c r="C21" s="61">
        <f>SUM('Stavební rozpočet'!AB12:AB1564)</f>
        <v>0</v>
      </c>
      <c r="D21" s="635" t="s">
        <v>1597</v>
      </c>
      <c r="E21" s="646"/>
      <c r="F21" s="34" t="s">
        <v>1597</v>
      </c>
      <c r="G21" s="635" t="s">
        <v>1597</v>
      </c>
      <c r="H21" s="646"/>
      <c r="I21" s="34" t="s">
        <v>1597</v>
      </c>
    </row>
    <row r="22" spans="1:9" ht="16.5" customHeight="1">
      <c r="A22" s="656" t="s">
        <v>452</v>
      </c>
      <c r="B22" s="648"/>
      <c r="C22" s="2">
        <f>SUM(C14:C21)</f>
        <v>0</v>
      </c>
      <c r="D22" s="647" t="s">
        <v>1190</v>
      </c>
      <c r="E22" s="648"/>
      <c r="F22" s="2">
        <f>SUM(F14:F21)</f>
        <v>0</v>
      </c>
      <c r="G22" s="647" t="s">
        <v>2341</v>
      </c>
      <c r="H22" s="648"/>
      <c r="I22" s="2">
        <f>SUM(I14:I21)</f>
        <v>0</v>
      </c>
    </row>
    <row r="23" spans="1:9" ht="15" customHeight="1">
      <c r="D23" s="651" t="s">
        <v>1847</v>
      </c>
      <c r="E23" s="650"/>
      <c r="F23" s="74">
        <v>0</v>
      </c>
      <c r="G23" s="649" t="s">
        <v>123</v>
      </c>
      <c r="H23" s="650"/>
      <c r="I23" s="33">
        <v>0</v>
      </c>
    </row>
    <row r="24" spans="1:9" ht="15" customHeight="1">
      <c r="G24" s="651" t="s">
        <v>1595</v>
      </c>
      <c r="H24" s="650"/>
      <c r="I24" s="33">
        <f>vorn_sum</f>
        <v>0</v>
      </c>
    </row>
    <row r="25" spans="1:9" ht="15" customHeight="1">
      <c r="G25" s="651" t="s">
        <v>1782</v>
      </c>
      <c r="H25" s="650"/>
      <c r="I25" s="33">
        <v>0</v>
      </c>
    </row>
    <row r="27" spans="1:9" ht="15" customHeight="1">
      <c r="A27" s="640" t="s">
        <v>931</v>
      </c>
      <c r="B27" s="641"/>
      <c r="C27" s="95">
        <f>SUM('Stavební rozpočet'!AL12:AL1564)</f>
        <v>0</v>
      </c>
    </row>
    <row r="28" spans="1:9" ht="15" customHeight="1">
      <c r="A28" s="642" t="s">
        <v>43</v>
      </c>
      <c r="B28" s="643"/>
      <c r="C28" s="81">
        <f>SUM('Stavební rozpočet'!AM12:AM1564)</f>
        <v>0</v>
      </c>
      <c r="D28" s="641" t="s">
        <v>509</v>
      </c>
      <c r="E28" s="641"/>
      <c r="F28" s="95">
        <f>ROUND(C28*(15/100),2)</f>
        <v>0</v>
      </c>
      <c r="G28" s="641" t="s">
        <v>317</v>
      </c>
      <c r="H28" s="641"/>
      <c r="I28" s="95">
        <f>SUM(C27:C29)</f>
        <v>0</v>
      </c>
    </row>
    <row r="29" spans="1:9" ht="15" customHeight="1">
      <c r="A29" s="642" t="s">
        <v>108</v>
      </c>
      <c r="B29" s="643"/>
      <c r="C29" s="81">
        <f>SUM('Stavební rozpočet'!AN12:AN1564)+(F22+I22+F23+I23+I24+I25)</f>
        <v>0</v>
      </c>
      <c r="D29" s="643" t="s">
        <v>1731</v>
      </c>
      <c r="E29" s="643"/>
      <c r="F29" s="81">
        <f>ROUND(C29*(21/100),2)</f>
        <v>0</v>
      </c>
      <c r="G29" s="643" t="s">
        <v>928</v>
      </c>
      <c r="H29" s="643"/>
      <c r="I29" s="81">
        <f>SUM(F28:F29)+I28</f>
        <v>0</v>
      </c>
    </row>
    <row r="31" spans="1:9" ht="15" customHeight="1">
      <c r="A31" s="631" t="s">
        <v>29</v>
      </c>
      <c r="B31" s="632"/>
      <c r="C31" s="633"/>
      <c r="D31" s="632" t="s">
        <v>2190</v>
      </c>
      <c r="E31" s="632"/>
      <c r="F31" s="633"/>
      <c r="G31" s="632" t="s">
        <v>1570</v>
      </c>
      <c r="H31" s="632"/>
      <c r="I31" s="633"/>
    </row>
    <row r="32" spans="1:9" ht="15" customHeight="1">
      <c r="A32" s="634" t="s">
        <v>1597</v>
      </c>
      <c r="B32" s="635"/>
      <c r="C32" s="636"/>
      <c r="D32" s="635" t="s">
        <v>1597</v>
      </c>
      <c r="E32" s="635"/>
      <c r="F32" s="636"/>
      <c r="G32" s="635" t="s">
        <v>1597</v>
      </c>
      <c r="H32" s="635"/>
      <c r="I32" s="636"/>
    </row>
    <row r="33" spans="1:9" ht="15" customHeight="1">
      <c r="A33" s="634" t="s">
        <v>1597</v>
      </c>
      <c r="B33" s="635"/>
      <c r="C33" s="636"/>
      <c r="D33" s="635" t="s">
        <v>1597</v>
      </c>
      <c r="E33" s="635"/>
      <c r="F33" s="636"/>
      <c r="G33" s="635" t="s">
        <v>1597</v>
      </c>
      <c r="H33" s="635"/>
      <c r="I33" s="636"/>
    </row>
    <row r="34" spans="1:9" ht="15" customHeight="1">
      <c r="A34" s="634" t="s">
        <v>1597</v>
      </c>
      <c r="B34" s="635"/>
      <c r="C34" s="636"/>
      <c r="D34" s="635" t="s">
        <v>1597</v>
      </c>
      <c r="E34" s="635"/>
      <c r="F34" s="636"/>
      <c r="G34" s="635" t="s">
        <v>1597</v>
      </c>
      <c r="H34" s="635"/>
      <c r="I34" s="636"/>
    </row>
    <row r="35" spans="1:9" ht="15" customHeight="1">
      <c r="A35" s="637" t="s">
        <v>443</v>
      </c>
      <c r="B35" s="638"/>
      <c r="C35" s="639"/>
      <c r="D35" s="638" t="s">
        <v>443</v>
      </c>
      <c r="E35" s="638"/>
      <c r="F35" s="639"/>
      <c r="G35" s="638" t="s">
        <v>443</v>
      </c>
      <c r="H35" s="638"/>
      <c r="I35" s="639"/>
    </row>
    <row r="36" spans="1:9" ht="15" customHeight="1">
      <c r="A36" s="52" t="s">
        <v>200</v>
      </c>
    </row>
    <row r="37" spans="1:9" ht="12.75" customHeight="1">
      <c r="A37" s="629" t="s">
        <v>1597</v>
      </c>
      <c r="B37" s="630"/>
      <c r="C37" s="630"/>
      <c r="D37" s="630"/>
      <c r="E37" s="630"/>
      <c r="F37" s="630"/>
      <c r="G37" s="630"/>
      <c r="H37" s="630"/>
      <c r="I37" s="630"/>
    </row>
  </sheetData>
  <mergeCells count="83">
    <mergeCell ref="C10:D11"/>
    <mergeCell ref="A1:I1"/>
    <mergeCell ref="A2:B3"/>
    <mergeCell ref="A4:B5"/>
    <mergeCell ref="A6:B7"/>
    <mergeCell ref="A8:B9"/>
    <mergeCell ref="A10:B11"/>
    <mergeCell ref="E2:E3"/>
    <mergeCell ref="E4:E5"/>
    <mergeCell ref="E6:E7"/>
    <mergeCell ref="E8:E9"/>
    <mergeCell ref="I2:I3"/>
    <mergeCell ref="I4:I5"/>
    <mergeCell ref="I6:I7"/>
    <mergeCell ref="I8:I9"/>
    <mergeCell ref="I10:I11"/>
    <mergeCell ref="A12:I12"/>
    <mergeCell ref="F2:G3"/>
    <mergeCell ref="F4:G5"/>
    <mergeCell ref="F6:G7"/>
    <mergeCell ref="F8:G9"/>
    <mergeCell ref="F10:G11"/>
    <mergeCell ref="H2:H3"/>
    <mergeCell ref="H4:H5"/>
    <mergeCell ref="H6:H7"/>
    <mergeCell ref="H8:H9"/>
    <mergeCell ref="H10:H11"/>
    <mergeCell ref="E10:E11"/>
    <mergeCell ref="C2:D3"/>
    <mergeCell ref="C4:D5"/>
    <mergeCell ref="C6:D7"/>
    <mergeCell ref="C8:D9"/>
    <mergeCell ref="D22:E22"/>
    <mergeCell ref="D23:E23"/>
    <mergeCell ref="B13:C13"/>
    <mergeCell ref="E13:F13"/>
    <mergeCell ref="H13:I13"/>
    <mergeCell ref="A20:B20"/>
    <mergeCell ref="A21:B21"/>
    <mergeCell ref="A22:B22"/>
    <mergeCell ref="D14:E14"/>
    <mergeCell ref="D15:E15"/>
    <mergeCell ref="D16:E16"/>
    <mergeCell ref="D17:E17"/>
    <mergeCell ref="G19:H19"/>
    <mergeCell ref="D18:E18"/>
    <mergeCell ref="D19:E19"/>
    <mergeCell ref="D20:E20"/>
    <mergeCell ref="D21:E21"/>
    <mergeCell ref="G14:H14"/>
    <mergeCell ref="G15:H15"/>
    <mergeCell ref="G16:H16"/>
    <mergeCell ref="G17:H17"/>
    <mergeCell ref="G18:H18"/>
    <mergeCell ref="G28:H28"/>
    <mergeCell ref="G29:H2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A37:I37"/>
    <mergeCell ref="A31:C31"/>
    <mergeCell ref="A32:C32"/>
    <mergeCell ref="A33:C33"/>
    <mergeCell ref="A34:C34"/>
    <mergeCell ref="A35:C35"/>
    <mergeCell ref="D31:F31"/>
    <mergeCell ref="D32:F32"/>
    <mergeCell ref="D33:F33"/>
    <mergeCell ref="D34:F34"/>
    <mergeCell ref="D35:F35"/>
    <mergeCell ref="G31:I31"/>
    <mergeCell ref="G32:I32"/>
    <mergeCell ref="G33:I33"/>
    <mergeCell ref="G34:I34"/>
    <mergeCell ref="G35:I35"/>
  </mergeCells>
  <pageMargins left="0.39400000000000002" right="0.39400000000000002" top="0.59099999999999997" bottom="0.59099999999999997" header="0" footer="0"/>
  <pageSetup paperSize="9" scale="87" firstPageNumber="0" orientation="landscape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  <pageSetUpPr fitToPage="1"/>
  </sheetPr>
  <dimension ref="A3:P355"/>
  <sheetViews>
    <sheetView topLeftCell="A8" zoomScaleNormal="100" workbookViewId="0">
      <selection activeCell="F37" sqref="F37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.85546875" style="177" bestFit="1" customWidth="1"/>
    <col min="4" max="4" width="5.5703125" style="177" bestFit="1" customWidth="1"/>
    <col min="5" max="5" width="13" style="177" bestFit="1" customWidth="1"/>
    <col min="6" max="6" width="17.2851562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0" width="8.5703125" style="297" hidden="1" customWidth="1"/>
    <col min="11" max="11" width="8.5703125" style="177" hidden="1" customWidth="1"/>
    <col min="12" max="12" width="0" style="177" hidden="1" customWidth="1"/>
    <col min="13" max="13" width="7.140625" style="177" hidden="1" customWidth="1"/>
    <col min="14" max="14" width="0" style="177" hidden="1" customWidth="1"/>
    <col min="15" max="16384" width="14.42578125" style="177"/>
  </cols>
  <sheetData>
    <row r="3" spans="1:14" ht="15">
      <c r="A3" s="221"/>
      <c r="B3" s="173" t="s">
        <v>1597</v>
      </c>
      <c r="C3" s="221"/>
      <c r="D3" s="221"/>
      <c r="E3" s="221"/>
      <c r="F3" s="221"/>
      <c r="G3" s="221"/>
      <c r="H3" s="221"/>
      <c r="I3" s="221"/>
      <c r="J3" s="222"/>
    </row>
    <row r="4" spans="1:14" ht="15">
      <c r="A4" s="221"/>
      <c r="B4" s="173" t="s">
        <v>3201</v>
      </c>
      <c r="C4" s="221"/>
      <c r="D4" s="221"/>
      <c r="E4" s="221"/>
      <c r="F4" s="221"/>
      <c r="G4" s="221"/>
      <c r="H4" s="221"/>
      <c r="I4" s="221"/>
      <c r="J4" s="222"/>
    </row>
    <row r="5" spans="1:14" ht="15">
      <c r="A5" s="221"/>
      <c r="B5" s="173" t="s">
        <v>3202</v>
      </c>
      <c r="C5" s="221"/>
      <c r="D5" s="221"/>
      <c r="E5" s="221"/>
      <c r="F5" s="221"/>
      <c r="G5" s="221"/>
      <c r="H5" s="221"/>
      <c r="I5" s="221"/>
      <c r="J5" s="222"/>
    </row>
    <row r="6" spans="1:14" ht="15">
      <c r="A6" s="221"/>
      <c r="B6" s="173"/>
      <c r="C6" s="221"/>
      <c r="D6" s="221"/>
      <c r="E6" s="221"/>
      <c r="F6" s="221"/>
      <c r="G6" s="221"/>
      <c r="H6" s="221"/>
      <c r="I6" s="221"/>
      <c r="J6" s="222"/>
    </row>
    <row r="7" spans="1:14" s="183" customFormat="1" ht="34" customHeight="1" thickBot="1">
      <c r="A7" s="223" t="s">
        <v>3235</v>
      </c>
      <c r="B7" s="223"/>
      <c r="C7" s="223"/>
      <c r="D7" s="223"/>
      <c r="E7" s="223"/>
      <c r="F7" s="223"/>
      <c r="G7" s="223"/>
      <c r="H7" s="223"/>
      <c r="I7" s="223"/>
      <c r="J7" s="224"/>
    </row>
    <row r="8" spans="1:14" ht="14.5" thickBot="1">
      <c r="A8" s="225" t="s">
        <v>3204</v>
      </c>
      <c r="B8" s="226" t="s">
        <v>3236</v>
      </c>
      <c r="C8" s="227" t="s">
        <v>3237</v>
      </c>
      <c r="D8" s="227" t="s">
        <v>3238</v>
      </c>
      <c r="E8" s="228" t="s">
        <v>3239</v>
      </c>
      <c r="F8" s="228" t="s">
        <v>3240</v>
      </c>
      <c r="G8" s="229" t="s">
        <v>3241</v>
      </c>
      <c r="H8" s="230" t="s">
        <v>3242</v>
      </c>
      <c r="I8" s="231" t="s">
        <v>3243</v>
      </c>
      <c r="J8" s="232" t="s">
        <v>3244</v>
      </c>
      <c r="K8" s="177" t="s">
        <v>3245</v>
      </c>
      <c r="L8" s="177" t="s">
        <v>3246</v>
      </c>
      <c r="M8" s="177" t="s">
        <v>3247</v>
      </c>
      <c r="N8" s="177" t="s">
        <v>3211</v>
      </c>
    </row>
    <row r="9" spans="1:14" s="221" customFormat="1" ht="20.149999999999999" customHeight="1">
      <c r="A9" s="233" t="s">
        <v>3248</v>
      </c>
      <c r="B9" s="234"/>
      <c r="E9" s="235"/>
      <c r="F9" s="235"/>
      <c r="G9" s="236"/>
      <c r="H9" s="237"/>
      <c r="I9" s="238"/>
      <c r="J9" s="222"/>
    </row>
    <row r="10" spans="1:14">
      <c r="A10" s="239"/>
      <c r="B10" s="240"/>
      <c r="C10" s="241" t="s">
        <v>3249</v>
      </c>
      <c r="D10" s="242"/>
      <c r="E10" s="243"/>
      <c r="F10" s="243"/>
      <c r="G10" s="244"/>
      <c r="H10" s="245"/>
      <c r="I10" s="246"/>
      <c r="J10" s="247"/>
      <c r="L10" s="177" t="s">
        <v>2080</v>
      </c>
      <c r="M10" s="177" t="s">
        <v>3250</v>
      </c>
    </row>
    <row r="11" spans="1:14">
      <c r="A11" s="239">
        <v>1</v>
      </c>
      <c r="B11" s="240"/>
      <c r="C11" s="248" t="s">
        <v>3251</v>
      </c>
      <c r="D11" s="242"/>
      <c r="E11" s="243">
        <v>0</v>
      </c>
      <c r="F11" s="243">
        <v>0</v>
      </c>
      <c r="G11" s="244">
        <f>E11*F11</f>
        <v>0</v>
      </c>
      <c r="H11" s="245" t="s">
        <v>2144</v>
      </c>
      <c r="I11" s="246" t="s">
        <v>2144</v>
      </c>
      <c r="J11" s="249" t="s">
        <v>765</v>
      </c>
      <c r="L11" s="177" t="s">
        <v>2080</v>
      </c>
      <c r="M11" s="250" t="s">
        <v>3250</v>
      </c>
    </row>
    <row r="12" spans="1:14">
      <c r="A12" s="239"/>
      <c r="B12" s="240"/>
      <c r="C12" s="251" t="s">
        <v>3252</v>
      </c>
      <c r="D12" s="242"/>
      <c r="E12" s="243"/>
      <c r="F12" s="252">
        <f>SUM(G11:G11)</f>
        <v>0</v>
      </c>
      <c r="G12" s="244"/>
      <c r="H12" s="245"/>
      <c r="I12" s="246"/>
      <c r="J12" s="249"/>
      <c r="M12" s="250" t="s">
        <v>3250</v>
      </c>
    </row>
    <row r="13" spans="1:14">
      <c r="A13" s="239"/>
      <c r="B13" s="240"/>
      <c r="C13" s="251" t="s">
        <v>3253</v>
      </c>
      <c r="D13" s="242"/>
      <c r="E13" s="243"/>
      <c r="F13" s="243"/>
      <c r="G13" s="244"/>
      <c r="H13" s="245"/>
      <c r="I13" s="246"/>
      <c r="J13" s="249"/>
      <c r="L13" s="177" t="s">
        <v>419</v>
      </c>
      <c r="M13" s="250" t="s">
        <v>3250</v>
      </c>
    </row>
    <row r="14" spans="1:14">
      <c r="A14" s="239">
        <v>2</v>
      </c>
      <c r="B14" s="240"/>
      <c r="C14" s="248" t="s">
        <v>3254</v>
      </c>
      <c r="D14" s="248" t="s">
        <v>2144</v>
      </c>
      <c r="E14" s="243">
        <v>0</v>
      </c>
      <c r="F14" s="243">
        <v>0</v>
      </c>
      <c r="G14" s="244">
        <f>E14*F14</f>
        <v>0</v>
      </c>
      <c r="H14" s="245">
        <v>0</v>
      </c>
      <c r="I14" s="246">
        <f>E14*H14</f>
        <v>0</v>
      </c>
      <c r="J14" s="249" t="s">
        <v>765</v>
      </c>
      <c r="L14" s="177" t="s">
        <v>419</v>
      </c>
      <c r="M14" s="250" t="s">
        <v>3250</v>
      </c>
    </row>
    <row r="15" spans="1:14">
      <c r="A15" s="239"/>
      <c r="B15" s="240"/>
      <c r="C15" s="251" t="s">
        <v>3252</v>
      </c>
      <c r="D15" s="248"/>
      <c r="E15" s="243"/>
      <c r="F15" s="252">
        <f>SUM(G14:G14)</f>
        <v>0</v>
      </c>
      <c r="G15" s="244"/>
      <c r="H15" s="245"/>
      <c r="I15" s="246"/>
      <c r="J15" s="249"/>
      <c r="M15" s="250" t="s">
        <v>3250</v>
      </c>
    </row>
    <row r="16" spans="1:14">
      <c r="A16" s="239"/>
      <c r="B16" s="240"/>
      <c r="C16" s="251" t="s">
        <v>3255</v>
      </c>
      <c r="D16" s="248"/>
      <c r="E16" s="243"/>
      <c r="F16" s="243"/>
      <c r="G16" s="244"/>
      <c r="H16" s="245"/>
      <c r="I16" s="246"/>
      <c r="J16" s="249"/>
      <c r="L16" s="177" t="s">
        <v>1469</v>
      </c>
      <c r="M16" s="250" t="s">
        <v>3250</v>
      </c>
    </row>
    <row r="17" spans="1:13">
      <c r="A17" s="239">
        <v>3</v>
      </c>
      <c r="B17" s="240"/>
      <c r="C17" s="248" t="s">
        <v>3256</v>
      </c>
      <c r="D17" s="242"/>
      <c r="E17" s="243">
        <v>0</v>
      </c>
      <c r="F17" s="243">
        <v>0</v>
      </c>
      <c r="G17" s="244">
        <f>E17*F17</f>
        <v>0</v>
      </c>
      <c r="H17" s="245">
        <v>0</v>
      </c>
      <c r="I17" s="246">
        <f>E17*H17</f>
        <v>0</v>
      </c>
      <c r="J17" s="249" t="s">
        <v>3257</v>
      </c>
      <c r="L17" s="177" t="s">
        <v>1469</v>
      </c>
      <c r="M17" s="250" t="s">
        <v>3250</v>
      </c>
    </row>
    <row r="18" spans="1:13">
      <c r="A18" s="239"/>
      <c r="B18" s="240"/>
      <c r="C18" s="251" t="s">
        <v>3252</v>
      </c>
      <c r="D18" s="242"/>
      <c r="E18" s="243"/>
      <c r="F18" s="252">
        <f>SUM(G17:G17)</f>
        <v>0</v>
      </c>
      <c r="G18" s="244"/>
      <c r="H18" s="245"/>
      <c r="I18" s="246"/>
      <c r="J18" s="249"/>
      <c r="M18" s="250" t="s">
        <v>3250</v>
      </c>
    </row>
    <row r="19" spans="1:13">
      <c r="A19" s="239"/>
      <c r="B19" s="240"/>
      <c r="C19" s="251" t="s">
        <v>3258</v>
      </c>
      <c r="D19" s="242"/>
      <c r="E19" s="243"/>
      <c r="F19" s="243"/>
      <c r="G19" s="244"/>
      <c r="H19" s="245"/>
      <c r="I19" s="246"/>
      <c r="J19" s="249"/>
      <c r="L19" s="177" t="s">
        <v>3015</v>
      </c>
      <c r="M19" s="250" t="s">
        <v>3250</v>
      </c>
    </row>
    <row r="20" spans="1:13">
      <c r="A20" s="239">
        <v>4</v>
      </c>
      <c r="B20" s="240"/>
      <c r="C20" s="248" t="s">
        <v>3259</v>
      </c>
      <c r="D20" s="242"/>
      <c r="E20" s="243">
        <v>0</v>
      </c>
      <c r="F20" s="243">
        <v>0</v>
      </c>
      <c r="G20" s="244">
        <f>E20*F20</f>
        <v>0</v>
      </c>
      <c r="H20" s="245" t="s">
        <v>2144</v>
      </c>
      <c r="I20" s="246" t="s">
        <v>2144</v>
      </c>
      <c r="J20" s="249" t="s">
        <v>765</v>
      </c>
      <c r="L20" s="177" t="s">
        <v>3015</v>
      </c>
      <c r="M20" s="250" t="s">
        <v>3250</v>
      </c>
    </row>
    <row r="21" spans="1:13">
      <c r="A21" s="239"/>
      <c r="B21" s="240"/>
      <c r="C21" s="251" t="s">
        <v>3252</v>
      </c>
      <c r="D21" s="242"/>
      <c r="E21" s="243"/>
      <c r="F21" s="252">
        <f>SUM(G20:G20)</f>
        <v>0</v>
      </c>
      <c r="G21" s="244"/>
      <c r="H21" s="245"/>
      <c r="I21" s="246"/>
      <c r="J21" s="249"/>
      <c r="M21" s="250" t="s">
        <v>3250</v>
      </c>
    </row>
    <row r="22" spans="1:13">
      <c r="A22" s="239"/>
      <c r="B22" s="240"/>
      <c r="C22" s="251" t="s">
        <v>3260</v>
      </c>
      <c r="D22" s="242"/>
      <c r="E22" s="243"/>
      <c r="F22" s="243"/>
      <c r="G22" s="244"/>
      <c r="H22" s="245"/>
      <c r="I22" s="246"/>
      <c r="J22" s="249"/>
      <c r="L22" s="177" t="s">
        <v>3261</v>
      </c>
      <c r="M22" s="250" t="s">
        <v>3250</v>
      </c>
    </row>
    <row r="23" spans="1:13">
      <c r="A23" s="239">
        <v>5</v>
      </c>
      <c r="B23" s="240"/>
      <c r="C23" s="248" t="s">
        <v>3262</v>
      </c>
      <c r="D23" s="242"/>
      <c r="E23" s="243">
        <v>0</v>
      </c>
      <c r="F23" s="243">
        <v>0</v>
      </c>
      <c r="G23" s="244">
        <f>E23*F23</f>
        <v>0</v>
      </c>
      <c r="H23" s="245" t="s">
        <v>2144</v>
      </c>
      <c r="I23" s="246" t="s">
        <v>2144</v>
      </c>
      <c r="J23" s="249" t="s">
        <v>765</v>
      </c>
      <c r="L23" s="177" t="s">
        <v>3261</v>
      </c>
      <c r="M23" s="250" t="s">
        <v>3250</v>
      </c>
    </row>
    <row r="24" spans="1:13" ht="14.5" thickBot="1">
      <c r="A24" s="253"/>
      <c r="B24" s="254"/>
      <c r="C24" s="255" t="s">
        <v>3252</v>
      </c>
      <c r="D24" s="256"/>
      <c r="E24" s="257"/>
      <c r="F24" s="258">
        <f>SUM(G23:G23)</f>
        <v>0</v>
      </c>
      <c r="G24" s="259"/>
      <c r="H24" s="260"/>
      <c r="I24" s="261"/>
      <c r="J24" s="262"/>
      <c r="M24" s="250" t="s">
        <v>3250</v>
      </c>
    </row>
    <row r="25" spans="1:13" s="272" customFormat="1">
      <c r="A25" s="263"/>
      <c r="B25" s="264"/>
      <c r="C25" s="265" t="s">
        <v>3263</v>
      </c>
      <c r="D25" s="266"/>
      <c r="E25" s="267"/>
      <c r="F25" s="267"/>
      <c r="G25" s="268" t="s">
        <v>2144</v>
      </c>
      <c r="H25" s="269"/>
      <c r="I25" s="270" t="s">
        <v>2144</v>
      </c>
      <c r="J25" s="271"/>
      <c r="M25" s="273" t="s">
        <v>3250</v>
      </c>
    </row>
    <row r="26" spans="1:13" s="221" customFormat="1" ht="20.149999999999999" customHeight="1">
      <c r="A26" s="274" t="s">
        <v>3264</v>
      </c>
      <c r="B26" s="275"/>
      <c r="C26" s="276"/>
      <c r="D26" s="277"/>
      <c r="E26" s="278"/>
      <c r="F26" s="278"/>
      <c r="G26" s="279"/>
      <c r="H26" s="280"/>
      <c r="I26" s="281"/>
      <c r="J26" s="282"/>
      <c r="M26" s="283"/>
    </row>
    <row r="27" spans="1:13">
      <c r="A27" s="239">
        <v>6</v>
      </c>
      <c r="B27" s="240">
        <v>0</v>
      </c>
      <c r="C27" s="248" t="s">
        <v>3265</v>
      </c>
      <c r="D27" s="248" t="s">
        <v>2697</v>
      </c>
      <c r="E27" s="243">
        <v>1</v>
      </c>
      <c r="F27" s="757">
        <f>'Rekapitulace R1'!F19</f>
        <v>0</v>
      </c>
      <c r="G27" s="244">
        <f t="shared" ref="G27:G36" si="0">E27*F27</f>
        <v>0</v>
      </c>
      <c r="H27" s="245">
        <v>0</v>
      </c>
      <c r="I27" s="246">
        <f t="shared" ref="I27:I36" si="1">E27*H27</f>
        <v>0</v>
      </c>
      <c r="J27" s="249" t="s">
        <v>765</v>
      </c>
      <c r="K27" s="177" t="s">
        <v>3266</v>
      </c>
      <c r="M27" s="250" t="s">
        <v>3267</v>
      </c>
    </row>
    <row r="28" spans="1:13">
      <c r="A28" s="239">
        <v>7</v>
      </c>
      <c r="B28" s="240">
        <v>0</v>
      </c>
      <c r="C28" s="248" t="s">
        <v>3268</v>
      </c>
      <c r="D28" s="248" t="s">
        <v>2697</v>
      </c>
      <c r="E28" s="243">
        <v>1</v>
      </c>
      <c r="F28" s="757">
        <f>'Rekapitulace RE1'!F19</f>
        <v>0</v>
      </c>
      <c r="G28" s="244">
        <f t="shared" si="0"/>
        <v>0</v>
      </c>
      <c r="H28" s="245">
        <v>0</v>
      </c>
      <c r="I28" s="246">
        <f t="shared" si="1"/>
        <v>0</v>
      </c>
      <c r="J28" s="249" t="s">
        <v>765</v>
      </c>
      <c r="K28" s="177" t="s">
        <v>3266</v>
      </c>
      <c r="M28" s="250" t="s">
        <v>3267</v>
      </c>
    </row>
    <row r="29" spans="1:13">
      <c r="A29" s="239">
        <v>8</v>
      </c>
      <c r="B29" s="240">
        <v>0</v>
      </c>
      <c r="C29" s="248" t="s">
        <v>3269</v>
      </c>
      <c r="D29" s="248" t="s">
        <v>2697</v>
      </c>
      <c r="E29" s="243">
        <v>1</v>
      </c>
      <c r="F29" s="757">
        <f>'Rekapitulace R01'!F19</f>
        <v>0</v>
      </c>
      <c r="G29" s="244">
        <f t="shared" si="0"/>
        <v>0</v>
      </c>
      <c r="H29" s="245">
        <v>0</v>
      </c>
      <c r="I29" s="246">
        <f t="shared" si="1"/>
        <v>0</v>
      </c>
      <c r="J29" s="249" t="s">
        <v>765</v>
      </c>
      <c r="K29" s="177" t="s">
        <v>3266</v>
      </c>
      <c r="M29" s="250" t="s">
        <v>3267</v>
      </c>
    </row>
    <row r="30" spans="1:13">
      <c r="A30" s="239">
        <v>9</v>
      </c>
      <c r="B30" s="240">
        <v>0</v>
      </c>
      <c r="C30" s="248" t="s">
        <v>3270</v>
      </c>
      <c r="D30" s="248" t="s">
        <v>2697</v>
      </c>
      <c r="E30" s="243">
        <v>1</v>
      </c>
      <c r="F30" s="757">
        <f>'Rekapitulace R2'!F19</f>
        <v>0</v>
      </c>
      <c r="G30" s="244">
        <f t="shared" si="0"/>
        <v>0</v>
      </c>
      <c r="H30" s="245">
        <v>0</v>
      </c>
      <c r="I30" s="246">
        <f t="shared" si="1"/>
        <v>0</v>
      </c>
      <c r="J30" s="249" t="s">
        <v>765</v>
      </c>
      <c r="K30" s="177" t="s">
        <v>3266</v>
      </c>
      <c r="M30" s="250" t="s">
        <v>3267</v>
      </c>
    </row>
    <row r="31" spans="1:13">
      <c r="A31" s="239">
        <v>10</v>
      </c>
      <c r="B31" s="240">
        <v>0</v>
      </c>
      <c r="C31" s="248" t="s">
        <v>3271</v>
      </c>
      <c r="D31" s="248" t="s">
        <v>2697</v>
      </c>
      <c r="E31" s="243">
        <v>1</v>
      </c>
      <c r="F31" s="757">
        <f>'Rekapitulace R3'!F19</f>
        <v>0</v>
      </c>
      <c r="G31" s="244">
        <f t="shared" si="0"/>
        <v>0</v>
      </c>
      <c r="H31" s="245">
        <v>0</v>
      </c>
      <c r="I31" s="246">
        <f t="shared" si="1"/>
        <v>0</v>
      </c>
      <c r="J31" s="249" t="s">
        <v>765</v>
      </c>
      <c r="K31" s="177" t="s">
        <v>3266</v>
      </c>
      <c r="M31" s="250" t="s">
        <v>3267</v>
      </c>
    </row>
    <row r="32" spans="1:13">
      <c r="A32" s="239">
        <v>11</v>
      </c>
      <c r="B32" s="240">
        <v>0</v>
      </c>
      <c r="C32" s="248" t="s">
        <v>3272</v>
      </c>
      <c r="D32" s="248" t="s">
        <v>2697</v>
      </c>
      <c r="E32" s="243">
        <v>1</v>
      </c>
      <c r="F32" s="757">
        <f>'Rekapitulace R4'!F19</f>
        <v>0</v>
      </c>
      <c r="G32" s="244">
        <f t="shared" si="0"/>
        <v>0</v>
      </c>
      <c r="H32" s="245">
        <v>0</v>
      </c>
      <c r="I32" s="246">
        <f t="shared" si="1"/>
        <v>0</v>
      </c>
      <c r="J32" s="249" t="s">
        <v>765</v>
      </c>
      <c r="K32" s="177" t="s">
        <v>3266</v>
      </c>
      <c r="M32" s="250" t="s">
        <v>3267</v>
      </c>
    </row>
    <row r="33" spans="1:13">
      <c r="A33" s="239">
        <v>12</v>
      </c>
      <c r="B33" s="240">
        <v>0</v>
      </c>
      <c r="C33" s="248" t="s">
        <v>3273</v>
      </c>
      <c r="D33" s="248" t="s">
        <v>2697</v>
      </c>
      <c r="E33" s="243">
        <v>1</v>
      </c>
      <c r="F33" s="757">
        <f>'Rekapitulace R5'!F19</f>
        <v>0</v>
      </c>
      <c r="G33" s="244">
        <f t="shared" si="0"/>
        <v>0</v>
      </c>
      <c r="H33" s="245">
        <v>0</v>
      </c>
      <c r="I33" s="246">
        <f t="shared" si="1"/>
        <v>0</v>
      </c>
      <c r="J33" s="249" t="s">
        <v>765</v>
      </c>
      <c r="K33" s="177" t="s">
        <v>3266</v>
      </c>
      <c r="M33" s="250" t="s">
        <v>3267</v>
      </c>
    </row>
    <row r="34" spans="1:13">
      <c r="A34" s="239">
        <v>13</v>
      </c>
      <c r="B34" s="240">
        <v>0</v>
      </c>
      <c r="C34" s="248" t="s">
        <v>3274</v>
      </c>
      <c r="D34" s="248" t="s">
        <v>2697</v>
      </c>
      <c r="E34" s="243">
        <v>1</v>
      </c>
      <c r="F34" s="757">
        <f>'Rekapitulace R spol'!F19</f>
        <v>0</v>
      </c>
      <c r="G34" s="244">
        <f t="shared" si="0"/>
        <v>0</v>
      </c>
      <c r="H34" s="245">
        <v>0</v>
      </c>
      <c r="I34" s="246">
        <f t="shared" si="1"/>
        <v>0</v>
      </c>
      <c r="J34" s="249" t="s">
        <v>765</v>
      </c>
      <c r="K34" s="177" t="s">
        <v>3266</v>
      </c>
      <c r="M34" s="250" t="s">
        <v>3267</v>
      </c>
    </row>
    <row r="35" spans="1:13">
      <c r="A35" s="239">
        <v>14</v>
      </c>
      <c r="B35" s="240">
        <v>0</v>
      </c>
      <c r="C35" s="248" t="s">
        <v>3275</v>
      </c>
      <c r="D35" s="248" t="s">
        <v>2697</v>
      </c>
      <c r="E35" s="243">
        <v>1</v>
      </c>
      <c r="F35" s="757">
        <f>'Rekapitulace R top'!F19</f>
        <v>0</v>
      </c>
      <c r="G35" s="244">
        <f t="shared" si="0"/>
        <v>0</v>
      </c>
      <c r="H35" s="245">
        <v>0</v>
      </c>
      <c r="I35" s="246">
        <f t="shared" si="1"/>
        <v>0</v>
      </c>
      <c r="J35" s="249" t="s">
        <v>765</v>
      </c>
      <c r="K35" s="177" t="s">
        <v>3266</v>
      </c>
      <c r="M35" s="250" t="s">
        <v>3267</v>
      </c>
    </row>
    <row r="36" spans="1:13">
      <c r="A36" s="239">
        <v>15</v>
      </c>
      <c r="B36" s="240">
        <v>0</v>
      </c>
      <c r="C36" s="248" t="s">
        <v>3276</v>
      </c>
      <c r="D36" s="248" t="s">
        <v>2697</v>
      </c>
      <c r="E36" s="243">
        <v>1</v>
      </c>
      <c r="F36" s="757">
        <f>'Rekapitulace Rb1;2'!F19</f>
        <v>0</v>
      </c>
      <c r="G36" s="244">
        <f t="shared" si="0"/>
        <v>0</v>
      </c>
      <c r="H36" s="245">
        <v>0</v>
      </c>
      <c r="I36" s="246">
        <f t="shared" si="1"/>
        <v>0</v>
      </c>
      <c r="J36" s="249" t="s">
        <v>765</v>
      </c>
      <c r="K36" s="177" t="s">
        <v>3266</v>
      </c>
      <c r="M36" s="250" t="s">
        <v>3267</v>
      </c>
    </row>
    <row r="37" spans="1:13">
      <c r="A37" s="239"/>
      <c r="B37" s="240"/>
      <c r="C37" s="251" t="s">
        <v>3249</v>
      </c>
      <c r="D37" s="248"/>
      <c r="E37" s="243"/>
      <c r="F37" s="243"/>
      <c r="G37" s="244"/>
      <c r="H37" s="245"/>
      <c r="I37" s="246"/>
      <c r="J37" s="249"/>
      <c r="L37" s="177" t="s">
        <v>2080</v>
      </c>
      <c r="M37" s="250" t="s">
        <v>3267</v>
      </c>
    </row>
    <row r="38" spans="1:13">
      <c r="A38" s="239">
        <v>16</v>
      </c>
      <c r="B38" s="240">
        <v>509106</v>
      </c>
      <c r="C38" s="248" t="s">
        <v>3678</v>
      </c>
      <c r="D38" s="248" t="s">
        <v>2697</v>
      </c>
      <c r="E38" s="243">
        <v>12</v>
      </c>
      <c r="F38" s="616"/>
      <c r="G38" s="244">
        <f>E38*F38</f>
        <v>0</v>
      </c>
      <c r="H38" s="245">
        <v>0</v>
      </c>
      <c r="I38" s="246">
        <f>E38*H38</f>
        <v>0</v>
      </c>
      <c r="J38" s="249" t="s">
        <v>3257</v>
      </c>
      <c r="K38" s="177" t="s">
        <v>3266</v>
      </c>
      <c r="L38" s="177" t="s">
        <v>2080</v>
      </c>
      <c r="M38" s="250" t="s">
        <v>3267</v>
      </c>
    </row>
    <row r="39" spans="1:13">
      <c r="A39" s="239">
        <v>17</v>
      </c>
      <c r="B39" s="240">
        <v>509001</v>
      </c>
      <c r="C39" s="248" t="s">
        <v>3277</v>
      </c>
      <c r="D39" s="248" t="s">
        <v>2697</v>
      </c>
      <c r="E39" s="243">
        <v>2</v>
      </c>
      <c r="F39" s="616"/>
      <c r="G39" s="244">
        <f>E39*F39</f>
        <v>0</v>
      </c>
      <c r="H39" s="245">
        <v>0</v>
      </c>
      <c r="I39" s="246">
        <f>E39*H39</f>
        <v>0</v>
      </c>
      <c r="J39" s="249" t="s">
        <v>3257</v>
      </c>
      <c r="K39" s="177" t="s">
        <v>3266</v>
      </c>
      <c r="L39" s="177" t="s">
        <v>2080</v>
      </c>
      <c r="M39" s="250" t="s">
        <v>3267</v>
      </c>
    </row>
    <row r="40" spans="1:13">
      <c r="A40" s="239"/>
      <c r="B40" s="240"/>
      <c r="C40" s="251" t="s">
        <v>3252</v>
      </c>
      <c r="D40" s="248"/>
      <c r="E40" s="243"/>
      <c r="F40" s="252">
        <f>SUM(G38:G39)</f>
        <v>0</v>
      </c>
      <c r="G40" s="244"/>
      <c r="H40" s="245"/>
      <c r="I40" s="246"/>
      <c r="J40" s="249"/>
      <c r="M40" s="250" t="s">
        <v>3267</v>
      </c>
    </row>
    <row r="41" spans="1:13">
      <c r="A41" s="239"/>
      <c r="B41" s="240"/>
      <c r="C41" s="251" t="s">
        <v>3253</v>
      </c>
      <c r="D41" s="248"/>
      <c r="E41" s="243"/>
      <c r="F41" s="243"/>
      <c r="G41" s="244"/>
      <c r="H41" s="245"/>
      <c r="I41" s="246"/>
      <c r="J41" s="249"/>
      <c r="L41" s="177" t="s">
        <v>419</v>
      </c>
      <c r="M41" s="250" t="s">
        <v>3267</v>
      </c>
    </row>
    <row r="42" spans="1:13">
      <c r="A42" s="239">
        <v>18</v>
      </c>
      <c r="B42" s="240">
        <v>509106</v>
      </c>
      <c r="C42" s="248" t="s">
        <v>3278</v>
      </c>
      <c r="D42" s="248" t="s">
        <v>2697</v>
      </c>
      <c r="E42" s="243">
        <v>24</v>
      </c>
      <c r="F42" s="616"/>
      <c r="G42" s="244">
        <f t="shared" ref="G42:G48" si="2">E42*F42</f>
        <v>0</v>
      </c>
      <c r="H42" s="245">
        <v>0</v>
      </c>
      <c r="I42" s="246">
        <f t="shared" ref="I42:I48" si="3">E42*H42</f>
        <v>0</v>
      </c>
      <c r="J42" s="249" t="s">
        <v>3257</v>
      </c>
      <c r="K42" s="177" t="s">
        <v>3266</v>
      </c>
      <c r="L42" s="177" t="s">
        <v>419</v>
      </c>
      <c r="M42" s="250" t="s">
        <v>3267</v>
      </c>
    </row>
    <row r="43" spans="1:13">
      <c r="A43" s="239">
        <v>19</v>
      </c>
      <c r="B43" s="240">
        <v>509101</v>
      </c>
      <c r="C43" s="248" t="s">
        <v>3279</v>
      </c>
      <c r="D43" s="248" t="s">
        <v>2697</v>
      </c>
      <c r="E43" s="243">
        <v>14</v>
      </c>
      <c r="F43" s="616"/>
      <c r="G43" s="244">
        <f t="shared" si="2"/>
        <v>0</v>
      </c>
      <c r="H43" s="245">
        <v>0</v>
      </c>
      <c r="I43" s="246">
        <f t="shared" si="3"/>
        <v>0</v>
      </c>
      <c r="J43" s="249" t="s">
        <v>3257</v>
      </c>
      <c r="K43" s="177" t="s">
        <v>3266</v>
      </c>
      <c r="L43" s="177" t="s">
        <v>419</v>
      </c>
      <c r="M43" s="250" t="s">
        <v>3267</v>
      </c>
    </row>
    <row r="44" spans="1:13">
      <c r="A44" s="239">
        <v>20</v>
      </c>
      <c r="B44" s="240">
        <v>509104</v>
      </c>
      <c r="C44" s="248" t="s">
        <v>3280</v>
      </c>
      <c r="D44" s="248" t="s">
        <v>2697</v>
      </c>
      <c r="E44" s="243">
        <v>4</v>
      </c>
      <c r="F44" s="616"/>
      <c r="G44" s="244">
        <f t="shared" si="2"/>
        <v>0</v>
      </c>
      <c r="H44" s="245">
        <v>0</v>
      </c>
      <c r="I44" s="246">
        <f t="shared" si="3"/>
        <v>0</v>
      </c>
      <c r="J44" s="249" t="s">
        <v>3257</v>
      </c>
      <c r="K44" s="177" t="s">
        <v>3266</v>
      </c>
      <c r="L44" s="177" t="s">
        <v>419</v>
      </c>
      <c r="M44" s="250" t="s">
        <v>3267</v>
      </c>
    </row>
    <row r="45" spans="1:13">
      <c r="A45" s="239">
        <v>21</v>
      </c>
      <c r="B45" s="240">
        <v>509127</v>
      </c>
      <c r="C45" s="248" t="s">
        <v>3281</v>
      </c>
      <c r="D45" s="248" t="s">
        <v>2697</v>
      </c>
      <c r="E45" s="243">
        <v>12</v>
      </c>
      <c r="F45" s="616"/>
      <c r="G45" s="244">
        <f t="shared" si="2"/>
        <v>0</v>
      </c>
      <c r="H45" s="245">
        <v>0</v>
      </c>
      <c r="I45" s="246">
        <f t="shared" si="3"/>
        <v>0</v>
      </c>
      <c r="J45" s="249" t="s">
        <v>3257</v>
      </c>
      <c r="K45" s="177" t="s">
        <v>3266</v>
      </c>
      <c r="L45" s="177" t="s">
        <v>419</v>
      </c>
      <c r="M45" s="250" t="s">
        <v>3267</v>
      </c>
    </row>
    <row r="46" spans="1:13">
      <c r="A46" s="239">
        <v>22</v>
      </c>
      <c r="B46" s="240">
        <v>509001</v>
      </c>
      <c r="C46" s="248" t="s">
        <v>3677</v>
      </c>
      <c r="D46" s="248" t="s">
        <v>2697</v>
      </c>
      <c r="E46" s="243">
        <v>17</v>
      </c>
      <c r="F46" s="616"/>
      <c r="G46" s="244">
        <f t="shared" si="2"/>
        <v>0</v>
      </c>
      <c r="H46" s="245">
        <v>0</v>
      </c>
      <c r="I46" s="246">
        <f t="shared" si="3"/>
        <v>0</v>
      </c>
      <c r="J46" s="249" t="s">
        <v>3257</v>
      </c>
      <c r="K46" s="177" t="s">
        <v>3266</v>
      </c>
      <c r="L46" s="177" t="s">
        <v>419</v>
      </c>
      <c r="M46" s="250" t="s">
        <v>3267</v>
      </c>
    </row>
    <row r="47" spans="1:13">
      <c r="A47" s="239">
        <v>23</v>
      </c>
      <c r="B47" s="240">
        <v>551111</v>
      </c>
      <c r="C47" s="248" t="s">
        <v>3282</v>
      </c>
      <c r="D47" s="248" t="s">
        <v>2697</v>
      </c>
      <c r="E47" s="243">
        <v>10</v>
      </c>
      <c r="F47" s="616"/>
      <c r="G47" s="244">
        <f t="shared" si="2"/>
        <v>0</v>
      </c>
      <c r="H47" s="245">
        <v>0</v>
      </c>
      <c r="I47" s="246">
        <f t="shared" si="3"/>
        <v>0</v>
      </c>
      <c r="J47" s="249" t="s">
        <v>3257</v>
      </c>
      <c r="K47" s="177" t="s">
        <v>3266</v>
      </c>
      <c r="L47" s="177" t="s">
        <v>419</v>
      </c>
      <c r="M47" s="250" t="s">
        <v>3267</v>
      </c>
    </row>
    <row r="48" spans="1:13">
      <c r="A48" s="239">
        <v>24</v>
      </c>
      <c r="B48" s="240">
        <v>509107</v>
      </c>
      <c r="C48" s="248" t="s">
        <v>3283</v>
      </c>
      <c r="D48" s="248" t="s">
        <v>2697</v>
      </c>
      <c r="E48" s="243">
        <v>2</v>
      </c>
      <c r="F48" s="616"/>
      <c r="G48" s="244">
        <f t="shared" si="2"/>
        <v>0</v>
      </c>
      <c r="H48" s="245">
        <v>0</v>
      </c>
      <c r="I48" s="246">
        <f t="shared" si="3"/>
        <v>0</v>
      </c>
      <c r="J48" s="249" t="s">
        <v>3257</v>
      </c>
      <c r="K48" s="177" t="s">
        <v>3266</v>
      </c>
      <c r="L48" s="177" t="s">
        <v>419</v>
      </c>
      <c r="M48" s="250" t="s">
        <v>3267</v>
      </c>
    </row>
    <row r="49" spans="1:14">
      <c r="A49" s="239"/>
      <c r="B49" s="240"/>
      <c r="C49" s="251" t="s">
        <v>3252</v>
      </c>
      <c r="D49" s="248"/>
      <c r="E49" s="243"/>
      <c r="F49" s="252">
        <f>SUM(G42:G48)</f>
        <v>0</v>
      </c>
      <c r="G49" s="244"/>
      <c r="H49" s="245"/>
      <c r="I49" s="246"/>
      <c r="J49" s="249"/>
      <c r="M49" s="250" t="s">
        <v>3267</v>
      </c>
    </row>
    <row r="50" spans="1:14">
      <c r="A50" s="239"/>
      <c r="B50" s="240"/>
      <c r="C50" s="251" t="s">
        <v>3255</v>
      </c>
      <c r="D50" s="248"/>
      <c r="E50" s="243"/>
      <c r="F50" s="243"/>
      <c r="G50" s="244"/>
      <c r="H50" s="245"/>
      <c r="I50" s="246"/>
      <c r="J50" s="249"/>
      <c r="L50" s="177" t="s">
        <v>1469</v>
      </c>
      <c r="M50" s="250" t="s">
        <v>3267</v>
      </c>
    </row>
    <row r="51" spans="1:14">
      <c r="A51" s="239">
        <v>25</v>
      </c>
      <c r="B51" s="240">
        <v>509107</v>
      </c>
      <c r="C51" s="248" t="s">
        <v>3676</v>
      </c>
      <c r="D51" s="248" t="s">
        <v>2697</v>
      </c>
      <c r="E51" s="243">
        <v>4</v>
      </c>
      <c r="F51" s="616"/>
      <c r="G51" s="244">
        <f>E51*F51</f>
        <v>0</v>
      </c>
      <c r="H51" s="245">
        <v>0</v>
      </c>
      <c r="I51" s="246">
        <f>E51*H51</f>
        <v>0</v>
      </c>
      <c r="J51" s="249" t="s">
        <v>3257</v>
      </c>
      <c r="K51" s="177" t="s">
        <v>3266</v>
      </c>
      <c r="L51" s="177" t="s">
        <v>1469</v>
      </c>
      <c r="M51" s="250" t="s">
        <v>3267</v>
      </c>
    </row>
    <row r="52" spans="1:14">
      <c r="A52" s="239">
        <v>26</v>
      </c>
      <c r="B52" s="240">
        <v>509101</v>
      </c>
      <c r="C52" s="248" t="s">
        <v>3284</v>
      </c>
      <c r="D52" s="248" t="s">
        <v>2697</v>
      </c>
      <c r="E52" s="243">
        <v>6</v>
      </c>
      <c r="F52" s="616"/>
      <c r="G52" s="244">
        <f>E52*F52</f>
        <v>0</v>
      </c>
      <c r="H52" s="245">
        <v>0</v>
      </c>
      <c r="I52" s="246">
        <f>E52*H52</f>
        <v>0</v>
      </c>
      <c r="J52" s="249" t="s">
        <v>3257</v>
      </c>
      <c r="K52" s="177" t="s">
        <v>3266</v>
      </c>
      <c r="L52" s="177" t="s">
        <v>1469</v>
      </c>
      <c r="M52" s="250" t="s">
        <v>3267</v>
      </c>
    </row>
    <row r="53" spans="1:14">
      <c r="A53" s="239">
        <v>27</v>
      </c>
      <c r="B53" s="240">
        <v>509622</v>
      </c>
      <c r="C53" s="248" t="s">
        <v>3285</v>
      </c>
      <c r="D53" s="248" t="s">
        <v>2697</v>
      </c>
      <c r="E53" s="243">
        <v>5</v>
      </c>
      <c r="F53" s="616"/>
      <c r="G53" s="244">
        <f>E53*F53</f>
        <v>0</v>
      </c>
      <c r="H53" s="245">
        <v>0</v>
      </c>
      <c r="I53" s="246">
        <f>E53*H53</f>
        <v>0</v>
      </c>
      <c r="J53" s="249" t="s">
        <v>765</v>
      </c>
      <c r="K53" s="177" t="s">
        <v>3266</v>
      </c>
      <c r="L53" s="177" t="s">
        <v>1469</v>
      </c>
      <c r="M53" s="250" t="s">
        <v>3267</v>
      </c>
    </row>
    <row r="54" spans="1:14">
      <c r="A54" s="239"/>
      <c r="B54" s="240"/>
      <c r="C54" s="251" t="s">
        <v>3252</v>
      </c>
      <c r="D54" s="248"/>
      <c r="E54" s="243"/>
      <c r="F54" s="252">
        <f>SUM(G51:G53)</f>
        <v>0</v>
      </c>
      <c r="G54" s="244"/>
      <c r="H54" s="245"/>
      <c r="I54" s="246"/>
      <c r="J54" s="249"/>
      <c r="M54" s="250" t="s">
        <v>3267</v>
      </c>
    </row>
    <row r="55" spans="1:14">
      <c r="A55" s="239"/>
      <c r="B55" s="240"/>
      <c r="C55" s="251" t="s">
        <v>3258</v>
      </c>
      <c r="D55" s="248"/>
      <c r="E55" s="243"/>
      <c r="F55" s="243"/>
      <c r="G55" s="244"/>
      <c r="H55" s="245"/>
      <c r="I55" s="246"/>
      <c r="J55" s="249"/>
      <c r="L55" s="177" t="s">
        <v>3015</v>
      </c>
      <c r="M55" s="250" t="s">
        <v>3267</v>
      </c>
    </row>
    <row r="56" spans="1:14">
      <c r="A56" s="239">
        <v>28</v>
      </c>
      <c r="B56" s="240">
        <v>509001</v>
      </c>
      <c r="C56" s="248" t="s">
        <v>3277</v>
      </c>
      <c r="D56" s="248" t="s">
        <v>2697</v>
      </c>
      <c r="E56" s="243">
        <v>16</v>
      </c>
      <c r="F56" s="616"/>
      <c r="G56" s="244">
        <f>E56*F56</f>
        <v>0</v>
      </c>
      <c r="H56" s="245">
        <v>0</v>
      </c>
      <c r="I56" s="246">
        <f>E56*H56</f>
        <v>0</v>
      </c>
      <c r="J56" s="249" t="s">
        <v>3257</v>
      </c>
      <c r="K56" s="177" t="s">
        <v>3266</v>
      </c>
      <c r="L56" s="177" t="s">
        <v>3015</v>
      </c>
      <c r="M56" s="250" t="s">
        <v>3267</v>
      </c>
    </row>
    <row r="57" spans="1:14" ht="14.5" thickBot="1">
      <c r="A57" s="253"/>
      <c r="B57" s="254"/>
      <c r="C57" s="255" t="s">
        <v>3252</v>
      </c>
      <c r="D57" s="284"/>
      <c r="E57" s="257"/>
      <c r="F57" s="258">
        <f>SUM(G56:G56)</f>
        <v>0</v>
      </c>
      <c r="G57" s="259"/>
      <c r="H57" s="260"/>
      <c r="I57" s="261"/>
      <c r="J57" s="262"/>
      <c r="M57" s="250" t="s">
        <v>3267</v>
      </c>
    </row>
    <row r="58" spans="1:14" s="272" customFormat="1">
      <c r="A58" s="263"/>
      <c r="B58" s="264"/>
      <c r="C58" s="265" t="s">
        <v>3263</v>
      </c>
      <c r="D58" s="265"/>
      <c r="E58" s="267"/>
      <c r="F58" s="267"/>
      <c r="G58" s="268">
        <f>SUM(G27:G57)</f>
        <v>0</v>
      </c>
      <c r="H58" s="269"/>
      <c r="I58" s="270">
        <f>SUM(I27:I57)</f>
        <v>0</v>
      </c>
      <c r="J58" s="271"/>
      <c r="M58" s="273" t="s">
        <v>3267</v>
      </c>
    </row>
    <row r="59" spans="1:14" s="221" customFormat="1" ht="20.149999999999999" customHeight="1">
      <c r="A59" s="274" t="s">
        <v>3286</v>
      </c>
      <c r="B59" s="275"/>
      <c r="C59" s="276"/>
      <c r="D59" s="276"/>
      <c r="E59" s="278"/>
      <c r="F59" s="278"/>
      <c r="G59" s="279"/>
      <c r="H59" s="280"/>
      <c r="I59" s="281"/>
      <c r="J59" s="282"/>
      <c r="M59" s="283"/>
    </row>
    <row r="60" spans="1:14">
      <c r="A60" s="239"/>
      <c r="B60" s="240"/>
      <c r="C60" s="251" t="s">
        <v>3249</v>
      </c>
      <c r="D60" s="248"/>
      <c r="E60" s="243"/>
      <c r="F60" s="243"/>
      <c r="G60" s="244"/>
      <c r="H60" s="245"/>
      <c r="I60" s="246"/>
      <c r="J60" s="249"/>
      <c r="L60" s="177" t="s">
        <v>2080</v>
      </c>
      <c r="M60" s="250" t="s">
        <v>3287</v>
      </c>
    </row>
    <row r="61" spans="1:14">
      <c r="A61" s="239">
        <v>29</v>
      </c>
      <c r="B61" s="240">
        <v>171207</v>
      </c>
      <c r="C61" s="248" t="s">
        <v>3288</v>
      </c>
      <c r="D61" s="248" t="s">
        <v>1923</v>
      </c>
      <c r="E61" s="243">
        <v>10</v>
      </c>
      <c r="F61" s="616"/>
      <c r="G61" s="244">
        <f t="shared" ref="G61:G70" si="4">E61*F61</f>
        <v>0</v>
      </c>
      <c r="H61" s="245">
        <v>0</v>
      </c>
      <c r="I61" s="246">
        <f t="shared" ref="I61:I70" si="5">E61*H61</f>
        <v>0</v>
      </c>
      <c r="J61" s="249" t="s">
        <v>765</v>
      </c>
      <c r="K61" s="177" t="s">
        <v>3266</v>
      </c>
      <c r="L61" s="177" t="s">
        <v>2080</v>
      </c>
      <c r="M61" s="250" t="s">
        <v>3287</v>
      </c>
      <c r="N61" s="177">
        <f t="shared" ref="N61:N66" si="6">E61*F61</f>
        <v>0</v>
      </c>
    </row>
    <row r="62" spans="1:14">
      <c r="A62" s="239">
        <v>30</v>
      </c>
      <c r="B62" s="240">
        <v>101005</v>
      </c>
      <c r="C62" s="248" t="s">
        <v>3289</v>
      </c>
      <c r="D62" s="248" t="s">
        <v>1923</v>
      </c>
      <c r="E62" s="243">
        <v>30</v>
      </c>
      <c r="F62" s="616"/>
      <c r="G62" s="244">
        <f t="shared" si="4"/>
        <v>0</v>
      </c>
      <c r="H62" s="245">
        <v>0</v>
      </c>
      <c r="I62" s="246">
        <f t="shared" si="5"/>
        <v>0</v>
      </c>
      <c r="J62" s="249" t="s">
        <v>765</v>
      </c>
      <c r="K62" s="177" t="s">
        <v>3266</v>
      </c>
      <c r="L62" s="177" t="s">
        <v>2080</v>
      </c>
      <c r="M62" s="250" t="s">
        <v>3287</v>
      </c>
      <c r="N62" s="177">
        <f t="shared" si="6"/>
        <v>0</v>
      </c>
    </row>
    <row r="63" spans="1:14">
      <c r="A63" s="239">
        <v>31</v>
      </c>
      <c r="B63" s="240">
        <v>101105</v>
      </c>
      <c r="C63" s="248" t="s">
        <v>3290</v>
      </c>
      <c r="D63" s="248" t="s">
        <v>1923</v>
      </c>
      <c r="E63" s="243">
        <v>90</v>
      </c>
      <c r="F63" s="616"/>
      <c r="G63" s="244">
        <f t="shared" si="4"/>
        <v>0</v>
      </c>
      <c r="H63" s="245">
        <v>0</v>
      </c>
      <c r="I63" s="246">
        <f t="shared" si="5"/>
        <v>0</v>
      </c>
      <c r="J63" s="249" t="s">
        <v>765</v>
      </c>
      <c r="K63" s="177" t="s">
        <v>3266</v>
      </c>
      <c r="L63" s="177" t="s">
        <v>2080</v>
      </c>
      <c r="M63" s="250" t="s">
        <v>3287</v>
      </c>
      <c r="N63" s="177">
        <f t="shared" si="6"/>
        <v>0</v>
      </c>
    </row>
    <row r="64" spans="1:14">
      <c r="A64" s="239">
        <v>32</v>
      </c>
      <c r="B64" s="240">
        <v>101106</v>
      </c>
      <c r="C64" s="248" t="s">
        <v>3291</v>
      </c>
      <c r="D64" s="248" t="s">
        <v>1923</v>
      </c>
      <c r="E64" s="243">
        <v>65</v>
      </c>
      <c r="F64" s="616"/>
      <c r="G64" s="244">
        <f t="shared" si="4"/>
        <v>0</v>
      </c>
      <c r="H64" s="245">
        <v>0</v>
      </c>
      <c r="I64" s="246">
        <f t="shared" si="5"/>
        <v>0</v>
      </c>
      <c r="J64" s="249" t="s">
        <v>765</v>
      </c>
      <c r="K64" s="177" t="s">
        <v>3266</v>
      </c>
      <c r="L64" s="177" t="s">
        <v>2080</v>
      </c>
      <c r="M64" s="250" t="s">
        <v>3287</v>
      </c>
      <c r="N64" s="177">
        <f t="shared" si="6"/>
        <v>0</v>
      </c>
    </row>
    <row r="65" spans="1:14">
      <c r="A65" s="239">
        <v>33</v>
      </c>
      <c r="B65" s="240">
        <v>101305</v>
      </c>
      <c r="C65" s="248" t="s">
        <v>3292</v>
      </c>
      <c r="D65" s="248" t="s">
        <v>1923</v>
      </c>
      <c r="E65" s="243">
        <v>10</v>
      </c>
      <c r="F65" s="616"/>
      <c r="G65" s="244">
        <f t="shared" si="4"/>
        <v>0</v>
      </c>
      <c r="H65" s="245">
        <v>0</v>
      </c>
      <c r="I65" s="246">
        <f t="shared" si="5"/>
        <v>0</v>
      </c>
      <c r="J65" s="249" t="s">
        <v>765</v>
      </c>
      <c r="K65" s="177" t="s">
        <v>3266</v>
      </c>
      <c r="L65" s="177" t="s">
        <v>2080</v>
      </c>
      <c r="M65" s="250" t="s">
        <v>3287</v>
      </c>
      <c r="N65" s="177">
        <f t="shared" si="6"/>
        <v>0</v>
      </c>
    </row>
    <row r="66" spans="1:14">
      <c r="A66" s="239">
        <v>34</v>
      </c>
      <c r="B66" s="240">
        <v>101307</v>
      </c>
      <c r="C66" s="248" t="s">
        <v>3293</v>
      </c>
      <c r="D66" s="248" t="s">
        <v>1923</v>
      </c>
      <c r="E66" s="243">
        <v>5</v>
      </c>
      <c r="F66" s="616"/>
      <c r="G66" s="244">
        <f t="shared" si="4"/>
        <v>0</v>
      </c>
      <c r="H66" s="245">
        <v>0</v>
      </c>
      <c r="I66" s="246">
        <f t="shared" si="5"/>
        <v>0</v>
      </c>
      <c r="J66" s="249" t="s">
        <v>765</v>
      </c>
      <c r="K66" s="177" t="s">
        <v>3266</v>
      </c>
      <c r="L66" s="177" t="s">
        <v>2080</v>
      </c>
      <c r="M66" s="250" t="s">
        <v>3287</v>
      </c>
      <c r="N66" s="177">
        <f t="shared" si="6"/>
        <v>0</v>
      </c>
    </row>
    <row r="67" spans="1:14">
      <c r="A67" s="239">
        <v>35</v>
      </c>
      <c r="B67" s="240">
        <v>311115</v>
      </c>
      <c r="C67" s="248" t="s">
        <v>3294</v>
      </c>
      <c r="D67" s="248" t="s">
        <v>2697</v>
      </c>
      <c r="E67" s="243">
        <v>13</v>
      </c>
      <c r="F67" s="616"/>
      <c r="G67" s="244">
        <f t="shared" si="4"/>
        <v>0</v>
      </c>
      <c r="H67" s="245">
        <v>0</v>
      </c>
      <c r="I67" s="246">
        <f t="shared" si="5"/>
        <v>0</v>
      </c>
      <c r="J67" s="249" t="s">
        <v>765</v>
      </c>
      <c r="K67" s="177" t="s">
        <v>3266</v>
      </c>
      <c r="L67" s="177" t="s">
        <v>2080</v>
      </c>
      <c r="M67" s="250" t="s">
        <v>3287</v>
      </c>
    </row>
    <row r="68" spans="1:14">
      <c r="A68" s="239">
        <v>36</v>
      </c>
      <c r="B68" s="240">
        <v>311117</v>
      </c>
      <c r="C68" s="248" t="s">
        <v>3295</v>
      </c>
      <c r="D68" s="248" t="s">
        <v>2697</v>
      </c>
      <c r="E68" s="243">
        <v>14</v>
      </c>
      <c r="F68" s="616"/>
      <c r="G68" s="244">
        <f t="shared" si="4"/>
        <v>0</v>
      </c>
      <c r="H68" s="245">
        <v>0</v>
      </c>
      <c r="I68" s="246">
        <f t="shared" si="5"/>
        <v>0</v>
      </c>
      <c r="J68" s="249" t="s">
        <v>765</v>
      </c>
      <c r="K68" s="177" t="s">
        <v>3266</v>
      </c>
      <c r="L68" s="177" t="s">
        <v>2080</v>
      </c>
      <c r="M68" s="250" t="s">
        <v>3287</v>
      </c>
    </row>
    <row r="69" spans="1:14">
      <c r="A69" s="239">
        <v>37</v>
      </c>
      <c r="B69" s="240">
        <v>409011</v>
      </c>
      <c r="C69" s="248" t="s">
        <v>3296</v>
      </c>
      <c r="D69" s="248" t="s">
        <v>2697</v>
      </c>
      <c r="E69" s="243">
        <v>5</v>
      </c>
      <c r="F69" s="616"/>
      <c r="G69" s="244">
        <f t="shared" si="4"/>
        <v>0</v>
      </c>
      <c r="H69" s="245">
        <v>0</v>
      </c>
      <c r="I69" s="246">
        <f t="shared" si="5"/>
        <v>0</v>
      </c>
      <c r="J69" s="249" t="s">
        <v>765</v>
      </c>
      <c r="K69" s="177" t="s">
        <v>3266</v>
      </c>
      <c r="L69" s="177" t="s">
        <v>2080</v>
      </c>
      <c r="M69" s="250" t="s">
        <v>3287</v>
      </c>
    </row>
    <row r="70" spans="1:14">
      <c r="A70" s="239">
        <v>38</v>
      </c>
      <c r="B70" s="240">
        <v>419101</v>
      </c>
      <c r="C70" s="248" t="s">
        <v>3297</v>
      </c>
      <c r="D70" s="248" t="s">
        <v>2697</v>
      </c>
      <c r="E70" s="243">
        <v>8</v>
      </c>
      <c r="F70" s="616"/>
      <c r="G70" s="244">
        <f t="shared" si="4"/>
        <v>0</v>
      </c>
      <c r="H70" s="245">
        <v>0</v>
      </c>
      <c r="I70" s="246">
        <f t="shared" si="5"/>
        <v>0</v>
      </c>
      <c r="J70" s="249" t="s">
        <v>765</v>
      </c>
      <c r="K70" s="177" t="s">
        <v>3266</v>
      </c>
      <c r="L70" s="177" t="s">
        <v>2080</v>
      </c>
      <c r="M70" s="250" t="s">
        <v>3287</v>
      </c>
    </row>
    <row r="71" spans="1:14">
      <c r="A71" s="239"/>
      <c r="B71" s="240"/>
      <c r="C71" s="251" t="s">
        <v>3252</v>
      </c>
      <c r="D71" s="248"/>
      <c r="E71" s="243"/>
      <c r="F71" s="252">
        <f>SUM(G61:G70)</f>
        <v>0</v>
      </c>
      <c r="G71" s="244"/>
      <c r="H71" s="245"/>
      <c r="I71" s="246"/>
      <c r="J71" s="249"/>
      <c r="M71" s="250" t="s">
        <v>3287</v>
      </c>
    </row>
    <row r="72" spans="1:14">
      <c r="A72" s="239"/>
      <c r="B72" s="240"/>
      <c r="C72" s="251" t="s">
        <v>3253</v>
      </c>
      <c r="D72" s="248"/>
      <c r="E72" s="243"/>
      <c r="F72" s="243"/>
      <c r="G72" s="244"/>
      <c r="H72" s="245"/>
      <c r="I72" s="246"/>
      <c r="J72" s="249"/>
      <c r="L72" s="177" t="s">
        <v>419</v>
      </c>
      <c r="M72" s="250" t="s">
        <v>3287</v>
      </c>
    </row>
    <row r="73" spans="1:14">
      <c r="A73" s="239">
        <v>39</v>
      </c>
      <c r="B73" s="240">
        <v>171207</v>
      </c>
      <c r="C73" s="248" t="s">
        <v>3288</v>
      </c>
      <c r="D73" s="248" t="s">
        <v>1923</v>
      </c>
      <c r="E73" s="243">
        <v>40</v>
      </c>
      <c r="F73" s="616"/>
      <c r="G73" s="244">
        <f t="shared" ref="G73:G93" si="7">E73*F73</f>
        <v>0</v>
      </c>
      <c r="H73" s="245">
        <v>0</v>
      </c>
      <c r="I73" s="246">
        <f t="shared" ref="I73:I93" si="8">E73*H73</f>
        <v>0</v>
      </c>
      <c r="J73" s="249" t="s">
        <v>765</v>
      </c>
      <c r="K73" s="177" t="s">
        <v>3266</v>
      </c>
      <c r="L73" s="177" t="s">
        <v>419</v>
      </c>
      <c r="M73" s="250" t="s">
        <v>3287</v>
      </c>
      <c r="N73" s="177">
        <f t="shared" ref="N73:N80" si="9">E73*F73</f>
        <v>0</v>
      </c>
    </row>
    <row r="74" spans="1:14">
      <c r="A74" s="239">
        <v>40</v>
      </c>
      <c r="B74" s="240">
        <v>103005</v>
      </c>
      <c r="C74" s="248" t="s">
        <v>3298</v>
      </c>
      <c r="D74" s="248" t="s">
        <v>1923</v>
      </c>
      <c r="E74" s="243">
        <v>140</v>
      </c>
      <c r="F74" s="616"/>
      <c r="G74" s="244">
        <f t="shared" si="7"/>
        <v>0</v>
      </c>
      <c r="H74" s="245">
        <v>0</v>
      </c>
      <c r="I74" s="246">
        <f t="shared" si="8"/>
        <v>0</v>
      </c>
      <c r="J74" s="249" t="s">
        <v>765</v>
      </c>
      <c r="K74" s="177" t="s">
        <v>3266</v>
      </c>
      <c r="L74" s="177" t="s">
        <v>419</v>
      </c>
      <c r="M74" s="250" t="s">
        <v>3287</v>
      </c>
      <c r="N74" s="177">
        <f t="shared" si="9"/>
        <v>0</v>
      </c>
    </row>
    <row r="75" spans="1:14">
      <c r="A75" s="239">
        <v>41</v>
      </c>
      <c r="B75" s="240">
        <v>101105</v>
      </c>
      <c r="C75" s="248" t="s">
        <v>3290</v>
      </c>
      <c r="D75" s="248" t="s">
        <v>1923</v>
      </c>
      <c r="E75" s="243">
        <v>495</v>
      </c>
      <c r="F75" s="616"/>
      <c r="G75" s="244">
        <f t="shared" si="7"/>
        <v>0</v>
      </c>
      <c r="H75" s="245">
        <v>0</v>
      </c>
      <c r="I75" s="246">
        <f t="shared" si="8"/>
        <v>0</v>
      </c>
      <c r="J75" s="249" t="s">
        <v>765</v>
      </c>
      <c r="K75" s="177" t="s">
        <v>3266</v>
      </c>
      <c r="L75" s="177" t="s">
        <v>419</v>
      </c>
      <c r="M75" s="250" t="s">
        <v>3287</v>
      </c>
      <c r="N75" s="177">
        <f t="shared" si="9"/>
        <v>0</v>
      </c>
    </row>
    <row r="76" spans="1:14">
      <c r="A76" s="239">
        <v>42</v>
      </c>
      <c r="B76" s="240">
        <v>101305</v>
      </c>
      <c r="C76" s="248" t="s">
        <v>3292</v>
      </c>
      <c r="D76" s="248" t="s">
        <v>1923</v>
      </c>
      <c r="E76" s="243">
        <v>75</v>
      </c>
      <c r="F76" s="616"/>
      <c r="G76" s="244">
        <f t="shared" si="7"/>
        <v>0</v>
      </c>
      <c r="H76" s="245">
        <v>0</v>
      </c>
      <c r="I76" s="246">
        <f t="shared" si="8"/>
        <v>0</v>
      </c>
      <c r="J76" s="249" t="s">
        <v>765</v>
      </c>
      <c r="K76" s="177" t="s">
        <v>3266</v>
      </c>
      <c r="L76" s="177" t="s">
        <v>419</v>
      </c>
      <c r="M76" s="250" t="s">
        <v>3287</v>
      </c>
      <c r="N76" s="177">
        <f t="shared" si="9"/>
        <v>0</v>
      </c>
    </row>
    <row r="77" spans="1:14">
      <c r="A77" s="239">
        <v>43</v>
      </c>
      <c r="B77" s="240">
        <v>101106</v>
      </c>
      <c r="C77" s="248" t="s">
        <v>3291</v>
      </c>
      <c r="D77" s="248" t="s">
        <v>1923</v>
      </c>
      <c r="E77" s="243">
        <v>125</v>
      </c>
      <c r="F77" s="616"/>
      <c r="G77" s="244">
        <f t="shared" si="7"/>
        <v>0</v>
      </c>
      <c r="H77" s="245">
        <v>0</v>
      </c>
      <c r="I77" s="246">
        <f t="shared" si="8"/>
        <v>0</v>
      </c>
      <c r="J77" s="249" t="s">
        <v>765</v>
      </c>
      <c r="K77" s="177" t="s">
        <v>3266</v>
      </c>
      <c r="L77" s="177" t="s">
        <v>419</v>
      </c>
      <c r="M77" s="250" t="s">
        <v>3287</v>
      </c>
      <c r="N77" s="177">
        <f t="shared" si="9"/>
        <v>0</v>
      </c>
    </row>
    <row r="78" spans="1:14">
      <c r="A78" s="239">
        <v>44</v>
      </c>
      <c r="B78" s="240">
        <v>101306</v>
      </c>
      <c r="C78" s="248" t="s">
        <v>3299</v>
      </c>
      <c r="D78" s="248" t="s">
        <v>1923</v>
      </c>
      <c r="E78" s="243">
        <v>55</v>
      </c>
      <c r="F78" s="616"/>
      <c r="G78" s="244">
        <f t="shared" si="7"/>
        <v>0</v>
      </c>
      <c r="H78" s="245">
        <v>0</v>
      </c>
      <c r="I78" s="246">
        <f t="shared" si="8"/>
        <v>0</v>
      </c>
      <c r="J78" s="249" t="s">
        <v>765</v>
      </c>
      <c r="K78" s="177" t="s">
        <v>3266</v>
      </c>
      <c r="L78" s="177" t="s">
        <v>419</v>
      </c>
      <c r="M78" s="250" t="s">
        <v>3287</v>
      </c>
      <c r="N78" s="177">
        <f t="shared" si="9"/>
        <v>0</v>
      </c>
    </row>
    <row r="79" spans="1:14">
      <c r="A79" s="239">
        <v>45</v>
      </c>
      <c r="B79" s="240">
        <v>101307</v>
      </c>
      <c r="C79" s="248" t="s">
        <v>3293</v>
      </c>
      <c r="D79" s="248" t="s">
        <v>1923</v>
      </c>
      <c r="E79" s="243">
        <v>70</v>
      </c>
      <c r="F79" s="616"/>
      <c r="G79" s="244">
        <f t="shared" si="7"/>
        <v>0</v>
      </c>
      <c r="H79" s="245">
        <v>0</v>
      </c>
      <c r="I79" s="246">
        <f t="shared" si="8"/>
        <v>0</v>
      </c>
      <c r="J79" s="249" t="s">
        <v>765</v>
      </c>
      <c r="K79" s="177" t="s">
        <v>3266</v>
      </c>
      <c r="L79" s="177" t="s">
        <v>419</v>
      </c>
      <c r="M79" s="250" t="s">
        <v>3287</v>
      </c>
      <c r="N79" s="177">
        <f t="shared" si="9"/>
        <v>0</v>
      </c>
    </row>
    <row r="80" spans="1:14">
      <c r="A80" s="239">
        <v>46</v>
      </c>
      <c r="B80" s="240">
        <v>101308</v>
      </c>
      <c r="C80" s="248" t="s">
        <v>3300</v>
      </c>
      <c r="D80" s="248" t="s">
        <v>1923</v>
      </c>
      <c r="E80" s="243">
        <v>45</v>
      </c>
      <c r="F80" s="616"/>
      <c r="G80" s="244">
        <f t="shared" si="7"/>
        <v>0</v>
      </c>
      <c r="H80" s="245">
        <v>0</v>
      </c>
      <c r="I80" s="246">
        <f t="shared" si="8"/>
        <v>0</v>
      </c>
      <c r="J80" s="249" t="s">
        <v>765</v>
      </c>
      <c r="K80" s="177" t="s">
        <v>3266</v>
      </c>
      <c r="L80" s="177" t="s">
        <v>419</v>
      </c>
      <c r="M80" s="250" t="s">
        <v>3287</v>
      </c>
      <c r="N80" s="177">
        <f t="shared" si="9"/>
        <v>0</v>
      </c>
    </row>
    <row r="81" spans="1:14">
      <c r="A81" s="239">
        <v>47</v>
      </c>
      <c r="B81" s="240">
        <v>311115</v>
      </c>
      <c r="C81" s="248" t="s">
        <v>3294</v>
      </c>
      <c r="D81" s="248" t="s">
        <v>2697</v>
      </c>
      <c r="E81" s="243">
        <v>70</v>
      </c>
      <c r="F81" s="616"/>
      <c r="G81" s="244">
        <f t="shared" si="7"/>
        <v>0</v>
      </c>
      <c r="H81" s="245">
        <v>0</v>
      </c>
      <c r="I81" s="246">
        <f t="shared" si="8"/>
        <v>0</v>
      </c>
      <c r="J81" s="249" t="s">
        <v>765</v>
      </c>
      <c r="K81" s="177" t="s">
        <v>3266</v>
      </c>
      <c r="L81" s="177" t="s">
        <v>419</v>
      </c>
      <c r="M81" s="250" t="s">
        <v>3287</v>
      </c>
    </row>
    <row r="82" spans="1:14">
      <c r="A82" s="239">
        <v>48</v>
      </c>
      <c r="B82" s="240">
        <v>311117</v>
      </c>
      <c r="C82" s="248" t="s">
        <v>3295</v>
      </c>
      <c r="D82" s="248" t="s">
        <v>2697</v>
      </c>
      <c r="E82" s="243">
        <v>90</v>
      </c>
      <c r="F82" s="616"/>
      <c r="G82" s="244">
        <f t="shared" si="7"/>
        <v>0</v>
      </c>
      <c r="H82" s="245">
        <v>0</v>
      </c>
      <c r="I82" s="246">
        <f t="shared" si="8"/>
        <v>0</v>
      </c>
      <c r="J82" s="249" t="s">
        <v>765</v>
      </c>
      <c r="K82" s="177" t="s">
        <v>3266</v>
      </c>
      <c r="L82" s="177" t="s">
        <v>419</v>
      </c>
      <c r="M82" s="250" t="s">
        <v>3287</v>
      </c>
    </row>
    <row r="83" spans="1:14">
      <c r="A83" s="239">
        <v>49</v>
      </c>
      <c r="B83" s="240">
        <v>409011</v>
      </c>
      <c r="C83" s="248" t="s">
        <v>3296</v>
      </c>
      <c r="D83" s="248" t="s">
        <v>2697</v>
      </c>
      <c r="E83" s="243">
        <v>24</v>
      </c>
      <c r="F83" s="616"/>
      <c r="G83" s="244">
        <f t="shared" si="7"/>
        <v>0</v>
      </c>
      <c r="H83" s="245">
        <v>0</v>
      </c>
      <c r="I83" s="246">
        <f t="shared" si="8"/>
        <v>0</v>
      </c>
      <c r="J83" s="249" t="s">
        <v>765</v>
      </c>
      <c r="K83" s="177" t="s">
        <v>3266</v>
      </c>
      <c r="L83" s="177" t="s">
        <v>419</v>
      </c>
      <c r="M83" s="250" t="s">
        <v>3287</v>
      </c>
    </row>
    <row r="84" spans="1:14">
      <c r="A84" s="239">
        <v>50</v>
      </c>
      <c r="B84" s="240">
        <v>409021</v>
      </c>
      <c r="C84" s="248" t="s">
        <v>3301</v>
      </c>
      <c r="D84" s="248" t="s">
        <v>2697</v>
      </c>
      <c r="E84" s="243">
        <v>1</v>
      </c>
      <c r="F84" s="616"/>
      <c r="G84" s="244">
        <f t="shared" si="7"/>
        <v>0</v>
      </c>
      <c r="H84" s="245">
        <v>0</v>
      </c>
      <c r="I84" s="246">
        <f t="shared" si="8"/>
        <v>0</v>
      </c>
      <c r="J84" s="249" t="s">
        <v>765</v>
      </c>
      <c r="K84" s="177" t="s">
        <v>3266</v>
      </c>
      <c r="L84" s="177" t="s">
        <v>419</v>
      </c>
      <c r="M84" s="250" t="s">
        <v>3287</v>
      </c>
    </row>
    <row r="85" spans="1:14">
      <c r="A85" s="239">
        <v>51</v>
      </c>
      <c r="B85" s="240">
        <v>409023</v>
      </c>
      <c r="C85" s="248" t="s">
        <v>3302</v>
      </c>
      <c r="D85" s="248" t="s">
        <v>2697</v>
      </c>
      <c r="E85" s="243">
        <v>12</v>
      </c>
      <c r="F85" s="616"/>
      <c r="G85" s="244">
        <f t="shared" si="7"/>
        <v>0</v>
      </c>
      <c r="H85" s="245">
        <v>0</v>
      </c>
      <c r="I85" s="246">
        <f t="shared" si="8"/>
        <v>0</v>
      </c>
      <c r="J85" s="249" t="s">
        <v>765</v>
      </c>
      <c r="K85" s="177" t="s">
        <v>3266</v>
      </c>
      <c r="L85" s="177" t="s">
        <v>419</v>
      </c>
      <c r="M85" s="250" t="s">
        <v>3287</v>
      </c>
    </row>
    <row r="86" spans="1:14">
      <c r="A86" s="239">
        <v>52</v>
      </c>
      <c r="B86" s="240">
        <v>409026</v>
      </c>
      <c r="C86" s="248" t="s">
        <v>3303</v>
      </c>
      <c r="D86" s="248" t="s">
        <v>2697</v>
      </c>
      <c r="E86" s="243">
        <v>1</v>
      </c>
      <c r="F86" s="616"/>
      <c r="G86" s="244">
        <f t="shared" si="7"/>
        <v>0</v>
      </c>
      <c r="H86" s="245">
        <v>0</v>
      </c>
      <c r="I86" s="246">
        <f t="shared" si="8"/>
        <v>0</v>
      </c>
      <c r="J86" s="249" t="s">
        <v>765</v>
      </c>
      <c r="K86" s="177" t="s">
        <v>3266</v>
      </c>
      <c r="L86" s="177" t="s">
        <v>419</v>
      </c>
      <c r="M86" s="250" t="s">
        <v>3287</v>
      </c>
    </row>
    <row r="87" spans="1:14">
      <c r="A87" s="239">
        <v>53</v>
      </c>
      <c r="B87" s="240">
        <v>410184</v>
      </c>
      <c r="C87" s="248" t="s">
        <v>3674</v>
      </c>
      <c r="D87" s="242"/>
      <c r="E87" s="243">
        <v>1</v>
      </c>
      <c r="F87" s="243">
        <v>0</v>
      </c>
      <c r="G87" s="244">
        <f t="shared" si="7"/>
        <v>0</v>
      </c>
      <c r="H87" s="245">
        <v>0</v>
      </c>
      <c r="I87" s="246">
        <f t="shared" si="8"/>
        <v>0</v>
      </c>
      <c r="J87" s="247"/>
      <c r="K87" s="177" t="s">
        <v>3266</v>
      </c>
      <c r="L87" s="177" t="s">
        <v>419</v>
      </c>
      <c r="M87" s="250" t="s">
        <v>3287</v>
      </c>
    </row>
    <row r="88" spans="1:14">
      <c r="A88" s="239">
        <v>54</v>
      </c>
      <c r="B88" s="240">
        <v>409846</v>
      </c>
      <c r="C88" s="248" t="s">
        <v>3304</v>
      </c>
      <c r="D88" s="248" t="s">
        <v>2697</v>
      </c>
      <c r="E88" s="243">
        <v>1</v>
      </c>
      <c r="F88" s="616"/>
      <c r="G88" s="244">
        <f t="shared" si="7"/>
        <v>0</v>
      </c>
      <c r="H88" s="245">
        <v>0</v>
      </c>
      <c r="I88" s="246">
        <f t="shared" si="8"/>
        <v>0</v>
      </c>
      <c r="J88" s="249" t="s">
        <v>765</v>
      </c>
      <c r="L88" s="177" t="s">
        <v>419</v>
      </c>
      <c r="M88" s="250" t="s">
        <v>3287</v>
      </c>
    </row>
    <row r="89" spans="1:14">
      <c r="A89" s="239">
        <v>55</v>
      </c>
      <c r="B89" s="240">
        <v>410115</v>
      </c>
      <c r="C89" s="248" t="s">
        <v>3305</v>
      </c>
      <c r="D89" s="248" t="s">
        <v>2697</v>
      </c>
      <c r="E89" s="243">
        <v>1</v>
      </c>
      <c r="F89" s="616"/>
      <c r="G89" s="244">
        <f t="shared" si="7"/>
        <v>0</v>
      </c>
      <c r="H89" s="245">
        <v>0</v>
      </c>
      <c r="I89" s="246">
        <f t="shared" si="8"/>
        <v>0</v>
      </c>
      <c r="J89" s="249" t="s">
        <v>765</v>
      </c>
      <c r="L89" s="177" t="s">
        <v>419</v>
      </c>
      <c r="M89" s="250" t="s">
        <v>3287</v>
      </c>
    </row>
    <row r="90" spans="1:14">
      <c r="A90" s="239">
        <v>56</v>
      </c>
      <c r="B90" s="240">
        <v>420091</v>
      </c>
      <c r="C90" s="248" t="s">
        <v>3675</v>
      </c>
      <c r="D90" s="248" t="s">
        <v>2697</v>
      </c>
      <c r="E90" s="243">
        <v>1</v>
      </c>
      <c r="F90" s="616"/>
      <c r="G90" s="244">
        <f t="shared" si="7"/>
        <v>0</v>
      </c>
      <c r="H90" s="245">
        <v>0</v>
      </c>
      <c r="I90" s="246">
        <f t="shared" si="8"/>
        <v>0</v>
      </c>
      <c r="J90" s="249" t="s">
        <v>765</v>
      </c>
      <c r="L90" s="177" t="s">
        <v>419</v>
      </c>
      <c r="M90" s="250" t="s">
        <v>3287</v>
      </c>
    </row>
    <row r="91" spans="1:14">
      <c r="A91" s="239">
        <v>57</v>
      </c>
      <c r="B91" s="240">
        <v>413151</v>
      </c>
      <c r="C91" s="248" t="s">
        <v>3306</v>
      </c>
      <c r="D91" s="248" t="s">
        <v>2697</v>
      </c>
      <c r="E91" s="243">
        <v>2</v>
      </c>
      <c r="F91" s="616"/>
      <c r="G91" s="244">
        <f t="shared" si="7"/>
        <v>0</v>
      </c>
      <c r="H91" s="245">
        <v>0</v>
      </c>
      <c r="I91" s="246">
        <f t="shared" si="8"/>
        <v>0</v>
      </c>
      <c r="J91" s="249" t="s">
        <v>765</v>
      </c>
      <c r="K91" s="177" t="s">
        <v>3266</v>
      </c>
      <c r="L91" s="177" t="s">
        <v>419</v>
      </c>
      <c r="M91" s="250" t="s">
        <v>3287</v>
      </c>
    </row>
    <row r="92" spans="1:14">
      <c r="A92" s="239">
        <v>58</v>
      </c>
      <c r="B92" s="240">
        <v>418101</v>
      </c>
      <c r="C92" s="248" t="s">
        <v>3307</v>
      </c>
      <c r="D92" s="248" t="s">
        <v>2697</v>
      </c>
      <c r="E92" s="243">
        <v>1</v>
      </c>
      <c r="F92" s="616"/>
      <c r="G92" s="244">
        <f t="shared" si="7"/>
        <v>0</v>
      </c>
      <c r="H92" s="245">
        <v>0</v>
      </c>
      <c r="I92" s="246">
        <f t="shared" si="8"/>
        <v>0</v>
      </c>
      <c r="J92" s="249" t="s">
        <v>765</v>
      </c>
      <c r="K92" s="177" t="s">
        <v>3266</v>
      </c>
      <c r="L92" s="177" t="s">
        <v>419</v>
      </c>
      <c r="M92" s="250" t="s">
        <v>3287</v>
      </c>
    </row>
    <row r="93" spans="1:14">
      <c r="A93" s="239">
        <v>59</v>
      </c>
      <c r="B93" s="240">
        <v>419101</v>
      </c>
      <c r="C93" s="248" t="s">
        <v>3297</v>
      </c>
      <c r="D93" s="248" t="s">
        <v>2697</v>
      </c>
      <c r="E93" s="243">
        <v>28</v>
      </c>
      <c r="F93" s="616"/>
      <c r="G93" s="244">
        <f t="shared" si="7"/>
        <v>0</v>
      </c>
      <c r="H93" s="245">
        <v>0</v>
      </c>
      <c r="I93" s="246">
        <f t="shared" si="8"/>
        <v>0</v>
      </c>
      <c r="J93" s="249" t="s">
        <v>765</v>
      </c>
      <c r="K93" s="177" t="s">
        <v>3266</v>
      </c>
      <c r="L93" s="177" t="s">
        <v>419</v>
      </c>
      <c r="M93" s="250" t="s">
        <v>3287</v>
      </c>
    </row>
    <row r="94" spans="1:14">
      <c r="A94" s="239"/>
      <c r="B94" s="240"/>
      <c r="C94" s="251" t="s">
        <v>3252</v>
      </c>
      <c r="D94" s="248"/>
      <c r="E94" s="243"/>
      <c r="F94" s="252">
        <f>SUM(G73:G93)</f>
        <v>0</v>
      </c>
      <c r="G94" s="244"/>
      <c r="H94" s="245"/>
      <c r="I94" s="246"/>
      <c r="J94" s="249"/>
      <c r="M94" s="250" t="s">
        <v>3287</v>
      </c>
    </row>
    <row r="95" spans="1:14">
      <c r="A95" s="239"/>
      <c r="B95" s="240"/>
      <c r="C95" s="251" t="s">
        <v>3255</v>
      </c>
      <c r="D95" s="248"/>
      <c r="E95" s="243"/>
      <c r="F95" s="243"/>
      <c r="G95" s="244"/>
      <c r="H95" s="245"/>
      <c r="I95" s="246"/>
      <c r="J95" s="249"/>
      <c r="L95" s="177" t="s">
        <v>1469</v>
      </c>
      <c r="M95" s="250" t="s">
        <v>3287</v>
      </c>
    </row>
    <row r="96" spans="1:14">
      <c r="A96" s="239">
        <v>60</v>
      </c>
      <c r="B96" s="240">
        <v>171107</v>
      </c>
      <c r="C96" s="248" t="s">
        <v>3308</v>
      </c>
      <c r="D96" s="248" t="s">
        <v>1923</v>
      </c>
      <c r="E96" s="243">
        <v>40</v>
      </c>
      <c r="F96" s="616"/>
      <c r="G96" s="244">
        <f t="shared" ref="G96:G113" si="10">E96*F96</f>
        <v>0</v>
      </c>
      <c r="H96" s="245">
        <v>0</v>
      </c>
      <c r="I96" s="246">
        <f t="shared" ref="I96:I113" si="11">E96*H96</f>
        <v>0</v>
      </c>
      <c r="J96" s="249" t="s">
        <v>765</v>
      </c>
      <c r="K96" s="177" t="s">
        <v>3266</v>
      </c>
      <c r="L96" s="177" t="s">
        <v>1469</v>
      </c>
      <c r="M96" s="250" t="s">
        <v>3287</v>
      </c>
      <c r="N96" s="177">
        <f t="shared" ref="N96:N105" si="12">E96*F96</f>
        <v>0</v>
      </c>
    </row>
    <row r="97" spans="1:14">
      <c r="A97" s="239">
        <v>61</v>
      </c>
      <c r="B97" s="240">
        <v>171108</v>
      </c>
      <c r="C97" s="248" t="s">
        <v>3309</v>
      </c>
      <c r="D97" s="248" t="s">
        <v>1923</v>
      </c>
      <c r="E97" s="243">
        <v>10</v>
      </c>
      <c r="F97" s="616"/>
      <c r="G97" s="244">
        <f t="shared" si="10"/>
        <v>0</v>
      </c>
      <c r="H97" s="245">
        <v>0</v>
      </c>
      <c r="I97" s="246">
        <f t="shared" si="11"/>
        <v>0</v>
      </c>
      <c r="J97" s="249" t="s">
        <v>765</v>
      </c>
      <c r="K97" s="177" t="s">
        <v>3266</v>
      </c>
      <c r="L97" s="177" t="s">
        <v>1469</v>
      </c>
      <c r="M97" s="250" t="s">
        <v>3287</v>
      </c>
      <c r="N97" s="177">
        <f t="shared" si="12"/>
        <v>0</v>
      </c>
    </row>
    <row r="98" spans="1:14">
      <c r="A98" s="239">
        <v>62</v>
      </c>
      <c r="B98" s="240">
        <v>171108</v>
      </c>
      <c r="C98" s="248" t="s">
        <v>3309</v>
      </c>
      <c r="D98" s="248" t="s">
        <v>1923</v>
      </c>
      <c r="E98" s="243">
        <v>60</v>
      </c>
      <c r="F98" s="616"/>
      <c r="G98" s="244">
        <f t="shared" si="10"/>
        <v>0</v>
      </c>
      <c r="H98" s="245">
        <v>0</v>
      </c>
      <c r="I98" s="246">
        <f t="shared" si="11"/>
        <v>0</v>
      </c>
      <c r="J98" s="249" t="s">
        <v>765</v>
      </c>
      <c r="K98" s="177" t="s">
        <v>3266</v>
      </c>
      <c r="L98" s="177" t="s">
        <v>1469</v>
      </c>
      <c r="M98" s="250" t="s">
        <v>3287</v>
      </c>
      <c r="N98" s="177">
        <f t="shared" si="12"/>
        <v>0</v>
      </c>
    </row>
    <row r="99" spans="1:14">
      <c r="A99" s="239">
        <v>63</v>
      </c>
      <c r="B99" s="240">
        <v>101005</v>
      </c>
      <c r="C99" s="248" t="s">
        <v>3289</v>
      </c>
      <c r="D99" s="248" t="s">
        <v>1923</v>
      </c>
      <c r="E99" s="243">
        <v>20</v>
      </c>
      <c r="F99" s="616"/>
      <c r="G99" s="244">
        <f t="shared" si="10"/>
        <v>0</v>
      </c>
      <c r="H99" s="245">
        <v>0</v>
      </c>
      <c r="I99" s="246">
        <f t="shared" si="11"/>
        <v>0</v>
      </c>
      <c r="J99" s="249" t="s">
        <v>765</v>
      </c>
      <c r="K99" s="177" t="s">
        <v>3266</v>
      </c>
      <c r="L99" s="177" t="s">
        <v>1469</v>
      </c>
      <c r="M99" s="250" t="s">
        <v>3287</v>
      </c>
      <c r="N99" s="177">
        <f t="shared" si="12"/>
        <v>0</v>
      </c>
    </row>
    <row r="100" spans="1:14">
      <c r="A100" s="239">
        <v>64</v>
      </c>
      <c r="B100" s="240">
        <v>101105</v>
      </c>
      <c r="C100" s="248" t="s">
        <v>3290</v>
      </c>
      <c r="D100" s="248" t="s">
        <v>1923</v>
      </c>
      <c r="E100" s="243">
        <v>205</v>
      </c>
      <c r="F100" s="616"/>
      <c r="G100" s="244">
        <f t="shared" si="10"/>
        <v>0</v>
      </c>
      <c r="H100" s="245">
        <v>0</v>
      </c>
      <c r="I100" s="246">
        <f t="shared" si="11"/>
        <v>0</v>
      </c>
      <c r="J100" s="249" t="s">
        <v>765</v>
      </c>
      <c r="K100" s="177" t="s">
        <v>3266</v>
      </c>
      <c r="L100" s="177" t="s">
        <v>1469</v>
      </c>
      <c r="M100" s="250" t="s">
        <v>3287</v>
      </c>
      <c r="N100" s="177">
        <f t="shared" si="12"/>
        <v>0</v>
      </c>
    </row>
    <row r="101" spans="1:14">
      <c r="A101" s="239">
        <v>65</v>
      </c>
      <c r="B101" s="240">
        <v>101106</v>
      </c>
      <c r="C101" s="248" t="s">
        <v>3291</v>
      </c>
      <c r="D101" s="248" t="s">
        <v>1923</v>
      </c>
      <c r="E101" s="243">
        <v>50</v>
      </c>
      <c r="F101" s="616"/>
      <c r="G101" s="244">
        <f t="shared" si="10"/>
        <v>0</v>
      </c>
      <c r="H101" s="245">
        <v>0</v>
      </c>
      <c r="I101" s="246">
        <f t="shared" si="11"/>
        <v>0</v>
      </c>
      <c r="J101" s="249" t="s">
        <v>765</v>
      </c>
      <c r="K101" s="177" t="s">
        <v>3266</v>
      </c>
      <c r="L101" s="177" t="s">
        <v>1469</v>
      </c>
      <c r="M101" s="250" t="s">
        <v>3287</v>
      </c>
      <c r="N101" s="177">
        <f t="shared" si="12"/>
        <v>0</v>
      </c>
    </row>
    <row r="102" spans="1:14">
      <c r="A102" s="239">
        <v>66</v>
      </c>
      <c r="B102" s="240">
        <v>101305</v>
      </c>
      <c r="C102" s="248" t="s">
        <v>3292</v>
      </c>
      <c r="D102" s="248" t="s">
        <v>1923</v>
      </c>
      <c r="E102" s="243">
        <v>35</v>
      </c>
      <c r="F102" s="616"/>
      <c r="G102" s="244">
        <f t="shared" si="10"/>
        <v>0</v>
      </c>
      <c r="H102" s="245">
        <v>0</v>
      </c>
      <c r="I102" s="246">
        <f t="shared" si="11"/>
        <v>0</v>
      </c>
      <c r="J102" s="249" t="s">
        <v>765</v>
      </c>
      <c r="K102" s="177" t="s">
        <v>3266</v>
      </c>
      <c r="L102" s="177" t="s">
        <v>1469</v>
      </c>
      <c r="M102" s="250" t="s">
        <v>3287</v>
      </c>
      <c r="N102" s="177">
        <f t="shared" si="12"/>
        <v>0</v>
      </c>
    </row>
    <row r="103" spans="1:14">
      <c r="A103" s="239">
        <v>67</v>
      </c>
      <c r="B103" s="240">
        <v>101306</v>
      </c>
      <c r="C103" s="248" t="s">
        <v>3299</v>
      </c>
      <c r="D103" s="248" t="s">
        <v>1923</v>
      </c>
      <c r="E103" s="243">
        <v>40</v>
      </c>
      <c r="F103" s="616"/>
      <c r="G103" s="244">
        <f t="shared" si="10"/>
        <v>0</v>
      </c>
      <c r="H103" s="245">
        <v>0</v>
      </c>
      <c r="I103" s="246">
        <f t="shared" si="11"/>
        <v>0</v>
      </c>
      <c r="J103" s="249" t="s">
        <v>765</v>
      </c>
      <c r="K103" s="177" t="s">
        <v>3266</v>
      </c>
      <c r="L103" s="177" t="s">
        <v>1469</v>
      </c>
      <c r="M103" s="250" t="s">
        <v>3287</v>
      </c>
      <c r="N103" s="177">
        <f t="shared" si="12"/>
        <v>0</v>
      </c>
    </row>
    <row r="104" spans="1:14">
      <c r="A104" s="239">
        <v>68</v>
      </c>
      <c r="B104" s="240">
        <v>101308</v>
      </c>
      <c r="C104" s="248" t="s">
        <v>3300</v>
      </c>
      <c r="D104" s="248" t="s">
        <v>1923</v>
      </c>
      <c r="E104" s="243">
        <v>70</v>
      </c>
      <c r="F104" s="616"/>
      <c r="G104" s="244">
        <f t="shared" si="10"/>
        <v>0</v>
      </c>
      <c r="H104" s="245">
        <v>0</v>
      </c>
      <c r="I104" s="246">
        <f t="shared" si="11"/>
        <v>0</v>
      </c>
      <c r="J104" s="249" t="s">
        <v>765</v>
      </c>
      <c r="K104" s="177" t="s">
        <v>3266</v>
      </c>
      <c r="L104" s="177" t="s">
        <v>1469</v>
      </c>
      <c r="M104" s="250" t="s">
        <v>3287</v>
      </c>
      <c r="N104" s="177">
        <f t="shared" si="12"/>
        <v>0</v>
      </c>
    </row>
    <row r="105" spans="1:14">
      <c r="A105" s="239">
        <v>69</v>
      </c>
      <c r="B105" s="240">
        <v>101209</v>
      </c>
      <c r="C105" s="248" t="s">
        <v>3310</v>
      </c>
      <c r="D105" s="248" t="s">
        <v>1923</v>
      </c>
      <c r="E105" s="243">
        <v>20</v>
      </c>
      <c r="F105" s="616"/>
      <c r="G105" s="244">
        <f t="shared" si="10"/>
        <v>0</v>
      </c>
      <c r="H105" s="245">
        <v>0</v>
      </c>
      <c r="I105" s="246">
        <f t="shared" si="11"/>
        <v>0</v>
      </c>
      <c r="J105" s="249" t="s">
        <v>765</v>
      </c>
      <c r="K105" s="177" t="s">
        <v>3266</v>
      </c>
      <c r="L105" s="177" t="s">
        <v>1469</v>
      </c>
      <c r="M105" s="250" t="s">
        <v>3287</v>
      </c>
      <c r="N105" s="177">
        <f t="shared" si="12"/>
        <v>0</v>
      </c>
    </row>
    <row r="106" spans="1:14">
      <c r="A106" s="239">
        <v>70</v>
      </c>
      <c r="B106" s="240">
        <v>311115</v>
      </c>
      <c r="C106" s="248" t="s">
        <v>3294</v>
      </c>
      <c r="D106" s="248" t="s">
        <v>2697</v>
      </c>
      <c r="E106" s="243">
        <v>6</v>
      </c>
      <c r="F106" s="616"/>
      <c r="G106" s="244">
        <f t="shared" si="10"/>
        <v>0</v>
      </c>
      <c r="H106" s="245">
        <v>0</v>
      </c>
      <c r="I106" s="246">
        <f t="shared" si="11"/>
        <v>0</v>
      </c>
      <c r="J106" s="249" t="s">
        <v>765</v>
      </c>
      <c r="K106" s="177" t="s">
        <v>3266</v>
      </c>
      <c r="L106" s="177" t="s">
        <v>1469</v>
      </c>
      <c r="M106" s="250" t="s">
        <v>3287</v>
      </c>
    </row>
    <row r="107" spans="1:14">
      <c r="A107" s="239">
        <v>71</v>
      </c>
      <c r="B107" s="240">
        <v>311117</v>
      </c>
      <c r="C107" s="248" t="s">
        <v>3295</v>
      </c>
      <c r="D107" s="248" t="s">
        <v>2697</v>
      </c>
      <c r="E107" s="243">
        <v>7</v>
      </c>
      <c r="F107" s="616"/>
      <c r="G107" s="244">
        <f t="shared" si="10"/>
        <v>0</v>
      </c>
      <c r="H107" s="245">
        <v>0</v>
      </c>
      <c r="I107" s="246">
        <f t="shared" si="11"/>
        <v>0</v>
      </c>
      <c r="J107" s="249" t="s">
        <v>765</v>
      </c>
      <c r="K107" s="177" t="s">
        <v>3266</v>
      </c>
      <c r="L107" s="177" t="s">
        <v>1469</v>
      </c>
      <c r="M107" s="250" t="s">
        <v>3287</v>
      </c>
    </row>
    <row r="108" spans="1:14">
      <c r="A108" s="239">
        <v>72</v>
      </c>
      <c r="B108" s="240">
        <v>312911</v>
      </c>
      <c r="C108" s="248" t="s">
        <v>3311</v>
      </c>
      <c r="D108" s="248" t="s">
        <v>2697</v>
      </c>
      <c r="E108" s="243">
        <v>4</v>
      </c>
      <c r="F108" s="616"/>
      <c r="G108" s="244">
        <f t="shared" si="10"/>
        <v>0</v>
      </c>
      <c r="H108" s="245">
        <v>0</v>
      </c>
      <c r="I108" s="246">
        <f t="shared" si="11"/>
        <v>0</v>
      </c>
      <c r="J108" s="249" t="s">
        <v>765</v>
      </c>
      <c r="K108" s="177" t="s">
        <v>3266</v>
      </c>
      <c r="L108" s="177" t="s">
        <v>1469</v>
      </c>
      <c r="M108" s="250" t="s">
        <v>3287</v>
      </c>
    </row>
    <row r="109" spans="1:14">
      <c r="A109" s="239">
        <v>73</v>
      </c>
      <c r="B109" s="240">
        <v>409011</v>
      </c>
      <c r="C109" s="248" t="s">
        <v>3296</v>
      </c>
      <c r="D109" s="248" t="s">
        <v>2697</v>
      </c>
      <c r="E109" s="243">
        <v>2</v>
      </c>
      <c r="F109" s="616"/>
      <c r="G109" s="244">
        <f t="shared" si="10"/>
        <v>0</v>
      </c>
      <c r="H109" s="245">
        <v>0</v>
      </c>
      <c r="I109" s="246">
        <f t="shared" si="11"/>
        <v>0</v>
      </c>
      <c r="J109" s="249" t="s">
        <v>765</v>
      </c>
      <c r="K109" s="177" t="s">
        <v>3266</v>
      </c>
      <c r="L109" s="177" t="s">
        <v>1469</v>
      </c>
      <c r="M109" s="250" t="s">
        <v>3287</v>
      </c>
    </row>
    <row r="110" spans="1:14">
      <c r="A110" s="239">
        <v>74</v>
      </c>
      <c r="B110" s="240">
        <v>409023</v>
      </c>
      <c r="C110" s="248" t="s">
        <v>3302</v>
      </c>
      <c r="D110" s="248" t="s">
        <v>2697</v>
      </c>
      <c r="E110" s="243">
        <v>2</v>
      </c>
      <c r="F110" s="616"/>
      <c r="G110" s="244">
        <f t="shared" si="10"/>
        <v>0</v>
      </c>
      <c r="H110" s="245">
        <v>0</v>
      </c>
      <c r="I110" s="246">
        <f t="shared" si="11"/>
        <v>0</v>
      </c>
      <c r="J110" s="249" t="s">
        <v>765</v>
      </c>
      <c r="K110" s="177" t="s">
        <v>3266</v>
      </c>
      <c r="L110" s="177" t="s">
        <v>1469</v>
      </c>
      <c r="M110" s="250" t="s">
        <v>3287</v>
      </c>
    </row>
    <row r="111" spans="1:14">
      <c r="A111" s="239">
        <v>75</v>
      </c>
      <c r="B111" s="240">
        <v>413101</v>
      </c>
      <c r="C111" s="248" t="s">
        <v>3312</v>
      </c>
      <c r="D111" s="248" t="s">
        <v>2697</v>
      </c>
      <c r="E111" s="243">
        <v>3</v>
      </c>
      <c r="F111" s="616"/>
      <c r="G111" s="244">
        <f t="shared" si="10"/>
        <v>0</v>
      </c>
      <c r="H111" s="245">
        <v>0</v>
      </c>
      <c r="I111" s="246">
        <f t="shared" si="11"/>
        <v>0</v>
      </c>
      <c r="J111" s="249" t="s">
        <v>765</v>
      </c>
      <c r="K111" s="177" t="s">
        <v>3266</v>
      </c>
      <c r="L111" s="177" t="s">
        <v>1469</v>
      </c>
      <c r="M111" s="250" t="s">
        <v>3287</v>
      </c>
    </row>
    <row r="112" spans="1:14">
      <c r="A112" s="239">
        <v>76</v>
      </c>
      <c r="B112" s="240">
        <v>423215</v>
      </c>
      <c r="C112" s="248" t="s">
        <v>3313</v>
      </c>
      <c r="D112" s="248" t="s">
        <v>2697</v>
      </c>
      <c r="E112" s="243">
        <v>4</v>
      </c>
      <c r="F112" s="616"/>
      <c r="G112" s="244">
        <f t="shared" si="10"/>
        <v>0</v>
      </c>
      <c r="H112" s="245">
        <v>0</v>
      </c>
      <c r="I112" s="246">
        <f t="shared" si="11"/>
        <v>0</v>
      </c>
      <c r="J112" s="249" t="s">
        <v>765</v>
      </c>
      <c r="K112" s="177" t="s">
        <v>3266</v>
      </c>
      <c r="L112" s="177" t="s">
        <v>1469</v>
      </c>
      <c r="M112" s="250" t="s">
        <v>3287</v>
      </c>
    </row>
    <row r="113" spans="1:14">
      <c r="A113" s="239">
        <v>77</v>
      </c>
      <c r="B113" s="240">
        <v>418101</v>
      </c>
      <c r="C113" s="248" t="s">
        <v>3314</v>
      </c>
      <c r="D113" s="248" t="s">
        <v>2697</v>
      </c>
      <c r="E113" s="243">
        <v>3</v>
      </c>
      <c r="F113" s="616"/>
      <c r="G113" s="244">
        <f t="shared" si="10"/>
        <v>0</v>
      </c>
      <c r="H113" s="245">
        <v>0</v>
      </c>
      <c r="I113" s="246">
        <f t="shared" si="11"/>
        <v>0</v>
      </c>
      <c r="J113" s="249" t="s">
        <v>765</v>
      </c>
      <c r="K113" s="177" t="s">
        <v>3266</v>
      </c>
      <c r="L113" s="177" t="s">
        <v>1469</v>
      </c>
      <c r="M113" s="250" t="s">
        <v>3287</v>
      </c>
    </row>
    <row r="114" spans="1:14">
      <c r="A114" s="239"/>
      <c r="B114" s="240"/>
      <c r="C114" s="251" t="s">
        <v>3252</v>
      </c>
      <c r="D114" s="248"/>
      <c r="E114" s="243"/>
      <c r="F114" s="252">
        <f>SUM(G96:G113)</f>
        <v>0</v>
      </c>
      <c r="G114" s="244"/>
      <c r="H114" s="245"/>
      <c r="I114" s="246"/>
      <c r="J114" s="249"/>
      <c r="M114" s="250" t="s">
        <v>3287</v>
      </c>
    </row>
    <row r="115" spans="1:14">
      <c r="A115" s="239"/>
      <c r="B115" s="240"/>
      <c r="C115" s="251" t="s">
        <v>3258</v>
      </c>
      <c r="D115" s="248"/>
      <c r="E115" s="243"/>
      <c r="F115" s="243"/>
      <c r="G115" s="244"/>
      <c r="H115" s="245"/>
      <c r="I115" s="246"/>
      <c r="J115" s="249"/>
      <c r="L115" s="177" t="s">
        <v>3015</v>
      </c>
      <c r="M115" s="250" t="s">
        <v>3287</v>
      </c>
    </row>
    <row r="116" spans="1:14">
      <c r="A116" s="239">
        <v>78</v>
      </c>
      <c r="B116" s="240">
        <v>171107</v>
      </c>
      <c r="C116" s="248" t="s">
        <v>3308</v>
      </c>
      <c r="D116" s="248" t="s">
        <v>1923</v>
      </c>
      <c r="E116" s="243">
        <v>40</v>
      </c>
      <c r="F116" s="616"/>
      <c r="G116" s="244">
        <f t="shared" ref="G116:G129" si="13">E116*F116</f>
        <v>0</v>
      </c>
      <c r="H116" s="245">
        <v>0</v>
      </c>
      <c r="I116" s="246">
        <f t="shared" ref="I116:I129" si="14">E116*H116</f>
        <v>0</v>
      </c>
      <c r="J116" s="249" t="s">
        <v>765</v>
      </c>
      <c r="K116" s="177" t="s">
        <v>3266</v>
      </c>
      <c r="L116" s="177" t="s">
        <v>3015</v>
      </c>
      <c r="M116" s="250" t="s">
        <v>3287</v>
      </c>
      <c r="N116" s="177">
        <f t="shared" ref="N116:N122" si="15">E116*F116</f>
        <v>0</v>
      </c>
    </row>
    <row r="117" spans="1:14">
      <c r="A117" s="239">
        <v>79</v>
      </c>
      <c r="B117" s="240">
        <v>101005</v>
      </c>
      <c r="C117" s="248" t="s">
        <v>3289</v>
      </c>
      <c r="D117" s="248" t="s">
        <v>1923</v>
      </c>
      <c r="E117" s="243">
        <v>70</v>
      </c>
      <c r="F117" s="616"/>
      <c r="G117" s="244">
        <f t="shared" si="13"/>
        <v>0</v>
      </c>
      <c r="H117" s="245">
        <v>0</v>
      </c>
      <c r="I117" s="246">
        <f t="shared" si="14"/>
        <v>0</v>
      </c>
      <c r="J117" s="249" t="s">
        <v>765</v>
      </c>
      <c r="K117" s="177" t="s">
        <v>3266</v>
      </c>
      <c r="L117" s="177" t="s">
        <v>3015</v>
      </c>
      <c r="M117" s="250" t="s">
        <v>3287</v>
      </c>
      <c r="N117" s="177">
        <f t="shared" si="15"/>
        <v>0</v>
      </c>
    </row>
    <row r="118" spans="1:14">
      <c r="A118" s="239">
        <v>80</v>
      </c>
      <c r="B118" s="240">
        <v>101105</v>
      </c>
      <c r="C118" s="248" t="s">
        <v>3290</v>
      </c>
      <c r="D118" s="248" t="s">
        <v>1923</v>
      </c>
      <c r="E118" s="243">
        <v>210</v>
      </c>
      <c r="F118" s="616"/>
      <c r="G118" s="244">
        <f t="shared" si="13"/>
        <v>0</v>
      </c>
      <c r="H118" s="245">
        <v>0</v>
      </c>
      <c r="I118" s="246">
        <f t="shared" si="14"/>
        <v>0</v>
      </c>
      <c r="J118" s="249" t="s">
        <v>765</v>
      </c>
      <c r="K118" s="177" t="s">
        <v>3266</v>
      </c>
      <c r="L118" s="177" t="s">
        <v>3015</v>
      </c>
      <c r="M118" s="250" t="s">
        <v>3287</v>
      </c>
      <c r="N118" s="177">
        <f t="shared" si="15"/>
        <v>0</v>
      </c>
    </row>
    <row r="119" spans="1:14">
      <c r="A119" s="239">
        <v>81</v>
      </c>
      <c r="B119" s="240">
        <v>101106</v>
      </c>
      <c r="C119" s="248" t="s">
        <v>3291</v>
      </c>
      <c r="D119" s="248" t="s">
        <v>1923</v>
      </c>
      <c r="E119" s="243">
        <v>190</v>
      </c>
      <c r="F119" s="616"/>
      <c r="G119" s="244">
        <f t="shared" si="13"/>
        <v>0</v>
      </c>
      <c r="H119" s="245">
        <v>0</v>
      </c>
      <c r="I119" s="246">
        <f t="shared" si="14"/>
        <v>0</v>
      </c>
      <c r="J119" s="249" t="s">
        <v>765</v>
      </c>
      <c r="K119" s="177" t="s">
        <v>3266</v>
      </c>
      <c r="L119" s="177" t="s">
        <v>3015</v>
      </c>
      <c r="M119" s="250" t="s">
        <v>3287</v>
      </c>
      <c r="N119" s="177">
        <f t="shared" si="15"/>
        <v>0</v>
      </c>
    </row>
    <row r="120" spans="1:14">
      <c r="A120" s="239">
        <v>82</v>
      </c>
      <c r="B120" s="240">
        <v>101305</v>
      </c>
      <c r="C120" s="248" t="s">
        <v>3292</v>
      </c>
      <c r="D120" s="248" t="s">
        <v>1923</v>
      </c>
      <c r="E120" s="243">
        <v>5</v>
      </c>
      <c r="F120" s="616"/>
      <c r="G120" s="244">
        <f t="shared" si="13"/>
        <v>0</v>
      </c>
      <c r="H120" s="245">
        <v>0</v>
      </c>
      <c r="I120" s="246">
        <f t="shared" si="14"/>
        <v>0</v>
      </c>
      <c r="J120" s="249" t="s">
        <v>765</v>
      </c>
      <c r="K120" s="177" t="s">
        <v>3266</v>
      </c>
      <c r="L120" s="177" t="s">
        <v>3015</v>
      </c>
      <c r="M120" s="250" t="s">
        <v>3287</v>
      </c>
      <c r="N120" s="177">
        <f t="shared" si="15"/>
        <v>0</v>
      </c>
    </row>
    <row r="121" spans="1:14">
      <c r="A121" s="239">
        <v>83</v>
      </c>
      <c r="B121" s="240">
        <v>101306</v>
      </c>
      <c r="C121" s="248" t="s">
        <v>3299</v>
      </c>
      <c r="D121" s="248" t="s">
        <v>1923</v>
      </c>
      <c r="E121" s="243">
        <v>45</v>
      </c>
      <c r="F121" s="616"/>
      <c r="G121" s="244">
        <f t="shared" si="13"/>
        <v>0</v>
      </c>
      <c r="H121" s="245">
        <v>0</v>
      </c>
      <c r="I121" s="246">
        <f t="shared" si="14"/>
        <v>0</v>
      </c>
      <c r="J121" s="249" t="s">
        <v>765</v>
      </c>
      <c r="K121" s="177" t="s">
        <v>3266</v>
      </c>
      <c r="L121" s="177" t="s">
        <v>3015</v>
      </c>
      <c r="M121" s="250" t="s">
        <v>3287</v>
      </c>
      <c r="N121" s="177">
        <f t="shared" si="15"/>
        <v>0</v>
      </c>
    </row>
    <row r="122" spans="1:14">
      <c r="A122" s="239">
        <v>84</v>
      </c>
      <c r="B122" s="240">
        <v>101307</v>
      </c>
      <c r="C122" s="248" t="s">
        <v>3293</v>
      </c>
      <c r="D122" s="248" t="s">
        <v>1923</v>
      </c>
      <c r="E122" s="243">
        <v>50</v>
      </c>
      <c r="F122" s="616"/>
      <c r="G122" s="244">
        <f t="shared" si="13"/>
        <v>0</v>
      </c>
      <c r="H122" s="245">
        <v>0</v>
      </c>
      <c r="I122" s="246">
        <f t="shared" si="14"/>
        <v>0</v>
      </c>
      <c r="J122" s="249" t="s">
        <v>765</v>
      </c>
      <c r="K122" s="177" t="s">
        <v>3266</v>
      </c>
      <c r="L122" s="177" t="s">
        <v>3015</v>
      </c>
      <c r="M122" s="250" t="s">
        <v>3287</v>
      </c>
      <c r="N122" s="177">
        <f t="shared" si="15"/>
        <v>0</v>
      </c>
    </row>
    <row r="123" spans="1:14">
      <c r="A123" s="239">
        <v>85</v>
      </c>
      <c r="B123" s="240">
        <v>311115</v>
      </c>
      <c r="C123" s="619"/>
      <c r="D123" s="248" t="s">
        <v>2697</v>
      </c>
      <c r="E123" s="243">
        <v>40</v>
      </c>
      <c r="F123" s="616"/>
      <c r="G123" s="244">
        <f t="shared" si="13"/>
        <v>0</v>
      </c>
      <c r="H123" s="245">
        <v>0</v>
      </c>
      <c r="I123" s="246">
        <f t="shared" si="14"/>
        <v>0</v>
      </c>
      <c r="J123" s="249" t="s">
        <v>765</v>
      </c>
      <c r="K123" s="177" t="s">
        <v>3266</v>
      </c>
      <c r="L123" s="177" t="s">
        <v>3015</v>
      </c>
      <c r="M123" s="250" t="s">
        <v>3287</v>
      </c>
    </row>
    <row r="124" spans="1:14">
      <c r="A124" s="239">
        <v>86</v>
      </c>
      <c r="B124" s="240">
        <v>311116</v>
      </c>
      <c r="C124" s="248" t="s">
        <v>3315</v>
      </c>
      <c r="D124" s="248" t="s">
        <v>2697</v>
      </c>
      <c r="E124" s="243">
        <v>39</v>
      </c>
      <c r="F124" s="616"/>
      <c r="G124" s="244">
        <f t="shared" si="13"/>
        <v>0</v>
      </c>
      <c r="H124" s="245">
        <v>0</v>
      </c>
      <c r="I124" s="246">
        <f t="shared" si="14"/>
        <v>0</v>
      </c>
      <c r="J124" s="249" t="s">
        <v>765</v>
      </c>
      <c r="K124" s="177" t="s">
        <v>3266</v>
      </c>
      <c r="L124" s="177" t="s">
        <v>3015</v>
      </c>
      <c r="M124" s="250" t="s">
        <v>3287</v>
      </c>
    </row>
    <row r="125" spans="1:14">
      <c r="A125" s="239">
        <v>87</v>
      </c>
      <c r="B125" s="240">
        <v>409011</v>
      </c>
      <c r="C125" s="248" t="s">
        <v>3296</v>
      </c>
      <c r="D125" s="248" t="s">
        <v>2697</v>
      </c>
      <c r="E125" s="243">
        <v>10</v>
      </c>
      <c r="F125" s="616"/>
      <c r="G125" s="244">
        <f t="shared" si="13"/>
        <v>0</v>
      </c>
      <c r="H125" s="245">
        <v>0</v>
      </c>
      <c r="I125" s="246">
        <f t="shared" si="14"/>
        <v>0</v>
      </c>
      <c r="J125" s="249" t="s">
        <v>765</v>
      </c>
      <c r="K125" s="177" t="s">
        <v>3266</v>
      </c>
      <c r="L125" s="177" t="s">
        <v>3015</v>
      </c>
      <c r="M125" s="250" t="s">
        <v>3287</v>
      </c>
    </row>
    <row r="126" spans="1:14">
      <c r="A126" s="239">
        <v>88</v>
      </c>
      <c r="B126" s="240">
        <v>409021</v>
      </c>
      <c r="C126" s="248" t="s">
        <v>3301</v>
      </c>
      <c r="D126" s="248" t="s">
        <v>2697</v>
      </c>
      <c r="E126" s="243">
        <v>2</v>
      </c>
      <c r="F126" s="616"/>
      <c r="G126" s="244">
        <f t="shared" si="13"/>
        <v>0</v>
      </c>
      <c r="H126" s="245">
        <v>0</v>
      </c>
      <c r="I126" s="246">
        <f t="shared" si="14"/>
        <v>0</v>
      </c>
      <c r="J126" s="249" t="s">
        <v>765</v>
      </c>
      <c r="K126" s="177" t="s">
        <v>3266</v>
      </c>
      <c r="L126" s="177" t="s">
        <v>3015</v>
      </c>
      <c r="M126" s="250" t="s">
        <v>3287</v>
      </c>
    </row>
    <row r="127" spans="1:14">
      <c r="A127" s="239">
        <v>89</v>
      </c>
      <c r="B127" s="240">
        <v>409026</v>
      </c>
      <c r="C127" s="248" t="s">
        <v>3303</v>
      </c>
      <c r="D127" s="248" t="s">
        <v>2697</v>
      </c>
      <c r="E127" s="243">
        <v>4</v>
      </c>
      <c r="F127" s="616"/>
      <c r="G127" s="244">
        <f t="shared" si="13"/>
        <v>0</v>
      </c>
      <c r="H127" s="245">
        <v>0</v>
      </c>
      <c r="I127" s="246">
        <f t="shared" si="14"/>
        <v>0</v>
      </c>
      <c r="J127" s="249" t="s">
        <v>765</v>
      </c>
      <c r="K127" s="177" t="s">
        <v>3266</v>
      </c>
      <c r="L127" s="177" t="s">
        <v>3015</v>
      </c>
      <c r="M127" s="250" t="s">
        <v>3287</v>
      </c>
    </row>
    <row r="128" spans="1:14">
      <c r="A128" s="239">
        <v>90</v>
      </c>
      <c r="B128" s="240">
        <v>415240</v>
      </c>
      <c r="C128" s="248" t="s">
        <v>3316</v>
      </c>
      <c r="D128" s="248" t="s">
        <v>3317</v>
      </c>
      <c r="E128" s="243">
        <v>2</v>
      </c>
      <c r="F128" s="616"/>
      <c r="G128" s="244">
        <f t="shared" si="13"/>
        <v>0</v>
      </c>
      <c r="H128" s="245">
        <v>0</v>
      </c>
      <c r="I128" s="246">
        <f t="shared" si="14"/>
        <v>0</v>
      </c>
      <c r="J128" s="249" t="s">
        <v>765</v>
      </c>
      <c r="K128" s="177" t="s">
        <v>3266</v>
      </c>
      <c r="L128" s="177" t="s">
        <v>3015</v>
      </c>
      <c r="M128" s="250" t="s">
        <v>3287</v>
      </c>
    </row>
    <row r="129" spans="1:14">
      <c r="A129" s="239">
        <v>91</v>
      </c>
      <c r="B129" s="240">
        <v>419101</v>
      </c>
      <c r="C129" s="248" t="s">
        <v>3297</v>
      </c>
      <c r="D129" s="248" t="s">
        <v>2697</v>
      </c>
      <c r="E129" s="243">
        <v>24</v>
      </c>
      <c r="F129" s="616"/>
      <c r="G129" s="244">
        <f t="shared" si="13"/>
        <v>0</v>
      </c>
      <c r="H129" s="245">
        <v>0</v>
      </c>
      <c r="I129" s="246">
        <f t="shared" si="14"/>
        <v>0</v>
      </c>
      <c r="J129" s="249" t="s">
        <v>765</v>
      </c>
      <c r="K129" s="177" t="s">
        <v>3266</v>
      </c>
      <c r="L129" s="177" t="s">
        <v>3015</v>
      </c>
      <c r="M129" s="250" t="s">
        <v>3287</v>
      </c>
    </row>
    <row r="130" spans="1:14">
      <c r="A130" s="239"/>
      <c r="B130" s="240"/>
      <c r="C130" s="251" t="s">
        <v>3252</v>
      </c>
      <c r="D130" s="248"/>
      <c r="E130" s="243"/>
      <c r="F130" s="252">
        <f>SUM(G116:G129)</f>
        <v>0</v>
      </c>
      <c r="G130" s="244"/>
      <c r="H130" s="245"/>
      <c r="I130" s="246"/>
      <c r="J130" s="249"/>
      <c r="M130" s="250" t="s">
        <v>3287</v>
      </c>
    </row>
    <row r="131" spans="1:14">
      <c r="A131" s="239"/>
      <c r="B131" s="240"/>
      <c r="C131" s="251" t="s">
        <v>3260</v>
      </c>
      <c r="D131" s="248"/>
      <c r="E131" s="243"/>
      <c r="F131" s="243"/>
      <c r="G131" s="244"/>
      <c r="H131" s="245"/>
      <c r="I131" s="246"/>
      <c r="J131" s="249"/>
      <c r="L131" s="177" t="s">
        <v>3261</v>
      </c>
      <c r="M131" s="250" t="s">
        <v>3287</v>
      </c>
    </row>
    <row r="132" spans="1:14">
      <c r="A132" s="239">
        <v>92</v>
      </c>
      <c r="B132" s="240">
        <v>295063</v>
      </c>
      <c r="C132" s="248" t="s">
        <v>3318</v>
      </c>
      <c r="D132" s="248" t="s">
        <v>2697</v>
      </c>
      <c r="E132" s="243">
        <v>10</v>
      </c>
      <c r="F132" s="616"/>
      <c r="G132" s="244">
        <f t="shared" ref="G132:G138" si="16">E132*F132</f>
        <v>0</v>
      </c>
      <c r="H132" s="245">
        <v>0</v>
      </c>
      <c r="I132" s="246">
        <f t="shared" ref="I132:I138" si="17">E132*H132</f>
        <v>0</v>
      </c>
      <c r="J132" s="249" t="s">
        <v>765</v>
      </c>
      <c r="K132" s="177" t="s">
        <v>3266</v>
      </c>
      <c r="L132" s="177" t="s">
        <v>3261</v>
      </c>
      <c r="M132" s="250" t="s">
        <v>3287</v>
      </c>
    </row>
    <row r="133" spans="1:14">
      <c r="A133" s="239">
        <v>93</v>
      </c>
      <c r="B133" s="240">
        <v>199093</v>
      </c>
      <c r="C133" s="248" t="s">
        <v>3319</v>
      </c>
      <c r="D133" s="248" t="s">
        <v>2697</v>
      </c>
      <c r="E133" s="243">
        <v>1</v>
      </c>
      <c r="F133" s="616"/>
      <c r="G133" s="244">
        <f t="shared" si="16"/>
        <v>0</v>
      </c>
      <c r="H133" s="245">
        <v>0</v>
      </c>
      <c r="I133" s="246">
        <f t="shared" si="17"/>
        <v>0</v>
      </c>
      <c r="J133" s="249" t="s">
        <v>765</v>
      </c>
      <c r="K133" s="177" t="s">
        <v>3266</v>
      </c>
      <c r="L133" s="177" t="s">
        <v>3261</v>
      </c>
      <c r="M133" s="250" t="s">
        <v>3287</v>
      </c>
    </row>
    <row r="134" spans="1:14">
      <c r="A134" s="239">
        <v>94</v>
      </c>
      <c r="B134" s="240">
        <v>295601</v>
      </c>
      <c r="C134" s="248" t="s">
        <v>3320</v>
      </c>
      <c r="D134" s="248" t="s">
        <v>1923</v>
      </c>
      <c r="E134" s="243">
        <v>340</v>
      </c>
      <c r="F134" s="616"/>
      <c r="G134" s="244">
        <f t="shared" si="16"/>
        <v>0</v>
      </c>
      <c r="H134" s="245">
        <v>0</v>
      </c>
      <c r="I134" s="246">
        <f t="shared" si="17"/>
        <v>0</v>
      </c>
      <c r="J134" s="249" t="s">
        <v>765</v>
      </c>
      <c r="K134" s="177" t="s">
        <v>3266</v>
      </c>
      <c r="L134" s="177" t="s">
        <v>3261</v>
      </c>
      <c r="M134" s="250" t="s">
        <v>3287</v>
      </c>
      <c r="N134" s="177">
        <f>E134*F134</f>
        <v>0</v>
      </c>
    </row>
    <row r="135" spans="1:14">
      <c r="A135" s="239">
        <v>95</v>
      </c>
      <c r="B135" s="240">
        <v>295451</v>
      </c>
      <c r="C135" s="248" t="s">
        <v>3321</v>
      </c>
      <c r="D135" s="248" t="s">
        <v>2697</v>
      </c>
      <c r="E135" s="243">
        <v>10</v>
      </c>
      <c r="F135" s="616"/>
      <c r="G135" s="244">
        <f t="shared" si="16"/>
        <v>0</v>
      </c>
      <c r="H135" s="245">
        <v>0</v>
      </c>
      <c r="I135" s="246">
        <f t="shared" si="17"/>
        <v>0</v>
      </c>
      <c r="J135" s="249" t="s">
        <v>765</v>
      </c>
      <c r="K135" s="177" t="s">
        <v>3266</v>
      </c>
      <c r="L135" s="177" t="s">
        <v>3261</v>
      </c>
      <c r="M135" s="250" t="s">
        <v>3287</v>
      </c>
    </row>
    <row r="136" spans="1:14">
      <c r="A136" s="239">
        <v>96</v>
      </c>
      <c r="B136" s="240">
        <v>295462</v>
      </c>
      <c r="C136" s="248" t="s">
        <v>3322</v>
      </c>
      <c r="D136" s="248" t="s">
        <v>2697</v>
      </c>
      <c r="E136" s="243">
        <v>20</v>
      </c>
      <c r="F136" s="616"/>
      <c r="G136" s="244">
        <f t="shared" si="16"/>
        <v>0</v>
      </c>
      <c r="H136" s="245">
        <v>0</v>
      </c>
      <c r="I136" s="246">
        <f t="shared" si="17"/>
        <v>0</v>
      </c>
      <c r="J136" s="249" t="s">
        <v>765</v>
      </c>
      <c r="K136" s="177" t="s">
        <v>3266</v>
      </c>
      <c r="L136" s="177" t="s">
        <v>3261</v>
      </c>
      <c r="M136" s="250" t="s">
        <v>3287</v>
      </c>
    </row>
    <row r="137" spans="1:14">
      <c r="A137" s="239">
        <v>97</v>
      </c>
      <c r="B137" s="240">
        <v>295882</v>
      </c>
      <c r="C137" s="248" t="s">
        <v>3323</v>
      </c>
      <c r="D137" s="248" t="s">
        <v>2697</v>
      </c>
      <c r="E137" s="243">
        <v>10</v>
      </c>
      <c r="F137" s="616"/>
      <c r="G137" s="244">
        <f t="shared" si="16"/>
        <v>0</v>
      </c>
      <c r="H137" s="245">
        <v>0</v>
      </c>
      <c r="I137" s="246">
        <f t="shared" si="17"/>
        <v>0</v>
      </c>
      <c r="J137" s="249" t="s">
        <v>765</v>
      </c>
      <c r="K137" s="177" t="s">
        <v>3266</v>
      </c>
      <c r="L137" s="177" t="s">
        <v>3261</v>
      </c>
      <c r="M137" s="250" t="s">
        <v>3287</v>
      </c>
    </row>
    <row r="138" spans="1:14">
      <c r="A138" s="239">
        <v>98</v>
      </c>
      <c r="B138" s="240">
        <v>295001</v>
      </c>
      <c r="C138" s="248" t="s">
        <v>3324</v>
      </c>
      <c r="D138" s="248" t="s">
        <v>1923</v>
      </c>
      <c r="E138" s="243">
        <v>170</v>
      </c>
      <c r="F138" s="616"/>
      <c r="G138" s="244">
        <f t="shared" si="16"/>
        <v>0</v>
      </c>
      <c r="H138" s="245">
        <v>0</v>
      </c>
      <c r="I138" s="246">
        <f t="shared" si="17"/>
        <v>0</v>
      </c>
      <c r="J138" s="249" t="s">
        <v>765</v>
      </c>
      <c r="K138" s="177" t="s">
        <v>3266</v>
      </c>
      <c r="L138" s="177" t="s">
        <v>3261</v>
      </c>
      <c r="M138" s="250" t="s">
        <v>3287</v>
      </c>
      <c r="N138" s="177">
        <f>E138*F138</f>
        <v>0</v>
      </c>
    </row>
    <row r="139" spans="1:14" ht="14.5" thickBot="1">
      <c r="A139" s="253"/>
      <c r="B139" s="254"/>
      <c r="C139" s="255" t="s">
        <v>3252</v>
      </c>
      <c r="D139" s="284"/>
      <c r="E139" s="257"/>
      <c r="F139" s="258">
        <f>SUM(G132:G138)</f>
        <v>0</v>
      </c>
      <c r="G139" s="259"/>
      <c r="H139" s="260"/>
      <c r="I139" s="261"/>
      <c r="J139" s="262"/>
      <c r="M139" s="250" t="s">
        <v>3287</v>
      </c>
    </row>
    <row r="140" spans="1:14" s="272" customFormat="1">
      <c r="A140" s="263"/>
      <c r="B140" s="264"/>
      <c r="C140" s="265" t="s">
        <v>3263</v>
      </c>
      <c r="D140" s="265"/>
      <c r="E140" s="267"/>
      <c r="F140" s="267"/>
      <c r="G140" s="268">
        <f>SUM(G60:G139)</f>
        <v>0</v>
      </c>
      <c r="H140" s="269"/>
      <c r="I140" s="270">
        <f>SUM(I60:I139)</f>
        <v>0</v>
      </c>
      <c r="J140" s="271"/>
      <c r="M140" s="273" t="s">
        <v>3287</v>
      </c>
      <c r="N140" s="272">
        <f>SUM(N7:N139)</f>
        <v>0</v>
      </c>
    </row>
    <row r="141" spans="1:14" s="221" customFormat="1" ht="20.149999999999999" customHeight="1">
      <c r="A141" s="274" t="s">
        <v>3325</v>
      </c>
      <c r="B141" s="275"/>
      <c r="C141" s="276"/>
      <c r="D141" s="276"/>
      <c r="E141" s="278"/>
      <c r="F141" s="278"/>
      <c r="G141" s="279"/>
      <c r="H141" s="280"/>
      <c r="I141" s="281"/>
      <c r="J141" s="282"/>
      <c r="M141" s="283"/>
    </row>
    <row r="142" spans="1:14">
      <c r="A142" s="239"/>
      <c r="B142" s="240"/>
      <c r="C142" s="251" t="s">
        <v>3260</v>
      </c>
      <c r="D142" s="248"/>
      <c r="E142" s="243"/>
      <c r="F142" s="243"/>
      <c r="G142" s="244"/>
      <c r="H142" s="245"/>
      <c r="I142" s="246"/>
      <c r="J142" s="249"/>
      <c r="L142" s="177" t="s">
        <v>3261</v>
      </c>
      <c r="M142" s="250" t="s">
        <v>3326</v>
      </c>
    </row>
    <row r="143" spans="1:14">
      <c r="A143" s="239">
        <v>99</v>
      </c>
      <c r="B143" s="240">
        <v>25101</v>
      </c>
      <c r="C143" s="248" t="s">
        <v>3327</v>
      </c>
      <c r="D143" s="248" t="s">
        <v>2182</v>
      </c>
      <c r="E143" s="243">
        <v>1.7</v>
      </c>
      <c r="F143" s="616"/>
      <c r="G143" s="244">
        <f>E143*F143</f>
        <v>0</v>
      </c>
      <c r="H143" s="245">
        <v>0</v>
      </c>
      <c r="I143" s="246">
        <f>E143*H143</f>
        <v>0</v>
      </c>
      <c r="J143" s="249" t="s">
        <v>765</v>
      </c>
      <c r="L143" s="177" t="s">
        <v>3261</v>
      </c>
      <c r="M143" s="250" t="s">
        <v>3326</v>
      </c>
    </row>
    <row r="144" spans="1:14">
      <c r="A144" s="239">
        <v>100</v>
      </c>
      <c r="B144" s="240">
        <v>25102</v>
      </c>
      <c r="C144" s="248" t="s">
        <v>3328</v>
      </c>
      <c r="D144" s="248" t="s">
        <v>2182</v>
      </c>
      <c r="E144" s="243">
        <v>3.4</v>
      </c>
      <c r="F144" s="616"/>
      <c r="G144" s="244">
        <f>E144*F144</f>
        <v>0</v>
      </c>
      <c r="H144" s="245">
        <v>0</v>
      </c>
      <c r="I144" s="246">
        <f>E144*H144</f>
        <v>0</v>
      </c>
      <c r="J144" s="249" t="s">
        <v>765</v>
      </c>
      <c r="L144" s="177" t="s">
        <v>3261</v>
      </c>
      <c r="M144" s="250" t="s">
        <v>3326</v>
      </c>
    </row>
    <row r="145" spans="1:13">
      <c r="A145" s="239">
        <v>101</v>
      </c>
      <c r="B145" s="240">
        <v>25109</v>
      </c>
      <c r="C145" s="248" t="s">
        <v>3329</v>
      </c>
      <c r="D145" s="248" t="s">
        <v>2182</v>
      </c>
      <c r="E145" s="243">
        <v>1.02</v>
      </c>
      <c r="F145" s="616"/>
      <c r="G145" s="244">
        <f>E145*F145</f>
        <v>0</v>
      </c>
      <c r="H145" s="245">
        <v>0</v>
      </c>
      <c r="I145" s="246">
        <f>E145*H145</f>
        <v>0</v>
      </c>
      <c r="J145" s="249" t="s">
        <v>765</v>
      </c>
      <c r="L145" s="177" t="s">
        <v>3261</v>
      </c>
      <c r="M145" s="250" t="s">
        <v>3326</v>
      </c>
    </row>
    <row r="146" spans="1:13" ht="14.5" thickBot="1">
      <c r="A146" s="253"/>
      <c r="B146" s="254"/>
      <c r="C146" s="255" t="s">
        <v>3252</v>
      </c>
      <c r="D146" s="284"/>
      <c r="E146" s="257"/>
      <c r="F146" s="258">
        <f>SUM(G143:G145)</f>
        <v>0</v>
      </c>
      <c r="G146" s="259"/>
      <c r="H146" s="260"/>
      <c r="I146" s="261"/>
      <c r="J146" s="262"/>
      <c r="M146" s="250" t="s">
        <v>3326</v>
      </c>
    </row>
    <row r="147" spans="1:13" s="272" customFormat="1">
      <c r="A147" s="263"/>
      <c r="B147" s="264"/>
      <c r="C147" s="265" t="s">
        <v>3263</v>
      </c>
      <c r="D147" s="265"/>
      <c r="E147" s="267"/>
      <c r="F147" s="267"/>
      <c r="G147" s="268">
        <f>SUM(G142:G146)</f>
        <v>0</v>
      </c>
      <c r="H147" s="269"/>
      <c r="I147" s="270">
        <f>SUM(I142:I146)</f>
        <v>0</v>
      </c>
      <c r="J147" s="271"/>
      <c r="M147" s="273" t="s">
        <v>3326</v>
      </c>
    </row>
    <row r="148" spans="1:13" s="221" customFormat="1" ht="20.149999999999999" customHeight="1">
      <c r="A148" s="274" t="s">
        <v>3330</v>
      </c>
      <c r="B148" s="275"/>
      <c r="C148" s="276"/>
      <c r="D148" s="276"/>
      <c r="E148" s="278"/>
      <c r="F148" s="278"/>
      <c r="G148" s="279"/>
      <c r="H148" s="280"/>
      <c r="I148" s="281"/>
      <c r="J148" s="282"/>
      <c r="M148" s="283"/>
    </row>
    <row r="149" spans="1:13">
      <c r="A149" s="239">
        <v>102</v>
      </c>
      <c r="B149" s="240">
        <v>210190002</v>
      </c>
      <c r="C149" s="248" t="s">
        <v>3331</v>
      </c>
      <c r="D149" s="248" t="s">
        <v>2697</v>
      </c>
      <c r="E149" s="243">
        <v>1</v>
      </c>
      <c r="F149" s="616"/>
      <c r="G149" s="244">
        <f t="shared" ref="G149:G160" si="18">E149*F149</f>
        <v>0</v>
      </c>
      <c r="H149" s="245">
        <v>0.86499999999999999</v>
      </c>
      <c r="I149" s="246">
        <f t="shared" ref="I149:I160" si="19">E149*H149</f>
        <v>0.86499999999999999</v>
      </c>
      <c r="J149" s="249" t="s">
        <v>765</v>
      </c>
      <c r="M149" s="250" t="s">
        <v>3332</v>
      </c>
    </row>
    <row r="150" spans="1:13">
      <c r="A150" s="239">
        <v>103</v>
      </c>
      <c r="B150" s="240">
        <v>210800851</v>
      </c>
      <c r="C150" s="248" t="s">
        <v>3333</v>
      </c>
      <c r="D150" s="248" t="s">
        <v>1923</v>
      </c>
      <c r="E150" s="243">
        <v>40</v>
      </c>
      <c r="F150" s="616"/>
      <c r="G150" s="244">
        <f t="shared" si="18"/>
        <v>0</v>
      </c>
      <c r="H150" s="245">
        <v>9.0999999999999998E-2</v>
      </c>
      <c r="I150" s="246">
        <f t="shared" si="19"/>
        <v>3.6399999999999997</v>
      </c>
      <c r="J150" s="249" t="s">
        <v>765</v>
      </c>
      <c r="M150" s="250" t="s">
        <v>3332</v>
      </c>
    </row>
    <row r="151" spans="1:13">
      <c r="A151" s="239">
        <v>104</v>
      </c>
      <c r="B151" s="240">
        <v>210190003</v>
      </c>
      <c r="C151" s="248" t="s">
        <v>3334</v>
      </c>
      <c r="D151" s="248" t="s">
        <v>2697</v>
      </c>
      <c r="E151" s="243">
        <v>1</v>
      </c>
      <c r="F151" s="616"/>
      <c r="G151" s="244">
        <f t="shared" si="18"/>
        <v>0</v>
      </c>
      <c r="H151" s="245">
        <v>1.1599999999999999</v>
      </c>
      <c r="I151" s="246">
        <f t="shared" si="19"/>
        <v>1.1599999999999999</v>
      </c>
      <c r="J151" s="249" t="s">
        <v>765</v>
      </c>
      <c r="M151" s="250" t="s">
        <v>3332</v>
      </c>
    </row>
    <row r="152" spans="1:13">
      <c r="A152" s="239">
        <v>105</v>
      </c>
      <c r="B152" s="240">
        <v>210190002</v>
      </c>
      <c r="C152" s="248" t="s">
        <v>3331</v>
      </c>
      <c r="D152" s="248" t="s">
        <v>2697</v>
      </c>
      <c r="E152" s="243">
        <v>1</v>
      </c>
      <c r="F152" s="616"/>
      <c r="G152" s="244">
        <f t="shared" si="18"/>
        <v>0</v>
      </c>
      <c r="H152" s="245">
        <v>0.86499999999999999</v>
      </c>
      <c r="I152" s="246">
        <f t="shared" si="19"/>
        <v>0.86499999999999999</v>
      </c>
      <c r="J152" s="249" t="s">
        <v>765</v>
      </c>
      <c r="M152" s="250" t="s">
        <v>3332</v>
      </c>
    </row>
    <row r="153" spans="1:13">
      <c r="A153" s="239">
        <v>106</v>
      </c>
      <c r="B153" s="240">
        <v>210190002</v>
      </c>
      <c r="C153" s="248" t="s">
        <v>3331</v>
      </c>
      <c r="D153" s="248" t="s">
        <v>2697</v>
      </c>
      <c r="E153" s="243">
        <v>1</v>
      </c>
      <c r="F153" s="616"/>
      <c r="G153" s="244">
        <f t="shared" si="18"/>
        <v>0</v>
      </c>
      <c r="H153" s="245">
        <v>0.86499999999999999</v>
      </c>
      <c r="I153" s="246">
        <f t="shared" si="19"/>
        <v>0.86499999999999999</v>
      </c>
      <c r="J153" s="249" t="s">
        <v>765</v>
      </c>
      <c r="M153" s="250" t="s">
        <v>3332</v>
      </c>
    </row>
    <row r="154" spans="1:13">
      <c r="A154" s="239">
        <v>107</v>
      </c>
      <c r="B154" s="240">
        <v>210190002</v>
      </c>
      <c r="C154" s="248" t="s">
        <v>3331</v>
      </c>
      <c r="D154" s="248" t="s">
        <v>2697</v>
      </c>
      <c r="E154" s="243">
        <v>1</v>
      </c>
      <c r="F154" s="616"/>
      <c r="G154" s="244">
        <f t="shared" si="18"/>
        <v>0</v>
      </c>
      <c r="H154" s="245">
        <v>0.86499999999999999</v>
      </c>
      <c r="I154" s="246">
        <f t="shared" si="19"/>
        <v>0.86499999999999999</v>
      </c>
      <c r="J154" s="249" t="s">
        <v>765</v>
      </c>
      <c r="M154" s="250" t="s">
        <v>3332</v>
      </c>
    </row>
    <row r="155" spans="1:13">
      <c r="A155" s="239">
        <v>108</v>
      </c>
      <c r="B155" s="240">
        <v>210190001</v>
      </c>
      <c r="C155" s="248" t="s">
        <v>3335</v>
      </c>
      <c r="D155" s="248" t="s">
        <v>2697</v>
      </c>
      <c r="E155" s="243">
        <v>1</v>
      </c>
      <c r="F155" s="616"/>
      <c r="G155" s="244">
        <f t="shared" si="18"/>
        <v>0</v>
      </c>
      <c r="H155" s="245">
        <v>0.50600000000000001</v>
      </c>
      <c r="I155" s="246">
        <f t="shared" si="19"/>
        <v>0.50600000000000001</v>
      </c>
      <c r="J155" s="249" t="s">
        <v>765</v>
      </c>
      <c r="M155" s="250" t="s">
        <v>3332</v>
      </c>
    </row>
    <row r="156" spans="1:13">
      <c r="A156" s="239">
        <v>109</v>
      </c>
      <c r="B156" s="240">
        <v>210190002</v>
      </c>
      <c r="C156" s="248" t="s">
        <v>3331</v>
      </c>
      <c r="D156" s="248" t="s">
        <v>2697</v>
      </c>
      <c r="E156" s="243">
        <v>1</v>
      </c>
      <c r="F156" s="616"/>
      <c r="G156" s="244">
        <f t="shared" si="18"/>
        <v>0</v>
      </c>
      <c r="H156" s="245">
        <v>0.86499999999999999</v>
      </c>
      <c r="I156" s="246">
        <f t="shared" si="19"/>
        <v>0.86499999999999999</v>
      </c>
      <c r="J156" s="249" t="s">
        <v>765</v>
      </c>
      <c r="M156" s="250" t="s">
        <v>3332</v>
      </c>
    </row>
    <row r="157" spans="1:13">
      <c r="A157" s="239">
        <v>110</v>
      </c>
      <c r="B157" s="240">
        <v>210190002</v>
      </c>
      <c r="C157" s="248" t="s">
        <v>3331</v>
      </c>
      <c r="D157" s="248" t="s">
        <v>2697</v>
      </c>
      <c r="E157" s="243">
        <v>1</v>
      </c>
      <c r="F157" s="616"/>
      <c r="G157" s="244">
        <f t="shared" si="18"/>
        <v>0</v>
      </c>
      <c r="H157" s="245">
        <v>0.86499999999999999</v>
      </c>
      <c r="I157" s="246">
        <f t="shared" si="19"/>
        <v>0.86499999999999999</v>
      </c>
      <c r="J157" s="249" t="s">
        <v>765</v>
      </c>
      <c r="M157" s="250" t="s">
        <v>3332</v>
      </c>
    </row>
    <row r="158" spans="1:13">
      <c r="A158" s="239">
        <v>111</v>
      </c>
      <c r="B158" s="240">
        <v>210190002</v>
      </c>
      <c r="C158" s="248" t="s">
        <v>3331</v>
      </c>
      <c r="D158" s="248" t="s">
        <v>2697</v>
      </c>
      <c r="E158" s="243">
        <v>1</v>
      </c>
      <c r="F158" s="616"/>
      <c r="G158" s="244">
        <f t="shared" si="18"/>
        <v>0</v>
      </c>
      <c r="H158" s="245">
        <v>0.86499999999999999</v>
      </c>
      <c r="I158" s="246">
        <f t="shared" si="19"/>
        <v>0.86499999999999999</v>
      </c>
      <c r="J158" s="249" t="s">
        <v>765</v>
      </c>
      <c r="M158" s="250" t="s">
        <v>3332</v>
      </c>
    </row>
    <row r="159" spans="1:13">
      <c r="A159" s="239">
        <v>112</v>
      </c>
      <c r="B159" s="240">
        <v>210190002</v>
      </c>
      <c r="C159" s="248" t="s">
        <v>3331</v>
      </c>
      <c r="D159" s="248" t="s">
        <v>2697</v>
      </c>
      <c r="E159" s="243">
        <v>1</v>
      </c>
      <c r="F159" s="616"/>
      <c r="G159" s="244">
        <f t="shared" si="18"/>
        <v>0</v>
      </c>
      <c r="H159" s="245">
        <v>0.86499999999999999</v>
      </c>
      <c r="I159" s="246">
        <f t="shared" si="19"/>
        <v>0.86499999999999999</v>
      </c>
      <c r="J159" s="249" t="s">
        <v>765</v>
      </c>
      <c r="M159" s="250" t="s">
        <v>3332</v>
      </c>
    </row>
    <row r="160" spans="1:13">
      <c r="A160" s="239">
        <v>113</v>
      </c>
      <c r="B160" s="240">
        <v>210192562</v>
      </c>
      <c r="C160" s="248" t="s">
        <v>3336</v>
      </c>
      <c r="D160" s="248" t="s">
        <v>2697</v>
      </c>
      <c r="E160" s="243">
        <v>1</v>
      </c>
      <c r="F160" s="616"/>
      <c r="G160" s="244">
        <f t="shared" si="18"/>
        <v>0</v>
      </c>
      <c r="H160" s="245">
        <v>0.36899999999999999</v>
      </c>
      <c r="I160" s="246">
        <f t="shared" si="19"/>
        <v>0.36899999999999999</v>
      </c>
      <c r="J160" s="249" t="s">
        <v>765</v>
      </c>
      <c r="M160" s="250" t="s">
        <v>3332</v>
      </c>
    </row>
    <row r="161" spans="1:13">
      <c r="A161" s="239"/>
      <c r="B161" s="240"/>
      <c r="C161" s="251" t="s">
        <v>3249</v>
      </c>
      <c r="D161" s="248"/>
      <c r="E161" s="243"/>
      <c r="F161" s="243"/>
      <c r="G161" s="244"/>
      <c r="H161" s="245"/>
      <c r="I161" s="246"/>
      <c r="J161" s="249"/>
      <c r="L161" s="177" t="s">
        <v>2080</v>
      </c>
      <c r="M161" s="250" t="s">
        <v>3332</v>
      </c>
    </row>
    <row r="162" spans="1:13">
      <c r="A162" s="239">
        <v>114</v>
      </c>
      <c r="B162" s="240">
        <v>210800851</v>
      </c>
      <c r="C162" s="248" t="s">
        <v>3333</v>
      </c>
      <c r="D162" s="248" t="s">
        <v>1923</v>
      </c>
      <c r="E162" s="243">
        <v>10</v>
      </c>
      <c r="F162" s="616"/>
      <c r="G162" s="244">
        <f t="shared" ref="G162:G174" si="20">E162*F162</f>
        <v>0</v>
      </c>
      <c r="H162" s="245">
        <v>9.0999999999999998E-2</v>
      </c>
      <c r="I162" s="246">
        <f t="shared" ref="I162:I174" si="21">E162*H162</f>
        <v>0.90999999999999992</v>
      </c>
      <c r="J162" s="249" t="s">
        <v>765</v>
      </c>
      <c r="L162" s="177" t="s">
        <v>2080</v>
      </c>
      <c r="M162" s="250" t="s">
        <v>3332</v>
      </c>
    </row>
    <row r="163" spans="1:13">
      <c r="A163" s="239">
        <v>115</v>
      </c>
      <c r="B163" s="240">
        <v>210810048</v>
      </c>
      <c r="C163" s="248" t="s">
        <v>3337</v>
      </c>
      <c r="D163" s="248" t="s">
        <v>1923</v>
      </c>
      <c r="E163" s="243">
        <v>30</v>
      </c>
      <c r="F163" s="616"/>
      <c r="G163" s="244">
        <f t="shared" si="20"/>
        <v>0</v>
      </c>
      <c r="H163" s="245">
        <v>0.09</v>
      </c>
      <c r="I163" s="246">
        <f t="shared" si="21"/>
        <v>2.6999999999999997</v>
      </c>
      <c r="J163" s="249" t="s">
        <v>765</v>
      </c>
      <c r="L163" s="177" t="s">
        <v>2080</v>
      </c>
      <c r="M163" s="250" t="s">
        <v>3332</v>
      </c>
    </row>
    <row r="164" spans="1:13">
      <c r="A164" s="239">
        <v>116</v>
      </c>
      <c r="B164" s="240">
        <v>210810048</v>
      </c>
      <c r="C164" s="248" t="s">
        <v>3337</v>
      </c>
      <c r="D164" s="248" t="s">
        <v>1923</v>
      </c>
      <c r="E164" s="243">
        <v>90</v>
      </c>
      <c r="F164" s="616"/>
      <c r="G164" s="244">
        <f t="shared" si="20"/>
        <v>0</v>
      </c>
      <c r="H164" s="245">
        <v>0.09</v>
      </c>
      <c r="I164" s="246">
        <f t="shared" si="21"/>
        <v>8.1</v>
      </c>
      <c r="J164" s="249" t="s">
        <v>765</v>
      </c>
      <c r="L164" s="177" t="s">
        <v>2080</v>
      </c>
      <c r="M164" s="250" t="s">
        <v>3332</v>
      </c>
    </row>
    <row r="165" spans="1:13">
      <c r="A165" s="239">
        <v>117</v>
      </c>
      <c r="B165" s="240">
        <v>210810048</v>
      </c>
      <c r="C165" s="248" t="s">
        <v>3337</v>
      </c>
      <c r="D165" s="248" t="s">
        <v>1923</v>
      </c>
      <c r="E165" s="243">
        <v>65</v>
      </c>
      <c r="F165" s="616"/>
      <c r="G165" s="244">
        <f t="shared" si="20"/>
        <v>0</v>
      </c>
      <c r="H165" s="245">
        <v>0.09</v>
      </c>
      <c r="I165" s="246">
        <f t="shared" si="21"/>
        <v>5.85</v>
      </c>
      <c r="J165" s="249" t="s">
        <v>765</v>
      </c>
      <c r="L165" s="177" t="s">
        <v>2080</v>
      </c>
      <c r="M165" s="250" t="s">
        <v>3332</v>
      </c>
    </row>
    <row r="166" spans="1:13">
      <c r="A166" s="239">
        <v>118</v>
      </c>
      <c r="B166" s="240">
        <v>210810048</v>
      </c>
      <c r="C166" s="248" t="s">
        <v>3337</v>
      </c>
      <c r="D166" s="248" t="s">
        <v>1923</v>
      </c>
      <c r="E166" s="243">
        <v>10</v>
      </c>
      <c r="F166" s="616"/>
      <c r="G166" s="244">
        <f t="shared" si="20"/>
        <v>0</v>
      </c>
      <c r="H166" s="245">
        <v>0.09</v>
      </c>
      <c r="I166" s="246">
        <f t="shared" si="21"/>
        <v>0.89999999999999991</v>
      </c>
      <c r="J166" s="249" t="s">
        <v>765</v>
      </c>
      <c r="L166" s="177" t="s">
        <v>2080</v>
      </c>
      <c r="M166" s="250" t="s">
        <v>3332</v>
      </c>
    </row>
    <row r="167" spans="1:13">
      <c r="A167" s="239">
        <v>119</v>
      </c>
      <c r="B167" s="240">
        <v>210810052</v>
      </c>
      <c r="C167" s="248" t="s">
        <v>3338</v>
      </c>
      <c r="D167" s="248" t="s">
        <v>1923</v>
      </c>
      <c r="E167" s="243">
        <v>5</v>
      </c>
      <c r="F167" s="616"/>
      <c r="G167" s="244">
        <f t="shared" si="20"/>
        <v>0</v>
      </c>
      <c r="H167" s="245">
        <v>9.5000000000000001E-2</v>
      </c>
      <c r="I167" s="246">
        <f t="shared" si="21"/>
        <v>0.47499999999999998</v>
      </c>
      <c r="J167" s="249" t="s">
        <v>765</v>
      </c>
      <c r="L167" s="177" t="s">
        <v>2080</v>
      </c>
      <c r="M167" s="250" t="s">
        <v>3332</v>
      </c>
    </row>
    <row r="168" spans="1:13">
      <c r="A168" s="239">
        <v>120</v>
      </c>
      <c r="B168" s="240">
        <v>210100002</v>
      </c>
      <c r="C168" s="248" t="s">
        <v>3339</v>
      </c>
      <c r="D168" s="248" t="s">
        <v>2697</v>
      </c>
      <c r="E168" s="243">
        <v>17</v>
      </c>
      <c r="F168" s="616"/>
      <c r="G168" s="244">
        <f t="shared" si="20"/>
        <v>0</v>
      </c>
      <c r="H168" s="245">
        <v>5.7000000000000002E-2</v>
      </c>
      <c r="I168" s="246">
        <f t="shared" si="21"/>
        <v>0.96900000000000008</v>
      </c>
      <c r="J168" s="249" t="s">
        <v>765</v>
      </c>
      <c r="K168" s="177" t="s">
        <v>3266</v>
      </c>
      <c r="L168" s="177" t="s">
        <v>2080</v>
      </c>
      <c r="M168" s="250" t="s">
        <v>3332</v>
      </c>
    </row>
    <row r="169" spans="1:13">
      <c r="A169" s="239">
        <v>121</v>
      </c>
      <c r="B169" s="240">
        <v>210010321</v>
      </c>
      <c r="C169" s="248" t="s">
        <v>3340</v>
      </c>
      <c r="D169" s="248" t="s">
        <v>2697</v>
      </c>
      <c r="E169" s="243">
        <v>13</v>
      </c>
      <c r="F169" s="616"/>
      <c r="G169" s="244">
        <f t="shared" si="20"/>
        <v>0</v>
      </c>
      <c r="H169" s="245">
        <v>0.39</v>
      </c>
      <c r="I169" s="246">
        <f t="shared" si="21"/>
        <v>5.07</v>
      </c>
      <c r="J169" s="249" t="s">
        <v>765</v>
      </c>
      <c r="L169" s="177" t="s">
        <v>2080</v>
      </c>
      <c r="M169" s="250" t="s">
        <v>3332</v>
      </c>
    </row>
    <row r="170" spans="1:13">
      <c r="A170" s="239">
        <v>122</v>
      </c>
      <c r="B170" s="240">
        <v>210010321</v>
      </c>
      <c r="C170" s="248" t="s">
        <v>3340</v>
      </c>
      <c r="D170" s="248" t="s">
        <v>2697</v>
      </c>
      <c r="E170" s="243">
        <v>14</v>
      </c>
      <c r="F170" s="616"/>
      <c r="G170" s="244">
        <f t="shared" si="20"/>
        <v>0</v>
      </c>
      <c r="H170" s="245">
        <v>0.39</v>
      </c>
      <c r="I170" s="246">
        <f t="shared" si="21"/>
        <v>5.46</v>
      </c>
      <c r="J170" s="249" t="s">
        <v>765</v>
      </c>
      <c r="L170" s="177" t="s">
        <v>2080</v>
      </c>
      <c r="M170" s="250" t="s">
        <v>3332</v>
      </c>
    </row>
    <row r="171" spans="1:13">
      <c r="A171" s="239">
        <v>123</v>
      </c>
      <c r="B171" s="240">
        <v>210110041</v>
      </c>
      <c r="C171" s="248" t="s">
        <v>3341</v>
      </c>
      <c r="D171" s="248" t="s">
        <v>2697</v>
      </c>
      <c r="E171" s="243">
        <v>5</v>
      </c>
      <c r="F171" s="616"/>
      <c r="G171" s="244">
        <f t="shared" si="20"/>
        <v>0</v>
      </c>
      <c r="H171" s="245">
        <v>0.14799999999999999</v>
      </c>
      <c r="I171" s="246">
        <f t="shared" si="21"/>
        <v>0.74</v>
      </c>
      <c r="J171" s="249" t="s">
        <v>765</v>
      </c>
      <c r="L171" s="177" t="s">
        <v>2080</v>
      </c>
      <c r="M171" s="250" t="s">
        <v>3332</v>
      </c>
    </row>
    <row r="172" spans="1:13">
      <c r="A172" s="239">
        <v>124</v>
      </c>
      <c r="B172" s="240">
        <v>210111011</v>
      </c>
      <c r="C172" s="248" t="s">
        <v>3342</v>
      </c>
      <c r="D172" s="248" t="s">
        <v>2697</v>
      </c>
      <c r="E172" s="243">
        <v>8</v>
      </c>
      <c r="F172" s="616"/>
      <c r="G172" s="244">
        <f t="shared" si="20"/>
        <v>0</v>
      </c>
      <c r="H172" s="245">
        <v>0.27400000000000002</v>
      </c>
      <c r="I172" s="246">
        <f t="shared" si="21"/>
        <v>2.1920000000000002</v>
      </c>
      <c r="J172" s="249" t="s">
        <v>765</v>
      </c>
      <c r="L172" s="177" t="s">
        <v>2080</v>
      </c>
      <c r="M172" s="250" t="s">
        <v>3332</v>
      </c>
    </row>
    <row r="173" spans="1:13">
      <c r="A173" s="239">
        <v>125</v>
      </c>
      <c r="B173" s="240">
        <v>210201001</v>
      </c>
      <c r="C173" s="248" t="s">
        <v>3343</v>
      </c>
      <c r="D173" s="248" t="s">
        <v>2697</v>
      </c>
      <c r="E173" s="243">
        <v>12</v>
      </c>
      <c r="F173" s="616"/>
      <c r="G173" s="244">
        <f t="shared" si="20"/>
        <v>0</v>
      </c>
      <c r="H173" s="245">
        <v>0.80100000000000005</v>
      </c>
      <c r="I173" s="246">
        <f t="shared" si="21"/>
        <v>9.6120000000000001</v>
      </c>
      <c r="J173" s="249" t="s">
        <v>765</v>
      </c>
      <c r="L173" s="177" t="s">
        <v>2080</v>
      </c>
      <c r="M173" s="250" t="s">
        <v>3332</v>
      </c>
    </row>
    <row r="174" spans="1:13">
      <c r="A174" s="239">
        <v>126</v>
      </c>
      <c r="B174" s="240">
        <v>210200012</v>
      </c>
      <c r="C174" s="248" t="s">
        <v>3344</v>
      </c>
      <c r="D174" s="248" t="s">
        <v>2697</v>
      </c>
      <c r="E174" s="243">
        <v>2</v>
      </c>
      <c r="F174" s="616"/>
      <c r="G174" s="244">
        <f t="shared" si="20"/>
        <v>0</v>
      </c>
      <c r="H174" s="245">
        <v>0.54800000000000004</v>
      </c>
      <c r="I174" s="246">
        <f t="shared" si="21"/>
        <v>1.0960000000000001</v>
      </c>
      <c r="J174" s="249" t="s">
        <v>765</v>
      </c>
      <c r="L174" s="177" t="s">
        <v>2080</v>
      </c>
      <c r="M174" s="250" t="s">
        <v>3332</v>
      </c>
    </row>
    <row r="175" spans="1:13">
      <c r="A175" s="239"/>
      <c r="B175" s="240"/>
      <c r="C175" s="251" t="s">
        <v>3252</v>
      </c>
      <c r="D175" s="248"/>
      <c r="E175" s="243"/>
      <c r="F175" s="252">
        <f>SUM(G162:G174)</f>
        <v>0</v>
      </c>
      <c r="G175" s="244"/>
      <c r="H175" s="245"/>
      <c r="I175" s="246"/>
      <c r="J175" s="249"/>
      <c r="M175" s="250" t="s">
        <v>3332</v>
      </c>
    </row>
    <row r="176" spans="1:13">
      <c r="A176" s="239"/>
      <c r="B176" s="240"/>
      <c r="C176" s="251" t="s">
        <v>3253</v>
      </c>
      <c r="D176" s="248"/>
      <c r="E176" s="243"/>
      <c r="F176" s="243"/>
      <c r="G176" s="244"/>
      <c r="H176" s="245"/>
      <c r="I176" s="246"/>
      <c r="J176" s="249"/>
      <c r="L176" s="177" t="s">
        <v>419</v>
      </c>
      <c r="M176" s="250" t="s">
        <v>3332</v>
      </c>
    </row>
    <row r="177" spans="1:13">
      <c r="A177" s="239">
        <v>127</v>
      </c>
      <c r="B177" s="240">
        <v>210810048</v>
      </c>
      <c r="C177" s="248" t="s">
        <v>3337</v>
      </c>
      <c r="D177" s="248" t="s">
        <v>1923</v>
      </c>
      <c r="E177" s="243">
        <v>140</v>
      </c>
      <c r="F177" s="616"/>
      <c r="G177" s="244">
        <f t="shared" ref="G177:G201" si="22">E177*F177</f>
        <v>0</v>
      </c>
      <c r="H177" s="245">
        <v>0.09</v>
      </c>
      <c r="I177" s="246">
        <f t="shared" ref="I177:I201" si="23">E177*H177</f>
        <v>12.6</v>
      </c>
      <c r="J177" s="249" t="s">
        <v>765</v>
      </c>
      <c r="L177" s="177" t="s">
        <v>419</v>
      </c>
      <c r="M177" s="250" t="s">
        <v>3332</v>
      </c>
    </row>
    <row r="178" spans="1:13">
      <c r="A178" s="239">
        <v>128</v>
      </c>
      <c r="B178" s="240">
        <v>210810048</v>
      </c>
      <c r="C178" s="248" t="s">
        <v>3337</v>
      </c>
      <c r="D178" s="248" t="s">
        <v>1923</v>
      </c>
      <c r="E178" s="243">
        <v>495</v>
      </c>
      <c r="F178" s="616"/>
      <c r="G178" s="244">
        <f t="shared" si="22"/>
        <v>0</v>
      </c>
      <c r="H178" s="245">
        <v>0.09</v>
      </c>
      <c r="I178" s="246">
        <f t="shared" si="23"/>
        <v>44.55</v>
      </c>
      <c r="J178" s="249" t="s">
        <v>765</v>
      </c>
      <c r="L178" s="177" t="s">
        <v>419</v>
      </c>
      <c r="M178" s="250" t="s">
        <v>3332</v>
      </c>
    </row>
    <row r="179" spans="1:13">
      <c r="A179" s="239">
        <v>129</v>
      </c>
      <c r="B179" s="240">
        <v>210810048</v>
      </c>
      <c r="C179" s="248" t="s">
        <v>3337</v>
      </c>
      <c r="D179" s="248" t="s">
        <v>1923</v>
      </c>
      <c r="E179" s="243">
        <v>75</v>
      </c>
      <c r="F179" s="616"/>
      <c r="G179" s="244">
        <f t="shared" si="22"/>
        <v>0</v>
      </c>
      <c r="H179" s="245">
        <v>0.09</v>
      </c>
      <c r="I179" s="246">
        <f t="shared" si="23"/>
        <v>6.75</v>
      </c>
      <c r="J179" s="249" t="s">
        <v>765</v>
      </c>
      <c r="L179" s="177" t="s">
        <v>419</v>
      </c>
      <c r="M179" s="250" t="s">
        <v>3332</v>
      </c>
    </row>
    <row r="180" spans="1:13">
      <c r="A180" s="239">
        <v>130</v>
      </c>
      <c r="B180" s="240">
        <v>210810048</v>
      </c>
      <c r="C180" s="248" t="s">
        <v>3337</v>
      </c>
      <c r="D180" s="248" t="s">
        <v>1923</v>
      </c>
      <c r="E180" s="243">
        <v>125</v>
      </c>
      <c r="F180" s="616"/>
      <c r="G180" s="244">
        <f t="shared" si="22"/>
        <v>0</v>
      </c>
      <c r="H180" s="245">
        <v>0.09</v>
      </c>
      <c r="I180" s="246">
        <f t="shared" si="23"/>
        <v>11.25</v>
      </c>
      <c r="J180" s="249" t="s">
        <v>765</v>
      </c>
      <c r="L180" s="177" t="s">
        <v>419</v>
      </c>
      <c r="M180" s="250" t="s">
        <v>3332</v>
      </c>
    </row>
    <row r="181" spans="1:13">
      <c r="A181" s="239">
        <v>131</v>
      </c>
      <c r="B181" s="240">
        <v>210810048</v>
      </c>
      <c r="C181" s="248" t="s">
        <v>3337</v>
      </c>
      <c r="D181" s="248" t="s">
        <v>1923</v>
      </c>
      <c r="E181" s="243">
        <v>55</v>
      </c>
      <c r="F181" s="616"/>
      <c r="G181" s="244">
        <f t="shared" si="22"/>
        <v>0</v>
      </c>
      <c r="H181" s="245">
        <v>0.09</v>
      </c>
      <c r="I181" s="246">
        <f t="shared" si="23"/>
        <v>4.95</v>
      </c>
      <c r="J181" s="249" t="s">
        <v>765</v>
      </c>
      <c r="L181" s="177" t="s">
        <v>419</v>
      </c>
      <c r="M181" s="250" t="s">
        <v>3332</v>
      </c>
    </row>
    <row r="182" spans="1:13">
      <c r="A182" s="239">
        <v>132</v>
      </c>
      <c r="B182" s="240">
        <v>210810052</v>
      </c>
      <c r="C182" s="248" t="s">
        <v>3338</v>
      </c>
      <c r="D182" s="248" t="s">
        <v>1923</v>
      </c>
      <c r="E182" s="243">
        <v>70</v>
      </c>
      <c r="F182" s="616"/>
      <c r="G182" s="244">
        <f t="shared" si="22"/>
        <v>0</v>
      </c>
      <c r="H182" s="245">
        <v>9.5000000000000001E-2</v>
      </c>
      <c r="I182" s="246">
        <f t="shared" si="23"/>
        <v>6.65</v>
      </c>
      <c r="J182" s="249" t="s">
        <v>765</v>
      </c>
      <c r="L182" s="177" t="s">
        <v>419</v>
      </c>
      <c r="M182" s="250" t="s">
        <v>3332</v>
      </c>
    </row>
    <row r="183" spans="1:13">
      <c r="A183" s="239">
        <v>133</v>
      </c>
      <c r="B183" s="240">
        <v>210810052</v>
      </c>
      <c r="C183" s="248" t="s">
        <v>3338</v>
      </c>
      <c r="D183" s="248" t="s">
        <v>1923</v>
      </c>
      <c r="E183" s="243">
        <v>45</v>
      </c>
      <c r="F183" s="616"/>
      <c r="G183" s="244">
        <f t="shared" si="22"/>
        <v>0</v>
      </c>
      <c r="H183" s="245">
        <v>9.5000000000000001E-2</v>
      </c>
      <c r="I183" s="246">
        <f t="shared" si="23"/>
        <v>4.2750000000000004</v>
      </c>
      <c r="J183" s="249" t="s">
        <v>765</v>
      </c>
      <c r="L183" s="177" t="s">
        <v>419</v>
      </c>
      <c r="M183" s="250" t="s">
        <v>3332</v>
      </c>
    </row>
    <row r="184" spans="1:13">
      <c r="A184" s="239">
        <v>134</v>
      </c>
      <c r="B184" s="240">
        <v>210100002</v>
      </c>
      <c r="C184" s="248" t="s">
        <v>3339</v>
      </c>
      <c r="D184" s="248" t="s">
        <v>2697</v>
      </c>
      <c r="E184" s="243">
        <v>66</v>
      </c>
      <c r="F184" s="616"/>
      <c r="G184" s="244">
        <f t="shared" si="22"/>
        <v>0</v>
      </c>
      <c r="H184" s="245">
        <v>5.7000000000000002E-2</v>
      </c>
      <c r="I184" s="246">
        <f t="shared" si="23"/>
        <v>3.762</v>
      </c>
      <c r="J184" s="249" t="s">
        <v>765</v>
      </c>
      <c r="K184" s="177" t="s">
        <v>3266</v>
      </c>
      <c r="L184" s="177" t="s">
        <v>419</v>
      </c>
      <c r="M184" s="250" t="s">
        <v>3332</v>
      </c>
    </row>
    <row r="185" spans="1:13">
      <c r="A185" s="239">
        <v>135</v>
      </c>
      <c r="B185" s="240">
        <v>210010321</v>
      </c>
      <c r="C185" s="248" t="s">
        <v>3340</v>
      </c>
      <c r="D185" s="248" t="s">
        <v>2697</v>
      </c>
      <c r="E185" s="243">
        <v>70</v>
      </c>
      <c r="F185" s="616"/>
      <c r="G185" s="244">
        <f t="shared" si="22"/>
        <v>0</v>
      </c>
      <c r="H185" s="245">
        <v>0.39</v>
      </c>
      <c r="I185" s="246">
        <f t="shared" si="23"/>
        <v>27.3</v>
      </c>
      <c r="J185" s="249" t="s">
        <v>765</v>
      </c>
      <c r="L185" s="177" t="s">
        <v>419</v>
      </c>
      <c r="M185" s="250" t="s">
        <v>3332</v>
      </c>
    </row>
    <row r="186" spans="1:13">
      <c r="A186" s="239">
        <v>136</v>
      </c>
      <c r="B186" s="240">
        <v>210010321</v>
      </c>
      <c r="C186" s="248" t="s">
        <v>3340</v>
      </c>
      <c r="D186" s="248" t="s">
        <v>2697</v>
      </c>
      <c r="E186" s="243">
        <v>90</v>
      </c>
      <c r="F186" s="616"/>
      <c r="G186" s="244">
        <f t="shared" si="22"/>
        <v>0</v>
      </c>
      <c r="H186" s="245">
        <v>0.39</v>
      </c>
      <c r="I186" s="246">
        <f t="shared" si="23"/>
        <v>35.1</v>
      </c>
      <c r="J186" s="249" t="s">
        <v>765</v>
      </c>
      <c r="L186" s="177" t="s">
        <v>419</v>
      </c>
      <c r="M186" s="250" t="s">
        <v>3332</v>
      </c>
    </row>
    <row r="187" spans="1:13">
      <c r="A187" s="239">
        <v>137</v>
      </c>
      <c r="B187" s="240">
        <v>210110041</v>
      </c>
      <c r="C187" s="248" t="s">
        <v>3341</v>
      </c>
      <c r="D187" s="248" t="s">
        <v>2697</v>
      </c>
      <c r="E187" s="243">
        <v>24</v>
      </c>
      <c r="F187" s="616"/>
      <c r="G187" s="244">
        <f t="shared" si="22"/>
        <v>0</v>
      </c>
      <c r="H187" s="245">
        <v>0.14799999999999999</v>
      </c>
      <c r="I187" s="246">
        <f t="shared" si="23"/>
        <v>3.5519999999999996</v>
      </c>
      <c r="J187" s="249" t="s">
        <v>765</v>
      </c>
      <c r="L187" s="177" t="s">
        <v>419</v>
      </c>
      <c r="M187" s="250" t="s">
        <v>3332</v>
      </c>
    </row>
    <row r="188" spans="1:13">
      <c r="A188" s="239">
        <v>138</v>
      </c>
      <c r="B188" s="240">
        <v>210110043</v>
      </c>
      <c r="C188" s="248" t="s">
        <v>3345</v>
      </c>
      <c r="D188" s="248" t="s">
        <v>2697</v>
      </c>
      <c r="E188" s="243">
        <v>1</v>
      </c>
      <c r="F188" s="616"/>
      <c r="G188" s="244">
        <f t="shared" si="22"/>
        <v>0</v>
      </c>
      <c r="H188" s="245">
        <v>0.17</v>
      </c>
      <c r="I188" s="246">
        <f t="shared" si="23"/>
        <v>0.17</v>
      </c>
      <c r="J188" s="249" t="s">
        <v>765</v>
      </c>
      <c r="L188" s="177" t="s">
        <v>419</v>
      </c>
      <c r="M188" s="250" t="s">
        <v>3332</v>
      </c>
    </row>
    <row r="189" spans="1:13">
      <c r="A189" s="239">
        <v>139</v>
      </c>
      <c r="B189" s="240">
        <v>210110045</v>
      </c>
      <c r="C189" s="248" t="s">
        <v>3346</v>
      </c>
      <c r="D189" s="248" t="s">
        <v>2697</v>
      </c>
      <c r="E189" s="243">
        <v>12</v>
      </c>
      <c r="F189" s="616"/>
      <c r="G189" s="244">
        <f t="shared" si="22"/>
        <v>0</v>
      </c>
      <c r="H189" s="245">
        <v>0.17</v>
      </c>
      <c r="I189" s="246">
        <f t="shared" si="23"/>
        <v>2.04</v>
      </c>
      <c r="J189" s="249" t="s">
        <v>765</v>
      </c>
      <c r="L189" s="177" t="s">
        <v>419</v>
      </c>
      <c r="M189" s="250" t="s">
        <v>3332</v>
      </c>
    </row>
    <row r="190" spans="1:13">
      <c r="A190" s="239">
        <v>140</v>
      </c>
      <c r="B190" s="240">
        <v>210110046</v>
      </c>
      <c r="C190" s="248" t="s">
        <v>3347</v>
      </c>
      <c r="D190" s="248" t="s">
        <v>2697</v>
      </c>
      <c r="E190" s="243">
        <v>1</v>
      </c>
      <c r="F190" s="616"/>
      <c r="G190" s="244">
        <f t="shared" si="22"/>
        <v>0</v>
      </c>
      <c r="H190" s="245">
        <v>0.19</v>
      </c>
      <c r="I190" s="246">
        <f t="shared" si="23"/>
        <v>0.19</v>
      </c>
      <c r="J190" s="249" t="s">
        <v>765</v>
      </c>
      <c r="L190" s="177" t="s">
        <v>419</v>
      </c>
      <c r="M190" s="250" t="s">
        <v>3332</v>
      </c>
    </row>
    <row r="191" spans="1:13">
      <c r="A191" s="239">
        <v>141</v>
      </c>
      <c r="B191" s="240">
        <v>210110091</v>
      </c>
      <c r="C191" s="248" t="s">
        <v>3348</v>
      </c>
      <c r="D191" s="248" t="s">
        <v>2697</v>
      </c>
      <c r="E191" s="243">
        <v>1</v>
      </c>
      <c r="F191" s="616"/>
      <c r="G191" s="244">
        <f t="shared" si="22"/>
        <v>0</v>
      </c>
      <c r="H191" s="245">
        <v>0.19</v>
      </c>
      <c r="I191" s="246">
        <f t="shared" si="23"/>
        <v>0.19</v>
      </c>
      <c r="J191" s="249" t="s">
        <v>765</v>
      </c>
      <c r="L191" s="177" t="s">
        <v>419</v>
      </c>
      <c r="M191" s="250" t="s">
        <v>3332</v>
      </c>
    </row>
    <row r="192" spans="1:13">
      <c r="A192" s="239">
        <v>142</v>
      </c>
      <c r="B192" s="240">
        <v>210110021</v>
      </c>
      <c r="C192" s="248" t="s">
        <v>3349</v>
      </c>
      <c r="D192" s="248" t="s">
        <v>2697</v>
      </c>
      <c r="E192" s="243">
        <v>2</v>
      </c>
      <c r="F192" s="616"/>
      <c r="G192" s="244">
        <f t="shared" si="22"/>
        <v>0</v>
      </c>
      <c r="H192" s="245">
        <v>0.39</v>
      </c>
      <c r="I192" s="246">
        <f t="shared" si="23"/>
        <v>0.78</v>
      </c>
      <c r="J192" s="249" t="s">
        <v>765</v>
      </c>
      <c r="L192" s="177" t="s">
        <v>419</v>
      </c>
      <c r="M192" s="250" t="s">
        <v>3332</v>
      </c>
    </row>
    <row r="193" spans="1:13">
      <c r="A193" s="239">
        <v>143</v>
      </c>
      <c r="B193" s="240">
        <v>210110071</v>
      </c>
      <c r="C193" s="248" t="s">
        <v>3350</v>
      </c>
      <c r="D193" s="248" t="s">
        <v>2697</v>
      </c>
      <c r="E193" s="243">
        <v>1</v>
      </c>
      <c r="F193" s="616"/>
      <c r="G193" s="244">
        <f t="shared" si="22"/>
        <v>0</v>
      </c>
      <c r="H193" s="245">
        <v>0.27400000000000002</v>
      </c>
      <c r="I193" s="246">
        <f t="shared" si="23"/>
        <v>0.27400000000000002</v>
      </c>
      <c r="J193" s="249" t="s">
        <v>765</v>
      </c>
      <c r="L193" s="177" t="s">
        <v>419</v>
      </c>
      <c r="M193" s="250" t="s">
        <v>3332</v>
      </c>
    </row>
    <row r="194" spans="1:13">
      <c r="A194" s="239">
        <v>144</v>
      </c>
      <c r="B194" s="240">
        <v>210111011</v>
      </c>
      <c r="C194" s="248" t="s">
        <v>3342</v>
      </c>
      <c r="D194" s="248" t="s">
        <v>2697</v>
      </c>
      <c r="E194" s="243">
        <v>28</v>
      </c>
      <c r="F194" s="616"/>
      <c r="G194" s="244">
        <f t="shared" si="22"/>
        <v>0</v>
      </c>
      <c r="H194" s="245">
        <v>0.27400000000000002</v>
      </c>
      <c r="I194" s="246">
        <f t="shared" si="23"/>
        <v>7.6720000000000006</v>
      </c>
      <c r="J194" s="249" t="s">
        <v>765</v>
      </c>
      <c r="L194" s="177" t="s">
        <v>419</v>
      </c>
      <c r="M194" s="250" t="s">
        <v>3332</v>
      </c>
    </row>
    <row r="195" spans="1:13">
      <c r="A195" s="239">
        <v>145</v>
      </c>
      <c r="B195" s="240">
        <v>210201001</v>
      </c>
      <c r="C195" s="248" t="s">
        <v>3343</v>
      </c>
      <c r="D195" s="248" t="s">
        <v>2697</v>
      </c>
      <c r="E195" s="243">
        <v>24</v>
      </c>
      <c r="F195" s="616"/>
      <c r="G195" s="244">
        <f t="shared" si="22"/>
        <v>0</v>
      </c>
      <c r="H195" s="245">
        <v>0.80100000000000005</v>
      </c>
      <c r="I195" s="246">
        <f t="shared" si="23"/>
        <v>19.224</v>
      </c>
      <c r="J195" s="249" t="s">
        <v>765</v>
      </c>
      <c r="L195" s="177" t="s">
        <v>419</v>
      </c>
      <c r="M195" s="250" t="s">
        <v>3332</v>
      </c>
    </row>
    <row r="196" spans="1:13">
      <c r="A196" s="239">
        <v>146</v>
      </c>
      <c r="B196" s="240">
        <v>210201001</v>
      </c>
      <c r="C196" s="248" t="s">
        <v>3343</v>
      </c>
      <c r="D196" s="248" t="s">
        <v>2697</v>
      </c>
      <c r="E196" s="243">
        <v>14</v>
      </c>
      <c r="F196" s="616"/>
      <c r="G196" s="244">
        <f t="shared" si="22"/>
        <v>0</v>
      </c>
      <c r="H196" s="245">
        <v>0.80100000000000005</v>
      </c>
      <c r="I196" s="246">
        <f t="shared" si="23"/>
        <v>11.214</v>
      </c>
      <c r="J196" s="249" t="s">
        <v>765</v>
      </c>
      <c r="L196" s="177" t="s">
        <v>419</v>
      </c>
      <c r="M196" s="250" t="s">
        <v>3332</v>
      </c>
    </row>
    <row r="197" spans="1:13">
      <c r="A197" s="239">
        <v>147</v>
      </c>
      <c r="B197" s="240">
        <v>210201001</v>
      </c>
      <c r="C197" s="248" t="s">
        <v>3343</v>
      </c>
      <c r="D197" s="248" t="s">
        <v>2697</v>
      </c>
      <c r="E197" s="243">
        <v>4</v>
      </c>
      <c r="F197" s="616"/>
      <c r="G197" s="244">
        <f t="shared" si="22"/>
        <v>0</v>
      </c>
      <c r="H197" s="245">
        <v>0.80100000000000005</v>
      </c>
      <c r="I197" s="246">
        <f t="shared" si="23"/>
        <v>3.2040000000000002</v>
      </c>
      <c r="J197" s="249" t="s">
        <v>765</v>
      </c>
      <c r="L197" s="177" t="s">
        <v>419</v>
      </c>
      <c r="M197" s="250" t="s">
        <v>3332</v>
      </c>
    </row>
    <row r="198" spans="1:13">
      <c r="A198" s="239">
        <v>148</v>
      </c>
      <c r="B198" s="240">
        <v>210201001</v>
      </c>
      <c r="C198" s="248" t="s">
        <v>3343</v>
      </c>
      <c r="D198" s="248" t="s">
        <v>2697</v>
      </c>
      <c r="E198" s="243">
        <v>12</v>
      </c>
      <c r="F198" s="616"/>
      <c r="G198" s="244">
        <f t="shared" si="22"/>
        <v>0</v>
      </c>
      <c r="H198" s="245">
        <v>0.80100000000000005</v>
      </c>
      <c r="I198" s="246">
        <f t="shared" si="23"/>
        <v>9.6120000000000001</v>
      </c>
      <c r="J198" s="249" t="s">
        <v>765</v>
      </c>
      <c r="L198" s="177" t="s">
        <v>419</v>
      </c>
      <c r="M198" s="250" t="s">
        <v>3332</v>
      </c>
    </row>
    <row r="199" spans="1:13">
      <c r="A199" s="239">
        <v>149</v>
      </c>
      <c r="B199" s="240">
        <v>210200012</v>
      </c>
      <c r="C199" s="248" t="s">
        <v>3344</v>
      </c>
      <c r="D199" s="248" t="s">
        <v>2697</v>
      </c>
      <c r="E199" s="243">
        <v>17</v>
      </c>
      <c r="F199" s="616"/>
      <c r="G199" s="244">
        <f t="shared" si="22"/>
        <v>0</v>
      </c>
      <c r="H199" s="245">
        <v>0.54800000000000004</v>
      </c>
      <c r="I199" s="246">
        <f t="shared" si="23"/>
        <v>9.3160000000000007</v>
      </c>
      <c r="J199" s="249" t="s">
        <v>765</v>
      </c>
      <c r="L199" s="177" t="s">
        <v>419</v>
      </c>
      <c r="M199" s="250" t="s">
        <v>3332</v>
      </c>
    </row>
    <row r="200" spans="1:13">
      <c r="A200" s="239">
        <v>150</v>
      </c>
      <c r="B200" s="240">
        <v>210200045</v>
      </c>
      <c r="C200" s="248" t="s">
        <v>3351</v>
      </c>
      <c r="D200" s="248" t="s">
        <v>2697</v>
      </c>
      <c r="E200" s="243">
        <v>10</v>
      </c>
      <c r="F200" s="616"/>
      <c r="G200" s="244">
        <f t="shared" si="22"/>
        <v>0</v>
      </c>
      <c r="H200" s="245">
        <v>0.54800000000000004</v>
      </c>
      <c r="I200" s="246">
        <f t="shared" si="23"/>
        <v>5.48</v>
      </c>
      <c r="J200" s="249" t="s">
        <v>765</v>
      </c>
      <c r="L200" s="177" t="s">
        <v>419</v>
      </c>
      <c r="M200" s="250" t="s">
        <v>3332</v>
      </c>
    </row>
    <row r="201" spans="1:13">
      <c r="A201" s="239">
        <v>151</v>
      </c>
      <c r="B201" s="240">
        <v>210201002</v>
      </c>
      <c r="C201" s="248" t="s">
        <v>3352</v>
      </c>
      <c r="D201" s="248" t="s">
        <v>2697</v>
      </c>
      <c r="E201" s="243">
        <v>2</v>
      </c>
      <c r="F201" s="616"/>
      <c r="G201" s="244">
        <f t="shared" si="22"/>
        <v>0</v>
      </c>
      <c r="H201" s="245">
        <v>0.86399999999999999</v>
      </c>
      <c r="I201" s="246">
        <f t="shared" si="23"/>
        <v>1.728</v>
      </c>
      <c r="J201" s="249" t="s">
        <v>765</v>
      </c>
      <c r="L201" s="177" t="s">
        <v>419</v>
      </c>
      <c r="M201" s="250" t="s">
        <v>3332</v>
      </c>
    </row>
    <row r="202" spans="1:13">
      <c r="A202" s="239"/>
      <c r="B202" s="240"/>
      <c r="C202" s="251" t="s">
        <v>3252</v>
      </c>
      <c r="D202" s="248"/>
      <c r="E202" s="243"/>
      <c r="F202" s="252">
        <f>SUM(G177:G201)</f>
        <v>0</v>
      </c>
      <c r="G202" s="244"/>
      <c r="H202" s="245"/>
      <c r="I202" s="246"/>
      <c r="J202" s="249"/>
      <c r="M202" s="250" t="s">
        <v>3332</v>
      </c>
    </row>
    <row r="203" spans="1:13">
      <c r="A203" s="239"/>
      <c r="B203" s="240"/>
      <c r="C203" s="251" t="s">
        <v>3255</v>
      </c>
      <c r="D203" s="248"/>
      <c r="E203" s="243"/>
      <c r="F203" s="243"/>
      <c r="G203" s="244"/>
      <c r="H203" s="245"/>
      <c r="I203" s="246"/>
      <c r="J203" s="249"/>
      <c r="L203" s="177" t="s">
        <v>1469</v>
      </c>
      <c r="M203" s="250" t="s">
        <v>3332</v>
      </c>
    </row>
    <row r="204" spans="1:13">
      <c r="A204" s="239">
        <v>152</v>
      </c>
      <c r="B204" s="240">
        <v>210800851</v>
      </c>
      <c r="C204" s="248" t="s">
        <v>3333</v>
      </c>
      <c r="D204" s="248" t="s">
        <v>1923</v>
      </c>
      <c r="E204" s="243">
        <v>40</v>
      </c>
      <c r="F204" s="616"/>
      <c r="G204" s="244">
        <f t="shared" ref="G204:G225" si="24">E204*F204</f>
        <v>0</v>
      </c>
      <c r="H204" s="245">
        <v>9.0999999999999998E-2</v>
      </c>
      <c r="I204" s="246">
        <f t="shared" ref="I204:I225" si="25">E204*H204</f>
        <v>3.6399999999999997</v>
      </c>
      <c r="J204" s="249" t="s">
        <v>765</v>
      </c>
      <c r="L204" s="177" t="s">
        <v>1469</v>
      </c>
      <c r="M204" s="250" t="s">
        <v>3332</v>
      </c>
    </row>
    <row r="205" spans="1:13">
      <c r="A205" s="239">
        <v>153</v>
      </c>
      <c r="B205" s="240">
        <v>210800851</v>
      </c>
      <c r="C205" s="248" t="s">
        <v>3333</v>
      </c>
      <c r="D205" s="248" t="s">
        <v>1923</v>
      </c>
      <c r="E205" s="243">
        <v>10</v>
      </c>
      <c r="F205" s="616"/>
      <c r="G205" s="244">
        <f t="shared" si="24"/>
        <v>0</v>
      </c>
      <c r="H205" s="245">
        <v>9.0999999999999998E-2</v>
      </c>
      <c r="I205" s="246">
        <f t="shared" si="25"/>
        <v>0.90999999999999992</v>
      </c>
      <c r="J205" s="249" t="s">
        <v>765</v>
      </c>
      <c r="L205" s="177" t="s">
        <v>1469</v>
      </c>
      <c r="M205" s="250" t="s">
        <v>3332</v>
      </c>
    </row>
    <row r="206" spans="1:13">
      <c r="A206" s="239">
        <v>154</v>
      </c>
      <c r="B206" s="240">
        <v>210800851</v>
      </c>
      <c r="C206" s="248" t="s">
        <v>3333</v>
      </c>
      <c r="D206" s="248" t="s">
        <v>1923</v>
      </c>
      <c r="E206" s="243">
        <v>60</v>
      </c>
      <c r="F206" s="616"/>
      <c r="G206" s="244">
        <f t="shared" si="24"/>
        <v>0</v>
      </c>
      <c r="H206" s="245">
        <v>9.0999999999999998E-2</v>
      </c>
      <c r="I206" s="246">
        <f t="shared" si="25"/>
        <v>5.46</v>
      </c>
      <c r="J206" s="249" t="s">
        <v>765</v>
      </c>
      <c r="L206" s="177" t="s">
        <v>1469</v>
      </c>
      <c r="M206" s="250" t="s">
        <v>3332</v>
      </c>
    </row>
    <row r="207" spans="1:13">
      <c r="A207" s="239">
        <v>155</v>
      </c>
      <c r="B207" s="240">
        <v>210810048</v>
      </c>
      <c r="C207" s="248" t="s">
        <v>3337</v>
      </c>
      <c r="D207" s="248" t="s">
        <v>1923</v>
      </c>
      <c r="E207" s="243">
        <v>20</v>
      </c>
      <c r="F207" s="616"/>
      <c r="G207" s="244">
        <f t="shared" si="24"/>
        <v>0</v>
      </c>
      <c r="H207" s="245">
        <v>0.09</v>
      </c>
      <c r="I207" s="246">
        <f t="shared" si="25"/>
        <v>1.7999999999999998</v>
      </c>
      <c r="J207" s="249" t="s">
        <v>765</v>
      </c>
      <c r="L207" s="177" t="s">
        <v>1469</v>
      </c>
      <c r="M207" s="250" t="s">
        <v>3332</v>
      </c>
    </row>
    <row r="208" spans="1:13">
      <c r="A208" s="239">
        <v>156</v>
      </c>
      <c r="B208" s="240">
        <v>210810048</v>
      </c>
      <c r="C208" s="248" t="s">
        <v>3337</v>
      </c>
      <c r="D208" s="248" t="s">
        <v>1923</v>
      </c>
      <c r="E208" s="243">
        <v>205</v>
      </c>
      <c r="F208" s="616"/>
      <c r="G208" s="244">
        <f t="shared" si="24"/>
        <v>0</v>
      </c>
      <c r="H208" s="245">
        <v>0.09</v>
      </c>
      <c r="I208" s="246">
        <f t="shared" si="25"/>
        <v>18.45</v>
      </c>
      <c r="J208" s="249" t="s">
        <v>765</v>
      </c>
      <c r="L208" s="177" t="s">
        <v>1469</v>
      </c>
      <c r="M208" s="250" t="s">
        <v>3332</v>
      </c>
    </row>
    <row r="209" spans="1:13">
      <c r="A209" s="239">
        <v>157</v>
      </c>
      <c r="B209" s="240">
        <v>210810048</v>
      </c>
      <c r="C209" s="248" t="s">
        <v>3337</v>
      </c>
      <c r="D209" s="248" t="s">
        <v>1923</v>
      </c>
      <c r="E209" s="243">
        <v>50</v>
      </c>
      <c r="F209" s="616"/>
      <c r="G209" s="244">
        <f t="shared" si="24"/>
        <v>0</v>
      </c>
      <c r="H209" s="245">
        <v>0.09</v>
      </c>
      <c r="I209" s="246">
        <f t="shared" si="25"/>
        <v>4.5</v>
      </c>
      <c r="J209" s="249" t="s">
        <v>765</v>
      </c>
      <c r="L209" s="177" t="s">
        <v>1469</v>
      </c>
      <c r="M209" s="250" t="s">
        <v>3332</v>
      </c>
    </row>
    <row r="210" spans="1:13">
      <c r="A210" s="239">
        <v>158</v>
      </c>
      <c r="B210" s="240">
        <v>210810048</v>
      </c>
      <c r="C210" s="248" t="s">
        <v>3337</v>
      </c>
      <c r="D210" s="248" t="s">
        <v>1923</v>
      </c>
      <c r="E210" s="243">
        <v>35</v>
      </c>
      <c r="F210" s="616"/>
      <c r="G210" s="244">
        <f t="shared" si="24"/>
        <v>0</v>
      </c>
      <c r="H210" s="245">
        <v>0.09</v>
      </c>
      <c r="I210" s="246">
        <f t="shared" si="25"/>
        <v>3.15</v>
      </c>
      <c r="J210" s="249" t="s">
        <v>765</v>
      </c>
      <c r="L210" s="177" t="s">
        <v>1469</v>
      </c>
      <c r="M210" s="250" t="s">
        <v>3332</v>
      </c>
    </row>
    <row r="211" spans="1:13">
      <c r="A211" s="239">
        <v>159</v>
      </c>
      <c r="B211" s="240">
        <v>210810048</v>
      </c>
      <c r="C211" s="248" t="s">
        <v>3337</v>
      </c>
      <c r="D211" s="248" t="s">
        <v>1923</v>
      </c>
      <c r="E211" s="243">
        <v>40</v>
      </c>
      <c r="F211" s="616"/>
      <c r="G211" s="244">
        <f t="shared" si="24"/>
        <v>0</v>
      </c>
      <c r="H211" s="245">
        <v>0.09</v>
      </c>
      <c r="I211" s="246">
        <f t="shared" si="25"/>
        <v>3.5999999999999996</v>
      </c>
      <c r="J211" s="249" t="s">
        <v>765</v>
      </c>
      <c r="L211" s="177" t="s">
        <v>1469</v>
      </c>
      <c r="M211" s="250" t="s">
        <v>3332</v>
      </c>
    </row>
    <row r="212" spans="1:13">
      <c r="A212" s="239">
        <v>160</v>
      </c>
      <c r="B212" s="240">
        <v>210810052</v>
      </c>
      <c r="C212" s="248" t="s">
        <v>3338</v>
      </c>
      <c r="D212" s="248" t="s">
        <v>1923</v>
      </c>
      <c r="E212" s="243">
        <v>70</v>
      </c>
      <c r="F212" s="616"/>
      <c r="G212" s="244">
        <f t="shared" si="24"/>
        <v>0</v>
      </c>
      <c r="H212" s="245">
        <v>9.5000000000000001E-2</v>
      </c>
      <c r="I212" s="246">
        <f t="shared" si="25"/>
        <v>6.65</v>
      </c>
      <c r="J212" s="249" t="s">
        <v>765</v>
      </c>
      <c r="L212" s="177" t="s">
        <v>1469</v>
      </c>
      <c r="M212" s="250" t="s">
        <v>3332</v>
      </c>
    </row>
    <row r="213" spans="1:13">
      <c r="A213" s="239">
        <v>161</v>
      </c>
      <c r="B213" s="240">
        <v>210810053</v>
      </c>
      <c r="C213" s="248" t="s">
        <v>3353</v>
      </c>
      <c r="D213" s="248" t="s">
        <v>1923</v>
      </c>
      <c r="E213" s="243">
        <v>20</v>
      </c>
      <c r="F213" s="616"/>
      <c r="G213" s="244">
        <f t="shared" si="24"/>
        <v>0</v>
      </c>
      <c r="H213" s="245">
        <v>0.105</v>
      </c>
      <c r="I213" s="246">
        <f t="shared" si="25"/>
        <v>2.1</v>
      </c>
      <c r="J213" s="249" t="s">
        <v>765</v>
      </c>
      <c r="L213" s="177" t="s">
        <v>1469</v>
      </c>
      <c r="M213" s="250" t="s">
        <v>3332</v>
      </c>
    </row>
    <row r="214" spans="1:13">
      <c r="A214" s="239">
        <v>162</v>
      </c>
      <c r="B214" s="240">
        <v>210100002</v>
      </c>
      <c r="C214" s="248" t="s">
        <v>3339</v>
      </c>
      <c r="D214" s="248" t="s">
        <v>2697</v>
      </c>
      <c r="E214" s="243">
        <v>100</v>
      </c>
      <c r="F214" s="616"/>
      <c r="G214" s="244">
        <f t="shared" si="24"/>
        <v>0</v>
      </c>
      <c r="H214" s="245">
        <v>5.7000000000000002E-2</v>
      </c>
      <c r="I214" s="246">
        <f t="shared" si="25"/>
        <v>5.7</v>
      </c>
      <c r="J214" s="249" t="s">
        <v>765</v>
      </c>
      <c r="K214" s="177" t="s">
        <v>3266</v>
      </c>
      <c r="L214" s="177" t="s">
        <v>1469</v>
      </c>
      <c r="M214" s="250" t="s">
        <v>3332</v>
      </c>
    </row>
    <row r="215" spans="1:13">
      <c r="A215" s="239">
        <v>163</v>
      </c>
      <c r="B215" s="240">
        <v>210010321</v>
      </c>
      <c r="C215" s="248" t="s">
        <v>3340</v>
      </c>
      <c r="D215" s="248" t="s">
        <v>2697</v>
      </c>
      <c r="E215" s="243">
        <v>6</v>
      </c>
      <c r="F215" s="616"/>
      <c r="G215" s="244">
        <f t="shared" si="24"/>
        <v>0</v>
      </c>
      <c r="H215" s="245">
        <v>0.39</v>
      </c>
      <c r="I215" s="246">
        <f t="shared" si="25"/>
        <v>2.34</v>
      </c>
      <c r="J215" s="249" t="s">
        <v>765</v>
      </c>
      <c r="L215" s="177" t="s">
        <v>1469</v>
      </c>
      <c r="M215" s="250" t="s">
        <v>3332</v>
      </c>
    </row>
    <row r="216" spans="1:13">
      <c r="A216" s="239">
        <v>164</v>
      </c>
      <c r="B216" s="240">
        <v>210010321</v>
      </c>
      <c r="C216" s="248" t="s">
        <v>3340</v>
      </c>
      <c r="D216" s="248" t="s">
        <v>2697</v>
      </c>
      <c r="E216" s="243">
        <v>7</v>
      </c>
      <c r="F216" s="616"/>
      <c r="G216" s="244">
        <f t="shared" si="24"/>
        <v>0</v>
      </c>
      <c r="H216" s="245">
        <v>0.39</v>
      </c>
      <c r="I216" s="246">
        <f t="shared" si="25"/>
        <v>2.73</v>
      </c>
      <c r="J216" s="249" t="s">
        <v>765</v>
      </c>
      <c r="L216" s="177" t="s">
        <v>1469</v>
      </c>
      <c r="M216" s="250" t="s">
        <v>3332</v>
      </c>
    </row>
    <row r="217" spans="1:13">
      <c r="A217" s="239">
        <v>165</v>
      </c>
      <c r="B217" s="240">
        <v>210010351</v>
      </c>
      <c r="C217" s="248" t="s">
        <v>3354</v>
      </c>
      <c r="D217" s="248" t="s">
        <v>2697</v>
      </c>
      <c r="E217" s="243">
        <v>4</v>
      </c>
      <c r="F217" s="616"/>
      <c r="G217" s="244">
        <f t="shared" si="24"/>
        <v>0</v>
      </c>
      <c r="H217" s="245">
        <v>0.67500000000000004</v>
      </c>
      <c r="I217" s="246">
        <f t="shared" si="25"/>
        <v>2.7</v>
      </c>
      <c r="J217" s="249" t="s">
        <v>765</v>
      </c>
      <c r="L217" s="177" t="s">
        <v>1469</v>
      </c>
      <c r="M217" s="250" t="s">
        <v>3332</v>
      </c>
    </row>
    <row r="218" spans="1:13">
      <c r="A218" s="239">
        <v>166</v>
      </c>
      <c r="B218" s="240">
        <v>210110041</v>
      </c>
      <c r="C218" s="248" t="s">
        <v>3341</v>
      </c>
      <c r="D218" s="248" t="s">
        <v>2697</v>
      </c>
      <c r="E218" s="243">
        <v>2</v>
      </c>
      <c r="F218" s="616"/>
      <c r="G218" s="244">
        <f t="shared" si="24"/>
        <v>0</v>
      </c>
      <c r="H218" s="245">
        <v>0.14799999999999999</v>
      </c>
      <c r="I218" s="246">
        <f t="shared" si="25"/>
        <v>0.29599999999999999</v>
      </c>
      <c r="J218" s="249" t="s">
        <v>765</v>
      </c>
      <c r="L218" s="177" t="s">
        <v>1469</v>
      </c>
      <c r="M218" s="250" t="s">
        <v>3332</v>
      </c>
    </row>
    <row r="219" spans="1:13">
      <c r="A219" s="239">
        <v>167</v>
      </c>
      <c r="B219" s="240">
        <v>210110045</v>
      </c>
      <c r="C219" s="248" t="s">
        <v>3346</v>
      </c>
      <c r="D219" s="248" t="s">
        <v>2697</v>
      </c>
      <c r="E219" s="243">
        <v>2</v>
      </c>
      <c r="F219" s="616"/>
      <c r="G219" s="244">
        <f t="shared" si="24"/>
        <v>0</v>
      </c>
      <c r="H219" s="245">
        <v>0.17</v>
      </c>
      <c r="I219" s="246">
        <f t="shared" si="25"/>
        <v>0.34</v>
      </c>
      <c r="J219" s="249" t="s">
        <v>765</v>
      </c>
      <c r="L219" s="177" t="s">
        <v>1469</v>
      </c>
      <c r="M219" s="250" t="s">
        <v>3332</v>
      </c>
    </row>
    <row r="220" spans="1:13">
      <c r="A220" s="239">
        <v>168</v>
      </c>
      <c r="B220" s="240">
        <v>210110021</v>
      </c>
      <c r="C220" s="248" t="s">
        <v>3349</v>
      </c>
      <c r="D220" s="248" t="s">
        <v>2697</v>
      </c>
      <c r="E220" s="243">
        <v>3</v>
      </c>
      <c r="F220" s="616"/>
      <c r="G220" s="244">
        <f t="shared" si="24"/>
        <v>0</v>
      </c>
      <c r="H220" s="245">
        <v>0.39</v>
      </c>
      <c r="I220" s="246">
        <f t="shared" si="25"/>
        <v>1.17</v>
      </c>
      <c r="J220" s="249" t="s">
        <v>765</v>
      </c>
      <c r="L220" s="177" t="s">
        <v>1469</v>
      </c>
      <c r="M220" s="250" t="s">
        <v>3332</v>
      </c>
    </row>
    <row r="221" spans="1:13">
      <c r="A221" s="239">
        <v>169</v>
      </c>
      <c r="B221" s="240">
        <v>210111031</v>
      </c>
      <c r="C221" s="248" t="s">
        <v>3355</v>
      </c>
      <c r="D221" s="248" t="s">
        <v>2697</v>
      </c>
      <c r="E221" s="243">
        <v>4</v>
      </c>
      <c r="F221" s="616"/>
      <c r="G221" s="244">
        <f t="shared" si="24"/>
        <v>0</v>
      </c>
      <c r="H221" s="245">
        <v>0.46400000000000002</v>
      </c>
      <c r="I221" s="246">
        <f t="shared" si="25"/>
        <v>1.8560000000000001</v>
      </c>
      <c r="J221" s="249" t="s">
        <v>765</v>
      </c>
      <c r="L221" s="177" t="s">
        <v>1469</v>
      </c>
      <c r="M221" s="250" t="s">
        <v>3332</v>
      </c>
    </row>
    <row r="222" spans="1:13">
      <c r="A222" s="239">
        <v>170</v>
      </c>
      <c r="B222" s="240">
        <v>210110071</v>
      </c>
      <c r="C222" s="248" t="s">
        <v>3356</v>
      </c>
      <c r="D222" s="248" t="s">
        <v>2697</v>
      </c>
      <c r="E222" s="243">
        <v>3</v>
      </c>
      <c r="F222" s="616"/>
      <c r="G222" s="244">
        <f t="shared" si="24"/>
        <v>0</v>
      </c>
      <c r="H222" s="245">
        <v>0.27400000000000002</v>
      </c>
      <c r="I222" s="246">
        <f t="shared" si="25"/>
        <v>0.82200000000000006</v>
      </c>
      <c r="J222" s="249" t="s">
        <v>765</v>
      </c>
      <c r="L222" s="177" t="s">
        <v>1469</v>
      </c>
      <c r="M222" s="250" t="s">
        <v>3332</v>
      </c>
    </row>
    <row r="223" spans="1:13">
      <c r="A223" s="239">
        <v>171</v>
      </c>
      <c r="B223" s="240">
        <v>210201002</v>
      </c>
      <c r="C223" s="248" t="s">
        <v>3357</v>
      </c>
      <c r="D223" s="248" t="s">
        <v>2697</v>
      </c>
      <c r="E223" s="243">
        <v>4</v>
      </c>
      <c r="F223" s="616"/>
      <c r="G223" s="244">
        <f t="shared" si="24"/>
        <v>0</v>
      </c>
      <c r="H223" s="245">
        <v>0.86399999999999999</v>
      </c>
      <c r="I223" s="246">
        <f t="shared" si="25"/>
        <v>3.456</v>
      </c>
      <c r="J223" s="249" t="s">
        <v>765</v>
      </c>
      <c r="L223" s="177" t="s">
        <v>1469</v>
      </c>
      <c r="M223" s="250" t="s">
        <v>3332</v>
      </c>
    </row>
    <row r="224" spans="1:13">
      <c r="A224" s="239">
        <v>172</v>
      </c>
      <c r="B224" s="240">
        <v>210201001</v>
      </c>
      <c r="C224" s="248" t="s">
        <v>3343</v>
      </c>
      <c r="D224" s="248" t="s">
        <v>2697</v>
      </c>
      <c r="E224" s="243">
        <v>6</v>
      </c>
      <c r="F224" s="616"/>
      <c r="G224" s="244">
        <f t="shared" si="24"/>
        <v>0</v>
      </c>
      <c r="H224" s="245">
        <v>0.80100000000000005</v>
      </c>
      <c r="I224" s="246">
        <f t="shared" si="25"/>
        <v>4.806</v>
      </c>
      <c r="J224" s="249" t="s">
        <v>765</v>
      </c>
      <c r="L224" s="177" t="s">
        <v>1469</v>
      </c>
      <c r="M224" s="250" t="s">
        <v>3332</v>
      </c>
    </row>
    <row r="225" spans="1:13">
      <c r="A225" s="239">
        <v>173</v>
      </c>
      <c r="B225" s="240">
        <v>210201002</v>
      </c>
      <c r="C225" s="248" t="s">
        <v>3357</v>
      </c>
      <c r="D225" s="248" t="s">
        <v>2697</v>
      </c>
      <c r="E225" s="243">
        <v>5</v>
      </c>
      <c r="F225" s="616"/>
      <c r="G225" s="244">
        <f t="shared" si="24"/>
        <v>0</v>
      </c>
      <c r="H225" s="245">
        <v>0.86399999999999999</v>
      </c>
      <c r="I225" s="246">
        <f t="shared" si="25"/>
        <v>4.32</v>
      </c>
      <c r="J225" s="249" t="s">
        <v>765</v>
      </c>
      <c r="L225" s="177" t="s">
        <v>1469</v>
      </c>
      <c r="M225" s="250" t="s">
        <v>3332</v>
      </c>
    </row>
    <row r="226" spans="1:13">
      <c r="A226" s="239"/>
      <c r="B226" s="240"/>
      <c r="C226" s="251" t="s">
        <v>3252</v>
      </c>
      <c r="D226" s="248"/>
      <c r="E226" s="243"/>
      <c r="F226" s="252">
        <f>SUM(G204:G225)</f>
        <v>0</v>
      </c>
      <c r="G226" s="244"/>
      <c r="H226" s="245"/>
      <c r="I226" s="246"/>
      <c r="J226" s="249"/>
      <c r="M226" s="250" t="s">
        <v>3332</v>
      </c>
    </row>
    <row r="227" spans="1:13">
      <c r="A227" s="239"/>
      <c r="B227" s="240"/>
      <c r="C227" s="251" t="s">
        <v>3258</v>
      </c>
      <c r="D227" s="248"/>
      <c r="E227" s="243"/>
      <c r="F227" s="243"/>
      <c r="G227" s="244"/>
      <c r="H227" s="245"/>
      <c r="I227" s="246"/>
      <c r="J227" s="249"/>
      <c r="L227" s="177" t="s">
        <v>3015</v>
      </c>
      <c r="M227" s="250" t="s">
        <v>3332</v>
      </c>
    </row>
    <row r="228" spans="1:13">
      <c r="A228" s="239">
        <v>174</v>
      </c>
      <c r="B228" s="240">
        <v>210800851</v>
      </c>
      <c r="C228" s="248" t="s">
        <v>3333</v>
      </c>
      <c r="D228" s="248" t="s">
        <v>1923</v>
      </c>
      <c r="E228" s="243">
        <v>40</v>
      </c>
      <c r="F228" s="616"/>
      <c r="G228" s="244">
        <f t="shared" ref="G228:G244" si="26">E228*F228</f>
        <v>0</v>
      </c>
      <c r="H228" s="245">
        <v>9.0999999999999998E-2</v>
      </c>
      <c r="I228" s="246">
        <f t="shared" ref="I228:I244" si="27">E228*H228</f>
        <v>3.6399999999999997</v>
      </c>
      <c r="J228" s="249" t="s">
        <v>765</v>
      </c>
      <c r="L228" s="177" t="s">
        <v>3015</v>
      </c>
      <c r="M228" s="250" t="s">
        <v>3332</v>
      </c>
    </row>
    <row r="229" spans="1:13">
      <c r="A229" s="239">
        <v>175</v>
      </c>
      <c r="B229" s="240">
        <v>210810048</v>
      </c>
      <c r="C229" s="248" t="s">
        <v>3337</v>
      </c>
      <c r="D229" s="248" t="s">
        <v>1923</v>
      </c>
      <c r="E229" s="243">
        <v>70</v>
      </c>
      <c r="F229" s="616"/>
      <c r="G229" s="244">
        <f t="shared" si="26"/>
        <v>0</v>
      </c>
      <c r="H229" s="245">
        <v>0.09</v>
      </c>
      <c r="I229" s="246">
        <f t="shared" si="27"/>
        <v>6.3</v>
      </c>
      <c r="J229" s="249" t="s">
        <v>765</v>
      </c>
      <c r="L229" s="177" t="s">
        <v>3015</v>
      </c>
      <c r="M229" s="250" t="s">
        <v>3332</v>
      </c>
    </row>
    <row r="230" spans="1:13">
      <c r="A230" s="239">
        <v>176</v>
      </c>
      <c r="B230" s="240">
        <v>210810048</v>
      </c>
      <c r="C230" s="248" t="s">
        <v>3337</v>
      </c>
      <c r="D230" s="248" t="s">
        <v>1923</v>
      </c>
      <c r="E230" s="243">
        <v>210</v>
      </c>
      <c r="F230" s="616"/>
      <c r="G230" s="244">
        <f t="shared" si="26"/>
        <v>0</v>
      </c>
      <c r="H230" s="245">
        <v>0.09</v>
      </c>
      <c r="I230" s="246">
        <f t="shared" si="27"/>
        <v>18.899999999999999</v>
      </c>
      <c r="J230" s="249" t="s">
        <v>765</v>
      </c>
      <c r="L230" s="177" t="s">
        <v>3015</v>
      </c>
      <c r="M230" s="250" t="s">
        <v>3332</v>
      </c>
    </row>
    <row r="231" spans="1:13">
      <c r="A231" s="239">
        <v>177</v>
      </c>
      <c r="B231" s="240">
        <v>210810048</v>
      </c>
      <c r="C231" s="248" t="s">
        <v>3337</v>
      </c>
      <c r="D231" s="248" t="s">
        <v>1923</v>
      </c>
      <c r="E231" s="243">
        <v>190</v>
      </c>
      <c r="F231" s="616"/>
      <c r="G231" s="244">
        <f t="shared" si="26"/>
        <v>0</v>
      </c>
      <c r="H231" s="245">
        <v>0.09</v>
      </c>
      <c r="I231" s="246">
        <f t="shared" si="27"/>
        <v>17.099999999999998</v>
      </c>
      <c r="J231" s="249" t="s">
        <v>765</v>
      </c>
      <c r="L231" s="177" t="s">
        <v>3015</v>
      </c>
      <c r="M231" s="250" t="s">
        <v>3332</v>
      </c>
    </row>
    <row r="232" spans="1:13">
      <c r="A232" s="239">
        <v>178</v>
      </c>
      <c r="B232" s="240">
        <v>210810048</v>
      </c>
      <c r="C232" s="248" t="s">
        <v>3337</v>
      </c>
      <c r="D232" s="248" t="s">
        <v>1923</v>
      </c>
      <c r="E232" s="243">
        <v>5</v>
      </c>
      <c r="F232" s="616"/>
      <c r="G232" s="244">
        <f t="shared" si="26"/>
        <v>0</v>
      </c>
      <c r="H232" s="245">
        <v>0.09</v>
      </c>
      <c r="I232" s="246">
        <f t="shared" si="27"/>
        <v>0.44999999999999996</v>
      </c>
      <c r="J232" s="249" t="s">
        <v>765</v>
      </c>
      <c r="L232" s="177" t="s">
        <v>3015</v>
      </c>
      <c r="M232" s="250" t="s">
        <v>3332</v>
      </c>
    </row>
    <row r="233" spans="1:13">
      <c r="A233" s="239">
        <v>179</v>
      </c>
      <c r="B233" s="240">
        <v>210810048</v>
      </c>
      <c r="C233" s="248" t="s">
        <v>3337</v>
      </c>
      <c r="D233" s="248" t="s">
        <v>1923</v>
      </c>
      <c r="E233" s="243">
        <v>45</v>
      </c>
      <c r="F233" s="616"/>
      <c r="G233" s="244">
        <f t="shared" si="26"/>
        <v>0</v>
      </c>
      <c r="H233" s="245">
        <v>0.09</v>
      </c>
      <c r="I233" s="246">
        <f t="shared" si="27"/>
        <v>4.05</v>
      </c>
      <c r="J233" s="249" t="s">
        <v>765</v>
      </c>
      <c r="L233" s="177" t="s">
        <v>3015</v>
      </c>
      <c r="M233" s="250" t="s">
        <v>3332</v>
      </c>
    </row>
    <row r="234" spans="1:13">
      <c r="A234" s="239">
        <v>180</v>
      </c>
      <c r="B234" s="240">
        <v>210810052</v>
      </c>
      <c r="C234" s="248" t="s">
        <v>3338</v>
      </c>
      <c r="D234" s="248" t="s">
        <v>1923</v>
      </c>
      <c r="E234" s="243">
        <v>50</v>
      </c>
      <c r="F234" s="616"/>
      <c r="G234" s="244">
        <f t="shared" si="26"/>
        <v>0</v>
      </c>
      <c r="H234" s="245">
        <v>9.5000000000000001E-2</v>
      </c>
      <c r="I234" s="246">
        <f t="shared" si="27"/>
        <v>4.75</v>
      </c>
      <c r="J234" s="249" t="s">
        <v>765</v>
      </c>
      <c r="L234" s="177" t="s">
        <v>3015</v>
      </c>
      <c r="M234" s="250" t="s">
        <v>3332</v>
      </c>
    </row>
    <row r="235" spans="1:13">
      <c r="A235" s="239">
        <v>181</v>
      </c>
      <c r="B235" s="240">
        <v>210100002</v>
      </c>
      <c r="C235" s="248" t="s">
        <v>3339</v>
      </c>
      <c r="D235" s="248" t="s">
        <v>2697</v>
      </c>
      <c r="E235" s="243">
        <v>48</v>
      </c>
      <c r="F235" s="616"/>
      <c r="G235" s="244">
        <f t="shared" si="26"/>
        <v>0</v>
      </c>
      <c r="H235" s="245">
        <v>5.7000000000000002E-2</v>
      </c>
      <c r="I235" s="246">
        <f t="shared" si="27"/>
        <v>2.7360000000000002</v>
      </c>
      <c r="J235" s="249" t="s">
        <v>765</v>
      </c>
      <c r="K235" s="177" t="s">
        <v>3266</v>
      </c>
      <c r="L235" s="177" t="s">
        <v>3015</v>
      </c>
      <c r="M235" s="250" t="s">
        <v>3332</v>
      </c>
    </row>
    <row r="236" spans="1:13">
      <c r="A236" s="239">
        <v>182</v>
      </c>
      <c r="B236" s="240">
        <v>210010321</v>
      </c>
      <c r="C236" s="248" t="s">
        <v>3340</v>
      </c>
      <c r="D236" s="248" t="s">
        <v>2697</v>
      </c>
      <c r="E236" s="243">
        <v>40</v>
      </c>
      <c r="F236" s="616"/>
      <c r="G236" s="244">
        <f t="shared" si="26"/>
        <v>0</v>
      </c>
      <c r="H236" s="245">
        <v>0.39</v>
      </c>
      <c r="I236" s="246">
        <f t="shared" si="27"/>
        <v>15.600000000000001</v>
      </c>
      <c r="J236" s="249" t="s">
        <v>765</v>
      </c>
      <c r="L236" s="177" t="s">
        <v>3015</v>
      </c>
      <c r="M236" s="250" t="s">
        <v>3332</v>
      </c>
    </row>
    <row r="237" spans="1:13">
      <c r="A237" s="239">
        <v>183</v>
      </c>
      <c r="B237" s="240">
        <v>210010321</v>
      </c>
      <c r="C237" s="248" t="s">
        <v>3340</v>
      </c>
      <c r="D237" s="248" t="s">
        <v>2697</v>
      </c>
      <c r="E237" s="243">
        <v>39</v>
      </c>
      <c r="F237" s="616"/>
      <c r="G237" s="244">
        <f t="shared" si="26"/>
        <v>0</v>
      </c>
      <c r="H237" s="245">
        <v>0.39</v>
      </c>
      <c r="I237" s="246">
        <f t="shared" si="27"/>
        <v>15.21</v>
      </c>
      <c r="J237" s="249" t="s">
        <v>765</v>
      </c>
      <c r="L237" s="177" t="s">
        <v>3015</v>
      </c>
      <c r="M237" s="250" t="s">
        <v>3332</v>
      </c>
    </row>
    <row r="238" spans="1:13">
      <c r="A238" s="239">
        <v>184</v>
      </c>
      <c r="B238" s="240">
        <v>210110041</v>
      </c>
      <c r="C238" s="248" t="s">
        <v>3341</v>
      </c>
      <c r="D238" s="248" t="s">
        <v>2697</v>
      </c>
      <c r="E238" s="243">
        <v>10</v>
      </c>
      <c r="F238" s="616"/>
      <c r="G238" s="244">
        <f t="shared" si="26"/>
        <v>0</v>
      </c>
      <c r="H238" s="245">
        <v>0.14799999999999999</v>
      </c>
      <c r="I238" s="246">
        <f t="shared" si="27"/>
        <v>1.48</v>
      </c>
      <c r="J238" s="249" t="s">
        <v>765</v>
      </c>
      <c r="L238" s="177" t="s">
        <v>3015</v>
      </c>
      <c r="M238" s="250" t="s">
        <v>3332</v>
      </c>
    </row>
    <row r="239" spans="1:13">
      <c r="A239" s="239">
        <v>185</v>
      </c>
      <c r="B239" s="240">
        <v>210110043</v>
      </c>
      <c r="C239" s="248" t="s">
        <v>3345</v>
      </c>
      <c r="D239" s="248" t="s">
        <v>2697</v>
      </c>
      <c r="E239" s="243">
        <v>2</v>
      </c>
      <c r="F239" s="616"/>
      <c r="G239" s="244">
        <f t="shared" si="26"/>
        <v>0</v>
      </c>
      <c r="H239" s="245">
        <v>0.17</v>
      </c>
      <c r="I239" s="246">
        <f t="shared" si="27"/>
        <v>0.34</v>
      </c>
      <c r="J239" s="249" t="s">
        <v>765</v>
      </c>
      <c r="L239" s="177" t="s">
        <v>3015</v>
      </c>
      <c r="M239" s="250" t="s">
        <v>3332</v>
      </c>
    </row>
    <row r="240" spans="1:13">
      <c r="A240" s="239">
        <v>186</v>
      </c>
      <c r="B240" s="240">
        <v>210110046</v>
      </c>
      <c r="C240" s="248" t="s">
        <v>3347</v>
      </c>
      <c r="D240" s="248" t="s">
        <v>2697</v>
      </c>
      <c r="E240" s="243">
        <v>4</v>
      </c>
      <c r="F240" s="616"/>
      <c r="G240" s="244">
        <f t="shared" si="26"/>
        <v>0</v>
      </c>
      <c r="H240" s="245">
        <v>0.19</v>
      </c>
      <c r="I240" s="246">
        <f t="shared" si="27"/>
        <v>0.76</v>
      </c>
      <c r="J240" s="249" t="s">
        <v>765</v>
      </c>
      <c r="L240" s="177" t="s">
        <v>3015</v>
      </c>
      <c r="M240" s="250" t="s">
        <v>3332</v>
      </c>
    </row>
    <row r="241" spans="1:13">
      <c r="A241" s="239">
        <v>187</v>
      </c>
      <c r="B241" s="240">
        <v>210120804</v>
      </c>
      <c r="C241" s="248" t="s">
        <v>3358</v>
      </c>
      <c r="D241" s="248" t="s">
        <v>2697</v>
      </c>
      <c r="E241" s="243">
        <v>2</v>
      </c>
      <c r="F241" s="616"/>
      <c r="G241" s="244">
        <f t="shared" si="26"/>
        <v>0</v>
      </c>
      <c r="H241" s="245">
        <v>0.42399999999999999</v>
      </c>
      <c r="I241" s="246">
        <f t="shared" si="27"/>
        <v>0.84799999999999998</v>
      </c>
      <c r="J241" s="249" t="s">
        <v>765</v>
      </c>
      <c r="L241" s="177" t="s">
        <v>3015</v>
      </c>
      <c r="M241" s="250" t="s">
        <v>3332</v>
      </c>
    </row>
    <row r="242" spans="1:13">
      <c r="A242" s="239">
        <v>188</v>
      </c>
      <c r="B242" s="240">
        <v>210111011</v>
      </c>
      <c r="C242" s="248" t="s">
        <v>3342</v>
      </c>
      <c r="D242" s="248" t="s">
        <v>2697</v>
      </c>
      <c r="E242" s="243">
        <v>24</v>
      </c>
      <c r="F242" s="616"/>
      <c r="G242" s="244">
        <f t="shared" si="26"/>
        <v>0</v>
      </c>
      <c r="H242" s="245">
        <v>0.27400000000000002</v>
      </c>
      <c r="I242" s="246">
        <f t="shared" si="27"/>
        <v>6.5760000000000005</v>
      </c>
      <c r="J242" s="249" t="s">
        <v>765</v>
      </c>
      <c r="L242" s="177" t="s">
        <v>3015</v>
      </c>
      <c r="M242" s="250" t="s">
        <v>3332</v>
      </c>
    </row>
    <row r="243" spans="1:13">
      <c r="A243" s="239">
        <v>189</v>
      </c>
      <c r="B243" s="240">
        <v>210200012</v>
      </c>
      <c r="C243" s="248" t="s">
        <v>3344</v>
      </c>
      <c r="D243" s="248" t="s">
        <v>2697</v>
      </c>
      <c r="E243" s="243">
        <v>16</v>
      </c>
      <c r="F243" s="616"/>
      <c r="G243" s="244">
        <f t="shared" si="26"/>
        <v>0</v>
      </c>
      <c r="H243" s="245">
        <v>0.54800000000000004</v>
      </c>
      <c r="I243" s="246">
        <f t="shared" si="27"/>
        <v>8.7680000000000007</v>
      </c>
      <c r="J243" s="249" t="s">
        <v>765</v>
      </c>
      <c r="L243" s="177" t="s">
        <v>3015</v>
      </c>
      <c r="M243" s="250" t="s">
        <v>3332</v>
      </c>
    </row>
    <row r="244" spans="1:13">
      <c r="A244" s="239">
        <v>190</v>
      </c>
      <c r="B244" s="240">
        <v>210220361</v>
      </c>
      <c r="C244" s="248" t="s">
        <v>3359</v>
      </c>
      <c r="D244" s="248" t="s">
        <v>2697</v>
      </c>
      <c r="E244" s="243">
        <v>10</v>
      </c>
      <c r="F244" s="616"/>
      <c r="G244" s="244">
        <f t="shared" si="26"/>
        <v>0</v>
      </c>
      <c r="H244" s="245">
        <v>1.45</v>
      </c>
      <c r="I244" s="246">
        <f t="shared" si="27"/>
        <v>14.5</v>
      </c>
      <c r="J244" s="249" t="s">
        <v>765</v>
      </c>
      <c r="L244" s="177" t="s">
        <v>3015</v>
      </c>
      <c r="M244" s="250" t="s">
        <v>3332</v>
      </c>
    </row>
    <row r="245" spans="1:13">
      <c r="A245" s="239"/>
      <c r="B245" s="240"/>
      <c r="C245" s="251" t="s">
        <v>3252</v>
      </c>
      <c r="D245" s="248"/>
      <c r="E245" s="243"/>
      <c r="F245" s="252">
        <f>SUM(G228:G244)</f>
        <v>0</v>
      </c>
      <c r="G245" s="244"/>
      <c r="H245" s="245"/>
      <c r="I245" s="246"/>
      <c r="J245" s="249"/>
      <c r="M245" s="250" t="s">
        <v>3332</v>
      </c>
    </row>
    <row r="246" spans="1:13">
      <c r="A246" s="239"/>
      <c r="B246" s="240"/>
      <c r="C246" s="251" t="s">
        <v>3260</v>
      </c>
      <c r="D246" s="248"/>
      <c r="E246" s="243"/>
      <c r="F246" s="243"/>
      <c r="G246" s="244"/>
      <c r="H246" s="245"/>
      <c r="I246" s="246"/>
      <c r="J246" s="249"/>
      <c r="L246" s="177" t="s">
        <v>3261</v>
      </c>
      <c r="M246" s="250" t="s">
        <v>3332</v>
      </c>
    </row>
    <row r="247" spans="1:13">
      <c r="A247" s="239">
        <v>191</v>
      </c>
      <c r="B247" s="240">
        <v>210220101</v>
      </c>
      <c r="C247" s="248" t="s">
        <v>3360</v>
      </c>
      <c r="D247" s="248" t="s">
        <v>1923</v>
      </c>
      <c r="E247" s="243">
        <v>340</v>
      </c>
      <c r="F247" s="616"/>
      <c r="G247" s="244">
        <f>E247*F247</f>
        <v>0</v>
      </c>
      <c r="H247" s="245">
        <v>0.497</v>
      </c>
      <c r="I247" s="246">
        <f>E247*H247</f>
        <v>168.98</v>
      </c>
      <c r="J247" s="249" t="s">
        <v>765</v>
      </c>
      <c r="L247" s="177" t="s">
        <v>3261</v>
      </c>
      <c r="M247" s="250" t="s">
        <v>3332</v>
      </c>
    </row>
    <row r="248" spans="1:13">
      <c r="A248" s="239">
        <v>192</v>
      </c>
      <c r="B248" s="240">
        <v>210220372</v>
      </c>
      <c r="C248" s="248" t="s">
        <v>3361</v>
      </c>
      <c r="D248" s="248" t="s">
        <v>2697</v>
      </c>
      <c r="E248" s="243">
        <v>10</v>
      </c>
      <c r="F248" s="616"/>
      <c r="G248" s="244">
        <f>E248*F248</f>
        <v>0</v>
      </c>
      <c r="H248" s="245">
        <v>0.87</v>
      </c>
      <c r="I248" s="246">
        <f>E248*H248</f>
        <v>8.6999999999999993</v>
      </c>
      <c r="J248" s="249" t="s">
        <v>765</v>
      </c>
      <c r="L248" s="177" t="s">
        <v>3261</v>
      </c>
      <c r="M248" s="250" t="s">
        <v>3332</v>
      </c>
    </row>
    <row r="249" spans="1:13">
      <c r="A249" s="239">
        <v>193</v>
      </c>
      <c r="B249" s="240">
        <v>210220401</v>
      </c>
      <c r="C249" s="248" t="s">
        <v>3362</v>
      </c>
      <c r="D249" s="248" t="s">
        <v>2697</v>
      </c>
      <c r="E249" s="243">
        <v>10</v>
      </c>
      <c r="F249" s="616"/>
      <c r="G249" s="244">
        <f>E249*F249</f>
        <v>0</v>
      </c>
      <c r="H249" s="245">
        <v>0.18</v>
      </c>
      <c r="I249" s="246">
        <f>E249*H249</f>
        <v>1.7999999999999998</v>
      </c>
      <c r="J249" s="249" t="s">
        <v>765</v>
      </c>
      <c r="L249" s="177" t="s">
        <v>3261</v>
      </c>
      <c r="M249" s="250" t="s">
        <v>3332</v>
      </c>
    </row>
    <row r="250" spans="1:13">
      <c r="A250" s="239">
        <v>194</v>
      </c>
      <c r="B250" s="240">
        <v>210220458</v>
      </c>
      <c r="C250" s="248" t="s">
        <v>3363</v>
      </c>
      <c r="D250" s="248" t="s">
        <v>1923</v>
      </c>
      <c r="E250" s="243">
        <v>340</v>
      </c>
      <c r="F250" s="616"/>
      <c r="G250" s="244">
        <f>E250*F250</f>
        <v>0</v>
      </c>
      <c r="H250" s="245">
        <v>0.10100000000000001</v>
      </c>
      <c r="I250" s="246">
        <f>E250*H250</f>
        <v>34.340000000000003</v>
      </c>
      <c r="J250" s="249" t="s">
        <v>765</v>
      </c>
      <c r="K250" s="177" t="s">
        <v>3266</v>
      </c>
      <c r="L250" s="177" t="s">
        <v>3261</v>
      </c>
      <c r="M250" s="250" t="s">
        <v>3332</v>
      </c>
    </row>
    <row r="251" spans="1:13">
      <c r="A251" s="239">
        <v>195</v>
      </c>
      <c r="B251" s="240">
        <v>210220021</v>
      </c>
      <c r="C251" s="248" t="s">
        <v>3364</v>
      </c>
      <c r="D251" s="248" t="s">
        <v>1923</v>
      </c>
      <c r="E251" s="243">
        <v>170</v>
      </c>
      <c r="F251" s="616"/>
      <c r="G251" s="244">
        <f>E251*F251</f>
        <v>0</v>
      </c>
      <c r="H251" s="245">
        <v>7.5999999999999998E-2</v>
      </c>
      <c r="I251" s="246">
        <f>E251*H251</f>
        <v>12.92</v>
      </c>
      <c r="J251" s="249" t="s">
        <v>765</v>
      </c>
      <c r="L251" s="177" t="s">
        <v>3261</v>
      </c>
      <c r="M251" s="250" t="s">
        <v>3332</v>
      </c>
    </row>
    <row r="252" spans="1:13" ht="14.5" thickBot="1">
      <c r="A252" s="253"/>
      <c r="B252" s="254"/>
      <c r="C252" s="255" t="s">
        <v>3252</v>
      </c>
      <c r="D252" s="284"/>
      <c r="E252" s="257"/>
      <c r="F252" s="258">
        <f>SUM(G247:G251)</f>
        <v>0</v>
      </c>
      <c r="G252" s="259"/>
      <c r="H252" s="260"/>
      <c r="I252" s="261"/>
      <c r="J252" s="262"/>
      <c r="M252" s="250" t="s">
        <v>3332</v>
      </c>
    </row>
    <row r="253" spans="1:13" s="272" customFormat="1">
      <c r="A253" s="263"/>
      <c r="B253" s="264"/>
      <c r="C253" s="265" t="s">
        <v>3263</v>
      </c>
      <c r="D253" s="265"/>
      <c r="E253" s="267"/>
      <c r="F253" s="267"/>
      <c r="G253" s="268">
        <f>SUM(G149:G252)</f>
        <v>0</v>
      </c>
      <c r="H253" s="269"/>
      <c r="I253" s="270">
        <f>SUM(I149:I252)</f>
        <v>718.04599999999994</v>
      </c>
      <c r="J253" s="271"/>
      <c r="M253" s="273" t="s">
        <v>3332</v>
      </c>
    </row>
    <row r="254" spans="1:13" s="221" customFormat="1" ht="20.149999999999999" customHeight="1">
      <c r="A254" s="274" t="s">
        <v>567</v>
      </c>
      <c r="B254" s="275"/>
      <c r="C254" s="276"/>
      <c r="D254" s="276"/>
      <c r="E254" s="278"/>
      <c r="F254" s="278"/>
      <c r="G254" s="279"/>
      <c r="H254" s="280"/>
      <c r="I254" s="281"/>
      <c r="J254" s="282"/>
      <c r="M254" s="283"/>
    </row>
    <row r="255" spans="1:13">
      <c r="A255" s="239"/>
      <c r="B255" s="240"/>
      <c r="C255" s="251" t="s">
        <v>3260</v>
      </c>
      <c r="D255" s="248"/>
      <c r="E255" s="243"/>
      <c r="F255" s="243"/>
      <c r="G255" s="244"/>
      <c r="H255" s="245"/>
      <c r="I255" s="246"/>
      <c r="J255" s="249"/>
      <c r="L255" s="177" t="s">
        <v>3261</v>
      </c>
      <c r="M255" s="250" t="s">
        <v>3365</v>
      </c>
    </row>
    <row r="256" spans="1:13">
      <c r="A256" s="239">
        <v>196</v>
      </c>
      <c r="B256" s="240">
        <v>460200233</v>
      </c>
      <c r="C256" s="248" t="s">
        <v>3366</v>
      </c>
      <c r="D256" s="248" t="s">
        <v>1923</v>
      </c>
      <c r="E256" s="243">
        <v>170</v>
      </c>
      <c r="F256" s="616"/>
      <c r="G256" s="244">
        <f t="shared" ref="G256:G261" si="28">E256*F256</f>
        <v>0</v>
      </c>
      <c r="H256" s="245">
        <v>0.307</v>
      </c>
      <c r="I256" s="246">
        <f t="shared" ref="I256:I261" si="29">E256*H256</f>
        <v>52.19</v>
      </c>
      <c r="J256" s="249" t="s">
        <v>765</v>
      </c>
      <c r="K256" s="177" t="s">
        <v>3266</v>
      </c>
      <c r="L256" s="177" t="s">
        <v>3261</v>
      </c>
      <c r="M256" s="250" t="s">
        <v>3365</v>
      </c>
    </row>
    <row r="257" spans="1:13">
      <c r="A257" s="239">
        <v>197</v>
      </c>
      <c r="B257" s="240">
        <v>460070103</v>
      </c>
      <c r="C257" s="248" t="s">
        <v>3367</v>
      </c>
      <c r="D257" s="248" t="s">
        <v>2697</v>
      </c>
      <c r="E257" s="243">
        <v>10</v>
      </c>
      <c r="F257" s="616"/>
      <c r="G257" s="244">
        <f t="shared" si="28"/>
        <v>0</v>
      </c>
      <c r="H257" s="245">
        <v>13.5</v>
      </c>
      <c r="I257" s="246">
        <f t="shared" si="29"/>
        <v>135</v>
      </c>
      <c r="J257" s="249" t="s">
        <v>765</v>
      </c>
      <c r="L257" s="177" t="s">
        <v>3261</v>
      </c>
      <c r="M257" s="250" t="s">
        <v>3365</v>
      </c>
    </row>
    <row r="258" spans="1:13">
      <c r="A258" s="239">
        <v>198</v>
      </c>
      <c r="B258" s="240">
        <v>460560233</v>
      </c>
      <c r="C258" s="248" t="s">
        <v>3368</v>
      </c>
      <c r="D258" s="248" t="s">
        <v>1923</v>
      </c>
      <c r="E258" s="243">
        <v>170</v>
      </c>
      <c r="F258" s="616"/>
      <c r="G258" s="244">
        <f t="shared" si="28"/>
        <v>0</v>
      </c>
      <c r="H258" s="245">
        <v>0.11600000000000001</v>
      </c>
      <c r="I258" s="246">
        <f t="shared" si="29"/>
        <v>19.720000000000002</v>
      </c>
      <c r="J258" s="249" t="s">
        <v>765</v>
      </c>
      <c r="L258" s="177" t="s">
        <v>3261</v>
      </c>
      <c r="M258" s="250" t="s">
        <v>3365</v>
      </c>
    </row>
    <row r="259" spans="1:13">
      <c r="A259" s="239">
        <v>199</v>
      </c>
      <c r="B259" s="240">
        <v>460600001</v>
      </c>
      <c r="C259" s="248" t="s">
        <v>3369</v>
      </c>
      <c r="D259" s="248" t="s">
        <v>2236</v>
      </c>
      <c r="E259" s="243">
        <v>15.75</v>
      </c>
      <c r="F259" s="616"/>
      <c r="G259" s="244">
        <f t="shared" si="28"/>
        <v>0</v>
      </c>
      <c r="H259" s="245">
        <v>2.2799999999999998</v>
      </c>
      <c r="I259" s="246">
        <f t="shared" si="29"/>
        <v>35.909999999999997</v>
      </c>
      <c r="J259" s="249" t="s">
        <v>765</v>
      </c>
      <c r="L259" s="177" t="s">
        <v>3261</v>
      </c>
      <c r="M259" s="250" t="s">
        <v>3365</v>
      </c>
    </row>
    <row r="260" spans="1:13">
      <c r="A260" s="239">
        <v>200</v>
      </c>
      <c r="B260" s="240">
        <v>460650021</v>
      </c>
      <c r="C260" s="248" t="s">
        <v>3370</v>
      </c>
      <c r="D260" s="248" t="s">
        <v>2274</v>
      </c>
      <c r="E260" s="243">
        <v>105</v>
      </c>
      <c r="F260" s="616"/>
      <c r="G260" s="244">
        <f t="shared" si="28"/>
        <v>0</v>
      </c>
      <c r="H260" s="245">
        <v>0.68</v>
      </c>
      <c r="I260" s="246">
        <f t="shared" si="29"/>
        <v>71.400000000000006</v>
      </c>
      <c r="J260" s="249" t="s">
        <v>765</v>
      </c>
      <c r="L260" s="177" t="s">
        <v>3261</v>
      </c>
      <c r="M260" s="250" t="s">
        <v>3365</v>
      </c>
    </row>
    <row r="261" spans="1:13">
      <c r="A261" s="239">
        <v>201</v>
      </c>
      <c r="B261" s="240">
        <v>460650042</v>
      </c>
      <c r="C261" s="248" t="s">
        <v>3371</v>
      </c>
      <c r="D261" s="248" t="s">
        <v>2274</v>
      </c>
      <c r="E261" s="243">
        <v>105</v>
      </c>
      <c r="F261" s="616"/>
      <c r="G261" s="244">
        <f t="shared" si="28"/>
        <v>0</v>
      </c>
      <c r="H261" s="245">
        <v>2.67</v>
      </c>
      <c r="I261" s="246">
        <f t="shared" si="29"/>
        <v>280.34999999999997</v>
      </c>
      <c r="J261" s="249" t="s">
        <v>765</v>
      </c>
      <c r="L261" s="177" t="s">
        <v>3261</v>
      </c>
      <c r="M261" s="250" t="s">
        <v>3365</v>
      </c>
    </row>
    <row r="262" spans="1:13" ht="14.5" thickBot="1">
      <c r="A262" s="253"/>
      <c r="B262" s="254"/>
      <c r="C262" s="255" t="s">
        <v>3252</v>
      </c>
      <c r="D262" s="284"/>
      <c r="E262" s="257"/>
      <c r="F262" s="258">
        <f>SUM(G256:G261)</f>
        <v>0</v>
      </c>
      <c r="G262" s="259"/>
      <c r="H262" s="260"/>
      <c r="I262" s="261"/>
      <c r="J262" s="262"/>
      <c r="M262" s="250" t="s">
        <v>3365</v>
      </c>
    </row>
    <row r="263" spans="1:13" s="272" customFormat="1">
      <c r="A263" s="263"/>
      <c r="B263" s="264"/>
      <c r="C263" s="265" t="s">
        <v>3263</v>
      </c>
      <c r="D263" s="265"/>
      <c r="E263" s="267"/>
      <c r="F263" s="267"/>
      <c r="G263" s="268">
        <f>SUM(G255:G262)</f>
        <v>0</v>
      </c>
      <c r="H263" s="269"/>
      <c r="I263" s="270">
        <f>SUM(I255:I262)</f>
        <v>594.56999999999994</v>
      </c>
      <c r="J263" s="271"/>
      <c r="M263" s="273" t="s">
        <v>3365</v>
      </c>
    </row>
    <row r="264" spans="1:13" s="221" customFormat="1" ht="20.149999999999999" customHeight="1">
      <c r="A264" s="274" t="s">
        <v>3372</v>
      </c>
      <c r="B264" s="275"/>
      <c r="C264" s="276"/>
      <c r="D264" s="276"/>
      <c r="E264" s="278"/>
      <c r="F264" s="278"/>
      <c r="G264" s="279"/>
      <c r="H264" s="280"/>
      <c r="I264" s="281"/>
      <c r="J264" s="282"/>
      <c r="M264" s="283"/>
    </row>
    <row r="265" spans="1:13">
      <c r="A265" s="239"/>
      <c r="B265" s="240"/>
      <c r="C265" s="251" t="s">
        <v>3249</v>
      </c>
      <c r="D265" s="248"/>
      <c r="E265" s="243"/>
      <c r="F265" s="243"/>
      <c r="G265" s="244"/>
      <c r="H265" s="245"/>
      <c r="I265" s="246"/>
      <c r="J265" s="249"/>
      <c r="L265" s="177" t="s">
        <v>2080</v>
      </c>
      <c r="M265" s="250" t="s">
        <v>3373</v>
      </c>
    </row>
    <row r="266" spans="1:13">
      <c r="A266" s="239">
        <v>202</v>
      </c>
      <c r="B266" s="240">
        <v>218009001</v>
      </c>
      <c r="C266" s="248" t="s">
        <v>3374</v>
      </c>
      <c r="D266" s="248" t="s">
        <v>2697</v>
      </c>
      <c r="E266" s="243">
        <v>12</v>
      </c>
      <c r="F266" s="616"/>
      <c r="G266" s="244">
        <f>E266*F266</f>
        <v>0</v>
      </c>
      <c r="H266" s="245">
        <v>0</v>
      </c>
      <c r="I266" s="246">
        <f>E266*H266</f>
        <v>0</v>
      </c>
      <c r="J266" s="249" t="s">
        <v>3257</v>
      </c>
      <c r="L266" s="177" t="s">
        <v>2080</v>
      </c>
      <c r="M266" s="250" t="s">
        <v>3373</v>
      </c>
    </row>
    <row r="267" spans="1:13">
      <c r="A267" s="239">
        <v>203</v>
      </c>
      <c r="B267" s="240">
        <v>218009001</v>
      </c>
      <c r="C267" s="248" t="s">
        <v>3374</v>
      </c>
      <c r="D267" s="248" t="s">
        <v>2697</v>
      </c>
      <c r="E267" s="243">
        <v>2</v>
      </c>
      <c r="F267" s="616"/>
      <c r="G267" s="244">
        <f>E267*F267</f>
        <v>0</v>
      </c>
      <c r="H267" s="245">
        <v>0</v>
      </c>
      <c r="I267" s="246">
        <f>E267*H267</f>
        <v>0</v>
      </c>
      <c r="J267" s="249" t="s">
        <v>3257</v>
      </c>
      <c r="L267" s="177" t="s">
        <v>2080</v>
      </c>
      <c r="M267" s="250" t="s">
        <v>3373</v>
      </c>
    </row>
    <row r="268" spans="1:13">
      <c r="A268" s="239"/>
      <c r="B268" s="240"/>
      <c r="C268" s="251" t="s">
        <v>3252</v>
      </c>
      <c r="D268" s="248"/>
      <c r="E268" s="243"/>
      <c r="F268" s="252">
        <f>SUM(G266:G267)</f>
        <v>0</v>
      </c>
      <c r="G268" s="244"/>
      <c r="H268" s="245"/>
      <c r="I268" s="246"/>
      <c r="J268" s="249"/>
      <c r="M268" s="250" t="s">
        <v>3373</v>
      </c>
    </row>
    <row r="269" spans="1:13">
      <c r="A269" s="239"/>
      <c r="B269" s="240"/>
      <c r="C269" s="251" t="s">
        <v>3253</v>
      </c>
      <c r="D269" s="248"/>
      <c r="E269" s="243"/>
      <c r="F269" s="243"/>
      <c r="G269" s="244"/>
      <c r="H269" s="245"/>
      <c r="I269" s="246"/>
      <c r="J269" s="249"/>
      <c r="L269" s="177" t="s">
        <v>419</v>
      </c>
      <c r="M269" s="250" t="s">
        <v>3373</v>
      </c>
    </row>
    <row r="270" spans="1:13">
      <c r="A270" s="239">
        <v>204</v>
      </c>
      <c r="B270" s="240">
        <v>218009001</v>
      </c>
      <c r="C270" s="248" t="s">
        <v>3374</v>
      </c>
      <c r="D270" s="248" t="s">
        <v>2697</v>
      </c>
      <c r="E270" s="243">
        <v>24</v>
      </c>
      <c r="F270" s="616"/>
      <c r="G270" s="244">
        <f t="shared" ref="G270:G275" si="30">E270*F270</f>
        <v>0</v>
      </c>
      <c r="H270" s="245">
        <v>0</v>
      </c>
      <c r="I270" s="246">
        <f t="shared" ref="I270:I275" si="31">E270*H270</f>
        <v>0</v>
      </c>
      <c r="J270" s="249" t="s">
        <v>3257</v>
      </c>
      <c r="L270" s="177" t="s">
        <v>419</v>
      </c>
      <c r="M270" s="250" t="s">
        <v>3373</v>
      </c>
    </row>
    <row r="271" spans="1:13">
      <c r="A271" s="239">
        <v>205</v>
      </c>
      <c r="B271" s="240">
        <v>218009001</v>
      </c>
      <c r="C271" s="248" t="s">
        <v>3374</v>
      </c>
      <c r="D271" s="248" t="s">
        <v>2697</v>
      </c>
      <c r="E271" s="243">
        <v>14</v>
      </c>
      <c r="F271" s="616"/>
      <c r="G271" s="244">
        <f t="shared" si="30"/>
        <v>0</v>
      </c>
      <c r="H271" s="245">
        <v>0</v>
      </c>
      <c r="I271" s="246">
        <f t="shared" si="31"/>
        <v>0</v>
      </c>
      <c r="J271" s="249" t="s">
        <v>3257</v>
      </c>
      <c r="L271" s="177" t="s">
        <v>419</v>
      </c>
      <c r="M271" s="250" t="s">
        <v>3373</v>
      </c>
    </row>
    <row r="272" spans="1:13">
      <c r="A272" s="239">
        <v>206</v>
      </c>
      <c r="B272" s="240">
        <v>218009001</v>
      </c>
      <c r="C272" s="248" t="s">
        <v>3374</v>
      </c>
      <c r="D272" s="248" t="s">
        <v>2697</v>
      </c>
      <c r="E272" s="243">
        <v>4</v>
      </c>
      <c r="F272" s="616"/>
      <c r="G272" s="244">
        <f t="shared" si="30"/>
        <v>0</v>
      </c>
      <c r="H272" s="245">
        <v>0</v>
      </c>
      <c r="I272" s="246">
        <f t="shared" si="31"/>
        <v>0</v>
      </c>
      <c r="J272" s="249" t="s">
        <v>3257</v>
      </c>
      <c r="L272" s="177" t="s">
        <v>419</v>
      </c>
      <c r="M272" s="250" t="s">
        <v>3373</v>
      </c>
    </row>
    <row r="273" spans="1:13">
      <c r="A273" s="239">
        <v>207</v>
      </c>
      <c r="B273" s="240">
        <v>218009001</v>
      </c>
      <c r="C273" s="248" t="s">
        <v>3374</v>
      </c>
      <c r="D273" s="248" t="s">
        <v>2697</v>
      </c>
      <c r="E273" s="243">
        <v>12</v>
      </c>
      <c r="F273" s="616"/>
      <c r="G273" s="244">
        <f t="shared" si="30"/>
        <v>0</v>
      </c>
      <c r="H273" s="245">
        <v>0</v>
      </c>
      <c r="I273" s="246">
        <f t="shared" si="31"/>
        <v>0</v>
      </c>
      <c r="J273" s="249" t="s">
        <v>3257</v>
      </c>
      <c r="L273" s="177" t="s">
        <v>419</v>
      </c>
      <c r="M273" s="250" t="s">
        <v>3373</v>
      </c>
    </row>
    <row r="274" spans="1:13">
      <c r="A274" s="239">
        <v>208</v>
      </c>
      <c r="B274" s="240">
        <v>218009001</v>
      </c>
      <c r="C274" s="248" t="s">
        <v>3374</v>
      </c>
      <c r="D274" s="248" t="s">
        <v>2697</v>
      </c>
      <c r="E274" s="243">
        <v>17</v>
      </c>
      <c r="F274" s="616"/>
      <c r="G274" s="244">
        <f t="shared" si="30"/>
        <v>0</v>
      </c>
      <c r="H274" s="245">
        <v>0</v>
      </c>
      <c r="I274" s="246">
        <f t="shared" si="31"/>
        <v>0</v>
      </c>
      <c r="J274" s="249" t="s">
        <v>3257</v>
      </c>
      <c r="L274" s="177" t="s">
        <v>419</v>
      </c>
      <c r="M274" s="250" t="s">
        <v>3373</v>
      </c>
    </row>
    <row r="275" spans="1:13">
      <c r="A275" s="239">
        <v>209</v>
      </c>
      <c r="B275" s="240">
        <v>218009001</v>
      </c>
      <c r="C275" s="248" t="s">
        <v>3374</v>
      </c>
      <c r="D275" s="248" t="s">
        <v>2697</v>
      </c>
      <c r="E275" s="243">
        <v>2</v>
      </c>
      <c r="F275" s="616"/>
      <c r="G275" s="244">
        <f t="shared" si="30"/>
        <v>0</v>
      </c>
      <c r="H275" s="245">
        <v>0</v>
      </c>
      <c r="I275" s="246">
        <f t="shared" si="31"/>
        <v>0</v>
      </c>
      <c r="J275" s="249" t="s">
        <v>3257</v>
      </c>
      <c r="L275" s="177" t="s">
        <v>419</v>
      </c>
      <c r="M275" s="250" t="s">
        <v>3373</v>
      </c>
    </row>
    <row r="276" spans="1:13">
      <c r="A276" s="239"/>
      <c r="B276" s="240"/>
      <c r="C276" s="251" t="s">
        <v>3252</v>
      </c>
      <c r="D276" s="248"/>
      <c r="E276" s="243"/>
      <c r="F276" s="252">
        <f>SUM(G270:G275)</f>
        <v>0</v>
      </c>
      <c r="G276" s="244"/>
      <c r="H276" s="245"/>
      <c r="I276" s="246"/>
      <c r="J276" s="249"/>
      <c r="M276" s="250" t="s">
        <v>3373</v>
      </c>
    </row>
    <row r="277" spans="1:13">
      <c r="A277" s="239"/>
      <c r="B277" s="240"/>
      <c r="C277" s="251" t="s">
        <v>3255</v>
      </c>
      <c r="D277" s="248"/>
      <c r="E277" s="243"/>
      <c r="F277" s="243"/>
      <c r="G277" s="244"/>
      <c r="H277" s="245"/>
      <c r="I277" s="246"/>
      <c r="J277" s="249"/>
      <c r="L277" s="177" t="s">
        <v>1469</v>
      </c>
      <c r="M277" s="250" t="s">
        <v>3373</v>
      </c>
    </row>
    <row r="278" spans="1:13">
      <c r="A278" s="239">
        <v>210</v>
      </c>
      <c r="B278" s="240">
        <v>218009001</v>
      </c>
      <c r="C278" s="248" t="s">
        <v>3374</v>
      </c>
      <c r="D278" s="248" t="s">
        <v>2697</v>
      </c>
      <c r="E278" s="243">
        <v>4</v>
      </c>
      <c r="F278" s="616"/>
      <c r="G278" s="244">
        <f>E278*F278</f>
        <v>0</v>
      </c>
      <c r="H278" s="245">
        <v>0</v>
      </c>
      <c r="I278" s="246">
        <f>E278*H278</f>
        <v>0</v>
      </c>
      <c r="J278" s="249" t="s">
        <v>3257</v>
      </c>
      <c r="L278" s="177" t="s">
        <v>1469</v>
      </c>
      <c r="M278" s="250" t="s">
        <v>3373</v>
      </c>
    </row>
    <row r="279" spans="1:13">
      <c r="A279" s="239">
        <v>211</v>
      </c>
      <c r="B279" s="240">
        <v>218009001</v>
      </c>
      <c r="C279" s="248" t="s">
        <v>3374</v>
      </c>
      <c r="D279" s="248" t="s">
        <v>2697</v>
      </c>
      <c r="E279" s="243">
        <v>6</v>
      </c>
      <c r="F279" s="616"/>
      <c r="G279" s="244">
        <f>E279*F279</f>
        <v>0</v>
      </c>
      <c r="H279" s="245">
        <v>0</v>
      </c>
      <c r="I279" s="246">
        <f>E279*H279</f>
        <v>0</v>
      </c>
      <c r="J279" s="249" t="s">
        <v>3257</v>
      </c>
      <c r="L279" s="177" t="s">
        <v>1469</v>
      </c>
      <c r="M279" s="250" t="s">
        <v>3373</v>
      </c>
    </row>
    <row r="280" spans="1:13">
      <c r="A280" s="239">
        <v>212</v>
      </c>
      <c r="B280" s="240">
        <v>218009001</v>
      </c>
      <c r="C280" s="248" t="s">
        <v>3374</v>
      </c>
      <c r="D280" s="248" t="s">
        <v>2697</v>
      </c>
      <c r="E280" s="243">
        <v>5</v>
      </c>
      <c r="F280" s="616"/>
      <c r="G280" s="244">
        <f>E280*F280</f>
        <v>0</v>
      </c>
      <c r="H280" s="245">
        <v>0</v>
      </c>
      <c r="I280" s="246">
        <f>E280*H280</f>
        <v>0</v>
      </c>
      <c r="J280" s="249" t="s">
        <v>3257</v>
      </c>
      <c r="L280" s="177" t="s">
        <v>1469</v>
      </c>
      <c r="M280" s="250" t="s">
        <v>3373</v>
      </c>
    </row>
    <row r="281" spans="1:13">
      <c r="A281" s="239"/>
      <c r="B281" s="240"/>
      <c r="C281" s="251" t="s">
        <v>3252</v>
      </c>
      <c r="D281" s="248"/>
      <c r="E281" s="243"/>
      <c r="F281" s="252">
        <f>SUM(G278:G280)</f>
        <v>0</v>
      </c>
      <c r="G281" s="244"/>
      <c r="H281" s="245"/>
      <c r="I281" s="246"/>
      <c r="J281" s="249"/>
      <c r="M281" s="250" t="s">
        <v>3373</v>
      </c>
    </row>
    <row r="282" spans="1:13">
      <c r="A282" s="239"/>
      <c r="B282" s="240"/>
      <c r="C282" s="251" t="s">
        <v>3258</v>
      </c>
      <c r="D282" s="248"/>
      <c r="E282" s="243"/>
      <c r="F282" s="243"/>
      <c r="G282" s="244"/>
      <c r="H282" s="245"/>
      <c r="I282" s="246"/>
      <c r="J282" s="249"/>
      <c r="L282" s="177" t="s">
        <v>3015</v>
      </c>
      <c r="M282" s="250" t="s">
        <v>3373</v>
      </c>
    </row>
    <row r="283" spans="1:13">
      <c r="A283" s="239">
        <v>213</v>
      </c>
      <c r="B283" s="240">
        <v>218009001</v>
      </c>
      <c r="C283" s="248" t="s">
        <v>3374</v>
      </c>
      <c r="D283" s="248" t="s">
        <v>2697</v>
      </c>
      <c r="E283" s="243">
        <v>16</v>
      </c>
      <c r="F283" s="616"/>
      <c r="G283" s="244">
        <f>E283*F283</f>
        <v>0</v>
      </c>
      <c r="H283" s="245">
        <v>0</v>
      </c>
      <c r="I283" s="246">
        <f>E283*H283</f>
        <v>0</v>
      </c>
      <c r="J283" s="249" t="s">
        <v>3257</v>
      </c>
      <c r="L283" s="177" t="s">
        <v>3015</v>
      </c>
      <c r="M283" s="250" t="s">
        <v>3373</v>
      </c>
    </row>
    <row r="284" spans="1:13" ht="14.5" thickBot="1">
      <c r="A284" s="253"/>
      <c r="B284" s="254"/>
      <c r="C284" s="255" t="s">
        <v>3252</v>
      </c>
      <c r="D284" s="284"/>
      <c r="E284" s="257"/>
      <c r="F284" s="258">
        <f>SUM(G283:G283)</f>
        <v>0</v>
      </c>
      <c r="G284" s="259"/>
      <c r="H284" s="260"/>
      <c r="I284" s="261"/>
      <c r="J284" s="262"/>
      <c r="M284" s="250" t="s">
        <v>3373</v>
      </c>
    </row>
    <row r="285" spans="1:13" s="272" customFormat="1" ht="14.5" thickBot="1">
      <c r="A285" s="285"/>
      <c r="B285" s="286"/>
      <c r="C285" s="287" t="s">
        <v>3263</v>
      </c>
      <c r="D285" s="287"/>
      <c r="E285" s="288"/>
      <c r="F285" s="288"/>
      <c r="G285" s="289">
        <f>SUM(G265:G284)</f>
        <v>0</v>
      </c>
      <c r="H285" s="290"/>
      <c r="I285" s="291">
        <f>SUM(I265:I284)</f>
        <v>0</v>
      </c>
      <c r="J285" s="292"/>
      <c r="M285" s="272" t="s">
        <v>3373</v>
      </c>
    </row>
    <row r="286" spans="1:13">
      <c r="B286" s="293"/>
      <c r="E286" s="219"/>
      <c r="F286" s="219"/>
      <c r="G286" s="294"/>
      <c r="H286" s="295"/>
      <c r="I286" s="296"/>
    </row>
    <row r="287" spans="1:13">
      <c r="A287" s="177" t="s">
        <v>3375</v>
      </c>
      <c r="B287" s="293"/>
      <c r="E287" s="219"/>
      <c r="F287" s="219"/>
      <c r="G287" s="294"/>
      <c r="H287" s="295"/>
      <c r="I287" s="296"/>
    </row>
    <row r="288" spans="1:13">
      <c r="A288" s="177" t="s">
        <v>3376</v>
      </c>
      <c r="B288" s="293"/>
      <c r="E288" s="219"/>
      <c r="F288" s="219"/>
      <c r="G288" s="294"/>
      <c r="H288" s="295"/>
      <c r="I288" s="296"/>
    </row>
    <row r="289" spans="2:16">
      <c r="B289" s="293"/>
      <c r="E289" s="219"/>
      <c r="F289" s="219"/>
      <c r="G289" s="294"/>
      <c r="H289" s="295"/>
      <c r="I289" s="296"/>
    </row>
    <row r="290" spans="2:16">
      <c r="B290" s="293"/>
      <c r="E290" s="219"/>
      <c r="F290" s="219"/>
      <c r="G290" s="294"/>
      <c r="H290" s="295"/>
      <c r="I290" s="296"/>
    </row>
    <row r="291" spans="2:16">
      <c r="B291" s="293"/>
      <c r="E291" s="219"/>
      <c r="F291" s="219"/>
      <c r="G291" s="294"/>
      <c r="H291" s="295"/>
      <c r="I291" s="296"/>
    </row>
    <row r="292" spans="2:16">
      <c r="B292" s="293"/>
      <c r="E292" s="219"/>
      <c r="F292" s="219"/>
      <c r="G292" s="294"/>
      <c r="H292" s="295"/>
      <c r="I292" s="296"/>
    </row>
    <row r="293" spans="2:16">
      <c r="B293" s="293"/>
      <c r="E293" s="219"/>
      <c r="F293" s="219"/>
      <c r="G293" s="294"/>
      <c r="H293" s="295"/>
      <c r="I293" s="296"/>
    </row>
    <row r="294" spans="2:16">
      <c r="B294" s="293"/>
      <c r="E294" s="219"/>
      <c r="F294" s="219"/>
      <c r="G294" s="294"/>
      <c r="H294" s="295"/>
      <c r="I294" s="296"/>
    </row>
    <row r="295" spans="2:16">
      <c r="B295" s="293"/>
      <c r="E295" s="219"/>
      <c r="F295" s="219"/>
      <c r="G295" s="294"/>
      <c r="H295" s="295"/>
      <c r="I295" s="296"/>
    </row>
    <row r="296" spans="2:16">
      <c r="B296" s="293"/>
      <c r="E296" s="219"/>
      <c r="F296" s="219"/>
      <c r="G296" s="294"/>
      <c r="H296" s="295"/>
      <c r="I296" s="296"/>
      <c r="P296" s="620"/>
    </row>
    <row r="297" spans="2:16">
      <c r="B297" s="293"/>
      <c r="E297" s="219"/>
      <c r="F297" s="219"/>
      <c r="G297" s="294"/>
      <c r="H297" s="295"/>
      <c r="I297" s="296"/>
    </row>
    <row r="298" spans="2:16">
      <c r="B298" s="293"/>
      <c r="E298" s="219"/>
      <c r="F298" s="219"/>
      <c r="G298" s="294"/>
      <c r="H298" s="295"/>
      <c r="I298" s="296"/>
    </row>
    <row r="299" spans="2:16">
      <c r="B299" s="293"/>
      <c r="E299" s="219"/>
      <c r="F299" s="219"/>
      <c r="G299" s="294"/>
      <c r="H299" s="295"/>
      <c r="I299" s="296"/>
    </row>
    <row r="300" spans="2:16">
      <c r="B300" s="293"/>
      <c r="E300" s="219"/>
      <c r="F300" s="219"/>
      <c r="G300" s="294"/>
      <c r="H300" s="295"/>
      <c r="I300" s="296"/>
    </row>
    <row r="301" spans="2:16">
      <c r="B301" s="293"/>
      <c r="E301" s="219"/>
      <c r="F301" s="219"/>
      <c r="G301" s="294"/>
      <c r="H301" s="295"/>
      <c r="I301" s="296"/>
    </row>
    <row r="302" spans="2:16">
      <c r="B302" s="293"/>
      <c r="E302" s="219"/>
      <c r="F302" s="219"/>
      <c r="G302" s="294"/>
      <c r="H302" s="295"/>
      <c r="I302" s="296"/>
    </row>
    <row r="303" spans="2:16">
      <c r="B303" s="293"/>
      <c r="E303" s="219"/>
      <c r="F303" s="219"/>
      <c r="G303" s="294"/>
      <c r="H303" s="295"/>
      <c r="I303" s="296"/>
    </row>
    <row r="304" spans="2:16">
      <c r="B304" s="293"/>
      <c r="E304" s="219"/>
      <c r="F304" s="219"/>
      <c r="G304" s="294"/>
      <c r="H304" s="295"/>
      <c r="I304" s="296"/>
    </row>
    <row r="305" spans="2:9">
      <c r="B305" s="293"/>
      <c r="E305" s="219"/>
      <c r="F305" s="219"/>
      <c r="G305" s="294"/>
      <c r="H305" s="295"/>
      <c r="I305" s="296"/>
    </row>
    <row r="306" spans="2:9">
      <c r="B306" s="293"/>
      <c r="E306" s="219"/>
      <c r="F306" s="219"/>
      <c r="G306" s="294"/>
      <c r="H306" s="295"/>
      <c r="I306" s="296"/>
    </row>
    <row r="307" spans="2:9">
      <c r="B307" s="293"/>
      <c r="E307" s="219"/>
      <c r="F307" s="219"/>
      <c r="G307" s="294"/>
      <c r="H307" s="295"/>
      <c r="I307" s="296"/>
    </row>
    <row r="308" spans="2:9">
      <c r="B308" s="293"/>
      <c r="E308" s="219"/>
      <c r="F308" s="219"/>
      <c r="G308" s="294"/>
      <c r="H308" s="295"/>
      <c r="I308" s="296"/>
    </row>
    <row r="309" spans="2:9">
      <c r="B309" s="293"/>
      <c r="E309" s="219"/>
      <c r="F309" s="219"/>
      <c r="G309" s="294"/>
      <c r="H309" s="295"/>
      <c r="I309" s="296"/>
    </row>
    <row r="310" spans="2:9">
      <c r="B310" s="293"/>
      <c r="E310" s="219"/>
      <c r="F310" s="219"/>
      <c r="G310" s="294"/>
      <c r="H310" s="295"/>
      <c r="I310" s="296"/>
    </row>
    <row r="311" spans="2:9">
      <c r="B311" s="293"/>
      <c r="E311" s="219"/>
      <c r="F311" s="219"/>
      <c r="G311" s="294"/>
      <c r="H311" s="295"/>
      <c r="I311" s="296"/>
    </row>
    <row r="312" spans="2:9">
      <c r="B312" s="293"/>
      <c r="E312" s="219"/>
      <c r="F312" s="219"/>
      <c r="G312" s="294"/>
      <c r="H312" s="295"/>
      <c r="I312" s="296"/>
    </row>
    <row r="313" spans="2:9">
      <c r="B313" s="293"/>
      <c r="E313" s="219"/>
      <c r="F313" s="219"/>
      <c r="G313" s="294"/>
      <c r="H313" s="295"/>
      <c r="I313" s="296"/>
    </row>
    <row r="314" spans="2:9">
      <c r="B314" s="293"/>
      <c r="E314" s="219"/>
      <c r="F314" s="219"/>
      <c r="G314" s="294"/>
      <c r="H314" s="295"/>
      <c r="I314" s="296"/>
    </row>
    <row r="315" spans="2:9">
      <c r="B315" s="293"/>
      <c r="E315" s="219"/>
      <c r="F315" s="219"/>
      <c r="G315" s="294"/>
      <c r="H315" s="295"/>
      <c r="I315" s="296"/>
    </row>
    <row r="316" spans="2:9">
      <c r="B316" s="293"/>
      <c r="E316" s="219"/>
      <c r="F316" s="219"/>
      <c r="G316" s="294"/>
      <c r="H316" s="295"/>
      <c r="I316" s="296"/>
    </row>
    <row r="317" spans="2:9">
      <c r="B317" s="293"/>
      <c r="E317" s="219"/>
      <c r="F317" s="219"/>
      <c r="G317" s="294"/>
      <c r="H317" s="295"/>
      <c r="I317" s="296"/>
    </row>
    <row r="318" spans="2:9">
      <c r="B318" s="293"/>
      <c r="E318" s="219"/>
      <c r="F318" s="219"/>
      <c r="G318" s="294"/>
      <c r="H318" s="295"/>
      <c r="I318" s="296"/>
    </row>
    <row r="319" spans="2:9">
      <c r="B319" s="293"/>
      <c r="E319" s="219"/>
      <c r="F319" s="219"/>
      <c r="G319" s="294"/>
      <c r="H319" s="295"/>
      <c r="I319" s="296"/>
    </row>
    <row r="320" spans="2:9">
      <c r="B320" s="293"/>
      <c r="E320" s="219"/>
      <c r="F320" s="219"/>
      <c r="G320" s="294"/>
      <c r="H320" s="295"/>
      <c r="I320" s="296"/>
    </row>
    <row r="321" spans="2:9">
      <c r="B321" s="293"/>
      <c r="E321" s="219"/>
      <c r="F321" s="219"/>
      <c r="G321" s="294"/>
      <c r="H321" s="295"/>
      <c r="I321" s="296"/>
    </row>
    <row r="322" spans="2:9">
      <c r="B322" s="293"/>
      <c r="E322" s="219"/>
      <c r="F322" s="219"/>
      <c r="G322" s="294"/>
      <c r="H322" s="295"/>
      <c r="I322" s="296"/>
    </row>
    <row r="323" spans="2:9">
      <c r="B323" s="293"/>
      <c r="E323" s="219"/>
      <c r="F323" s="219"/>
      <c r="G323" s="294"/>
      <c r="H323" s="295"/>
      <c r="I323" s="296"/>
    </row>
    <row r="324" spans="2:9">
      <c r="B324" s="293"/>
      <c r="E324" s="219"/>
      <c r="F324" s="219"/>
      <c r="G324" s="294"/>
      <c r="H324" s="295"/>
      <c r="I324" s="296"/>
    </row>
    <row r="325" spans="2:9">
      <c r="B325" s="293"/>
      <c r="E325" s="219"/>
      <c r="F325" s="219"/>
      <c r="G325" s="294"/>
      <c r="H325" s="295"/>
      <c r="I325" s="296"/>
    </row>
    <row r="326" spans="2:9">
      <c r="B326" s="293"/>
      <c r="E326" s="219"/>
      <c r="F326" s="219"/>
      <c r="G326" s="294"/>
      <c r="H326" s="295"/>
      <c r="I326" s="296"/>
    </row>
    <row r="327" spans="2:9">
      <c r="B327" s="293"/>
      <c r="E327" s="219"/>
      <c r="F327" s="219"/>
      <c r="G327" s="294"/>
      <c r="H327" s="295"/>
      <c r="I327" s="296"/>
    </row>
    <row r="328" spans="2:9">
      <c r="B328" s="293"/>
      <c r="E328" s="219"/>
      <c r="F328" s="219"/>
      <c r="G328" s="294"/>
      <c r="H328" s="295"/>
      <c r="I328" s="296"/>
    </row>
    <row r="329" spans="2:9">
      <c r="B329" s="293"/>
      <c r="E329" s="219"/>
      <c r="F329" s="219"/>
      <c r="G329" s="294"/>
      <c r="H329" s="295"/>
      <c r="I329" s="296"/>
    </row>
    <row r="330" spans="2:9">
      <c r="B330" s="293"/>
      <c r="E330" s="219"/>
      <c r="F330" s="219"/>
      <c r="G330" s="294"/>
      <c r="H330" s="295"/>
      <c r="I330" s="296"/>
    </row>
    <row r="331" spans="2:9">
      <c r="B331" s="293"/>
      <c r="E331" s="219"/>
      <c r="F331" s="219"/>
      <c r="G331" s="294"/>
      <c r="H331" s="295"/>
      <c r="I331" s="296"/>
    </row>
    <row r="332" spans="2:9">
      <c r="B332" s="293"/>
      <c r="E332" s="219"/>
      <c r="F332" s="219"/>
      <c r="G332" s="294"/>
      <c r="H332" s="295"/>
      <c r="I332" s="296"/>
    </row>
    <row r="333" spans="2:9">
      <c r="B333" s="293"/>
      <c r="E333" s="219"/>
      <c r="F333" s="219"/>
      <c r="G333" s="294"/>
      <c r="H333" s="295"/>
      <c r="I333" s="296"/>
    </row>
    <row r="334" spans="2:9">
      <c r="B334" s="293"/>
      <c r="E334" s="219"/>
      <c r="F334" s="219"/>
      <c r="G334" s="294"/>
      <c r="H334" s="295"/>
      <c r="I334" s="296"/>
    </row>
    <row r="335" spans="2:9">
      <c r="B335" s="293"/>
      <c r="E335" s="219"/>
      <c r="F335" s="219"/>
      <c r="G335" s="294"/>
      <c r="H335" s="295"/>
      <c r="I335" s="296"/>
    </row>
    <row r="336" spans="2:9">
      <c r="B336" s="293"/>
      <c r="E336" s="219"/>
      <c r="F336" s="219"/>
      <c r="G336" s="294"/>
      <c r="H336" s="295"/>
      <c r="I336" s="296"/>
    </row>
    <row r="337" spans="2:9">
      <c r="B337" s="293"/>
      <c r="E337" s="219"/>
      <c r="F337" s="219"/>
      <c r="G337" s="294"/>
      <c r="H337" s="295"/>
      <c r="I337" s="296"/>
    </row>
    <row r="338" spans="2:9">
      <c r="B338" s="293"/>
      <c r="E338" s="219"/>
      <c r="F338" s="219"/>
      <c r="G338" s="294"/>
      <c r="H338" s="295"/>
      <c r="I338" s="296"/>
    </row>
    <row r="339" spans="2:9">
      <c r="B339" s="293"/>
      <c r="E339" s="219"/>
      <c r="F339" s="219"/>
      <c r="G339" s="294"/>
      <c r="H339" s="295"/>
      <c r="I339" s="296"/>
    </row>
    <row r="340" spans="2:9">
      <c r="B340" s="293"/>
      <c r="E340" s="219"/>
      <c r="F340" s="219"/>
      <c r="G340" s="294"/>
      <c r="H340" s="295"/>
      <c r="I340" s="296"/>
    </row>
    <row r="341" spans="2:9">
      <c r="B341" s="293"/>
      <c r="E341" s="219"/>
      <c r="F341" s="219"/>
      <c r="G341" s="294"/>
      <c r="H341" s="295"/>
      <c r="I341" s="296"/>
    </row>
    <row r="342" spans="2:9">
      <c r="B342" s="293"/>
      <c r="E342" s="219"/>
      <c r="F342" s="219"/>
      <c r="G342" s="294"/>
      <c r="H342" s="295"/>
      <c r="I342" s="296"/>
    </row>
    <row r="343" spans="2:9">
      <c r="B343" s="293"/>
      <c r="E343" s="219"/>
      <c r="F343" s="219"/>
      <c r="G343" s="294"/>
      <c r="H343" s="295"/>
      <c r="I343" s="296"/>
    </row>
    <row r="344" spans="2:9">
      <c r="B344" s="293"/>
      <c r="E344" s="219"/>
      <c r="F344" s="219"/>
      <c r="G344" s="294"/>
      <c r="H344" s="295"/>
      <c r="I344" s="296"/>
    </row>
    <row r="345" spans="2:9">
      <c r="B345" s="293"/>
      <c r="E345" s="219"/>
      <c r="F345" s="219"/>
      <c r="G345" s="294"/>
      <c r="H345" s="295"/>
      <c r="I345" s="296"/>
    </row>
    <row r="346" spans="2:9">
      <c r="B346" s="293"/>
      <c r="E346" s="219"/>
      <c r="F346" s="219"/>
      <c r="G346" s="294"/>
      <c r="H346" s="295"/>
      <c r="I346" s="296"/>
    </row>
    <row r="347" spans="2:9">
      <c r="B347" s="293"/>
      <c r="E347" s="219"/>
      <c r="F347" s="219"/>
      <c r="G347" s="294"/>
      <c r="H347" s="295"/>
      <c r="I347" s="296"/>
    </row>
    <row r="348" spans="2:9">
      <c r="B348" s="293"/>
      <c r="E348" s="219"/>
      <c r="F348" s="219"/>
      <c r="G348" s="294"/>
      <c r="H348" s="295"/>
      <c r="I348" s="296"/>
    </row>
    <row r="349" spans="2:9">
      <c r="B349" s="293"/>
      <c r="E349" s="219"/>
      <c r="F349" s="219"/>
      <c r="G349" s="294"/>
      <c r="H349" s="295"/>
      <c r="I349" s="296"/>
    </row>
    <row r="350" spans="2:9">
      <c r="B350" s="293"/>
      <c r="E350" s="219"/>
      <c r="F350" s="219"/>
      <c r="G350" s="294"/>
      <c r="H350" s="295"/>
      <c r="I350" s="296"/>
    </row>
    <row r="351" spans="2:9">
      <c r="B351" s="293"/>
      <c r="E351" s="219"/>
      <c r="F351" s="219"/>
      <c r="G351" s="294"/>
      <c r="H351" s="295"/>
      <c r="I351" s="296"/>
    </row>
    <row r="352" spans="2:9">
      <c r="B352" s="293"/>
      <c r="E352" s="219"/>
      <c r="F352" s="219"/>
      <c r="G352" s="294"/>
      <c r="H352" s="295"/>
      <c r="I352" s="296"/>
    </row>
    <row r="353" spans="2:9">
      <c r="B353" s="293"/>
      <c r="E353" s="219"/>
      <c r="F353" s="219"/>
      <c r="G353" s="294"/>
      <c r="H353" s="295"/>
      <c r="I353" s="296"/>
    </row>
    <row r="354" spans="2:9">
      <c r="B354" s="293"/>
      <c r="E354" s="219"/>
      <c r="F354" s="219"/>
      <c r="G354" s="294"/>
      <c r="H354" s="295"/>
      <c r="I354" s="296"/>
    </row>
    <row r="355" spans="2:9">
      <c r="B355" s="293"/>
      <c r="E355" s="219"/>
      <c r="F355" s="219"/>
      <c r="G355" s="294"/>
      <c r="H355" s="295"/>
      <c r="I355" s="296"/>
    </row>
  </sheetData>
  <printOptions horizontalCentered="1"/>
  <pageMargins left="0.7" right="0.7" top="0.78740157499999996" bottom="0.78740157499999996" header="0.3" footer="0.3"/>
  <pageSetup paperSize="9" scale="76" fitToHeight="0" orientation="portrait" r:id="rId1"/>
  <headerFooter>
    <oddFooter>&amp;CStrana &amp;P z &amp;N</oddFooter>
  </headerFooter>
  <rowBreaks count="4" manualBreakCount="4">
    <brk id="58" max="16383" man="1"/>
    <brk id="114" max="16383" man="1"/>
    <brk id="175" max="16383" man="1"/>
    <brk id="2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39997558519241921"/>
    <pageSetUpPr fitToPage="1"/>
  </sheetPr>
  <dimension ref="A3:G23"/>
  <sheetViews>
    <sheetView workbookViewId="0">
      <selection activeCell="F16" sqref="F16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3377</v>
      </c>
      <c r="C6" s="303"/>
      <c r="E6" s="304"/>
      <c r="F6" s="305"/>
    </row>
    <row r="7" spans="1:7">
      <c r="A7" s="301"/>
      <c r="B7" s="302" t="s">
        <v>3378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R1'!G20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3.03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  <pageSetUpPr fitToPage="1"/>
  </sheetPr>
  <dimension ref="A3:J23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3377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3387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3388</v>
      </c>
      <c r="D12" s="248" t="s">
        <v>2697</v>
      </c>
      <c r="E12" s="243">
        <v>1</v>
      </c>
      <c r="F12" s="616"/>
      <c r="G12" s="244">
        <f t="shared" ref="G12:G19" si="0">E12*F12</f>
        <v>0</v>
      </c>
      <c r="H12" s="245">
        <v>0.50600000000000001</v>
      </c>
      <c r="I12" s="246">
        <f t="shared" ref="I12:I19" si="1">E12*H12</f>
        <v>0.50600000000000001</v>
      </c>
    </row>
    <row r="13" spans="1:10">
      <c r="A13" s="239">
        <v>2</v>
      </c>
      <c r="B13" s="240">
        <v>764751</v>
      </c>
      <c r="C13" s="248" t="s">
        <v>3679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0.23200000000000001</v>
      </c>
      <c r="I13" s="246">
        <f t="shared" si="1"/>
        <v>0.23200000000000001</v>
      </c>
    </row>
    <row r="14" spans="1:10">
      <c r="A14" s="239">
        <v>3</v>
      </c>
      <c r="B14" s="240">
        <v>781301</v>
      </c>
      <c r="C14" s="248" t="s">
        <v>3389</v>
      </c>
      <c r="D14" s="248" t="s">
        <v>2697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3391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434121</v>
      </c>
      <c r="C17" s="248" t="s">
        <v>3392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434134</v>
      </c>
      <c r="C18" s="248" t="s">
        <v>3393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 ht="14.5" thickBot="1">
      <c r="A19" s="253">
        <v>8</v>
      </c>
      <c r="B19" s="254">
        <v>438104</v>
      </c>
      <c r="C19" s="284" t="s">
        <v>3394</v>
      </c>
      <c r="D19" s="284" t="s">
        <v>2697</v>
      </c>
      <c r="E19" s="257">
        <v>2</v>
      </c>
      <c r="F19" s="617"/>
      <c r="G19" s="259">
        <f t="shared" si="0"/>
        <v>0</v>
      </c>
      <c r="H19" s="260">
        <v>0.27600000000000002</v>
      </c>
      <c r="I19" s="261">
        <f t="shared" si="1"/>
        <v>0.55200000000000005</v>
      </c>
    </row>
    <row r="20" spans="1:9" s="272" customFormat="1" ht="14.5" thickBot="1">
      <c r="A20" s="285"/>
      <c r="B20" s="286"/>
      <c r="C20" s="287" t="s">
        <v>3263</v>
      </c>
      <c r="D20" s="287"/>
      <c r="E20" s="288"/>
      <c r="F20" s="288"/>
      <c r="G20" s="289">
        <f>SUM(G12:G19)</f>
        <v>0</v>
      </c>
      <c r="H20" s="290"/>
      <c r="I20" s="291">
        <f>SUM(I12:I19)</f>
        <v>3.02</v>
      </c>
    </row>
    <row r="21" spans="1:9">
      <c r="B21" s="293"/>
      <c r="E21" s="219"/>
      <c r="F21" s="219"/>
      <c r="G21" s="294"/>
      <c r="H21" s="295"/>
      <c r="I21" s="296"/>
    </row>
    <row r="22" spans="1:9">
      <c r="A22" s="177" t="s">
        <v>3375</v>
      </c>
      <c r="B22" s="293"/>
      <c r="E22" s="219"/>
      <c r="F22" s="219"/>
      <c r="G22" s="294"/>
      <c r="H22" s="295"/>
      <c r="I22" s="296"/>
    </row>
    <row r="23" spans="1:9">
      <c r="A23" s="177" t="s">
        <v>3376</v>
      </c>
      <c r="B23" s="293"/>
      <c r="E23" s="219"/>
      <c r="F23" s="219"/>
      <c r="G23" s="294"/>
      <c r="H23" s="295"/>
      <c r="I23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39997558519241921"/>
    <pageSetUpPr fitToPage="1"/>
  </sheetPr>
  <dimension ref="A3:G23"/>
  <sheetViews>
    <sheetView workbookViewId="0">
      <selection activeCell="F17" sqref="F17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3395</v>
      </c>
      <c r="C6" s="303"/>
      <c r="E6" s="304"/>
      <c r="F6" s="305"/>
    </row>
    <row r="7" spans="1:7">
      <c r="A7" s="301"/>
      <c r="B7" s="302" t="s">
        <v>3396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RE1'!G13+'Soupis položek RE1'!G25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5.16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F13+F12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39997558519241921"/>
    <pageSetUpPr fitToPage="1"/>
  </sheetPr>
  <dimension ref="A3:J32"/>
  <sheetViews>
    <sheetView workbookViewId="0">
      <selection activeCell="L34" sqref="L34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71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3395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3397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3398</v>
      </c>
      <c r="C11" s="337"/>
      <c r="D11" s="337"/>
      <c r="E11" s="338"/>
      <c r="F11" s="338"/>
      <c r="G11" s="339"/>
      <c r="H11" s="340"/>
      <c r="I11" s="341"/>
    </row>
    <row r="12" spans="1:10" ht="14.5" thickBot="1">
      <c r="A12" s="253">
        <v>1</v>
      </c>
      <c r="B12" s="254">
        <v>761311</v>
      </c>
      <c r="C12" s="284" t="s">
        <v>3399</v>
      </c>
      <c r="D12" s="284" t="s">
        <v>2697</v>
      </c>
      <c r="E12" s="257">
        <v>1</v>
      </c>
      <c r="F12" s="617"/>
      <c r="G12" s="259">
        <f>E12*F12</f>
        <v>0</v>
      </c>
      <c r="H12" s="260">
        <v>0.51</v>
      </c>
      <c r="I12" s="261">
        <f>E12*H12</f>
        <v>0.51</v>
      </c>
    </row>
    <row r="13" spans="1:10" s="272" customFormat="1">
      <c r="A13" s="263"/>
      <c r="B13" s="264"/>
      <c r="C13" s="265" t="s">
        <v>3263</v>
      </c>
      <c r="D13" s="265"/>
      <c r="E13" s="267"/>
      <c r="F13" s="267"/>
      <c r="G13" s="268">
        <f>SUM(G12:G12)</f>
        <v>0</v>
      </c>
      <c r="H13" s="269"/>
      <c r="I13" s="270">
        <f>SUM(I12:I12)</f>
        <v>0.51</v>
      </c>
    </row>
    <row r="14" spans="1:10" s="221" customFormat="1" ht="20.149999999999999" customHeight="1">
      <c r="A14" s="274"/>
      <c r="B14" s="275" t="s">
        <v>3400</v>
      </c>
      <c r="C14" s="276"/>
      <c r="D14" s="276"/>
      <c r="E14" s="278"/>
      <c r="F14" s="278"/>
      <c r="G14" s="279"/>
      <c r="H14" s="280"/>
      <c r="I14" s="281"/>
    </row>
    <row r="15" spans="1:10" ht="14.5" thickBot="1">
      <c r="A15" s="253">
        <v>2</v>
      </c>
      <c r="B15" s="254"/>
      <c r="C15" s="284" t="s">
        <v>3401</v>
      </c>
      <c r="D15" s="256"/>
      <c r="E15" s="257"/>
      <c r="F15" s="257"/>
      <c r="G15" s="259">
        <f>E15*F15</f>
        <v>0</v>
      </c>
      <c r="H15" s="260"/>
      <c r="I15" s="261">
        <f>E15*H15</f>
        <v>0</v>
      </c>
    </row>
    <row r="16" spans="1:10" s="272" customFormat="1">
      <c r="A16" s="263"/>
      <c r="B16" s="264"/>
      <c r="C16" s="265" t="s">
        <v>3263</v>
      </c>
      <c r="D16" s="266"/>
      <c r="E16" s="267"/>
      <c r="F16" s="267"/>
      <c r="G16" s="268">
        <f>SUM(G15:G15)</f>
        <v>0</v>
      </c>
      <c r="H16" s="269"/>
      <c r="I16" s="270">
        <f>SUM(I15:I15)</f>
        <v>0</v>
      </c>
    </row>
    <row r="17" spans="1:9" s="221" customFormat="1" ht="20.149999999999999" customHeight="1">
      <c r="A17" s="274"/>
      <c r="B17" s="275" t="s">
        <v>3398</v>
      </c>
      <c r="C17" s="276"/>
      <c r="D17" s="277"/>
      <c r="E17" s="278"/>
      <c r="F17" s="278"/>
      <c r="G17" s="279"/>
      <c r="H17" s="280"/>
      <c r="I17" s="281"/>
    </row>
    <row r="18" spans="1:9">
      <c r="A18" s="239">
        <v>3</v>
      </c>
      <c r="B18" s="240">
        <v>781436</v>
      </c>
      <c r="C18" s="248" t="s">
        <v>3402</v>
      </c>
      <c r="D18" s="248" t="s">
        <v>2697</v>
      </c>
      <c r="E18" s="243">
        <v>2</v>
      </c>
      <c r="F18" s="616"/>
      <c r="G18" s="244">
        <f t="shared" ref="G18:G24" si="0">E18*F18</f>
        <v>0</v>
      </c>
      <c r="H18" s="245">
        <v>0.23200000000000001</v>
      </c>
      <c r="I18" s="246">
        <f t="shared" ref="I18:I24" si="1">E18*H18</f>
        <v>0.46400000000000002</v>
      </c>
    </row>
    <row r="19" spans="1:9">
      <c r="A19" s="239">
        <v>4</v>
      </c>
      <c r="B19" s="240">
        <v>788211</v>
      </c>
      <c r="C19" s="248" t="s">
        <v>3403</v>
      </c>
      <c r="D19" s="248" t="s">
        <v>2274</v>
      </c>
      <c r="E19" s="243">
        <v>2</v>
      </c>
      <c r="F19" s="616"/>
      <c r="G19" s="244">
        <f t="shared" si="0"/>
        <v>0</v>
      </c>
      <c r="H19" s="245">
        <v>0.751</v>
      </c>
      <c r="I19" s="246">
        <f t="shared" si="1"/>
        <v>1.502</v>
      </c>
    </row>
    <row r="20" spans="1:9">
      <c r="A20" s="239">
        <v>5</v>
      </c>
      <c r="B20" s="240">
        <v>435025</v>
      </c>
      <c r="C20" s="248" t="s">
        <v>3404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>
      <c r="A21" s="239">
        <v>6</v>
      </c>
      <c r="B21" s="240">
        <v>435026</v>
      </c>
      <c r="C21" s="248" t="s">
        <v>3405</v>
      </c>
      <c r="D21" s="248" t="s">
        <v>2697</v>
      </c>
      <c r="E21" s="243">
        <v>1</v>
      </c>
      <c r="F21" s="616"/>
      <c r="G21" s="244">
        <f t="shared" si="0"/>
        <v>0</v>
      </c>
      <c r="H21" s="245">
        <v>0.57699999999999996</v>
      </c>
      <c r="I21" s="246">
        <f t="shared" si="1"/>
        <v>0.57699999999999996</v>
      </c>
    </row>
    <row r="22" spans="1:9">
      <c r="A22" s="239">
        <v>7</v>
      </c>
      <c r="B22" s="240">
        <v>435029</v>
      </c>
      <c r="C22" s="248" t="s">
        <v>3406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8</v>
      </c>
      <c r="B23" s="240">
        <v>436502</v>
      </c>
      <c r="C23" s="248" t="s">
        <v>3407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0.28499999999999998</v>
      </c>
      <c r="I23" s="246">
        <f t="shared" si="1"/>
        <v>0.28499999999999998</v>
      </c>
    </row>
    <row r="24" spans="1:9" ht="14.5" thickBot="1">
      <c r="A24" s="253">
        <v>9</v>
      </c>
      <c r="B24" s="254">
        <v>439131</v>
      </c>
      <c r="C24" s="284" t="s">
        <v>3408</v>
      </c>
      <c r="D24" s="284" t="s">
        <v>2697</v>
      </c>
      <c r="E24" s="257">
        <v>1</v>
      </c>
      <c r="F24" s="617"/>
      <c r="G24" s="259">
        <f t="shared" si="0"/>
        <v>0</v>
      </c>
      <c r="H24" s="260">
        <v>0.19</v>
      </c>
      <c r="I24" s="261">
        <f t="shared" si="1"/>
        <v>0.19</v>
      </c>
    </row>
    <row r="25" spans="1:9" s="272" customFormat="1" ht="14.5" thickBot="1">
      <c r="A25" s="285"/>
      <c r="B25" s="286"/>
      <c r="C25" s="287" t="s">
        <v>3263</v>
      </c>
      <c r="D25" s="287"/>
      <c r="E25" s="288"/>
      <c r="F25" s="288"/>
      <c r="G25" s="289">
        <f>SUM(G18:G24)</f>
        <v>0</v>
      </c>
      <c r="H25" s="290"/>
      <c r="I25" s="291">
        <f>SUM(I18:I24)</f>
        <v>4.6390000000000002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  <row r="29" spans="1:9">
      <c r="B29" s="293"/>
      <c r="E29" s="219"/>
      <c r="F29" s="219"/>
      <c r="G29" s="294"/>
      <c r="H29" s="295"/>
      <c r="I29" s="296"/>
    </row>
    <row r="30" spans="1:9">
      <c r="B30" s="293"/>
      <c r="E30" s="219"/>
      <c r="F30" s="219"/>
      <c r="G30" s="294"/>
      <c r="H30" s="295"/>
      <c r="I30" s="296"/>
    </row>
    <row r="31" spans="1:9">
      <c r="B31" s="293"/>
      <c r="E31" s="219"/>
      <c r="F31" s="219"/>
      <c r="G31" s="294"/>
      <c r="H31" s="295"/>
      <c r="I31" s="296"/>
    </row>
    <row r="32" spans="1:9">
      <c r="B32" s="293"/>
      <c r="E32" s="219"/>
      <c r="F32" s="219"/>
      <c r="G32" s="294"/>
      <c r="H32" s="295"/>
      <c r="I32" s="296"/>
    </row>
  </sheetData>
  <printOptions horizontalCentered="1"/>
  <pageMargins left="0.7" right="0.7" top="0.78740157499999996" bottom="0.78740157499999996" header="0.3" footer="0.3"/>
  <pageSetup paperSize="9" scale="87" fitToHeight="0" orientation="portrait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3409</v>
      </c>
      <c r="C6" s="303"/>
      <c r="E6" s="304"/>
      <c r="F6" s="305"/>
    </row>
    <row r="7" spans="1:7">
      <c r="A7" s="301"/>
      <c r="B7" s="302" t="s">
        <v>3410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R01'!G22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4.84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.42578125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3409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3411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764702</v>
      </c>
      <c r="C12" s="248" t="s">
        <v>3412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3413</v>
      </c>
      <c r="D13" s="248" t="s">
        <v>2697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3390</v>
      </c>
      <c r="D14" s="248" t="s">
        <v>1923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3403</v>
      </c>
      <c r="D15" s="248" t="s">
        <v>2274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415145</v>
      </c>
      <c r="C16" s="248" t="s">
        <v>3414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0.57699999999999996</v>
      </c>
      <c r="I16" s="246">
        <f t="shared" si="1"/>
        <v>0.57699999999999996</v>
      </c>
    </row>
    <row r="17" spans="1:9">
      <c r="A17" s="239">
        <v>6</v>
      </c>
      <c r="B17" s="240">
        <v>435237</v>
      </c>
      <c r="C17" s="248" t="s">
        <v>3415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438124</v>
      </c>
      <c r="C18" s="248" t="s">
        <v>3416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0.27600000000000002</v>
      </c>
      <c r="I18" s="246">
        <f t="shared" si="1"/>
        <v>0.27600000000000002</v>
      </c>
    </row>
    <row r="19" spans="1:9">
      <c r="A19" s="239">
        <v>8</v>
      </c>
      <c r="B19" s="240">
        <v>434150</v>
      </c>
      <c r="C19" s="248" t="s">
        <v>3417</v>
      </c>
      <c r="D19" s="248" t="s">
        <v>2697</v>
      </c>
      <c r="E19" s="243">
        <v>4</v>
      </c>
      <c r="F19" s="616"/>
      <c r="G19" s="244">
        <f t="shared" si="0"/>
        <v>0</v>
      </c>
      <c r="H19" s="245">
        <v>0.19</v>
      </c>
      <c r="I19" s="246">
        <f t="shared" si="1"/>
        <v>0.76</v>
      </c>
    </row>
    <row r="20" spans="1:9">
      <c r="A20" s="239">
        <v>9</v>
      </c>
      <c r="B20" s="240">
        <v>434151</v>
      </c>
      <c r="C20" s="248" t="s">
        <v>3418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 ht="14.5" thickBot="1">
      <c r="A21" s="253">
        <v>10</v>
      </c>
      <c r="B21" s="254">
        <v>434164</v>
      </c>
      <c r="C21" s="284" t="s">
        <v>3419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0.19</v>
      </c>
      <c r="I21" s="261">
        <f t="shared" si="1"/>
        <v>0.19</v>
      </c>
    </row>
    <row r="22" spans="1:9" s="272" customFormat="1" ht="14.5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4.8290000000000006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3420</v>
      </c>
      <c r="C6" s="303"/>
      <c r="E6" s="304"/>
      <c r="F6" s="305"/>
    </row>
    <row r="7" spans="1:7">
      <c r="A7" s="301"/>
      <c r="B7" s="302" t="s">
        <v>3421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R2'!G25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7.53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9" tint="0.39997558519241921"/>
    <pageSetUpPr fitToPage="1"/>
  </sheetPr>
  <dimension ref="A3:J28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3420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3422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764114</v>
      </c>
      <c r="C12" s="248" t="s">
        <v>3423</v>
      </c>
      <c r="D12" s="248" t="s">
        <v>2697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764124</v>
      </c>
      <c r="C13" s="248" t="s">
        <v>3680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4</v>
      </c>
      <c r="F14" s="616"/>
      <c r="G14" s="244">
        <f t="shared" si="0"/>
        <v>0</v>
      </c>
      <c r="H14" s="245">
        <v>0.23200000000000001</v>
      </c>
      <c r="I14" s="246">
        <f t="shared" si="1"/>
        <v>0.92800000000000005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415145</v>
      </c>
      <c r="C17" s="248" t="s">
        <v>3414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3424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0.19</v>
      </c>
      <c r="I18" s="246">
        <f t="shared" si="1"/>
        <v>0.19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5</v>
      </c>
      <c r="F19" s="616"/>
      <c r="G19" s="244">
        <f t="shared" si="0"/>
        <v>0</v>
      </c>
      <c r="H19" s="245">
        <v>0.19</v>
      </c>
      <c r="I19" s="246">
        <f t="shared" si="1"/>
        <v>0.95</v>
      </c>
    </row>
    <row r="20" spans="1:9">
      <c r="A20" s="239">
        <v>9</v>
      </c>
      <c r="B20" s="240">
        <v>434166</v>
      </c>
      <c r="C20" s="248" t="s">
        <v>3425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435233</v>
      </c>
      <c r="C21" s="248" t="s">
        <v>3426</v>
      </c>
      <c r="D21" s="248" t="s">
        <v>2697</v>
      </c>
      <c r="E21" s="243">
        <v>2</v>
      </c>
      <c r="F21" s="616"/>
      <c r="G21" s="244">
        <f t="shared" si="0"/>
        <v>0</v>
      </c>
      <c r="H21" s="245">
        <v>0.34799999999999998</v>
      </c>
      <c r="I21" s="246">
        <f t="shared" si="1"/>
        <v>0.69599999999999995</v>
      </c>
    </row>
    <row r="22" spans="1:9">
      <c r="A22" s="239">
        <v>11</v>
      </c>
      <c r="B22" s="240">
        <v>435235</v>
      </c>
      <c r="C22" s="248" t="s">
        <v>3427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0.34799999999999998</v>
      </c>
      <c r="I22" s="246">
        <f t="shared" si="1"/>
        <v>0.34799999999999998</v>
      </c>
    </row>
    <row r="23" spans="1:9">
      <c r="A23" s="239">
        <v>12</v>
      </c>
      <c r="B23" s="240">
        <v>438102</v>
      </c>
      <c r="C23" s="248" t="s">
        <v>3428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0.27600000000000002</v>
      </c>
      <c r="I23" s="246">
        <f t="shared" si="1"/>
        <v>0.27600000000000002</v>
      </c>
    </row>
    <row r="24" spans="1:9" ht="14.5" thickBot="1">
      <c r="A24" s="253">
        <v>13</v>
      </c>
      <c r="B24" s="254">
        <v>438104</v>
      </c>
      <c r="C24" s="284" t="s">
        <v>3394</v>
      </c>
      <c r="D24" s="284" t="s">
        <v>2697</v>
      </c>
      <c r="E24" s="257">
        <v>6</v>
      </c>
      <c r="F24" s="617"/>
      <c r="G24" s="259">
        <f t="shared" si="0"/>
        <v>0</v>
      </c>
      <c r="H24" s="260">
        <v>0.27600000000000002</v>
      </c>
      <c r="I24" s="261">
        <f t="shared" si="1"/>
        <v>1.6560000000000001</v>
      </c>
    </row>
    <row r="25" spans="1:9" s="272" customFormat="1" ht="14.5" thickBot="1">
      <c r="A25" s="285"/>
      <c r="B25" s="286"/>
      <c r="C25" s="287" t="s">
        <v>3263</v>
      </c>
      <c r="D25" s="287"/>
      <c r="E25" s="288"/>
      <c r="F25" s="288"/>
      <c r="G25" s="289">
        <f>SUM(G12:G24)</f>
        <v>0</v>
      </c>
      <c r="H25" s="290"/>
      <c r="I25" s="291">
        <f>SUM(I12:I24)</f>
        <v>7.49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39997558519241921"/>
    <pageSetUpPr fitToPage="1"/>
  </sheetPr>
  <dimension ref="A3:G23"/>
  <sheetViews>
    <sheetView workbookViewId="0">
      <selection activeCell="K26" sqref="K26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3429</v>
      </c>
      <c r="C6" s="303"/>
      <c r="E6" s="304"/>
      <c r="F6" s="305"/>
    </row>
    <row r="7" spans="1:7">
      <c r="A7" s="301"/>
      <c r="B7" s="302" t="s">
        <v>3430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R3'!G21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618"/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4.63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autoPageBreaks="0" fitToPage="1"/>
  </sheetPr>
  <dimension ref="A1:I45"/>
  <sheetViews>
    <sheetView showOutlineSymbols="0" topLeftCell="A7" zoomScale="80" zoomScaleNormal="80" workbookViewId="0">
      <selection activeCell="C28" sqref="C28"/>
    </sheetView>
  </sheetViews>
  <sheetFormatPr defaultColWidth="21.28515625" defaultRowHeight="15" customHeight="1"/>
  <cols>
    <col min="1" max="1" width="16"/>
    <col min="2" max="2" width="22.42578125"/>
    <col min="3" max="3" width="40"/>
    <col min="4" max="4" width="17.42578125"/>
    <col min="5" max="5" width="24.42578125"/>
    <col min="6" max="6" width="40"/>
    <col min="7" max="7" width="16"/>
    <col min="8" max="8" width="30"/>
    <col min="9" max="9" width="40"/>
  </cols>
  <sheetData>
    <row r="1" spans="1:9" ht="25" customHeight="1">
      <c r="A1" s="664" t="s">
        <v>330</v>
      </c>
      <c r="B1" s="665"/>
      <c r="C1" s="665"/>
      <c r="D1" s="665"/>
      <c r="E1" s="665"/>
      <c r="F1" s="665"/>
      <c r="G1" s="665"/>
      <c r="H1" s="665"/>
      <c r="I1" s="665"/>
    </row>
    <row r="2" spans="1:9" ht="15" customHeight="1">
      <c r="A2" s="666" t="s">
        <v>168</v>
      </c>
      <c r="B2" s="659"/>
      <c r="C2" s="661" t="str">
        <f>'Stavební rozpočet'!C2</f>
        <v>Obecní dům Vavřineč</v>
      </c>
      <c r="D2" s="662"/>
      <c r="E2" s="658" t="s">
        <v>1960</v>
      </c>
      <c r="F2" s="658" t="str">
        <f>'Stavební rozpočet'!I2</f>
        <v>Obec Malý Újezd</v>
      </c>
      <c r="G2" s="659"/>
      <c r="H2" s="658" t="s">
        <v>1492</v>
      </c>
      <c r="I2" s="670" t="s">
        <v>915</v>
      </c>
    </row>
    <row r="3" spans="1:9" ht="15" customHeight="1">
      <c r="A3" s="667"/>
      <c r="B3" s="630"/>
      <c r="C3" s="663"/>
      <c r="D3" s="663"/>
      <c r="E3" s="630"/>
      <c r="F3" s="630"/>
      <c r="G3" s="630"/>
      <c r="H3" s="630"/>
      <c r="I3" s="671"/>
    </row>
    <row r="4" spans="1:9" ht="15" customHeight="1">
      <c r="A4" s="668" t="s">
        <v>1264</v>
      </c>
      <c r="B4" s="630"/>
      <c r="C4" s="629" t="str">
        <f>'Stavební rozpočet'!C4</f>
        <v>Rekonstrukce a rozšíření objektu</v>
      </c>
      <c r="D4" s="630"/>
      <c r="E4" s="629" t="s">
        <v>1591</v>
      </c>
      <c r="F4" s="629" t="str">
        <f>'Stavební rozpočet'!I4</f>
        <v> </v>
      </c>
      <c r="G4" s="630"/>
      <c r="H4" s="629" t="s">
        <v>1492</v>
      </c>
      <c r="I4" s="671" t="s">
        <v>1597</v>
      </c>
    </row>
    <row r="5" spans="1:9" ht="15" customHeight="1">
      <c r="A5" s="667"/>
      <c r="B5" s="630"/>
      <c r="C5" s="630"/>
      <c r="D5" s="630"/>
      <c r="E5" s="630"/>
      <c r="F5" s="630"/>
      <c r="G5" s="630"/>
      <c r="H5" s="630"/>
      <c r="I5" s="671"/>
    </row>
    <row r="6" spans="1:9" ht="15" customHeight="1">
      <c r="A6" s="668" t="s">
        <v>205</v>
      </c>
      <c r="B6" s="630"/>
      <c r="C6" s="629" t="str">
        <f>'Stavební rozpočet'!C6</f>
        <v>Malý Újezd Vavřineč</v>
      </c>
      <c r="D6" s="630"/>
      <c r="E6" s="629" t="s">
        <v>2037</v>
      </c>
      <c r="F6" s="629" t="str">
        <f>'Stavební rozpočet'!I6</f>
        <v>vzejde z výběrového řízení</v>
      </c>
      <c r="G6" s="630"/>
      <c r="H6" s="629" t="s">
        <v>1492</v>
      </c>
      <c r="I6" s="671" t="s">
        <v>1597</v>
      </c>
    </row>
    <row r="7" spans="1:9" ht="15" customHeight="1">
      <c r="A7" s="667"/>
      <c r="B7" s="630"/>
      <c r="C7" s="630"/>
      <c r="D7" s="630"/>
      <c r="E7" s="630"/>
      <c r="F7" s="630"/>
      <c r="G7" s="630"/>
      <c r="H7" s="630"/>
      <c r="I7" s="671"/>
    </row>
    <row r="8" spans="1:9" ht="15" customHeight="1">
      <c r="A8" s="668" t="s">
        <v>2061</v>
      </c>
      <c r="B8" s="630"/>
      <c r="C8" s="629" t="str">
        <f>'Stavební rozpočet'!F4</f>
        <v xml:space="preserve"> </v>
      </c>
      <c r="D8" s="630"/>
      <c r="E8" s="629" t="s">
        <v>747</v>
      </c>
      <c r="F8" s="629" t="str">
        <f>'Stavební rozpočet'!F6</f>
        <v xml:space="preserve"> </v>
      </c>
      <c r="G8" s="630"/>
      <c r="H8" s="630" t="s">
        <v>2338</v>
      </c>
      <c r="I8" s="672">
        <v>625</v>
      </c>
    </row>
    <row r="9" spans="1:9" ht="15" customHeight="1">
      <c r="A9" s="667"/>
      <c r="B9" s="630"/>
      <c r="C9" s="630"/>
      <c r="D9" s="630"/>
      <c r="E9" s="630"/>
      <c r="F9" s="630"/>
      <c r="G9" s="630"/>
      <c r="H9" s="630"/>
      <c r="I9" s="671"/>
    </row>
    <row r="10" spans="1:9" ht="15" customHeight="1">
      <c r="A10" s="668" t="s">
        <v>1126</v>
      </c>
      <c r="B10" s="630"/>
      <c r="C10" s="629" t="str">
        <f>'Stavební rozpočet'!C8</f>
        <v>8018912</v>
      </c>
      <c r="D10" s="630"/>
      <c r="E10" s="629" t="s">
        <v>1526</v>
      </c>
      <c r="F10" s="629" t="str">
        <f>'Stavební rozpočet'!I8</f>
        <v>Ing. Jiří Šír - VISTA</v>
      </c>
      <c r="G10" s="630"/>
      <c r="H10" s="630" t="s">
        <v>2256</v>
      </c>
      <c r="I10" s="673">
        <f>'Stavební rozpočet'!F8</f>
        <v>45120</v>
      </c>
    </row>
    <row r="11" spans="1:9" ht="15" customHeight="1">
      <c r="A11" s="669"/>
      <c r="B11" s="660"/>
      <c r="C11" s="660"/>
      <c r="D11" s="660"/>
      <c r="E11" s="660"/>
      <c r="F11" s="660"/>
      <c r="G11" s="660"/>
      <c r="H11" s="660"/>
      <c r="I11" s="674"/>
    </row>
    <row r="13" spans="1:9" ht="15.75" customHeight="1">
      <c r="A13" s="681" t="s">
        <v>863</v>
      </c>
      <c r="B13" s="681"/>
      <c r="C13" s="681"/>
      <c r="D13" s="681"/>
      <c r="E13" s="681"/>
    </row>
    <row r="14" spans="1:9" ht="15" customHeight="1">
      <c r="A14" s="682" t="s">
        <v>2600</v>
      </c>
      <c r="B14" s="683"/>
      <c r="C14" s="683"/>
      <c r="D14" s="683"/>
      <c r="E14" s="684"/>
      <c r="F14" s="47" t="s">
        <v>2412</v>
      </c>
      <c r="G14" s="47" t="s">
        <v>2042</v>
      </c>
      <c r="H14" s="47" t="s">
        <v>560</v>
      </c>
      <c r="I14" s="47" t="s">
        <v>2412</v>
      </c>
    </row>
    <row r="15" spans="1:9" ht="15" customHeight="1">
      <c r="A15" s="669" t="s">
        <v>1663</v>
      </c>
      <c r="B15" s="660"/>
      <c r="C15" s="660"/>
      <c r="D15" s="660"/>
      <c r="E15" s="674"/>
      <c r="F15" s="55">
        <v>0</v>
      </c>
      <c r="G15" s="54" t="s">
        <v>1597</v>
      </c>
      <c r="H15" s="54" t="s">
        <v>1597</v>
      </c>
      <c r="I15" s="55">
        <f>F15</f>
        <v>0</v>
      </c>
    </row>
    <row r="16" spans="1:9" ht="15" customHeight="1">
      <c r="A16" s="669" t="s">
        <v>227</v>
      </c>
      <c r="B16" s="660"/>
      <c r="C16" s="660"/>
      <c r="D16" s="660"/>
      <c r="E16" s="674"/>
      <c r="F16" s="55">
        <v>0</v>
      </c>
      <c r="G16" s="54" t="s">
        <v>1597</v>
      </c>
      <c r="H16" s="54" t="s">
        <v>1597</v>
      </c>
      <c r="I16" s="55">
        <f>F16</f>
        <v>0</v>
      </c>
    </row>
    <row r="17" spans="1:9" ht="15" customHeight="1">
      <c r="A17" s="667" t="s">
        <v>1709</v>
      </c>
      <c r="B17" s="630"/>
      <c r="C17" s="630"/>
      <c r="D17" s="630"/>
      <c r="E17" s="671"/>
      <c r="F17" s="15">
        <v>0</v>
      </c>
      <c r="G17" s="3" t="s">
        <v>1597</v>
      </c>
      <c r="H17" s="3" t="s">
        <v>1597</v>
      </c>
      <c r="I17" s="15">
        <f>F17</f>
        <v>0</v>
      </c>
    </row>
    <row r="18" spans="1:9" ht="15" customHeight="1">
      <c r="A18" s="688" t="s">
        <v>2504</v>
      </c>
      <c r="B18" s="689"/>
      <c r="C18" s="689"/>
      <c r="D18" s="689"/>
      <c r="E18" s="690"/>
      <c r="F18" s="84" t="s">
        <v>1597</v>
      </c>
      <c r="G18" s="22" t="s">
        <v>1597</v>
      </c>
      <c r="H18" s="22" t="s">
        <v>1597</v>
      </c>
      <c r="I18" s="87">
        <f>SUM(I15:I17)</f>
        <v>0</v>
      </c>
    </row>
    <row r="20" spans="1:9" ht="15" customHeight="1">
      <c r="A20" s="682" t="s">
        <v>423</v>
      </c>
      <c r="B20" s="683"/>
      <c r="C20" s="683"/>
      <c r="D20" s="683"/>
      <c r="E20" s="684"/>
      <c r="F20" s="47" t="s">
        <v>2412</v>
      </c>
      <c r="G20" s="47" t="s">
        <v>2042</v>
      </c>
      <c r="H20" s="47" t="s">
        <v>560</v>
      </c>
      <c r="I20" s="47" t="s">
        <v>2412</v>
      </c>
    </row>
    <row r="21" spans="1:9" ht="15" customHeight="1">
      <c r="A21" s="691" t="s">
        <v>234</v>
      </c>
      <c r="B21" s="692"/>
      <c r="C21" s="692"/>
      <c r="D21" s="692"/>
      <c r="E21" s="693"/>
      <c r="F21" s="562" t="s">
        <v>1597</v>
      </c>
      <c r="G21" s="627"/>
      <c r="H21" s="563">
        <f>'Krycí list rozpočtu'!C22</f>
        <v>0</v>
      </c>
      <c r="I21" s="563">
        <f>ROUND((G21/100)*H21,2)</f>
        <v>0</v>
      </c>
    </row>
    <row r="22" spans="1:9" ht="15" customHeight="1">
      <c r="A22" s="669" t="s">
        <v>1834</v>
      </c>
      <c r="B22" s="660"/>
      <c r="C22" s="660"/>
      <c r="D22" s="660"/>
      <c r="E22" s="674"/>
      <c r="F22" s="55">
        <v>0</v>
      </c>
      <c r="G22" s="54" t="s">
        <v>1597</v>
      </c>
      <c r="H22" s="54" t="s">
        <v>1597</v>
      </c>
      <c r="I22" s="55">
        <f>F22</f>
        <v>0</v>
      </c>
    </row>
    <row r="23" spans="1:9" ht="15" customHeight="1">
      <c r="A23" s="669" t="s">
        <v>2226</v>
      </c>
      <c r="B23" s="660"/>
      <c r="C23" s="660"/>
      <c r="D23" s="660"/>
      <c r="E23" s="674"/>
      <c r="F23" s="55">
        <v>0</v>
      </c>
      <c r="G23" s="54" t="s">
        <v>1597</v>
      </c>
      <c r="H23" s="54" t="s">
        <v>1597</v>
      </c>
      <c r="I23" s="55">
        <f>F23</f>
        <v>0</v>
      </c>
    </row>
    <row r="24" spans="1:9" ht="15" customHeight="1">
      <c r="A24" s="691" t="s">
        <v>1225</v>
      </c>
      <c r="B24" s="692"/>
      <c r="C24" s="692"/>
      <c r="D24" s="692"/>
      <c r="E24" s="693"/>
      <c r="F24" s="627"/>
      <c r="G24" s="562" t="s">
        <v>1597</v>
      </c>
      <c r="H24" s="562" t="s">
        <v>1597</v>
      </c>
      <c r="I24" s="563">
        <f>F24</f>
        <v>0</v>
      </c>
    </row>
    <row r="25" spans="1:9" ht="15" customHeight="1">
      <c r="A25" s="691" t="s">
        <v>1498</v>
      </c>
      <c r="B25" s="692"/>
      <c r="C25" s="692"/>
      <c r="D25" s="692"/>
      <c r="E25" s="693"/>
      <c r="F25" s="627"/>
      <c r="G25" s="562" t="s">
        <v>1597</v>
      </c>
      <c r="H25" s="562" t="s">
        <v>1597</v>
      </c>
      <c r="I25" s="563">
        <f>F25</f>
        <v>0</v>
      </c>
    </row>
    <row r="26" spans="1:9" ht="15" customHeight="1">
      <c r="A26" s="667" t="s">
        <v>2290</v>
      </c>
      <c r="B26" s="630"/>
      <c r="C26" s="630"/>
      <c r="D26" s="630"/>
      <c r="E26" s="671"/>
      <c r="F26" s="15">
        <v>0</v>
      </c>
      <c r="G26" s="3" t="s">
        <v>1597</v>
      </c>
      <c r="H26" s="3" t="s">
        <v>1597</v>
      </c>
      <c r="I26" s="15">
        <f>F26</f>
        <v>0</v>
      </c>
    </row>
    <row r="27" spans="1:9" ht="15" customHeight="1">
      <c r="A27" s="675" t="s">
        <v>929</v>
      </c>
      <c r="B27" s="676"/>
      <c r="C27" s="676"/>
      <c r="D27" s="676"/>
      <c r="E27" s="677"/>
      <c r="F27" s="559" t="s">
        <v>1597</v>
      </c>
      <c r="G27" s="560" t="s">
        <v>1597</v>
      </c>
      <c r="H27" s="560" t="s">
        <v>1597</v>
      </c>
      <c r="I27" s="561">
        <f>SUM(I21:I26)</f>
        <v>0</v>
      </c>
    </row>
    <row r="29" spans="1:9" ht="15.75" customHeight="1">
      <c r="A29" s="685" t="s">
        <v>2439</v>
      </c>
      <c r="B29" s="686"/>
      <c r="C29" s="686"/>
      <c r="D29" s="686"/>
      <c r="E29" s="687"/>
      <c r="F29" s="678">
        <f>I18+I27</f>
        <v>0</v>
      </c>
      <c r="G29" s="679"/>
      <c r="H29" s="679"/>
      <c r="I29" s="680"/>
    </row>
    <row r="33" spans="1:9" ht="15.75" customHeight="1">
      <c r="A33" s="681" t="s">
        <v>2383</v>
      </c>
      <c r="B33" s="681"/>
      <c r="C33" s="681"/>
      <c r="D33" s="681"/>
      <c r="E33" s="681"/>
    </row>
    <row r="34" spans="1:9" ht="15" customHeight="1">
      <c r="A34" s="682" t="s">
        <v>2488</v>
      </c>
      <c r="B34" s="683"/>
      <c r="C34" s="683"/>
      <c r="D34" s="683"/>
      <c r="E34" s="684"/>
      <c r="F34" s="47" t="s">
        <v>2412</v>
      </c>
      <c r="G34" s="47" t="s">
        <v>2042</v>
      </c>
      <c r="H34" s="47" t="s">
        <v>560</v>
      </c>
      <c r="I34" s="47" t="s">
        <v>2412</v>
      </c>
    </row>
    <row r="35" spans="1:9" ht="15" customHeight="1">
      <c r="A35" s="669" t="s">
        <v>705</v>
      </c>
      <c r="B35" s="660"/>
      <c r="C35" s="660"/>
      <c r="D35" s="660"/>
      <c r="E35" s="674"/>
      <c r="F35" s="627"/>
      <c r="G35" s="54" t="s">
        <v>1597</v>
      </c>
      <c r="H35" s="54" t="s">
        <v>1597</v>
      </c>
      <c r="I35" s="55">
        <f t="shared" ref="I35:I44" si="0">F35</f>
        <v>0</v>
      </c>
    </row>
    <row r="36" spans="1:9" ht="15" customHeight="1">
      <c r="A36" s="669" t="s">
        <v>2186</v>
      </c>
      <c r="B36" s="660"/>
      <c r="C36" s="660"/>
      <c r="D36" s="660"/>
      <c r="E36" s="674"/>
      <c r="F36" s="627"/>
      <c r="G36" s="54" t="s">
        <v>1597</v>
      </c>
      <c r="H36" s="54" t="s">
        <v>1597</v>
      </c>
      <c r="I36" s="55">
        <f t="shared" si="0"/>
        <v>0</v>
      </c>
    </row>
    <row r="37" spans="1:9" ht="15" customHeight="1">
      <c r="A37" s="669" t="s">
        <v>1800</v>
      </c>
      <c r="B37" s="660"/>
      <c r="C37" s="660"/>
      <c r="D37" s="660"/>
      <c r="E37" s="674"/>
      <c r="F37" s="627"/>
      <c r="G37" s="54" t="s">
        <v>1597</v>
      </c>
      <c r="H37" s="54" t="s">
        <v>1597</v>
      </c>
      <c r="I37" s="55">
        <f t="shared" si="0"/>
        <v>0</v>
      </c>
    </row>
    <row r="38" spans="1:9" ht="15" customHeight="1">
      <c r="A38" s="669" t="s">
        <v>695</v>
      </c>
      <c r="B38" s="660"/>
      <c r="C38" s="660"/>
      <c r="D38" s="660"/>
      <c r="E38" s="674"/>
      <c r="F38" s="627"/>
      <c r="G38" s="54" t="s">
        <v>1597</v>
      </c>
      <c r="H38" s="54" t="s">
        <v>1597</v>
      </c>
      <c r="I38" s="55">
        <f t="shared" si="0"/>
        <v>0</v>
      </c>
    </row>
    <row r="39" spans="1:9" ht="15" customHeight="1">
      <c r="A39" s="669" t="s">
        <v>2119</v>
      </c>
      <c r="B39" s="660"/>
      <c r="C39" s="660"/>
      <c r="D39" s="660"/>
      <c r="E39" s="674"/>
      <c r="F39" s="627"/>
      <c r="G39" s="54" t="s">
        <v>1597</v>
      </c>
      <c r="H39" s="54" t="s">
        <v>1597</v>
      </c>
      <c r="I39" s="55">
        <f t="shared" si="0"/>
        <v>0</v>
      </c>
    </row>
    <row r="40" spans="1:9" ht="15" customHeight="1">
      <c r="A40" s="669" t="s">
        <v>1049</v>
      </c>
      <c r="B40" s="660"/>
      <c r="C40" s="660"/>
      <c r="D40" s="660"/>
      <c r="E40" s="674"/>
      <c r="F40" s="627"/>
      <c r="G40" s="54" t="s">
        <v>1597</v>
      </c>
      <c r="H40" s="54" t="s">
        <v>1597</v>
      </c>
      <c r="I40" s="55">
        <f t="shared" si="0"/>
        <v>0</v>
      </c>
    </row>
    <row r="41" spans="1:9" ht="15" customHeight="1">
      <c r="A41" s="669" t="s">
        <v>2148</v>
      </c>
      <c r="B41" s="660"/>
      <c r="C41" s="660"/>
      <c r="D41" s="660"/>
      <c r="E41" s="674"/>
      <c r="F41" s="627"/>
      <c r="G41" s="54" t="s">
        <v>1597</v>
      </c>
      <c r="H41" s="54" t="s">
        <v>1597</v>
      </c>
      <c r="I41" s="55">
        <f t="shared" si="0"/>
        <v>0</v>
      </c>
    </row>
    <row r="42" spans="1:9" ht="15" customHeight="1">
      <c r="A42" s="669" t="s">
        <v>515</v>
      </c>
      <c r="B42" s="660"/>
      <c r="C42" s="660"/>
      <c r="D42" s="660"/>
      <c r="E42" s="674"/>
      <c r="F42" s="627"/>
      <c r="G42" s="54" t="s">
        <v>1597</v>
      </c>
      <c r="H42" s="54" t="s">
        <v>1597</v>
      </c>
      <c r="I42" s="55">
        <f t="shared" si="0"/>
        <v>0</v>
      </c>
    </row>
    <row r="43" spans="1:9" ht="15" customHeight="1">
      <c r="A43" s="669" t="s">
        <v>242</v>
      </c>
      <c r="B43" s="660"/>
      <c r="C43" s="660"/>
      <c r="D43" s="660"/>
      <c r="E43" s="674"/>
      <c r="F43" s="627"/>
      <c r="G43" s="54" t="s">
        <v>1597</v>
      </c>
      <c r="H43" s="54" t="s">
        <v>1597</v>
      </c>
      <c r="I43" s="55">
        <f t="shared" si="0"/>
        <v>0</v>
      </c>
    </row>
    <row r="44" spans="1:9" ht="15" customHeight="1">
      <c r="A44" s="667" t="s">
        <v>1034</v>
      </c>
      <c r="B44" s="630"/>
      <c r="C44" s="630"/>
      <c r="D44" s="630"/>
      <c r="E44" s="671"/>
      <c r="F44" s="628"/>
      <c r="G44" s="3" t="s">
        <v>1597</v>
      </c>
      <c r="H44" s="3" t="s">
        <v>1597</v>
      </c>
      <c r="I44" s="15">
        <f t="shared" si="0"/>
        <v>0</v>
      </c>
    </row>
    <row r="45" spans="1:9" ht="15" customHeight="1">
      <c r="A45" s="675" t="s">
        <v>827</v>
      </c>
      <c r="B45" s="676"/>
      <c r="C45" s="676"/>
      <c r="D45" s="676"/>
      <c r="E45" s="677"/>
      <c r="F45" s="559" t="s">
        <v>1597</v>
      </c>
      <c r="G45" s="560" t="s">
        <v>1597</v>
      </c>
      <c r="H45" s="560" t="s">
        <v>1597</v>
      </c>
      <c r="I45" s="561">
        <f>SUM(I35:I44)</f>
        <v>0</v>
      </c>
    </row>
  </sheetData>
  <mergeCells count="60">
    <mergeCell ref="A1:I1"/>
    <mergeCell ref="A2:B3"/>
    <mergeCell ref="A4:B5"/>
    <mergeCell ref="A6:B7"/>
    <mergeCell ref="A8:B9"/>
    <mergeCell ref="E2:E3"/>
    <mergeCell ref="E4:E5"/>
    <mergeCell ref="E6:E7"/>
    <mergeCell ref="E8:E9"/>
    <mergeCell ref="H2:H3"/>
    <mergeCell ref="H4:H5"/>
    <mergeCell ref="H6:H7"/>
    <mergeCell ref="H8:H9"/>
    <mergeCell ref="I2:I3"/>
    <mergeCell ref="I4:I5"/>
    <mergeCell ref="I6:I7"/>
    <mergeCell ref="H10:H11"/>
    <mergeCell ref="F2:G3"/>
    <mergeCell ref="F4:G5"/>
    <mergeCell ref="F6:G7"/>
    <mergeCell ref="F8:G9"/>
    <mergeCell ref="F10:G11"/>
    <mergeCell ref="A13:E13"/>
    <mergeCell ref="C2:D3"/>
    <mergeCell ref="C4:D5"/>
    <mergeCell ref="C6:D7"/>
    <mergeCell ref="C8:D9"/>
    <mergeCell ref="C10:D11"/>
    <mergeCell ref="E10:E11"/>
    <mergeCell ref="A10:B11"/>
    <mergeCell ref="I8:I9"/>
    <mergeCell ref="I10:I11"/>
    <mergeCell ref="A26:E26"/>
    <mergeCell ref="A27:E27"/>
    <mergeCell ref="A29:E29"/>
    <mergeCell ref="A14:E14"/>
    <mergeCell ref="A15:E15"/>
    <mergeCell ref="A16:E16"/>
    <mergeCell ref="A17:E17"/>
    <mergeCell ref="A18:E18"/>
    <mergeCell ref="A20:E20"/>
    <mergeCell ref="A21:E21"/>
    <mergeCell ref="A22:E22"/>
    <mergeCell ref="A23:E23"/>
    <mergeCell ref="A24:E24"/>
    <mergeCell ref="A25:E25"/>
    <mergeCell ref="F29:I29"/>
    <mergeCell ref="A33:E33"/>
    <mergeCell ref="A34:E34"/>
    <mergeCell ref="A42:E42"/>
    <mergeCell ref="A43:E43"/>
    <mergeCell ref="A35:E35"/>
    <mergeCell ref="A44:E44"/>
    <mergeCell ref="A45:E45"/>
    <mergeCell ref="A36:E36"/>
    <mergeCell ref="A37:E37"/>
    <mergeCell ref="A38:E38"/>
    <mergeCell ref="A39:E39"/>
    <mergeCell ref="A40:E40"/>
    <mergeCell ref="A41:E41"/>
  </mergeCells>
  <pageMargins left="0.39400000000000002" right="0.39400000000000002" top="0.59099999999999997" bottom="0.59099999999999997" header="0" footer="0"/>
  <pageSetup paperSize="9" scale="65" firstPageNumber="0" fitToHeight="0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9" tint="0.39997558519241921"/>
    <pageSetUpPr fitToPage="1"/>
  </sheetPr>
  <dimension ref="A3:J24"/>
  <sheetViews>
    <sheetView workbookViewId="0">
      <selection activeCell="O29" sqref="O29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4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3429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3431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3</v>
      </c>
      <c r="F14" s="616"/>
      <c r="G14" s="244">
        <f t="shared" si="0"/>
        <v>0</v>
      </c>
      <c r="H14" s="245">
        <v>0.23200000000000001</v>
      </c>
      <c r="I14" s="246">
        <f t="shared" si="1"/>
        <v>0.69600000000000006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415142</v>
      </c>
      <c r="C17" s="248" t="s">
        <v>3391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0.34799999999999998</v>
      </c>
      <c r="I17" s="246">
        <f t="shared" si="1"/>
        <v>0.34799999999999998</v>
      </c>
    </row>
    <row r="18" spans="1:9">
      <c r="A18" s="239">
        <v>7</v>
      </c>
      <c r="B18" s="240">
        <v>434151</v>
      </c>
      <c r="C18" s="248" t="s">
        <v>3418</v>
      </c>
      <c r="D18" s="248" t="s">
        <v>2697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435234</v>
      </c>
      <c r="C19" s="248" t="s">
        <v>3433</v>
      </c>
      <c r="D19" s="248" t="s">
        <v>2697</v>
      </c>
      <c r="E19" s="243">
        <v>3</v>
      </c>
      <c r="F19" s="616"/>
      <c r="G19" s="244">
        <f t="shared" si="0"/>
        <v>0</v>
      </c>
      <c r="H19" s="245">
        <v>0.34799999999999998</v>
      </c>
      <c r="I19" s="246">
        <f t="shared" si="1"/>
        <v>1.044</v>
      </c>
    </row>
    <row r="20" spans="1:9" ht="14.5" thickBot="1">
      <c r="A20" s="253">
        <v>9</v>
      </c>
      <c r="B20" s="254">
        <v>438104</v>
      </c>
      <c r="C20" s="284" t="s">
        <v>3394</v>
      </c>
      <c r="D20" s="284" t="s">
        <v>2697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ht="14.5" thickBot="1">
      <c r="A21" s="285"/>
      <c r="B21" s="286"/>
      <c r="C21" s="287" t="s">
        <v>3263</v>
      </c>
      <c r="D21" s="287"/>
      <c r="E21" s="288"/>
      <c r="F21" s="288"/>
      <c r="G21" s="289">
        <f>SUM(G12:G20)</f>
        <v>0</v>
      </c>
      <c r="H21" s="290"/>
      <c r="I21" s="291">
        <f>SUM(I12:I20)</f>
        <v>4.6129999999999995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3375</v>
      </c>
      <c r="B23" s="293"/>
      <c r="E23" s="219"/>
      <c r="F23" s="219"/>
      <c r="G23" s="294"/>
      <c r="H23" s="295"/>
      <c r="I23" s="296"/>
    </row>
    <row r="24" spans="1:9">
      <c r="A24" s="177" t="s">
        <v>3376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3434</v>
      </c>
      <c r="C6" s="303"/>
      <c r="E6" s="304"/>
      <c r="F6" s="305"/>
    </row>
    <row r="7" spans="1:7">
      <c r="A7" s="301"/>
      <c r="B7" s="302" t="s">
        <v>3435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R4'!G21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2.74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9" tint="0.39997558519241921"/>
    <pageSetUpPr fitToPage="1"/>
  </sheetPr>
  <dimension ref="A3:J24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3436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764111</v>
      </c>
      <c r="C12" s="248" t="s">
        <v>3437</v>
      </c>
      <c r="D12" s="248" t="s">
        <v>2697</v>
      </c>
      <c r="E12" s="243">
        <v>1</v>
      </c>
      <c r="F12" s="616"/>
      <c r="G12" s="244">
        <f t="shared" ref="G12:G20" si="0">E12*F12</f>
        <v>0</v>
      </c>
      <c r="H12" s="245">
        <v>0.50600000000000001</v>
      </c>
      <c r="I12" s="246">
        <f t="shared" ref="I12:I20" si="1">E12*H12</f>
        <v>0.50600000000000001</v>
      </c>
    </row>
    <row r="13" spans="1:10">
      <c r="A13" s="239">
        <v>2</v>
      </c>
      <c r="B13" s="240">
        <v>764121</v>
      </c>
      <c r="C13" s="248" t="s">
        <v>3682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1</v>
      </c>
      <c r="F14" s="616"/>
      <c r="G14" s="244">
        <f t="shared" si="0"/>
        <v>0</v>
      </c>
      <c r="H14" s="245">
        <v>0.23200000000000001</v>
      </c>
      <c r="I14" s="246">
        <f t="shared" si="1"/>
        <v>0.23200000000000001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415142</v>
      </c>
      <c r="C18" s="248" t="s">
        <v>3391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0.34799999999999998</v>
      </c>
      <c r="I18" s="246">
        <f t="shared" si="1"/>
        <v>0.34799999999999998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 ht="14.5" thickBot="1">
      <c r="A20" s="253">
        <v>9</v>
      </c>
      <c r="B20" s="254">
        <v>438104</v>
      </c>
      <c r="C20" s="284" t="s">
        <v>3394</v>
      </c>
      <c r="D20" s="284" t="s">
        <v>2697</v>
      </c>
      <c r="E20" s="257">
        <v>1</v>
      </c>
      <c r="F20" s="617"/>
      <c r="G20" s="259">
        <f t="shared" si="0"/>
        <v>0</v>
      </c>
      <c r="H20" s="260">
        <v>0.27600000000000002</v>
      </c>
      <c r="I20" s="261">
        <f t="shared" si="1"/>
        <v>0.27600000000000002</v>
      </c>
    </row>
    <row r="21" spans="1:9" s="272" customFormat="1" ht="14.5" thickBot="1">
      <c r="A21" s="285"/>
      <c r="B21" s="286"/>
      <c r="C21" s="287" t="s">
        <v>3263</v>
      </c>
      <c r="D21" s="287"/>
      <c r="E21" s="288"/>
      <c r="F21" s="288"/>
      <c r="G21" s="289">
        <f>SUM(G12:G20)</f>
        <v>0</v>
      </c>
      <c r="H21" s="290"/>
      <c r="I21" s="291">
        <f>SUM(I12:I20)</f>
        <v>2.7249999999999996</v>
      </c>
    </row>
    <row r="22" spans="1:9">
      <c r="B22" s="293"/>
      <c r="E22" s="219"/>
      <c r="F22" s="219"/>
      <c r="G22" s="294"/>
      <c r="H22" s="295"/>
      <c r="I22" s="296"/>
    </row>
    <row r="23" spans="1:9">
      <c r="A23" s="177" t="s">
        <v>3375</v>
      </c>
      <c r="B23" s="293"/>
      <c r="E23" s="219"/>
      <c r="F23" s="219"/>
      <c r="G23" s="294"/>
      <c r="H23" s="295"/>
      <c r="I23" s="296"/>
    </row>
    <row r="24" spans="1:9">
      <c r="A24" s="177" t="s">
        <v>3376</v>
      </c>
      <c r="B24" s="293"/>
      <c r="E24" s="219"/>
      <c r="F24" s="219"/>
      <c r="G24" s="294"/>
      <c r="H24" s="295"/>
      <c r="I24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3439</v>
      </c>
      <c r="C6" s="303"/>
      <c r="E6" s="304"/>
      <c r="F6" s="305"/>
    </row>
    <row r="7" spans="1:7">
      <c r="A7" s="301"/>
      <c r="B7" s="302" t="s">
        <v>3440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R5'!G22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4.03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0.140625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3439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3441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764112</v>
      </c>
      <c r="C12" s="248" t="s">
        <v>3388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764122</v>
      </c>
      <c r="C13" s="248" t="s">
        <v>3683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415143</v>
      </c>
      <c r="C18" s="248" t="s">
        <v>3442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434120</v>
      </c>
      <c r="C19" s="248" t="s">
        <v>3424</v>
      </c>
      <c r="D19" s="248" t="s">
        <v>2697</v>
      </c>
      <c r="E19" s="243">
        <v>2</v>
      </c>
      <c r="F19" s="616"/>
      <c r="G19" s="244">
        <f t="shared" si="0"/>
        <v>0</v>
      </c>
      <c r="H19" s="245">
        <v>0.19</v>
      </c>
      <c r="I19" s="246">
        <f t="shared" si="1"/>
        <v>0.38</v>
      </c>
    </row>
    <row r="20" spans="1:9">
      <c r="A20" s="239">
        <v>9</v>
      </c>
      <c r="B20" s="240">
        <v>434134</v>
      </c>
      <c r="C20" s="248" t="s">
        <v>3393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0.19</v>
      </c>
      <c r="I20" s="246">
        <f t="shared" si="1"/>
        <v>0.57000000000000006</v>
      </c>
    </row>
    <row r="21" spans="1:9" ht="14.5" thickBot="1">
      <c r="A21" s="253">
        <v>10</v>
      </c>
      <c r="B21" s="254">
        <v>435203</v>
      </c>
      <c r="C21" s="284" t="s">
        <v>3443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0.34799999999999998</v>
      </c>
      <c r="I21" s="261">
        <f t="shared" si="1"/>
        <v>0.34799999999999998</v>
      </c>
    </row>
    <row r="22" spans="1:9" s="272" customFormat="1" ht="14.5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4.0179999999999998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2" fitToHeight="0" orientation="portrait" r:id="rId1"/>
  <headerFooter>
    <oddFooter>&amp;CStrana &amp;P z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3444</v>
      </c>
      <c r="C6" s="303"/>
      <c r="E6" s="304"/>
      <c r="F6" s="305"/>
    </row>
    <row r="7" spans="1:7">
      <c r="A7" s="301"/>
      <c r="B7" s="302" t="s">
        <v>3385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 spol'!G25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4.9000000000000004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39997558519241921"/>
    <pageSetUpPr fitToPage="1"/>
  </sheetPr>
  <dimension ref="A3:J28"/>
  <sheetViews>
    <sheetView topLeftCell="A4"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3444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3445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4" si="0">E12*F12</f>
        <v>0</v>
      </c>
      <c r="H12" s="245">
        <v>0.50600000000000001</v>
      </c>
      <c r="I12" s="246">
        <f t="shared" ref="I12:I24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788211</v>
      </c>
      <c r="C16" s="248" t="s">
        <v>3403</v>
      </c>
      <c r="D16" s="248" t="s">
        <v>2274</v>
      </c>
      <c r="E16" s="243">
        <v>0.5</v>
      </c>
      <c r="F16" s="616"/>
      <c r="G16" s="244">
        <f t="shared" si="0"/>
        <v>0</v>
      </c>
      <c r="H16" s="245">
        <v>0.751</v>
      </c>
      <c r="I16" s="246">
        <f t="shared" si="1"/>
        <v>0.3755</v>
      </c>
    </row>
    <row r="17" spans="1:9">
      <c r="A17" s="239">
        <v>6</v>
      </c>
      <c r="B17" s="240">
        <v>788312</v>
      </c>
      <c r="C17" s="248" t="s">
        <v>3438</v>
      </c>
      <c r="D17" s="248" t="s">
        <v>2274</v>
      </c>
      <c r="E17" s="243">
        <v>0.5</v>
      </c>
      <c r="F17" s="616"/>
      <c r="G17" s="244">
        <f t="shared" si="0"/>
        <v>0</v>
      </c>
      <c r="H17" s="245">
        <v>0.751</v>
      </c>
      <c r="I17" s="246">
        <f t="shared" si="1"/>
        <v>0.3755</v>
      </c>
    </row>
    <row r="18" spans="1:9">
      <c r="A18" s="239">
        <v>7</v>
      </c>
      <c r="B18" s="240">
        <v>415145</v>
      </c>
      <c r="C18" s="248" t="s">
        <v>3414</v>
      </c>
      <c r="D18" s="248" t="s">
        <v>2697</v>
      </c>
      <c r="E18" s="243">
        <v>1</v>
      </c>
      <c r="F18" s="616"/>
      <c r="G18" s="244">
        <f t="shared" si="0"/>
        <v>0</v>
      </c>
      <c r="H18" s="245">
        <v>0.57699999999999996</v>
      </c>
      <c r="I18" s="246">
        <f t="shared" si="1"/>
        <v>0.57699999999999996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434134</v>
      </c>
      <c r="C20" s="248" t="s">
        <v>3393</v>
      </c>
      <c r="D20" s="248" t="s">
        <v>2697</v>
      </c>
      <c r="E20" s="243">
        <v>1</v>
      </c>
      <c r="F20" s="616"/>
      <c r="G20" s="244">
        <f t="shared" si="0"/>
        <v>0</v>
      </c>
      <c r="H20" s="245">
        <v>0.19</v>
      </c>
      <c r="I20" s="246">
        <f t="shared" si="1"/>
        <v>0.19</v>
      </c>
    </row>
    <row r="21" spans="1:9">
      <c r="A21" s="239">
        <v>10</v>
      </c>
      <c r="B21" s="240">
        <v>435204</v>
      </c>
      <c r="C21" s="248" t="s">
        <v>3446</v>
      </c>
      <c r="D21" s="248" t="s">
        <v>2697</v>
      </c>
      <c r="E21" s="243">
        <v>1</v>
      </c>
      <c r="F21" s="616"/>
      <c r="G21" s="244">
        <f t="shared" si="0"/>
        <v>0</v>
      </c>
      <c r="H21" s="245">
        <v>0.34799999999999998</v>
      </c>
      <c r="I21" s="246">
        <f t="shared" si="1"/>
        <v>0.34799999999999998</v>
      </c>
    </row>
    <row r="22" spans="1:9">
      <c r="A22" s="239">
        <v>11</v>
      </c>
      <c r="B22" s="240">
        <v>435206</v>
      </c>
      <c r="C22" s="248" t="s">
        <v>3447</v>
      </c>
      <c r="D22" s="248" t="s">
        <v>2697</v>
      </c>
      <c r="E22" s="243">
        <v>1</v>
      </c>
      <c r="F22" s="616"/>
      <c r="G22" s="244">
        <f t="shared" si="0"/>
        <v>0</v>
      </c>
      <c r="H22" s="245">
        <v>0.57699999999999996</v>
      </c>
      <c r="I22" s="246">
        <f t="shared" si="1"/>
        <v>0.57699999999999996</v>
      </c>
    </row>
    <row r="23" spans="1:9">
      <c r="A23" s="239">
        <v>12</v>
      </c>
      <c r="B23" s="240">
        <v>435207</v>
      </c>
      <c r="C23" s="248" t="s">
        <v>3448</v>
      </c>
      <c r="D23" s="248" t="s">
        <v>2697</v>
      </c>
      <c r="E23" s="243">
        <v>1</v>
      </c>
      <c r="F23" s="616"/>
      <c r="G23" s="244">
        <f t="shared" si="0"/>
        <v>0</v>
      </c>
      <c r="H23" s="245">
        <v>0.57699999999999996</v>
      </c>
      <c r="I23" s="246">
        <f t="shared" si="1"/>
        <v>0.57699999999999996</v>
      </c>
    </row>
    <row r="24" spans="1:9" ht="14.5" thickBot="1">
      <c r="A24" s="253">
        <v>13</v>
      </c>
      <c r="B24" s="254">
        <v>438104</v>
      </c>
      <c r="C24" s="284" t="s">
        <v>3394</v>
      </c>
      <c r="D24" s="284" t="s">
        <v>2697</v>
      </c>
      <c r="E24" s="257">
        <v>1</v>
      </c>
      <c r="F24" s="617"/>
      <c r="G24" s="259">
        <f t="shared" si="0"/>
        <v>0</v>
      </c>
      <c r="H24" s="260">
        <v>0.27600000000000002</v>
      </c>
      <c r="I24" s="261">
        <f t="shared" si="1"/>
        <v>0.27600000000000002</v>
      </c>
    </row>
    <row r="25" spans="1:9" s="272" customFormat="1" ht="14.5" thickBot="1">
      <c r="A25" s="285"/>
      <c r="B25" s="286"/>
      <c r="C25" s="287" t="s">
        <v>3263</v>
      </c>
      <c r="D25" s="287"/>
      <c r="E25" s="288"/>
      <c r="F25" s="288"/>
      <c r="G25" s="289">
        <f>SUM(G12:G24)</f>
        <v>0</v>
      </c>
      <c r="H25" s="290"/>
      <c r="I25" s="291">
        <f>SUM(I12:I24)</f>
        <v>4.8780000000000001</v>
      </c>
    </row>
    <row r="26" spans="1:9">
      <c r="B26" s="293"/>
      <c r="E26" s="219"/>
      <c r="F26" s="219"/>
      <c r="G26" s="294"/>
      <c r="H26" s="295"/>
      <c r="I26" s="296"/>
    </row>
    <row r="27" spans="1:9">
      <c r="A27" s="177" t="s">
        <v>3375</v>
      </c>
      <c r="B27" s="293"/>
      <c r="E27" s="219"/>
      <c r="F27" s="219"/>
      <c r="G27" s="294"/>
      <c r="H27" s="295"/>
      <c r="I27" s="296"/>
    </row>
    <row r="28" spans="1:9">
      <c r="A28" s="177" t="s">
        <v>3376</v>
      </c>
      <c r="B28" s="293"/>
      <c r="E28" s="219"/>
      <c r="F28" s="219"/>
      <c r="G28" s="294"/>
      <c r="H28" s="295"/>
      <c r="I28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3449</v>
      </c>
      <c r="C6" s="303"/>
      <c r="E6" s="304"/>
      <c r="F6" s="305"/>
    </row>
    <row r="7" spans="1:7">
      <c r="A7" s="301"/>
      <c r="B7" s="302" t="s">
        <v>3450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 top'!G22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6.53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1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9" tint="0.39997558519241921"/>
    <pageSetUpPr fitToPage="1"/>
  </sheetPr>
  <dimension ref="A3:J25"/>
  <sheetViews>
    <sheetView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3449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3451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3452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764410</v>
      </c>
      <c r="C12" s="248" t="s">
        <v>3453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781331</v>
      </c>
      <c r="C13" s="248" t="s">
        <v>3413</v>
      </c>
      <c r="D13" s="248" t="s">
        <v>2697</v>
      </c>
      <c r="E13" s="243">
        <v>3</v>
      </c>
      <c r="F13" s="616"/>
      <c r="G13" s="244">
        <f t="shared" si="0"/>
        <v>0</v>
      </c>
      <c r="H13" s="245">
        <v>0.23200000000000001</v>
      </c>
      <c r="I13" s="246">
        <f t="shared" si="1"/>
        <v>0.69600000000000006</v>
      </c>
    </row>
    <row r="14" spans="1:10">
      <c r="A14" s="239">
        <v>3</v>
      </c>
      <c r="B14" s="240">
        <v>782311</v>
      </c>
      <c r="C14" s="248" t="s">
        <v>3390</v>
      </c>
      <c r="D14" s="248" t="s">
        <v>1923</v>
      </c>
      <c r="E14" s="243">
        <v>1</v>
      </c>
      <c r="F14" s="616"/>
      <c r="G14" s="244">
        <f t="shared" si="0"/>
        <v>0</v>
      </c>
      <c r="H14" s="245">
        <v>0.30599999999999999</v>
      </c>
      <c r="I14" s="246">
        <f t="shared" si="1"/>
        <v>0.30599999999999999</v>
      </c>
    </row>
    <row r="15" spans="1:10">
      <c r="A15" s="239">
        <v>4</v>
      </c>
      <c r="B15" s="240">
        <v>788211</v>
      </c>
      <c r="C15" s="248" t="s">
        <v>3403</v>
      </c>
      <c r="D15" s="248" t="s">
        <v>2274</v>
      </c>
      <c r="E15" s="243">
        <v>1</v>
      </c>
      <c r="F15" s="616"/>
      <c r="G15" s="244">
        <f t="shared" si="0"/>
        <v>0</v>
      </c>
      <c r="H15" s="245">
        <v>0.751</v>
      </c>
      <c r="I15" s="246">
        <f t="shared" si="1"/>
        <v>0.751</v>
      </c>
    </row>
    <row r="16" spans="1:10">
      <c r="A16" s="239">
        <v>5</v>
      </c>
      <c r="B16" s="240">
        <v>788312</v>
      </c>
      <c r="C16" s="248" t="s">
        <v>3438</v>
      </c>
      <c r="D16" s="248" t="s">
        <v>2274</v>
      </c>
      <c r="E16" s="243">
        <v>1</v>
      </c>
      <c r="F16" s="616"/>
      <c r="G16" s="244">
        <f t="shared" si="0"/>
        <v>0</v>
      </c>
      <c r="H16" s="245">
        <v>0.751</v>
      </c>
      <c r="I16" s="246">
        <f t="shared" si="1"/>
        <v>0.751</v>
      </c>
    </row>
    <row r="17" spans="1:9">
      <c r="A17" s="239">
        <v>6</v>
      </c>
      <c r="B17" s="240">
        <v>415143</v>
      </c>
      <c r="C17" s="248" t="s">
        <v>3442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0.57699999999999996</v>
      </c>
      <c r="I17" s="246">
        <f t="shared" si="1"/>
        <v>0.57699999999999996</v>
      </c>
    </row>
    <row r="18" spans="1:9">
      <c r="A18" s="239">
        <v>7</v>
      </c>
      <c r="B18" s="240">
        <v>434120</v>
      </c>
      <c r="C18" s="248" t="s">
        <v>3424</v>
      </c>
      <c r="D18" s="248" t="s">
        <v>2697</v>
      </c>
      <c r="E18" s="243">
        <v>6</v>
      </c>
      <c r="F18" s="616"/>
      <c r="G18" s="244">
        <f t="shared" si="0"/>
        <v>0</v>
      </c>
      <c r="H18" s="245">
        <v>0.19</v>
      </c>
      <c r="I18" s="246">
        <f t="shared" si="1"/>
        <v>1.1400000000000001</v>
      </c>
    </row>
    <row r="19" spans="1:9">
      <c r="A19" s="239">
        <v>8</v>
      </c>
      <c r="B19" s="240">
        <v>434121</v>
      </c>
      <c r="C19" s="248" t="s">
        <v>3392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0.19</v>
      </c>
      <c r="I19" s="246">
        <f t="shared" si="1"/>
        <v>0.19</v>
      </c>
    </row>
    <row r="20" spans="1:9">
      <c r="A20" s="239">
        <v>9</v>
      </c>
      <c r="B20" s="240">
        <v>435201</v>
      </c>
      <c r="C20" s="248" t="s">
        <v>3454</v>
      </c>
      <c r="D20" s="248" t="s">
        <v>2697</v>
      </c>
      <c r="E20" s="243">
        <v>3</v>
      </c>
      <c r="F20" s="616"/>
      <c r="G20" s="244">
        <f t="shared" si="0"/>
        <v>0</v>
      </c>
      <c r="H20" s="245">
        <v>0.34799999999999998</v>
      </c>
      <c r="I20" s="246">
        <f t="shared" si="1"/>
        <v>1.044</v>
      </c>
    </row>
    <row r="21" spans="1:9" ht="14.5" thickBot="1">
      <c r="A21" s="253">
        <v>10</v>
      </c>
      <c r="B21" s="254">
        <v>438104</v>
      </c>
      <c r="C21" s="284" t="s">
        <v>3394</v>
      </c>
      <c r="D21" s="284" t="s">
        <v>2697</v>
      </c>
      <c r="E21" s="257">
        <v>2</v>
      </c>
      <c r="F21" s="617"/>
      <c r="G21" s="259">
        <f t="shared" si="0"/>
        <v>0</v>
      </c>
      <c r="H21" s="260">
        <v>0.27600000000000002</v>
      </c>
      <c r="I21" s="261">
        <f t="shared" si="1"/>
        <v>0.55200000000000005</v>
      </c>
    </row>
    <row r="22" spans="1:9" s="272" customFormat="1" ht="14.5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6.5129999999999999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 tint="0.39997558519241921"/>
    <pageSetUpPr fitToPage="1"/>
  </sheetPr>
  <dimension ref="A3:G23"/>
  <sheetViews>
    <sheetView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99" customWidth="1"/>
    <col min="5" max="5" width="23.140625" style="294" customWidth="1"/>
    <col min="6" max="6" width="26.28515625" style="300" customWidth="1"/>
    <col min="7" max="7" width="14.5703125" style="177" hidden="1" customWidth="1"/>
    <col min="8" max="16384" width="14.42578125" style="177"/>
  </cols>
  <sheetData>
    <row r="3" spans="1:7">
      <c r="B3" s="298" t="s">
        <v>1597</v>
      </c>
      <c r="C3" s="272"/>
    </row>
    <row r="4" spans="1:7">
      <c r="A4" s="301"/>
      <c r="B4" s="302" t="s">
        <v>3201</v>
      </c>
      <c r="C4" s="303"/>
    </row>
    <row r="5" spans="1:7">
      <c r="A5" s="301"/>
      <c r="B5" s="302" t="s">
        <v>3202</v>
      </c>
      <c r="C5" s="303"/>
    </row>
    <row r="6" spans="1:7">
      <c r="A6" s="301"/>
      <c r="B6" s="302" t="s">
        <v>3455</v>
      </c>
      <c r="C6" s="303"/>
      <c r="E6" s="304"/>
      <c r="F6" s="305"/>
    </row>
    <row r="7" spans="1:7">
      <c r="A7" s="301"/>
      <c r="B7" s="302" t="s">
        <v>3421</v>
      </c>
      <c r="C7" s="303"/>
      <c r="E7" s="304"/>
      <c r="F7" s="305"/>
    </row>
    <row r="8" spans="1:7" ht="14.5" thickBot="1">
      <c r="A8" s="301"/>
      <c r="B8" s="302"/>
      <c r="C8" s="303"/>
      <c r="E8" s="304"/>
      <c r="F8" s="305"/>
    </row>
    <row r="9" spans="1:7" s="183" customFormat="1" ht="34" customHeight="1" thickBot="1">
      <c r="A9" s="178" t="s">
        <v>3379</v>
      </c>
      <c r="B9" s="179"/>
      <c r="C9" s="179"/>
      <c r="D9" s="306"/>
      <c r="E9" s="307"/>
      <c r="F9" s="308"/>
    </row>
    <row r="10" spans="1:7" ht="14.5" thickBot="1">
      <c r="A10" s="309" t="s">
        <v>3204</v>
      </c>
      <c r="B10" s="310"/>
      <c r="C10" s="310"/>
      <c r="D10" s="311"/>
      <c r="E10" s="312"/>
      <c r="F10" s="313" t="s">
        <v>3206</v>
      </c>
    </row>
    <row r="11" spans="1:7">
      <c r="A11" s="314">
        <v>1</v>
      </c>
      <c r="B11" s="315" t="s">
        <v>3380</v>
      </c>
      <c r="C11" s="315"/>
      <c r="D11" s="316"/>
      <c r="E11" s="317">
        <v>0</v>
      </c>
      <c r="F11" s="318">
        <f>'Soupis položek Rb1;2'!G22</f>
        <v>0</v>
      </c>
      <c r="G11" s="177">
        <v>6</v>
      </c>
    </row>
    <row r="12" spans="1:7" ht="14.5" thickBot="1">
      <c r="A12" s="314">
        <v>2</v>
      </c>
      <c r="B12" s="315" t="s">
        <v>3381</v>
      </c>
      <c r="C12" s="315"/>
      <c r="D12" s="316">
        <v>3</v>
      </c>
      <c r="E12" s="317">
        <f>F11</f>
        <v>0</v>
      </c>
      <c r="F12" s="318">
        <f>D12*E12/100</f>
        <v>0</v>
      </c>
      <c r="G12" s="177">
        <v>7</v>
      </c>
    </row>
    <row r="13" spans="1:7">
      <c r="A13" s="319">
        <v>3</v>
      </c>
      <c r="B13" s="320" t="s">
        <v>2687</v>
      </c>
      <c r="C13" s="320"/>
      <c r="D13" s="321"/>
      <c r="E13" s="322">
        <v>0</v>
      </c>
      <c r="F13" s="323">
        <f>F11+F12</f>
        <v>0</v>
      </c>
      <c r="G13" s="177">
        <v>8</v>
      </c>
    </row>
    <row r="14" spans="1:7">
      <c r="A14" s="324"/>
      <c r="B14" s="325"/>
      <c r="C14" s="325"/>
      <c r="D14" s="326"/>
      <c r="E14" s="327"/>
      <c r="F14" s="328"/>
    </row>
    <row r="15" spans="1:7" ht="14.5" thickBot="1">
      <c r="A15" s="314">
        <v>4</v>
      </c>
      <c r="B15" s="315" t="s">
        <v>3382</v>
      </c>
      <c r="C15" s="315"/>
      <c r="D15" s="316">
        <v>4.26</v>
      </c>
      <c r="E15" s="618"/>
      <c r="F15" s="318">
        <f>D15*E15</f>
        <v>0</v>
      </c>
      <c r="G15" s="177">
        <v>10</v>
      </c>
    </row>
    <row r="16" spans="1:7">
      <c r="A16" s="319">
        <v>5</v>
      </c>
      <c r="B16" s="320" t="s">
        <v>3383</v>
      </c>
      <c r="C16" s="320"/>
      <c r="D16" s="321"/>
      <c r="E16" s="322">
        <v>0</v>
      </c>
      <c r="F16" s="323">
        <f>F13+F15</f>
        <v>0</v>
      </c>
      <c r="G16" s="177">
        <v>17</v>
      </c>
    </row>
    <row r="17" spans="1:7">
      <c r="A17" s="324"/>
      <c r="B17" s="325"/>
      <c r="C17" s="325"/>
      <c r="D17" s="326"/>
      <c r="E17" s="327"/>
      <c r="F17" s="328"/>
    </row>
    <row r="18" spans="1:7" ht="14.5" thickBot="1">
      <c r="A18" s="314">
        <v>6</v>
      </c>
      <c r="B18" s="315" t="s">
        <v>3384</v>
      </c>
      <c r="C18" s="315"/>
      <c r="D18" s="316">
        <v>2</v>
      </c>
      <c r="E18" s="317">
        <v>0</v>
      </c>
      <c r="F18" s="318"/>
      <c r="G18" s="177">
        <v>18</v>
      </c>
    </row>
    <row r="19" spans="1:7" ht="15" thickTop="1" thickBot="1">
      <c r="A19" s="329">
        <v>7</v>
      </c>
      <c r="B19" s="330" t="s">
        <v>2690</v>
      </c>
      <c r="C19" s="330"/>
      <c r="D19" s="331"/>
      <c r="E19" s="332">
        <v>0</v>
      </c>
      <c r="F19" s="333">
        <f>D18*F16</f>
        <v>0</v>
      </c>
      <c r="G19" s="177">
        <v>21</v>
      </c>
    </row>
    <row r="22" spans="1:7">
      <c r="A22" s="177" t="s">
        <v>3375</v>
      </c>
    </row>
    <row r="23" spans="1:7">
      <c r="A23" s="177" t="s">
        <v>3376</v>
      </c>
    </row>
  </sheetData>
  <printOptions horizontalCentered="1"/>
  <pageMargins left="0.78740157499999996" right="0.78740157499999996" top="0.984251969" bottom="0.984251969" header="0.4921259845" footer="0.4921259845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autoPageBreaks="0" fitToPage="1"/>
  </sheetPr>
  <dimension ref="A1:S40"/>
  <sheetViews>
    <sheetView showOutlineSymbols="0" zoomScale="80" zoomScaleNormal="80" workbookViewId="0">
      <pane ySplit="11" topLeftCell="A12" activePane="bottomLeft" state="frozenSplit"/>
      <selection activeCell="C28" sqref="C28"/>
      <selection pane="bottomLeft" activeCell="C28" sqref="C28"/>
    </sheetView>
  </sheetViews>
  <sheetFormatPr defaultColWidth="21.28515625" defaultRowHeight="15" customHeight="1"/>
  <cols>
    <col min="1" max="1" width="13.28515625"/>
    <col min="2" max="8" width="27.42578125"/>
    <col min="9" max="12" width="25"/>
    <col min="13" max="16" width="21.28515625" hidden="1"/>
  </cols>
  <sheetData>
    <row r="1" spans="1:19" ht="22.5" customHeight="1">
      <c r="A1" s="665" t="s">
        <v>2425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9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1960</v>
      </c>
      <c r="J2" s="658" t="str">
        <f>'Stavební rozpočet'!I2</f>
        <v>Obec Malý Újezd</v>
      </c>
      <c r="K2" s="659"/>
      <c r="L2" s="670"/>
    </row>
    <row r="3" spans="1:19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9" ht="15" customHeight="1">
      <c r="A4" s="668" t="s">
        <v>1264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2061</v>
      </c>
      <c r="H4" s="629" t="str">
        <f>'Stavební rozpočet'!F4</f>
        <v xml:space="preserve"> </v>
      </c>
      <c r="I4" s="629" t="s">
        <v>1591</v>
      </c>
      <c r="J4" s="629" t="str">
        <f>'Stavební rozpočet'!I4</f>
        <v> </v>
      </c>
      <c r="K4" s="630"/>
      <c r="L4" s="671"/>
    </row>
    <row r="5" spans="1:19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9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2037</v>
      </c>
      <c r="J6" s="629" t="str">
        <f>'Stavební rozpočet'!I6</f>
        <v>vzejde z výběrového řízení</v>
      </c>
      <c r="K6" s="630"/>
      <c r="L6" s="671"/>
    </row>
    <row r="7" spans="1:19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9" ht="15" customHeight="1">
      <c r="A8" s="668" t="s">
        <v>1126</v>
      </c>
      <c r="B8" s="630"/>
      <c r="C8" s="630"/>
      <c r="D8" s="629" t="str">
        <f>'Stavební rozpočet'!C8</f>
        <v>8018912</v>
      </c>
      <c r="E8" s="630"/>
      <c r="F8" s="630"/>
      <c r="G8" s="629" t="s">
        <v>1302</v>
      </c>
      <c r="H8" s="706">
        <f>'Stavební rozpočet'!F8</f>
        <v>45120</v>
      </c>
      <c r="I8" s="629" t="s">
        <v>1526</v>
      </c>
      <c r="J8" s="629" t="str">
        <f>'Stavební rozpočet'!I8</f>
        <v>Ing. Jiří Šír - VISTA</v>
      </c>
      <c r="K8" s="630"/>
      <c r="L8" s="671"/>
    </row>
    <row r="9" spans="1:19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9" ht="15" customHeight="1">
      <c r="A10" s="57" t="s">
        <v>2144</v>
      </c>
      <c r="B10" s="700" t="s">
        <v>2144</v>
      </c>
      <c r="C10" s="700"/>
      <c r="D10" s="700"/>
      <c r="E10" s="700"/>
      <c r="F10" s="700"/>
      <c r="G10" s="700"/>
      <c r="H10" s="700"/>
      <c r="I10" s="702" t="s">
        <v>1474</v>
      </c>
      <c r="J10" s="703"/>
      <c r="K10" s="704"/>
      <c r="L10" s="66" t="s">
        <v>363</v>
      </c>
    </row>
    <row r="11" spans="1:19" ht="15" customHeight="1">
      <c r="A11" s="27" t="s">
        <v>1712</v>
      </c>
      <c r="B11" s="701" t="s">
        <v>2533</v>
      </c>
      <c r="C11" s="701"/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9" ht="15" customHeight="1">
      <c r="A12" s="568" t="s">
        <v>1763</v>
      </c>
      <c r="B12" s="705" t="s">
        <v>1331</v>
      </c>
      <c r="C12" s="705"/>
      <c r="D12" s="705"/>
      <c r="E12" s="705"/>
      <c r="F12" s="705"/>
      <c r="G12" s="705"/>
      <c r="H12" s="705"/>
      <c r="I12" s="552">
        <f>'Stavební rozpočet'!I12</f>
        <v>0</v>
      </c>
      <c r="J12" s="552">
        <f>'Stavební rozpočet'!J12</f>
        <v>0</v>
      </c>
      <c r="K12" s="552">
        <f>'Stavební rozpočet'!K12</f>
        <v>0</v>
      </c>
      <c r="L12" s="15">
        <f>'Stavební rozpočet'!M12</f>
        <v>693.80982029999996</v>
      </c>
      <c r="M12" s="21" t="s">
        <v>1025</v>
      </c>
      <c r="N12" s="56">
        <f t="shared" ref="N12:N24" si="0">IF(M12="F",0,K12)</f>
        <v>0</v>
      </c>
      <c r="O12" s="12" t="s">
        <v>1763</v>
      </c>
      <c r="P12" s="56">
        <f t="shared" ref="P12:P24" si="1">IF(M12="T",0,K12)</f>
        <v>0</v>
      </c>
      <c r="Q12" s="571" t="s">
        <v>3716</v>
      </c>
      <c r="R12" s="571"/>
      <c r="S12" s="571"/>
    </row>
    <row r="13" spans="1:19" ht="15" customHeight="1">
      <c r="A13" s="568" t="s">
        <v>1610</v>
      </c>
      <c r="B13" s="705" t="s">
        <v>1119</v>
      </c>
      <c r="C13" s="705"/>
      <c r="D13" s="705"/>
      <c r="E13" s="705"/>
      <c r="F13" s="705"/>
      <c r="G13" s="705"/>
      <c r="H13" s="705"/>
      <c r="I13" s="552">
        <f>'Stavební rozpočet'!I106</f>
        <v>0</v>
      </c>
      <c r="J13" s="552">
        <f>'Stavební rozpočet'!J106</f>
        <v>0</v>
      </c>
      <c r="K13" s="552">
        <f>'Stavební rozpočet'!K106</f>
        <v>0</v>
      </c>
      <c r="L13" s="15">
        <f>'Stavební rozpočet'!M106</f>
        <v>27.527867500000003</v>
      </c>
      <c r="M13" s="21" t="s">
        <v>1025</v>
      </c>
      <c r="N13" s="56">
        <f t="shared" si="0"/>
        <v>0</v>
      </c>
      <c r="O13" s="12" t="s">
        <v>1610</v>
      </c>
      <c r="P13" s="56">
        <f t="shared" si="1"/>
        <v>0</v>
      </c>
      <c r="Q13" s="571" t="s">
        <v>3716</v>
      </c>
      <c r="R13" s="571"/>
      <c r="S13" s="571"/>
    </row>
    <row r="14" spans="1:19" ht="15" customHeight="1">
      <c r="A14" s="569" t="s">
        <v>1746</v>
      </c>
      <c r="B14" s="695" t="s">
        <v>1420</v>
      </c>
      <c r="C14" s="695"/>
      <c r="D14" s="695"/>
      <c r="E14" s="695"/>
      <c r="F14" s="695"/>
      <c r="G14" s="695"/>
      <c r="H14" s="695"/>
      <c r="I14" s="551">
        <f>'Stavební rozpočet'!I183</f>
        <v>0</v>
      </c>
      <c r="J14" s="551">
        <f>'Stavební rozpočet'!J183</f>
        <v>0</v>
      </c>
      <c r="K14" s="551">
        <f>'Stavební rozpočet'!K183</f>
        <v>0</v>
      </c>
      <c r="L14" s="15">
        <f>'Stavební rozpočet'!M183</f>
        <v>961.56724929999996</v>
      </c>
      <c r="M14" s="21" t="s">
        <v>1025</v>
      </c>
      <c r="N14" s="56">
        <f t="shared" si="0"/>
        <v>0</v>
      </c>
      <c r="O14" s="12" t="s">
        <v>1746</v>
      </c>
      <c r="P14" s="56">
        <f t="shared" si="1"/>
        <v>0</v>
      </c>
      <c r="Q14" s="571" t="s">
        <v>3717</v>
      </c>
      <c r="R14" s="571"/>
      <c r="S14" s="571"/>
    </row>
    <row r="15" spans="1:19" ht="15" customHeight="1">
      <c r="A15" s="569" t="s">
        <v>527</v>
      </c>
      <c r="B15" s="695" t="s">
        <v>1906</v>
      </c>
      <c r="C15" s="695"/>
      <c r="D15" s="695"/>
      <c r="E15" s="695"/>
      <c r="F15" s="695"/>
      <c r="G15" s="695"/>
      <c r="H15" s="695"/>
      <c r="I15" s="551">
        <f>'Stavební rozpočet'!I732</f>
        <v>0</v>
      </c>
      <c r="J15" s="551">
        <f>'Stavební rozpočet'!J732</f>
        <v>0</v>
      </c>
      <c r="K15" s="551">
        <f>'Stavební rozpočet'!K732</f>
        <v>0</v>
      </c>
      <c r="L15" s="15">
        <f>'Stavební rozpočet'!M732</f>
        <v>272.24063340000004</v>
      </c>
      <c r="M15" s="21" t="s">
        <v>1025</v>
      </c>
      <c r="N15" s="56">
        <f t="shared" si="0"/>
        <v>0</v>
      </c>
      <c r="O15" s="12" t="s">
        <v>527</v>
      </c>
      <c r="P15" s="56">
        <f t="shared" si="1"/>
        <v>0</v>
      </c>
      <c r="Q15" s="571" t="s">
        <v>3717</v>
      </c>
      <c r="R15" s="571"/>
      <c r="S15" s="571"/>
    </row>
    <row r="16" spans="1:19" ht="15" customHeight="1">
      <c r="A16" s="531" t="s">
        <v>941</v>
      </c>
      <c r="B16" s="696" t="s">
        <v>152</v>
      </c>
      <c r="C16" s="696"/>
      <c r="D16" s="696"/>
      <c r="E16" s="696"/>
      <c r="F16" s="696"/>
      <c r="G16" s="696"/>
      <c r="H16" s="696"/>
      <c r="I16" s="517">
        <f>'Stavební rozpočet'!I1084</f>
        <v>0</v>
      </c>
      <c r="J16" s="517">
        <f>'Stavební rozpočet'!J1084</f>
        <v>0</v>
      </c>
      <c r="K16" s="517">
        <f>'Stavební rozpočet'!K1084</f>
        <v>0</v>
      </c>
      <c r="L16" s="15">
        <f>'Stavební rozpočet'!M1084</f>
        <v>0</v>
      </c>
      <c r="M16" s="21" t="s">
        <v>1025</v>
      </c>
      <c r="N16" s="56">
        <f t="shared" si="0"/>
        <v>0</v>
      </c>
      <c r="O16" s="12" t="s">
        <v>941</v>
      </c>
      <c r="P16" s="56">
        <f t="shared" si="1"/>
        <v>0</v>
      </c>
      <c r="Q16" s="571" t="s">
        <v>3720</v>
      </c>
      <c r="R16" s="571"/>
      <c r="S16" s="571"/>
    </row>
    <row r="17" spans="1:19" ht="15" customHeight="1">
      <c r="A17" s="531" t="s">
        <v>12</v>
      </c>
      <c r="B17" s="696" t="s">
        <v>2222</v>
      </c>
      <c r="C17" s="696"/>
      <c r="D17" s="696"/>
      <c r="E17" s="696"/>
      <c r="F17" s="696"/>
      <c r="G17" s="696"/>
      <c r="H17" s="696"/>
      <c r="I17" s="517">
        <f>'Stavební rozpočet'!I1088</f>
        <v>0</v>
      </c>
      <c r="J17" s="517">
        <f>'Stavební rozpočet'!J1088</f>
        <v>0</v>
      </c>
      <c r="K17" s="517">
        <f>'Stavební rozpočet'!K1088</f>
        <v>0</v>
      </c>
      <c r="L17" s="15">
        <f>'Stavební rozpočet'!M1088</f>
        <v>0</v>
      </c>
      <c r="M17" s="21" t="s">
        <v>1025</v>
      </c>
      <c r="N17" s="56">
        <f t="shared" si="0"/>
        <v>0</v>
      </c>
      <c r="O17" s="12" t="s">
        <v>12</v>
      </c>
      <c r="P17" s="56">
        <f t="shared" si="1"/>
        <v>0</v>
      </c>
      <c r="Q17" s="571" t="s">
        <v>3720</v>
      </c>
      <c r="R17" s="571"/>
      <c r="S17" s="571"/>
    </row>
    <row r="18" spans="1:19" ht="15" customHeight="1">
      <c r="A18" s="531" t="s">
        <v>1452</v>
      </c>
      <c r="B18" s="696" t="s">
        <v>2478</v>
      </c>
      <c r="C18" s="696"/>
      <c r="D18" s="696"/>
      <c r="E18" s="696"/>
      <c r="F18" s="696"/>
      <c r="G18" s="696"/>
      <c r="H18" s="696"/>
      <c r="I18" s="517">
        <f>'Stavební rozpočet'!I1092</f>
        <v>0</v>
      </c>
      <c r="J18" s="517">
        <f>'Stavební rozpočet'!J1092</f>
        <v>0</v>
      </c>
      <c r="K18" s="517">
        <f>'Stavební rozpočet'!K1092</f>
        <v>0</v>
      </c>
      <c r="L18" s="15">
        <f>'Stavební rozpočet'!M1092</f>
        <v>0</v>
      </c>
      <c r="M18" s="21" t="s">
        <v>1025</v>
      </c>
      <c r="N18" s="56">
        <f t="shared" si="0"/>
        <v>0</v>
      </c>
      <c r="O18" s="12" t="s">
        <v>1452</v>
      </c>
      <c r="P18" s="56">
        <f t="shared" si="1"/>
        <v>0</v>
      </c>
      <c r="Q18" s="571" t="s">
        <v>3720</v>
      </c>
      <c r="R18" s="571"/>
      <c r="S18" s="571"/>
    </row>
    <row r="19" spans="1:19" ht="15" customHeight="1">
      <c r="A19" s="565" t="s">
        <v>714</v>
      </c>
      <c r="B19" s="697" t="s">
        <v>1535</v>
      </c>
      <c r="C19" s="697"/>
      <c r="D19" s="697"/>
      <c r="E19" s="697"/>
      <c r="F19" s="697"/>
      <c r="G19" s="697"/>
      <c r="H19" s="697"/>
      <c r="I19" s="550">
        <f>'Stavební rozpočet'!I1096</f>
        <v>0</v>
      </c>
      <c r="J19" s="550">
        <f>'Stavební rozpočet'!J1096</f>
        <v>0</v>
      </c>
      <c r="K19" s="550">
        <f>'Stavební rozpočet'!K1096</f>
        <v>0</v>
      </c>
      <c r="L19" s="15">
        <f>'Stavební rozpočet'!M1096</f>
        <v>129.62463810000003</v>
      </c>
      <c r="M19" s="21" t="s">
        <v>1025</v>
      </c>
      <c r="N19" s="56">
        <f t="shared" si="0"/>
        <v>0</v>
      </c>
      <c r="O19" s="12" t="s">
        <v>714</v>
      </c>
      <c r="P19" s="56">
        <f t="shared" si="1"/>
        <v>0</v>
      </c>
      <c r="Q19" s="571" t="s">
        <v>3718</v>
      </c>
      <c r="R19" s="571"/>
      <c r="S19" s="571"/>
    </row>
    <row r="20" spans="1:19" ht="15" customHeight="1">
      <c r="A20" s="531" t="s">
        <v>225</v>
      </c>
      <c r="B20" s="696" t="s">
        <v>1895</v>
      </c>
      <c r="C20" s="696"/>
      <c r="D20" s="696"/>
      <c r="E20" s="696"/>
      <c r="F20" s="696"/>
      <c r="G20" s="696"/>
      <c r="H20" s="696"/>
      <c r="I20" s="517">
        <f>'Stavební rozpočet'!I1340</f>
        <v>0</v>
      </c>
      <c r="J20" s="517">
        <f>'Stavební rozpočet'!J1340</f>
        <v>0</v>
      </c>
      <c r="K20" s="517">
        <f>'Stavební rozpočet'!K1340</f>
        <v>0</v>
      </c>
      <c r="L20" s="15">
        <f>'Stavební rozpočet'!M1340</f>
        <v>0</v>
      </c>
      <c r="M20" s="21" t="s">
        <v>1025</v>
      </c>
      <c r="N20" s="56">
        <f t="shared" si="0"/>
        <v>0</v>
      </c>
      <c r="O20" s="12" t="s">
        <v>225</v>
      </c>
      <c r="P20" s="56">
        <f t="shared" si="1"/>
        <v>0</v>
      </c>
      <c r="Q20" s="571" t="s">
        <v>3720</v>
      </c>
      <c r="R20" s="571"/>
      <c r="S20" s="571"/>
    </row>
    <row r="21" spans="1:19" ht="15" customHeight="1">
      <c r="A21" s="531" t="s">
        <v>1681</v>
      </c>
      <c r="B21" s="696" t="s">
        <v>1984</v>
      </c>
      <c r="C21" s="696"/>
      <c r="D21" s="696"/>
      <c r="E21" s="696"/>
      <c r="F21" s="696"/>
      <c r="G21" s="696"/>
      <c r="H21" s="696"/>
      <c r="I21" s="517">
        <f>'Stavební rozpočet'!I1344</f>
        <v>0</v>
      </c>
      <c r="J21" s="517">
        <f>'Stavební rozpočet'!J1344</f>
        <v>0</v>
      </c>
      <c r="K21" s="517">
        <f>'Stavební rozpočet'!K1344</f>
        <v>0</v>
      </c>
      <c r="L21" s="15">
        <f>'Stavební rozpočet'!M1344</f>
        <v>0</v>
      </c>
      <c r="M21" s="21" t="s">
        <v>1025</v>
      </c>
      <c r="N21" s="56">
        <f t="shared" si="0"/>
        <v>0</v>
      </c>
      <c r="O21" s="12" t="s">
        <v>1681</v>
      </c>
      <c r="P21" s="56">
        <f t="shared" si="1"/>
        <v>0</v>
      </c>
      <c r="Q21" s="571" t="s">
        <v>3720</v>
      </c>
      <c r="R21" s="571"/>
      <c r="S21" s="571"/>
    </row>
    <row r="22" spans="1:19" ht="15" customHeight="1">
      <c r="A22" s="531" t="s">
        <v>902</v>
      </c>
      <c r="B22" s="696" t="s">
        <v>193</v>
      </c>
      <c r="C22" s="696"/>
      <c r="D22" s="696"/>
      <c r="E22" s="696"/>
      <c r="F22" s="696"/>
      <c r="G22" s="696"/>
      <c r="H22" s="696"/>
      <c r="I22" s="517">
        <f>'Stavební rozpočet'!I1348</f>
        <v>0</v>
      </c>
      <c r="J22" s="517">
        <f>'Stavební rozpočet'!J1348</f>
        <v>0</v>
      </c>
      <c r="K22" s="517">
        <f>'Stavební rozpočet'!K1348</f>
        <v>0</v>
      </c>
      <c r="L22" s="15">
        <f>'Stavební rozpočet'!M1348</f>
        <v>88.402851600000005</v>
      </c>
      <c r="M22" s="21" t="s">
        <v>1025</v>
      </c>
      <c r="N22" s="56">
        <f t="shared" si="0"/>
        <v>0</v>
      </c>
      <c r="O22" s="12" t="s">
        <v>902</v>
      </c>
      <c r="P22" s="56">
        <f t="shared" si="1"/>
        <v>0</v>
      </c>
      <c r="Q22" s="571" t="s">
        <v>3720</v>
      </c>
      <c r="R22" s="571"/>
      <c r="S22" s="571"/>
    </row>
    <row r="23" spans="1:19" ht="15" customHeight="1">
      <c r="A23" s="564" t="s">
        <v>119</v>
      </c>
      <c r="B23" s="698" t="s">
        <v>466</v>
      </c>
      <c r="C23" s="698"/>
      <c r="D23" s="698"/>
      <c r="E23" s="698"/>
      <c r="F23" s="698"/>
      <c r="G23" s="698"/>
      <c r="H23" s="698"/>
      <c r="I23" s="528">
        <f>'Stavební rozpočet'!I1446</f>
        <v>0</v>
      </c>
      <c r="J23" s="528">
        <f>'Stavební rozpočet'!J1446</f>
        <v>0</v>
      </c>
      <c r="K23" s="528">
        <f>'Stavební rozpočet'!K1446</f>
        <v>0</v>
      </c>
      <c r="L23" s="15">
        <f>'Stavební rozpočet'!M1446</f>
        <v>40.253705200000006</v>
      </c>
      <c r="M23" s="21" t="s">
        <v>1025</v>
      </c>
      <c r="N23" s="56">
        <f t="shared" si="0"/>
        <v>0</v>
      </c>
      <c r="O23" s="12" t="s">
        <v>119</v>
      </c>
      <c r="P23" s="56">
        <f t="shared" si="1"/>
        <v>0</v>
      </c>
      <c r="Q23" s="571" t="s">
        <v>3719</v>
      </c>
      <c r="R23" s="571"/>
      <c r="S23" s="571"/>
    </row>
    <row r="24" spans="1:19" ht="15" customHeight="1">
      <c r="A24" s="566" t="s">
        <v>264</v>
      </c>
      <c r="B24" s="699" t="s">
        <v>1411</v>
      </c>
      <c r="C24" s="699"/>
      <c r="D24" s="699"/>
      <c r="E24" s="699"/>
      <c r="F24" s="699"/>
      <c r="G24" s="699"/>
      <c r="H24" s="699"/>
      <c r="I24" s="567">
        <f>'Stavební rozpočet'!I1551</f>
        <v>0</v>
      </c>
      <c r="J24" s="567">
        <f>'Stavební rozpočet'!J1551</f>
        <v>0</v>
      </c>
      <c r="K24" s="567">
        <f>'Stavební rozpočet'!K1551</f>
        <v>0</v>
      </c>
      <c r="L24" s="55">
        <f>'Stavební rozpočet'!M1551</f>
        <v>8.2453949999999985</v>
      </c>
      <c r="M24" s="21" t="s">
        <v>1025</v>
      </c>
      <c r="N24" s="56">
        <f t="shared" si="0"/>
        <v>0</v>
      </c>
      <c r="O24" s="12" t="s">
        <v>264</v>
      </c>
      <c r="P24" s="56">
        <f t="shared" si="1"/>
        <v>0</v>
      </c>
      <c r="Q24" s="571" t="s">
        <v>3718</v>
      </c>
      <c r="R24" s="571"/>
      <c r="S24" s="571"/>
    </row>
    <row r="25" spans="1:19" ht="15" customHeight="1">
      <c r="I25" s="663" t="s">
        <v>1831</v>
      </c>
      <c r="J25" s="663"/>
      <c r="K25" s="14">
        <f>SUM(P12:P24)</f>
        <v>0</v>
      </c>
    </row>
    <row r="26" spans="1:19" ht="15" customHeight="1">
      <c r="A26" s="52" t="s">
        <v>200</v>
      </c>
      <c r="B26" s="570" t="s">
        <v>3714</v>
      </c>
    </row>
    <row r="27" spans="1:19" ht="12.75" customHeight="1">
      <c r="A27" s="694" t="s">
        <v>3715</v>
      </c>
      <c r="B27" s="630"/>
      <c r="C27" s="630"/>
      <c r="D27" s="630"/>
      <c r="E27" s="630"/>
      <c r="F27" s="630"/>
      <c r="G27" s="630"/>
      <c r="H27" s="630"/>
      <c r="I27" s="630"/>
      <c r="J27" s="630"/>
      <c r="K27" s="630"/>
      <c r="L27" s="630"/>
    </row>
    <row r="28" spans="1:19" ht="15" customHeight="1">
      <c r="B28" s="522"/>
      <c r="C28" t="s">
        <v>3708</v>
      </c>
    </row>
    <row r="29" spans="1:19" ht="15" customHeight="1">
      <c r="B29" s="535"/>
      <c r="C29" t="s">
        <v>3709</v>
      </c>
    </row>
    <row r="30" spans="1:19" ht="15" customHeight="1">
      <c r="B30" s="555"/>
      <c r="C30" s="558" t="s">
        <v>3713</v>
      </c>
    </row>
    <row r="32" spans="1:19" ht="15" customHeight="1">
      <c r="B32" s="510"/>
      <c r="C32" t="s">
        <v>3710</v>
      </c>
    </row>
    <row r="33" spans="2:3" ht="15" customHeight="1">
      <c r="B33" s="544"/>
      <c r="C33" t="s">
        <v>3711</v>
      </c>
    </row>
    <row r="34" spans="2:3" ht="15" customHeight="1">
      <c r="B34" s="545"/>
      <c r="C34" t="s">
        <v>3712</v>
      </c>
    </row>
    <row r="39" spans="2:3" ht="15" customHeight="1">
      <c r="C39" s="558"/>
    </row>
    <row r="40" spans="2:3" ht="15" customHeight="1">
      <c r="C40" s="558"/>
    </row>
  </sheetData>
  <mergeCells count="43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J2:L3"/>
    <mergeCell ref="J4:L5"/>
    <mergeCell ref="J6:L7"/>
    <mergeCell ref="J8:L9"/>
    <mergeCell ref="G4:G5"/>
    <mergeCell ref="G6:G7"/>
    <mergeCell ref="B14:H14"/>
    <mergeCell ref="I2:I3"/>
    <mergeCell ref="I4:I5"/>
    <mergeCell ref="I6:I7"/>
    <mergeCell ref="I8:I9"/>
    <mergeCell ref="B10:H10"/>
    <mergeCell ref="B11:H11"/>
    <mergeCell ref="I10:K10"/>
    <mergeCell ref="B12:H12"/>
    <mergeCell ref="B13:H13"/>
    <mergeCell ref="G8:G9"/>
    <mergeCell ref="H2:H3"/>
    <mergeCell ref="H4:H5"/>
    <mergeCell ref="H6:H7"/>
    <mergeCell ref="H8:H9"/>
    <mergeCell ref="A27:L27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I25:J25"/>
  </mergeCells>
  <pageMargins left="0.39400000000000002" right="0.39400000000000002" top="0.59099999999999997" bottom="0.59099999999999997" header="0" footer="0"/>
  <pageSetup paperSize="9" scale="58" firstPageNumber="0" fitToHeight="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 tint="0.39997558519241921"/>
    <pageSetUpPr fitToPage="1"/>
  </sheetPr>
  <dimension ref="A3:J25"/>
  <sheetViews>
    <sheetView topLeftCell="A4" workbookViewId="0">
      <selection activeCell="C28" sqref="C28"/>
    </sheetView>
  </sheetViews>
  <sheetFormatPr defaultColWidth="14.42578125" defaultRowHeight="14"/>
  <cols>
    <col min="1" max="1" width="6.5703125" style="177" bestFit="1" customWidth="1"/>
    <col min="2" max="2" width="15.7109375" style="177" bestFit="1" customWidth="1"/>
    <col min="3" max="3" width="84" style="177" bestFit="1" customWidth="1"/>
    <col min="4" max="4" width="5.5703125" style="177" bestFit="1" customWidth="1"/>
    <col min="5" max="5" width="13" style="177" bestFit="1" customWidth="1"/>
    <col min="6" max="6" width="12.85546875" style="177" bestFit="1" customWidth="1"/>
    <col min="7" max="7" width="18.140625" style="177" bestFit="1" customWidth="1"/>
    <col min="8" max="8" width="10.5703125" style="177" bestFit="1" customWidth="1"/>
    <col min="9" max="9" width="16" style="177" bestFit="1" customWidth="1"/>
    <col min="10" max="16384" width="14.42578125" style="177"/>
  </cols>
  <sheetData>
    <row r="3" spans="1:10">
      <c r="A3" s="303"/>
      <c r="B3" s="302" t="s">
        <v>1597</v>
      </c>
      <c r="C3" s="303"/>
      <c r="D3" s="303"/>
      <c r="E3" s="303"/>
      <c r="F3" s="303"/>
      <c r="G3" s="303"/>
      <c r="H3" s="303"/>
      <c r="I3" s="303"/>
      <c r="J3" s="303"/>
    </row>
    <row r="4" spans="1:10">
      <c r="A4" s="303"/>
      <c r="B4" s="302" t="s">
        <v>3201</v>
      </c>
      <c r="C4" s="303"/>
      <c r="D4" s="303"/>
      <c r="E4" s="303"/>
      <c r="F4" s="303"/>
      <c r="G4" s="303"/>
      <c r="H4" s="303"/>
      <c r="I4" s="303"/>
      <c r="J4" s="303"/>
    </row>
    <row r="5" spans="1:10">
      <c r="A5" s="303"/>
      <c r="B5" s="302" t="s">
        <v>3202</v>
      </c>
      <c r="C5" s="303"/>
      <c r="D5" s="303"/>
      <c r="E5" s="303"/>
      <c r="F5" s="303"/>
      <c r="G5" s="303"/>
      <c r="H5" s="303"/>
      <c r="I5" s="303"/>
      <c r="J5" s="303"/>
    </row>
    <row r="6" spans="1:10">
      <c r="A6" s="303"/>
      <c r="B6" s="302" t="s">
        <v>3455</v>
      </c>
      <c r="C6" s="303"/>
      <c r="D6" s="303"/>
      <c r="E6" s="303"/>
      <c r="F6" s="303"/>
      <c r="G6" s="303"/>
      <c r="H6" s="303"/>
      <c r="I6" s="303"/>
      <c r="J6" s="303"/>
    </row>
    <row r="7" spans="1:10">
      <c r="A7" s="303"/>
      <c r="B7" s="302" t="s">
        <v>3385</v>
      </c>
      <c r="C7" s="303"/>
      <c r="D7" s="303"/>
      <c r="E7" s="303"/>
      <c r="F7" s="303"/>
      <c r="G7" s="303"/>
      <c r="H7" s="303"/>
      <c r="I7" s="303"/>
      <c r="J7" s="303"/>
    </row>
    <row r="8" spans="1:10">
      <c r="A8" s="303"/>
      <c r="B8" s="302"/>
      <c r="C8" s="303"/>
      <c r="D8" s="303"/>
      <c r="E8" s="303"/>
      <c r="F8" s="303"/>
      <c r="G8" s="303"/>
      <c r="H8" s="303"/>
      <c r="I8" s="303"/>
      <c r="J8" s="303"/>
    </row>
    <row r="9" spans="1:10" s="183" customFormat="1" ht="34" customHeight="1" thickBot="1">
      <c r="A9" s="223" t="s">
        <v>3235</v>
      </c>
      <c r="B9" s="223"/>
      <c r="C9" s="223"/>
      <c r="D9" s="223"/>
      <c r="E9" s="223"/>
      <c r="F9" s="223"/>
      <c r="G9" s="223"/>
      <c r="H9" s="223"/>
      <c r="I9" s="223"/>
    </row>
    <row r="10" spans="1:10" ht="14.5" thickBot="1">
      <c r="A10" s="227" t="s">
        <v>3204</v>
      </c>
      <c r="B10" s="226" t="s">
        <v>3236</v>
      </c>
      <c r="C10" s="227" t="s">
        <v>3237</v>
      </c>
      <c r="D10" s="227" t="s">
        <v>3238</v>
      </c>
      <c r="E10" s="228" t="s">
        <v>3239</v>
      </c>
      <c r="F10" s="228" t="s">
        <v>3386</v>
      </c>
      <c r="G10" s="229" t="s">
        <v>3241</v>
      </c>
      <c r="H10" s="230" t="s">
        <v>3242</v>
      </c>
      <c r="I10" s="334" t="s">
        <v>3243</v>
      </c>
    </row>
    <row r="11" spans="1:10" s="221" customFormat="1" ht="20.149999999999999" customHeight="1">
      <c r="A11" s="335"/>
      <c r="B11" s="336" t="s">
        <v>3456</v>
      </c>
      <c r="C11" s="337"/>
      <c r="D11" s="337"/>
      <c r="E11" s="338"/>
      <c r="F11" s="338"/>
      <c r="G11" s="339"/>
      <c r="H11" s="340"/>
      <c r="I11" s="341"/>
    </row>
    <row r="12" spans="1:10">
      <c r="A12" s="239">
        <v>1</v>
      </c>
      <c r="B12" s="240">
        <v>764113</v>
      </c>
      <c r="C12" s="248" t="s">
        <v>3432</v>
      </c>
      <c r="D12" s="248" t="s">
        <v>2697</v>
      </c>
      <c r="E12" s="243">
        <v>1</v>
      </c>
      <c r="F12" s="616"/>
      <c r="G12" s="244">
        <f t="shared" ref="G12:G21" si="0">E12*F12</f>
        <v>0</v>
      </c>
      <c r="H12" s="245">
        <v>0.50600000000000001</v>
      </c>
      <c r="I12" s="246">
        <f t="shared" ref="I12:I21" si="1">E12*H12</f>
        <v>0.50600000000000001</v>
      </c>
    </row>
    <row r="13" spans="1:10">
      <c r="A13" s="239">
        <v>2</v>
      </c>
      <c r="B13" s="240">
        <v>764123</v>
      </c>
      <c r="C13" s="248" t="s">
        <v>3681</v>
      </c>
      <c r="D13" s="248" t="s">
        <v>2697</v>
      </c>
      <c r="E13" s="243">
        <v>1</v>
      </c>
      <c r="F13" s="616"/>
      <c r="G13" s="244">
        <f t="shared" si="0"/>
        <v>0</v>
      </c>
      <c r="H13" s="245">
        <v>0.11600000000000001</v>
      </c>
      <c r="I13" s="246">
        <f t="shared" si="1"/>
        <v>0.11600000000000001</v>
      </c>
    </row>
    <row r="14" spans="1:10">
      <c r="A14" s="239">
        <v>3</v>
      </c>
      <c r="B14" s="240">
        <v>781331</v>
      </c>
      <c r="C14" s="248" t="s">
        <v>3413</v>
      </c>
      <c r="D14" s="248" t="s">
        <v>2697</v>
      </c>
      <c r="E14" s="243">
        <v>2</v>
      </c>
      <c r="F14" s="616"/>
      <c r="G14" s="244">
        <f t="shared" si="0"/>
        <v>0</v>
      </c>
      <c r="H14" s="245">
        <v>0.23200000000000001</v>
      </c>
      <c r="I14" s="246">
        <f t="shared" si="1"/>
        <v>0.46400000000000002</v>
      </c>
    </row>
    <row r="15" spans="1:10">
      <c r="A15" s="239">
        <v>4</v>
      </c>
      <c r="B15" s="240">
        <v>782311</v>
      </c>
      <c r="C15" s="248" t="s">
        <v>3390</v>
      </c>
      <c r="D15" s="248" t="s">
        <v>1923</v>
      </c>
      <c r="E15" s="243">
        <v>1</v>
      </c>
      <c r="F15" s="616"/>
      <c r="G15" s="244">
        <f t="shared" si="0"/>
        <v>0</v>
      </c>
      <c r="H15" s="245">
        <v>0.30599999999999999</v>
      </c>
      <c r="I15" s="246">
        <f t="shared" si="1"/>
        <v>0.30599999999999999</v>
      </c>
    </row>
    <row r="16" spans="1:10">
      <c r="A16" s="239">
        <v>5</v>
      </c>
      <c r="B16" s="240">
        <v>415142</v>
      </c>
      <c r="C16" s="248" t="s">
        <v>3391</v>
      </c>
      <c r="D16" s="248" t="s">
        <v>2697</v>
      </c>
      <c r="E16" s="243">
        <v>1</v>
      </c>
      <c r="F16" s="616"/>
      <c r="G16" s="244">
        <f t="shared" si="0"/>
        <v>0</v>
      </c>
      <c r="H16" s="245">
        <v>0.34799999999999998</v>
      </c>
      <c r="I16" s="246">
        <f t="shared" si="1"/>
        <v>0.34799999999999998</v>
      </c>
    </row>
    <row r="17" spans="1:9">
      <c r="A17" s="239">
        <v>6</v>
      </c>
      <c r="B17" s="240">
        <v>434134</v>
      </c>
      <c r="C17" s="248" t="s">
        <v>3393</v>
      </c>
      <c r="D17" s="248" t="s">
        <v>2697</v>
      </c>
      <c r="E17" s="243">
        <v>1</v>
      </c>
      <c r="F17" s="616"/>
      <c r="G17" s="244">
        <f t="shared" si="0"/>
        <v>0</v>
      </c>
      <c r="H17" s="245">
        <v>0.19</v>
      </c>
      <c r="I17" s="246">
        <f t="shared" si="1"/>
        <v>0.19</v>
      </c>
    </row>
    <row r="18" spans="1:9">
      <c r="A18" s="239">
        <v>7</v>
      </c>
      <c r="B18" s="240">
        <v>434121</v>
      </c>
      <c r="C18" s="248" t="s">
        <v>3392</v>
      </c>
      <c r="D18" s="248" t="s">
        <v>2697</v>
      </c>
      <c r="E18" s="243">
        <v>3</v>
      </c>
      <c r="F18" s="616"/>
      <c r="G18" s="244">
        <f t="shared" si="0"/>
        <v>0</v>
      </c>
      <c r="H18" s="245">
        <v>0.19</v>
      </c>
      <c r="I18" s="246">
        <f t="shared" si="1"/>
        <v>0.57000000000000006</v>
      </c>
    </row>
    <row r="19" spans="1:9">
      <c r="A19" s="239">
        <v>8</v>
      </c>
      <c r="B19" s="240">
        <v>435203</v>
      </c>
      <c r="C19" s="248" t="s">
        <v>3443</v>
      </c>
      <c r="D19" s="248" t="s">
        <v>2697</v>
      </c>
      <c r="E19" s="243">
        <v>1</v>
      </c>
      <c r="F19" s="616"/>
      <c r="G19" s="244">
        <f t="shared" si="0"/>
        <v>0</v>
      </c>
      <c r="H19" s="245">
        <v>0.34799999999999998</v>
      </c>
      <c r="I19" s="246">
        <f t="shared" si="1"/>
        <v>0.34799999999999998</v>
      </c>
    </row>
    <row r="20" spans="1:9">
      <c r="A20" s="239">
        <v>9</v>
      </c>
      <c r="B20" s="240">
        <v>438104</v>
      </c>
      <c r="C20" s="248" t="s">
        <v>3394</v>
      </c>
      <c r="D20" s="248" t="s">
        <v>2697</v>
      </c>
      <c r="E20" s="243">
        <v>4</v>
      </c>
      <c r="F20" s="616"/>
      <c r="G20" s="244">
        <f t="shared" si="0"/>
        <v>0</v>
      </c>
      <c r="H20" s="245">
        <v>0.27600000000000002</v>
      </c>
      <c r="I20" s="246">
        <f t="shared" si="1"/>
        <v>1.1040000000000001</v>
      </c>
    </row>
    <row r="21" spans="1:9" ht="14.5" thickBot="1">
      <c r="A21" s="253">
        <v>10</v>
      </c>
      <c r="B21" s="254">
        <v>438102</v>
      </c>
      <c r="C21" s="284" t="s">
        <v>3428</v>
      </c>
      <c r="D21" s="284" t="s">
        <v>2697</v>
      </c>
      <c r="E21" s="257">
        <v>1</v>
      </c>
      <c r="F21" s="617"/>
      <c r="G21" s="259">
        <f t="shared" si="0"/>
        <v>0</v>
      </c>
      <c r="H21" s="260">
        <v>0.27600000000000002</v>
      </c>
      <c r="I21" s="261">
        <f t="shared" si="1"/>
        <v>0.27600000000000002</v>
      </c>
    </row>
    <row r="22" spans="1:9" s="272" customFormat="1" ht="14.5" thickBot="1">
      <c r="A22" s="285"/>
      <c r="B22" s="286"/>
      <c r="C22" s="287" t="s">
        <v>3263</v>
      </c>
      <c r="D22" s="287"/>
      <c r="E22" s="288"/>
      <c r="F22" s="288"/>
      <c r="G22" s="289">
        <f>SUM(G12:G21)</f>
        <v>0</v>
      </c>
      <c r="H22" s="290"/>
      <c r="I22" s="291">
        <f>SUM(I12:I21)</f>
        <v>4.2279999999999998</v>
      </c>
    </row>
    <row r="23" spans="1:9">
      <c r="B23" s="293"/>
      <c r="E23" s="219"/>
      <c r="F23" s="219"/>
      <c r="G23" s="294"/>
      <c r="H23" s="295"/>
      <c r="I23" s="296"/>
    </row>
    <row r="24" spans="1:9">
      <c r="A24" s="177" t="s">
        <v>3375</v>
      </c>
      <c r="B24" s="293"/>
      <c r="E24" s="219"/>
      <c r="F24" s="219"/>
      <c r="G24" s="294"/>
      <c r="H24" s="295"/>
      <c r="I24" s="296"/>
    </row>
    <row r="25" spans="1:9">
      <c r="A25" s="177" t="s">
        <v>3376</v>
      </c>
      <c r="B25" s="293"/>
      <c r="E25" s="219"/>
      <c r="F25" s="219"/>
      <c r="G25" s="294"/>
      <c r="H25" s="295"/>
      <c r="I25" s="296"/>
    </row>
  </sheetData>
  <printOptions horizontalCentered="1"/>
  <pageMargins left="0.7" right="0.7" top="0.78740157499999996" bottom="0.78740157499999996" header="0.3" footer="0.3"/>
  <pageSetup paperSize="9" scale="80" fitToHeight="0" orientation="portrait" r:id="rId1"/>
  <headerFooter>
    <oddFooter>&amp;CStrana &amp;P z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70C0"/>
  </sheetPr>
  <dimension ref="A1:E43"/>
  <sheetViews>
    <sheetView topLeftCell="A3" workbookViewId="0">
      <selection activeCell="C28" sqref="C28"/>
    </sheetView>
  </sheetViews>
  <sheetFormatPr defaultRowHeight="14.5"/>
  <cols>
    <col min="1" max="1" width="34.5703125" customWidth="1"/>
    <col min="2" max="2" width="40.28515625" customWidth="1"/>
    <col min="3" max="3" width="30.7109375" customWidth="1"/>
    <col min="4" max="4" width="32" customWidth="1"/>
    <col min="5" max="5" width="30.5703125" customWidth="1"/>
  </cols>
  <sheetData>
    <row r="1" spans="1:5" ht="18">
      <c r="A1" s="343" t="s">
        <v>3457</v>
      </c>
      <c r="B1" s="344"/>
      <c r="C1" s="344"/>
      <c r="D1" s="344"/>
      <c r="E1" s="344"/>
    </row>
    <row r="2" spans="1:5">
      <c r="A2" s="345"/>
      <c r="B2" s="344"/>
      <c r="C2" s="344"/>
      <c r="D2" s="344"/>
      <c r="E2" s="344"/>
    </row>
    <row r="3" spans="1:5">
      <c r="A3" s="346"/>
      <c r="B3" s="344"/>
      <c r="C3" s="344"/>
      <c r="D3" s="344"/>
      <c r="E3" s="344"/>
    </row>
    <row r="4" spans="1:5">
      <c r="A4" s="346" t="s">
        <v>3458</v>
      </c>
      <c r="B4" s="344" t="s">
        <v>3459</v>
      </c>
      <c r="C4" s="124"/>
      <c r="D4" s="124"/>
      <c r="E4" s="124"/>
    </row>
    <row r="5" spans="1:5">
      <c r="A5" s="346"/>
      <c r="B5" s="344"/>
      <c r="C5" s="344"/>
      <c r="D5" s="344"/>
      <c r="E5" s="344"/>
    </row>
    <row r="6" spans="1:5">
      <c r="A6" s="346" t="s">
        <v>3460</v>
      </c>
      <c r="B6" s="346" t="s">
        <v>3461</v>
      </c>
      <c r="C6" s="344"/>
      <c r="D6" s="344"/>
      <c r="E6" s="344"/>
    </row>
    <row r="7" spans="1:5">
      <c r="A7" s="347"/>
      <c r="B7" s="344"/>
      <c r="C7" s="344"/>
      <c r="D7" s="344"/>
      <c r="E7" s="344"/>
    </row>
    <row r="8" spans="1:5">
      <c r="A8" s="344" t="s">
        <v>3462</v>
      </c>
      <c r="B8" s="344" t="s">
        <v>3463</v>
      </c>
      <c r="C8" s="344"/>
      <c r="D8" s="344"/>
      <c r="E8" s="344"/>
    </row>
    <row r="9" spans="1:5">
      <c r="A9" s="344"/>
      <c r="B9" s="347"/>
      <c r="C9" s="344"/>
      <c r="D9" s="344"/>
      <c r="E9" s="344"/>
    </row>
    <row r="10" spans="1:5">
      <c r="A10" s="344" t="s">
        <v>3464</v>
      </c>
      <c r="B10" s="348">
        <v>44746</v>
      </c>
      <c r="C10" s="344"/>
      <c r="D10" s="344"/>
      <c r="E10" s="344"/>
    </row>
    <row r="11" spans="1:5">
      <c r="A11" s="347"/>
      <c r="B11" s="347"/>
      <c r="C11" s="347"/>
      <c r="D11" s="344"/>
      <c r="E11" s="344"/>
    </row>
    <row r="12" spans="1:5">
      <c r="A12" s="345"/>
      <c r="B12" s="344"/>
      <c r="C12" s="344"/>
      <c r="D12" s="344"/>
      <c r="E12" s="344"/>
    </row>
    <row r="13" spans="1:5" ht="15" thickBot="1">
      <c r="A13" s="344"/>
      <c r="B13" s="344"/>
      <c r="C13" s="344"/>
      <c r="D13" s="344"/>
      <c r="E13" s="344"/>
    </row>
    <row r="14" spans="1:5">
      <c r="A14" s="349" t="s">
        <v>3011</v>
      </c>
      <c r="B14" s="350" t="s">
        <v>3465</v>
      </c>
      <c r="C14" s="351" t="s">
        <v>3466</v>
      </c>
      <c r="D14" s="352" t="s">
        <v>3467</v>
      </c>
      <c r="E14" s="353" t="s">
        <v>3468</v>
      </c>
    </row>
    <row r="15" spans="1:5" ht="15" thickBot="1">
      <c r="A15" s="354"/>
      <c r="B15" s="355"/>
      <c r="C15" s="356" t="s">
        <v>3200</v>
      </c>
      <c r="D15" s="355" t="s">
        <v>3200</v>
      </c>
      <c r="E15" s="357" t="s">
        <v>3200</v>
      </c>
    </row>
    <row r="16" spans="1:5">
      <c r="A16" s="358"/>
      <c r="B16" s="359"/>
      <c r="C16" s="360"/>
      <c r="D16" s="361"/>
      <c r="E16" s="362"/>
    </row>
    <row r="17" spans="1:5">
      <c r="A17" s="363" t="s">
        <v>3469</v>
      </c>
      <c r="B17" s="364" t="s">
        <v>3470</v>
      </c>
      <c r="C17" s="365">
        <f>'MAR Materiál'!G52</f>
        <v>0</v>
      </c>
      <c r="D17" s="366">
        <f>'MAR montáž'!G60</f>
        <v>0</v>
      </c>
      <c r="E17" s="367">
        <f>C17+D17</f>
        <v>0</v>
      </c>
    </row>
    <row r="18" spans="1:5">
      <c r="A18" s="363"/>
      <c r="B18" s="364" t="s">
        <v>3471</v>
      </c>
      <c r="C18" s="368">
        <v>0</v>
      </c>
      <c r="D18" s="615"/>
      <c r="E18" s="370">
        <f t="shared" ref="E18:E19" si="0">C18+D18</f>
        <v>0</v>
      </c>
    </row>
    <row r="19" spans="1:5" ht="26">
      <c r="A19" s="371"/>
      <c r="B19" s="372" t="s">
        <v>3472</v>
      </c>
      <c r="C19" s="373">
        <v>0</v>
      </c>
      <c r="D19" s="369">
        <f>'MAR Materiál'!G52*0.035+'MAR montáž'!G60*0.035</f>
        <v>0</v>
      </c>
      <c r="E19" s="370">
        <f t="shared" si="0"/>
        <v>0</v>
      </c>
    </row>
    <row r="20" spans="1:5">
      <c r="A20" s="371"/>
      <c r="B20" s="374"/>
      <c r="C20" s="373"/>
      <c r="D20" s="375"/>
      <c r="E20" s="376"/>
    </row>
    <row r="21" spans="1:5">
      <c r="A21" s="377"/>
      <c r="B21" s="378" t="s">
        <v>317</v>
      </c>
      <c r="C21" s="379">
        <f>SUM(C17:C20)</f>
        <v>0</v>
      </c>
      <c r="D21" s="379">
        <f>SUM(D17:D20)</f>
        <v>0</v>
      </c>
      <c r="E21" s="380">
        <f>SUM(E17:E20)</f>
        <v>0</v>
      </c>
    </row>
    <row r="22" spans="1:5">
      <c r="A22" s="371"/>
      <c r="B22" s="381" t="s">
        <v>1731</v>
      </c>
      <c r="C22" s="382">
        <f>C21*0.21</f>
        <v>0</v>
      </c>
      <c r="D22" s="382">
        <f t="shared" ref="D22:E22" si="1">D21*0.21</f>
        <v>0</v>
      </c>
      <c r="E22" s="383">
        <f t="shared" si="1"/>
        <v>0</v>
      </c>
    </row>
    <row r="23" spans="1:5">
      <c r="A23" s="371"/>
      <c r="B23" s="381" t="s">
        <v>3473</v>
      </c>
      <c r="C23" s="382">
        <f>SUM(C21:C22)</f>
        <v>0</v>
      </c>
      <c r="D23" s="382">
        <f>SUM(D21:D22)</f>
        <v>0</v>
      </c>
      <c r="E23" s="383">
        <f>SUM(E21:E22)</f>
        <v>0</v>
      </c>
    </row>
    <row r="24" spans="1:5" ht="15" thickBot="1">
      <c r="A24" s="384"/>
      <c r="B24" s="385"/>
      <c r="C24" s="386"/>
      <c r="D24" s="387"/>
      <c r="E24" s="388"/>
    </row>
    <row r="25" spans="1:5">
      <c r="A25" s="344"/>
      <c r="B25" s="344"/>
      <c r="C25" s="344"/>
      <c r="D25" s="344"/>
      <c r="E25" s="344"/>
    </row>
    <row r="26" spans="1:5">
      <c r="A26" s="344"/>
      <c r="B26" s="344"/>
      <c r="C26" s="389"/>
      <c r="D26" s="389"/>
      <c r="E26" s="389"/>
    </row>
    <row r="27" spans="1:5">
      <c r="A27" s="345"/>
      <c r="B27" s="345"/>
      <c r="C27" s="345"/>
      <c r="D27" s="345"/>
      <c r="E27" s="344"/>
    </row>
    <row r="28" spans="1:5">
      <c r="A28" s="344"/>
      <c r="B28" s="344"/>
      <c r="C28" s="344"/>
      <c r="D28" s="344"/>
      <c r="E28" s="344"/>
    </row>
    <row r="29" spans="1:5">
      <c r="A29" s="344"/>
      <c r="B29" s="342" t="s">
        <v>3474</v>
      </c>
      <c r="C29" s="344"/>
      <c r="D29" s="344"/>
      <c r="E29" s="344"/>
    </row>
    <row r="30" spans="1:5">
      <c r="A30" s="344"/>
      <c r="B30" s="342" t="s">
        <v>3475</v>
      </c>
      <c r="C30" s="344"/>
      <c r="D30" s="389"/>
      <c r="E30" s="344"/>
    </row>
    <row r="31" spans="1:5">
      <c r="A31" s="344"/>
      <c r="B31" s="344"/>
      <c r="C31" s="344"/>
      <c r="D31" s="344"/>
      <c r="E31" s="344"/>
    </row>
    <row r="32" spans="1:5">
      <c r="A32" s="344"/>
      <c r="B32" s="344"/>
      <c r="C32" s="344"/>
      <c r="D32" s="344"/>
      <c r="E32" s="344"/>
    </row>
    <row r="33" spans="1:5">
      <c r="A33" s="344"/>
      <c r="B33" s="344"/>
      <c r="C33" s="344"/>
      <c r="D33" s="344"/>
      <c r="E33" s="344"/>
    </row>
    <row r="34" spans="1:5">
      <c r="A34" s="345" t="s">
        <v>3476</v>
      </c>
      <c r="B34" s="344"/>
      <c r="C34" s="344"/>
      <c r="D34" s="344"/>
      <c r="E34" s="344"/>
    </row>
    <row r="35" spans="1:5">
      <c r="A35" s="344"/>
      <c r="B35" s="344"/>
      <c r="C35" s="344"/>
      <c r="D35" s="344"/>
      <c r="E35" s="344"/>
    </row>
    <row r="36" spans="1:5">
      <c r="A36" s="344"/>
      <c r="B36" s="344"/>
      <c r="C36" s="344"/>
      <c r="D36" s="344"/>
      <c r="E36" s="344"/>
    </row>
    <row r="37" spans="1:5">
      <c r="A37" s="344" t="s">
        <v>3477</v>
      </c>
      <c r="B37" s="344"/>
      <c r="C37" s="344"/>
      <c r="D37" s="344"/>
      <c r="E37" s="344"/>
    </row>
    <row r="38" spans="1:5">
      <c r="A38" s="344" t="s">
        <v>3478</v>
      </c>
      <c r="B38" s="344"/>
      <c r="C38" s="344"/>
      <c r="D38" s="344"/>
      <c r="E38" s="344"/>
    </row>
    <row r="39" spans="1:5">
      <c r="A39" s="344" t="s">
        <v>3479</v>
      </c>
      <c r="B39" s="344"/>
      <c r="C39" s="344"/>
      <c r="D39" s="344"/>
      <c r="E39" s="344"/>
    </row>
    <row r="40" spans="1:5">
      <c r="A40" s="344" t="s">
        <v>3480</v>
      </c>
      <c r="B40" s="344"/>
      <c r="C40" s="344"/>
      <c r="D40" s="344"/>
      <c r="E40" s="344"/>
    </row>
    <row r="41" spans="1:5">
      <c r="A41" s="344"/>
      <c r="B41" s="344"/>
      <c r="C41" s="344"/>
      <c r="D41" s="344"/>
      <c r="E41" s="344"/>
    </row>
    <row r="42" spans="1:5">
      <c r="A42" s="344" t="s">
        <v>3481</v>
      </c>
      <c r="B42" s="345"/>
      <c r="C42" s="344"/>
      <c r="D42" s="344"/>
      <c r="E42" s="344"/>
    </row>
    <row r="43" spans="1:5">
      <c r="A43" s="344" t="s">
        <v>3482</v>
      </c>
      <c r="B43" s="344"/>
      <c r="C43" s="344"/>
      <c r="D43" s="344"/>
      <c r="E43" s="344"/>
    </row>
  </sheetData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70C0"/>
  </sheetPr>
  <dimension ref="A4:H53"/>
  <sheetViews>
    <sheetView topLeftCell="A29" zoomScaleNormal="100" workbookViewId="0">
      <selection activeCell="C28" sqref="C28"/>
    </sheetView>
  </sheetViews>
  <sheetFormatPr defaultRowHeight="14.5"/>
  <cols>
    <col min="2" max="2" width="22.42578125" customWidth="1"/>
    <col min="3" max="3" width="52.85546875" customWidth="1"/>
    <col min="6" max="6" width="13.5703125" customWidth="1"/>
    <col min="7" max="7" width="24.7109375" customWidth="1"/>
    <col min="8" max="8" width="21.140625" customWidth="1"/>
  </cols>
  <sheetData>
    <row r="4" spans="1:8">
      <c r="A4" s="346" t="s">
        <v>3458</v>
      </c>
      <c r="B4" s="396" t="s">
        <v>3459</v>
      </c>
      <c r="C4" s="124"/>
      <c r="D4" s="124"/>
      <c r="E4" s="124"/>
      <c r="F4" s="344"/>
      <c r="G4" s="347"/>
      <c r="H4" s="347"/>
    </row>
    <row r="5" spans="1:8">
      <c r="A5" s="397" t="s">
        <v>3460</v>
      </c>
      <c r="B5" s="346" t="s">
        <v>3461</v>
      </c>
      <c r="C5" s="398"/>
      <c r="D5" s="399"/>
      <c r="E5" s="399" t="s">
        <v>3483</v>
      </c>
      <c r="F5" s="400"/>
      <c r="G5" s="400"/>
      <c r="H5" s="397"/>
    </row>
    <row r="6" spans="1:8" ht="15" thickBot="1">
      <c r="A6" s="397"/>
      <c r="B6" s="397"/>
      <c r="C6" s="398"/>
      <c r="D6" s="397"/>
      <c r="E6" s="397"/>
      <c r="F6" s="397"/>
      <c r="G6" s="397"/>
      <c r="H6" s="397"/>
    </row>
    <row r="7" spans="1:8">
      <c r="A7" s="401"/>
      <c r="B7" s="402"/>
      <c r="C7" s="403"/>
      <c r="D7" s="402"/>
      <c r="E7" s="402"/>
      <c r="F7" s="755" t="s">
        <v>3484</v>
      </c>
      <c r="G7" s="756"/>
      <c r="H7" s="404"/>
    </row>
    <row r="8" spans="1:8" ht="15" thickBot="1">
      <c r="A8" s="405" t="s">
        <v>3485</v>
      </c>
      <c r="B8" s="406" t="s">
        <v>3486</v>
      </c>
      <c r="C8" s="407" t="s">
        <v>3487</v>
      </c>
      <c r="D8" s="408" t="s">
        <v>814</v>
      </c>
      <c r="E8" s="408" t="s">
        <v>3239</v>
      </c>
      <c r="F8" s="408" t="s">
        <v>3488</v>
      </c>
      <c r="G8" s="409" t="s">
        <v>3241</v>
      </c>
      <c r="H8" s="410" t="s">
        <v>3489</v>
      </c>
    </row>
    <row r="9" spans="1:8">
      <c r="A9" s="411"/>
      <c r="B9" s="412"/>
      <c r="C9" s="413"/>
      <c r="D9" s="414"/>
      <c r="E9" s="415"/>
      <c r="F9" s="415"/>
      <c r="G9" s="416"/>
      <c r="H9" s="417"/>
    </row>
    <row r="10" spans="1:8">
      <c r="A10" s="418" t="s">
        <v>3490</v>
      </c>
      <c r="B10" s="419"/>
      <c r="C10" s="420"/>
      <c r="D10" s="421"/>
      <c r="E10" s="422"/>
      <c r="F10" s="423"/>
      <c r="G10" s="424"/>
      <c r="H10" s="417"/>
    </row>
    <row r="11" spans="1:8">
      <c r="A11" s="425"/>
      <c r="B11" s="426"/>
      <c r="C11" s="420"/>
      <c r="D11" s="421"/>
      <c r="E11" s="422"/>
      <c r="F11" s="423"/>
      <c r="G11" s="424"/>
      <c r="H11" s="417"/>
    </row>
    <row r="12" spans="1:8">
      <c r="A12" s="427" t="s">
        <v>3491</v>
      </c>
      <c r="B12" s="428">
        <v>358111499</v>
      </c>
      <c r="C12" s="429" t="s">
        <v>3492</v>
      </c>
      <c r="D12" s="430" t="s">
        <v>564</v>
      </c>
      <c r="E12" s="422">
        <v>7</v>
      </c>
      <c r="F12" s="603"/>
      <c r="G12" s="424">
        <f t="shared" ref="G12:G42" si="0">E12*F12</f>
        <v>0</v>
      </c>
      <c r="H12" s="417" t="s">
        <v>3493</v>
      </c>
    </row>
    <row r="13" spans="1:8" ht="31" customHeight="1">
      <c r="A13" s="427" t="s">
        <v>3494</v>
      </c>
      <c r="B13" s="428">
        <v>358111323</v>
      </c>
      <c r="C13" s="431" t="s">
        <v>3495</v>
      </c>
      <c r="D13" s="430" t="s">
        <v>564</v>
      </c>
      <c r="E13" s="422">
        <v>7</v>
      </c>
      <c r="F13" s="603"/>
      <c r="G13" s="424">
        <f t="shared" si="0"/>
        <v>0</v>
      </c>
      <c r="H13" s="417" t="s">
        <v>3493</v>
      </c>
    </row>
    <row r="14" spans="1:8">
      <c r="A14" s="432"/>
      <c r="B14" s="433"/>
      <c r="C14" s="434"/>
      <c r="D14" s="435"/>
      <c r="E14" s="390"/>
      <c r="F14" s="436"/>
      <c r="G14" s="424"/>
      <c r="H14" s="417"/>
    </row>
    <row r="15" spans="1:8">
      <c r="A15" s="437" t="s">
        <v>3496</v>
      </c>
      <c r="B15" s="438"/>
      <c r="C15" s="439"/>
      <c r="D15" s="440"/>
      <c r="E15" s="423"/>
      <c r="F15" s="423"/>
      <c r="G15" s="424"/>
      <c r="H15" s="417"/>
    </row>
    <row r="16" spans="1:8">
      <c r="A16" s="441"/>
      <c r="B16" s="438"/>
      <c r="C16" s="439"/>
      <c r="D16" s="440"/>
      <c r="E16" s="423"/>
      <c r="F16" s="423"/>
      <c r="G16" s="424"/>
      <c r="H16" s="442"/>
    </row>
    <row r="17" spans="1:8" ht="48.5" customHeight="1">
      <c r="A17" s="441" t="s">
        <v>3497</v>
      </c>
      <c r="B17" s="443">
        <v>341118228</v>
      </c>
      <c r="C17" s="439" t="s">
        <v>3498</v>
      </c>
      <c r="D17" s="391" t="s">
        <v>1923</v>
      </c>
      <c r="E17" s="444">
        <v>400</v>
      </c>
      <c r="F17" s="604"/>
      <c r="G17" s="424">
        <f t="shared" si="0"/>
        <v>0</v>
      </c>
      <c r="H17" s="417" t="s">
        <v>3493</v>
      </c>
    </row>
    <row r="18" spans="1:8">
      <c r="A18" s="441" t="s">
        <v>3499</v>
      </c>
      <c r="B18" s="433">
        <v>341118201</v>
      </c>
      <c r="C18" s="429" t="s">
        <v>3500</v>
      </c>
      <c r="D18" s="391" t="s">
        <v>1923</v>
      </c>
      <c r="E18" s="445">
        <v>600</v>
      </c>
      <c r="F18" s="605"/>
      <c r="G18" s="424">
        <f t="shared" si="0"/>
        <v>0</v>
      </c>
      <c r="H18" s="417" t="s">
        <v>3493</v>
      </c>
    </row>
    <row r="19" spans="1:8" ht="28" customHeight="1">
      <c r="A19" s="441" t="s">
        <v>3501</v>
      </c>
      <c r="B19" s="433">
        <v>345212124</v>
      </c>
      <c r="C19" s="439" t="s">
        <v>3502</v>
      </c>
      <c r="D19" s="444" t="s">
        <v>1923</v>
      </c>
      <c r="E19" s="446">
        <v>20</v>
      </c>
      <c r="F19" s="606"/>
      <c r="G19" s="424">
        <f t="shared" si="0"/>
        <v>0</v>
      </c>
      <c r="H19" s="417" t="s">
        <v>3493</v>
      </c>
    </row>
    <row r="20" spans="1:8">
      <c r="A20" s="441"/>
      <c r="B20" s="438"/>
      <c r="C20" s="439"/>
      <c r="D20" s="447"/>
      <c r="E20" s="423"/>
      <c r="F20" s="423"/>
      <c r="G20" s="424"/>
      <c r="H20" s="417"/>
    </row>
    <row r="21" spans="1:8">
      <c r="A21" s="437" t="s">
        <v>3503</v>
      </c>
      <c r="B21" s="438"/>
      <c r="C21" s="439"/>
      <c r="D21" s="447"/>
      <c r="E21" s="423"/>
      <c r="F21" s="423"/>
      <c r="G21" s="424"/>
      <c r="H21" s="417"/>
    </row>
    <row r="22" spans="1:8">
      <c r="A22" s="441"/>
      <c r="B22" s="438"/>
      <c r="C22" s="439"/>
      <c r="D22" s="447"/>
      <c r="E22" s="423"/>
      <c r="F22" s="423"/>
      <c r="G22" s="424"/>
      <c r="H22" s="417"/>
    </row>
    <row r="23" spans="1:8" ht="28" customHeight="1">
      <c r="A23" s="441" t="s">
        <v>3504</v>
      </c>
      <c r="B23" s="428" t="s">
        <v>3505</v>
      </c>
      <c r="C23" s="434" t="s">
        <v>3506</v>
      </c>
      <c r="D23" s="435" t="s">
        <v>564</v>
      </c>
      <c r="E23" s="436">
        <v>1</v>
      </c>
      <c r="F23" s="607"/>
      <c r="G23" s="424">
        <f t="shared" si="0"/>
        <v>0</v>
      </c>
      <c r="H23" s="417" t="s">
        <v>3493</v>
      </c>
    </row>
    <row r="24" spans="1:8" ht="40" customHeight="1">
      <c r="A24" s="441" t="s">
        <v>3507</v>
      </c>
      <c r="B24" s="428" t="s">
        <v>3508</v>
      </c>
      <c r="C24" s="434" t="s">
        <v>3509</v>
      </c>
      <c r="D24" s="435" t="s">
        <v>564</v>
      </c>
      <c r="E24" s="436">
        <v>1</v>
      </c>
      <c r="F24" s="607"/>
      <c r="G24" s="424">
        <f t="shared" si="0"/>
        <v>0</v>
      </c>
      <c r="H24" s="417" t="s">
        <v>3493</v>
      </c>
    </row>
    <row r="25" spans="1:8">
      <c r="A25" s="441"/>
      <c r="B25" s="438"/>
      <c r="C25" s="439"/>
      <c r="D25" s="447"/>
      <c r="E25" s="423"/>
      <c r="F25" s="423"/>
      <c r="G25" s="424"/>
      <c r="H25" s="417"/>
    </row>
    <row r="26" spans="1:8">
      <c r="A26" s="437" t="s">
        <v>3510</v>
      </c>
      <c r="B26" s="438"/>
      <c r="C26" s="439"/>
      <c r="D26" s="440"/>
      <c r="E26" s="423"/>
      <c r="F26" s="423"/>
      <c r="G26" s="424"/>
      <c r="H26" s="417"/>
    </row>
    <row r="27" spans="1:8">
      <c r="A27" s="441"/>
      <c r="B27" s="438"/>
      <c r="C27" s="439"/>
      <c r="D27" s="440"/>
      <c r="E27" s="423"/>
      <c r="F27" s="423"/>
      <c r="G27" s="424"/>
      <c r="H27" s="417"/>
    </row>
    <row r="28" spans="1:8" ht="46" customHeight="1">
      <c r="A28" s="449" t="s">
        <v>3511</v>
      </c>
      <c r="B28" s="450">
        <v>345112712</v>
      </c>
      <c r="C28" s="451" t="s">
        <v>3512</v>
      </c>
      <c r="D28" s="452" t="s">
        <v>1923</v>
      </c>
      <c r="E28" s="453">
        <v>100</v>
      </c>
      <c r="F28" s="608"/>
      <c r="G28" s="424">
        <f t="shared" si="0"/>
        <v>0</v>
      </c>
      <c r="H28" s="417" t="s">
        <v>3493</v>
      </c>
    </row>
    <row r="29" spans="1:8" ht="47" customHeight="1">
      <c r="A29" s="449" t="s">
        <v>3513</v>
      </c>
      <c r="B29" s="433">
        <v>345012014</v>
      </c>
      <c r="C29" s="454" t="s">
        <v>3514</v>
      </c>
      <c r="D29" s="444" t="s">
        <v>1923</v>
      </c>
      <c r="E29" s="448">
        <v>300</v>
      </c>
      <c r="F29" s="608"/>
      <c r="G29" s="424">
        <f t="shared" si="0"/>
        <v>0</v>
      </c>
      <c r="H29" s="417" t="s">
        <v>3493</v>
      </c>
    </row>
    <row r="30" spans="1:8">
      <c r="A30" s="449" t="s">
        <v>3515</v>
      </c>
      <c r="B30" s="433">
        <v>721218223</v>
      </c>
      <c r="C30" s="455" t="s">
        <v>3516</v>
      </c>
      <c r="D30" s="392" t="s">
        <v>564</v>
      </c>
      <c r="E30" s="456">
        <v>1</v>
      </c>
      <c r="F30" s="609"/>
      <c r="G30" s="424">
        <f t="shared" si="0"/>
        <v>0</v>
      </c>
      <c r="H30" s="417" t="s">
        <v>3493</v>
      </c>
    </row>
    <row r="31" spans="1:8" ht="32" customHeight="1">
      <c r="A31" s="449" t="s">
        <v>3517</v>
      </c>
      <c r="B31" s="457">
        <v>314324118</v>
      </c>
      <c r="C31" s="458" t="s">
        <v>3518</v>
      </c>
      <c r="D31" s="435" t="s">
        <v>564</v>
      </c>
      <c r="E31" s="436">
        <v>450</v>
      </c>
      <c r="F31" s="610"/>
      <c r="G31" s="424">
        <f t="shared" si="0"/>
        <v>0</v>
      </c>
      <c r="H31" s="417" t="s">
        <v>3493</v>
      </c>
    </row>
    <row r="32" spans="1:8">
      <c r="A32" s="449"/>
      <c r="B32" s="433"/>
      <c r="C32" s="455"/>
      <c r="D32" s="459"/>
      <c r="E32" s="393"/>
      <c r="F32" s="460"/>
      <c r="G32" s="424"/>
      <c r="H32" s="417"/>
    </row>
    <row r="33" spans="1:8">
      <c r="A33" s="461" t="s">
        <v>3519</v>
      </c>
      <c r="B33" s="462"/>
      <c r="C33" s="435"/>
      <c r="D33" s="435"/>
      <c r="E33" s="390"/>
      <c r="F33" s="436"/>
      <c r="G33" s="424"/>
      <c r="H33" s="417"/>
    </row>
    <row r="34" spans="1:8">
      <c r="A34" s="463"/>
      <c r="B34" s="464"/>
      <c r="C34" s="434"/>
      <c r="D34" s="434"/>
      <c r="E34" s="394"/>
      <c r="F34" s="465"/>
      <c r="G34" s="424"/>
      <c r="H34" s="417"/>
    </row>
    <row r="35" spans="1:8">
      <c r="A35" s="463" t="s">
        <v>3520</v>
      </c>
      <c r="B35" s="466">
        <v>246122186</v>
      </c>
      <c r="C35" s="467" t="s">
        <v>3521</v>
      </c>
      <c r="D35" s="435" t="s">
        <v>2274</v>
      </c>
      <c r="E35" s="467">
        <v>0.4</v>
      </c>
      <c r="F35" s="611"/>
      <c r="G35" s="424">
        <f t="shared" si="0"/>
        <v>0</v>
      </c>
      <c r="H35" s="417" t="s">
        <v>3493</v>
      </c>
    </row>
    <row r="36" spans="1:8">
      <c r="A36" s="463" t="s">
        <v>3522</v>
      </c>
      <c r="B36" s="466">
        <v>246122186</v>
      </c>
      <c r="C36" s="467" t="s">
        <v>3523</v>
      </c>
      <c r="D36" s="434" t="s">
        <v>2274</v>
      </c>
      <c r="E36" s="467">
        <v>0.3</v>
      </c>
      <c r="F36" s="611"/>
      <c r="G36" s="424">
        <f t="shared" si="0"/>
        <v>0</v>
      </c>
      <c r="H36" s="417" t="s">
        <v>3493</v>
      </c>
    </row>
    <row r="37" spans="1:8">
      <c r="A37" s="468"/>
      <c r="B37" s="433"/>
      <c r="C37" s="439"/>
      <c r="D37" s="469"/>
      <c r="E37" s="470"/>
      <c r="F37" s="422"/>
      <c r="G37" s="424"/>
      <c r="H37" s="417"/>
    </row>
    <row r="38" spans="1:8">
      <c r="A38" s="395" t="s">
        <v>3524</v>
      </c>
      <c r="B38" s="433"/>
      <c r="C38" s="439"/>
      <c r="D38" s="469"/>
      <c r="E38" s="470"/>
      <c r="F38" s="471"/>
      <c r="G38" s="424"/>
      <c r="H38" s="417"/>
    </row>
    <row r="39" spans="1:8">
      <c r="A39" s="468"/>
      <c r="B39" s="433"/>
      <c r="C39" s="439"/>
      <c r="D39" s="469"/>
      <c r="E39" s="470"/>
      <c r="F39" s="471"/>
      <c r="G39" s="424"/>
      <c r="H39" s="417"/>
    </row>
    <row r="40" spans="1:8" ht="113" customHeight="1">
      <c r="A40" s="468" t="s">
        <v>3525</v>
      </c>
      <c r="B40" s="433" t="s">
        <v>3526</v>
      </c>
      <c r="C40" s="472" t="s">
        <v>3527</v>
      </c>
      <c r="D40" s="469" t="s">
        <v>564</v>
      </c>
      <c r="E40" s="473">
        <v>1</v>
      </c>
      <c r="F40" s="612"/>
      <c r="G40" s="424">
        <f t="shared" si="0"/>
        <v>0</v>
      </c>
      <c r="H40" s="417" t="s">
        <v>3493</v>
      </c>
    </row>
    <row r="41" spans="1:8">
      <c r="A41" s="468" t="s">
        <v>3528</v>
      </c>
      <c r="B41" s="433" t="s">
        <v>3529</v>
      </c>
      <c r="C41" s="474" t="s">
        <v>3530</v>
      </c>
      <c r="D41" s="392" t="s">
        <v>564</v>
      </c>
      <c r="E41" s="475">
        <v>1</v>
      </c>
      <c r="F41" s="613"/>
      <c r="G41" s="424">
        <f t="shared" si="0"/>
        <v>0</v>
      </c>
      <c r="H41" s="417" t="s">
        <v>3493</v>
      </c>
    </row>
    <row r="42" spans="1:8" ht="100.5" customHeight="1">
      <c r="A42" s="468" t="s">
        <v>3531</v>
      </c>
      <c r="B42" s="457">
        <v>341000000</v>
      </c>
      <c r="C42" s="476" t="s">
        <v>3532</v>
      </c>
      <c r="D42" s="448" t="s">
        <v>564</v>
      </c>
      <c r="E42" s="448">
        <v>1</v>
      </c>
      <c r="F42" s="607"/>
      <c r="G42" s="424">
        <f t="shared" si="0"/>
        <v>0</v>
      </c>
      <c r="H42" s="417" t="s">
        <v>3493</v>
      </c>
    </row>
    <row r="43" spans="1:8">
      <c r="A43" s="477"/>
      <c r="B43" s="478"/>
      <c r="C43" s="479"/>
      <c r="D43" s="480"/>
      <c r="E43" s="481"/>
      <c r="F43" s="481"/>
      <c r="G43" s="416"/>
      <c r="H43" s="417"/>
    </row>
    <row r="44" spans="1:8">
      <c r="A44" s="477"/>
      <c r="B44" s="478"/>
      <c r="C44" s="479"/>
      <c r="D44" s="480"/>
      <c r="E44" s="481"/>
      <c r="F44" s="481"/>
      <c r="G44" s="416"/>
      <c r="H44" s="417"/>
    </row>
    <row r="45" spans="1:8" ht="39.5" customHeight="1">
      <c r="A45" s="477"/>
      <c r="B45" s="478"/>
      <c r="C45" s="479" t="s">
        <v>3533</v>
      </c>
      <c r="D45" s="480"/>
      <c r="E45" s="481"/>
      <c r="F45" s="481"/>
      <c r="G45" s="614"/>
      <c r="H45" s="482"/>
    </row>
    <row r="46" spans="1:8">
      <c r="A46" s="477"/>
      <c r="B46" s="478"/>
      <c r="C46" s="479"/>
      <c r="D46" s="480"/>
      <c r="E46" s="481"/>
      <c r="F46" s="481"/>
      <c r="G46" s="416"/>
      <c r="H46" s="417"/>
    </row>
    <row r="47" spans="1:8">
      <c r="A47" s="477"/>
      <c r="B47" s="478"/>
      <c r="C47" s="479"/>
      <c r="D47" s="480"/>
      <c r="E47" s="481"/>
      <c r="F47" s="481"/>
      <c r="G47" s="416"/>
      <c r="H47" s="417"/>
    </row>
    <row r="48" spans="1:8">
      <c r="A48" s="477"/>
      <c r="B48" s="478"/>
      <c r="C48" s="479"/>
      <c r="D48" s="480"/>
      <c r="E48" s="481"/>
      <c r="F48" s="481"/>
      <c r="G48" s="416"/>
      <c r="H48" s="417"/>
    </row>
    <row r="49" spans="1:8">
      <c r="A49" s="477"/>
      <c r="B49" s="478"/>
      <c r="C49" s="479"/>
      <c r="D49" s="480"/>
      <c r="E49" s="481"/>
      <c r="F49" s="481"/>
      <c r="G49" s="416"/>
      <c r="H49" s="417"/>
    </row>
    <row r="50" spans="1:8" ht="15" thickBot="1">
      <c r="A50" s="477"/>
      <c r="B50" s="483"/>
      <c r="C50" s="484"/>
      <c r="D50" s="485"/>
      <c r="E50" s="486"/>
      <c r="F50" s="486"/>
      <c r="G50" s="480"/>
      <c r="H50" s="417"/>
    </row>
    <row r="51" spans="1:8">
      <c r="A51" s="487"/>
      <c r="B51" s="488"/>
      <c r="C51" s="489"/>
      <c r="D51" s="488"/>
      <c r="E51" s="488"/>
      <c r="F51" s="488"/>
      <c r="G51" s="488"/>
      <c r="H51" s="490"/>
    </row>
    <row r="52" spans="1:8">
      <c r="A52" s="491"/>
      <c r="B52" s="492" t="s">
        <v>3534</v>
      </c>
      <c r="C52" s="493"/>
      <c r="D52" s="492"/>
      <c r="E52" s="492"/>
      <c r="F52" s="492"/>
      <c r="G52" s="494">
        <f>SUM(G12:G51)</f>
        <v>0</v>
      </c>
      <c r="H52" s="495"/>
    </row>
    <row r="53" spans="1:8" ht="15" thickBot="1">
      <c r="A53" s="496"/>
      <c r="B53" s="497"/>
      <c r="C53" s="498"/>
      <c r="D53" s="497"/>
      <c r="E53" s="497"/>
      <c r="F53" s="497"/>
      <c r="G53" s="497"/>
      <c r="H53" s="499"/>
    </row>
  </sheetData>
  <mergeCells count="1">
    <mergeCell ref="F7:G7"/>
  </mergeCells>
  <pageMargins left="0.7" right="0.7" top="0.78740157499999996" bottom="0.78740157499999996" header="0.3" footer="0.3"/>
  <pageSetup paperSize="9" orientation="portrait" r:id="rId1"/>
  <rowBreaks count="1" manualBreakCount="1">
    <brk id="32" max="6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70C0"/>
  </sheetPr>
  <dimension ref="A1:H62"/>
  <sheetViews>
    <sheetView topLeftCell="A4" zoomScaleNormal="100" workbookViewId="0">
      <selection activeCell="C28" sqref="C28"/>
    </sheetView>
  </sheetViews>
  <sheetFormatPr defaultRowHeight="14.5"/>
  <cols>
    <col min="2" max="2" width="18.85546875" customWidth="1"/>
    <col min="3" max="3" width="60.85546875" style="109" customWidth="1"/>
    <col min="6" max="6" width="17.42578125" customWidth="1"/>
    <col min="7" max="7" width="19.28515625" customWidth="1"/>
    <col min="8" max="8" width="22.5703125" customWidth="1"/>
  </cols>
  <sheetData>
    <row r="1" spans="1:8">
      <c r="A1" s="500" t="s">
        <v>3458</v>
      </c>
      <c r="B1" s="500" t="s">
        <v>3459</v>
      </c>
      <c r="D1" s="500"/>
      <c r="E1" s="500"/>
      <c r="F1" s="500"/>
      <c r="G1" s="500"/>
      <c r="H1" s="500"/>
    </row>
    <row r="2" spans="1:8">
      <c r="A2" s="500"/>
      <c r="B2" s="500" t="s">
        <v>3535</v>
      </c>
      <c r="D2" s="500"/>
      <c r="E2" s="500"/>
      <c r="F2" s="500"/>
      <c r="G2" s="500"/>
      <c r="H2" s="500"/>
    </row>
    <row r="3" spans="1:8">
      <c r="A3" s="500" t="s">
        <v>3460</v>
      </c>
      <c r="B3" s="500" t="s">
        <v>3461</v>
      </c>
      <c r="D3" s="500" t="s">
        <v>3483</v>
      </c>
      <c r="E3" s="500"/>
      <c r="F3" s="500"/>
      <c r="G3" s="500"/>
      <c r="H3" s="500"/>
    </row>
    <row r="4" spans="1:8">
      <c r="A4" s="500"/>
      <c r="B4" s="500"/>
      <c r="D4" s="500"/>
      <c r="E4" s="500"/>
      <c r="F4" s="500"/>
      <c r="G4" s="500"/>
      <c r="H4" s="500"/>
    </row>
    <row r="5" spans="1:8">
      <c r="A5" s="500"/>
      <c r="B5" s="500"/>
      <c r="D5" s="500"/>
      <c r="E5" s="500"/>
      <c r="F5" s="500" t="s">
        <v>3536</v>
      </c>
      <c r="G5" s="500"/>
      <c r="H5" s="500"/>
    </row>
    <row r="6" spans="1:8">
      <c r="A6" s="500" t="s">
        <v>3485</v>
      </c>
      <c r="B6" s="500" t="s">
        <v>3486</v>
      </c>
      <c r="C6" s="109" t="s">
        <v>3487</v>
      </c>
      <c r="D6" s="500" t="s">
        <v>814</v>
      </c>
      <c r="E6" s="500" t="s">
        <v>3239</v>
      </c>
      <c r="F6" s="500" t="s">
        <v>3488</v>
      </c>
      <c r="G6" s="500" t="s">
        <v>3241</v>
      </c>
      <c r="H6" s="500" t="s">
        <v>3489</v>
      </c>
    </row>
    <row r="7" spans="1:8">
      <c r="A7" s="500"/>
      <c r="B7" s="500"/>
      <c r="D7" s="500"/>
      <c r="E7" s="500"/>
      <c r="F7" s="500"/>
      <c r="G7" s="500"/>
      <c r="H7" s="500"/>
    </row>
    <row r="8" spans="1:8">
      <c r="A8" s="500" t="s">
        <v>3490</v>
      </c>
      <c r="B8" s="500"/>
      <c r="D8" s="500"/>
      <c r="E8" s="500"/>
      <c r="F8" s="500"/>
      <c r="G8" s="500"/>
      <c r="H8" s="500"/>
    </row>
    <row r="9" spans="1:8">
      <c r="A9" s="500"/>
      <c r="B9" s="500"/>
      <c r="D9" s="500"/>
      <c r="E9" s="500"/>
      <c r="F9" s="500"/>
      <c r="G9" s="500"/>
      <c r="H9" s="500"/>
    </row>
    <row r="10" spans="1:8" ht="63" customHeight="1">
      <c r="A10" s="500" t="s">
        <v>3537</v>
      </c>
      <c r="B10" s="500">
        <v>742330044</v>
      </c>
      <c r="C10" s="109" t="s">
        <v>3538</v>
      </c>
      <c r="D10" s="500" t="s">
        <v>564</v>
      </c>
      <c r="E10" s="500">
        <v>7</v>
      </c>
      <c r="F10" s="601"/>
      <c r="G10" s="500">
        <f t="shared" ref="G10:G50" si="0">E10*F10</f>
        <v>0</v>
      </c>
      <c r="H10" s="500" t="s">
        <v>3539</v>
      </c>
    </row>
    <row r="11" spans="1:8" ht="29">
      <c r="A11" s="500" t="s">
        <v>3540</v>
      </c>
      <c r="B11" s="500">
        <v>742330051</v>
      </c>
      <c r="C11" s="109" t="s">
        <v>3541</v>
      </c>
      <c r="D11" s="500" t="s">
        <v>564</v>
      </c>
      <c r="E11" s="500">
        <v>7</v>
      </c>
      <c r="F11" s="601"/>
      <c r="G11" s="500">
        <f t="shared" si="0"/>
        <v>0</v>
      </c>
      <c r="H11" s="500" t="s">
        <v>3539</v>
      </c>
    </row>
    <row r="12" spans="1:8" ht="43.5">
      <c r="A12" s="500" t="s">
        <v>3542</v>
      </c>
      <c r="B12" s="500">
        <v>742330101</v>
      </c>
      <c r="C12" s="109" t="s">
        <v>3543</v>
      </c>
      <c r="D12" s="500" t="s">
        <v>564</v>
      </c>
      <c r="E12" s="500">
        <v>7</v>
      </c>
      <c r="F12" s="601"/>
      <c r="G12" s="500">
        <f t="shared" si="0"/>
        <v>0</v>
      </c>
      <c r="H12" s="500" t="s">
        <v>3539</v>
      </c>
    </row>
    <row r="13" spans="1:8">
      <c r="A13" s="500"/>
      <c r="B13" s="500"/>
      <c r="D13" s="500"/>
      <c r="E13" s="500"/>
      <c r="F13" s="500"/>
      <c r="G13" s="500"/>
      <c r="H13" s="500"/>
    </row>
    <row r="14" spans="1:8">
      <c r="A14" s="500" t="s">
        <v>3496</v>
      </c>
      <c r="B14" s="500"/>
      <c r="D14" s="500"/>
      <c r="E14" s="500"/>
      <c r="F14" s="500"/>
      <c r="G14" s="500"/>
      <c r="H14" s="500"/>
    </row>
    <row r="15" spans="1:8">
      <c r="A15" s="500"/>
      <c r="B15" s="500"/>
      <c r="D15" s="500"/>
      <c r="E15" s="500"/>
      <c r="F15" s="500"/>
      <c r="G15" s="500"/>
      <c r="H15" s="500"/>
    </row>
    <row r="16" spans="1:8" ht="66" customHeight="1">
      <c r="A16" s="500" t="s">
        <v>3544</v>
      </c>
      <c r="B16" s="500">
        <v>741124703</v>
      </c>
      <c r="C16" s="109" t="s">
        <v>3545</v>
      </c>
      <c r="D16" s="500" t="s">
        <v>1923</v>
      </c>
      <c r="E16" s="500">
        <v>400</v>
      </c>
      <c r="F16" s="601"/>
      <c r="G16" s="500">
        <f t="shared" si="0"/>
        <v>0</v>
      </c>
      <c r="H16" s="500" t="s">
        <v>3539</v>
      </c>
    </row>
    <row r="17" spans="1:8" ht="29">
      <c r="A17" s="500" t="s">
        <v>3546</v>
      </c>
      <c r="B17" s="500">
        <v>742121001</v>
      </c>
      <c r="C17" s="109" t="s">
        <v>3547</v>
      </c>
      <c r="D17" s="500" t="s">
        <v>1923</v>
      </c>
      <c r="E17" s="500">
        <v>600</v>
      </c>
      <c r="F17" s="601"/>
      <c r="G17" s="500">
        <f t="shared" si="0"/>
        <v>0</v>
      </c>
      <c r="H17" s="500" t="s">
        <v>3539</v>
      </c>
    </row>
    <row r="18" spans="1:8" ht="84.5" customHeight="1">
      <c r="A18" s="500" t="s">
        <v>3548</v>
      </c>
      <c r="B18" s="500">
        <v>741120301</v>
      </c>
      <c r="C18" s="109" t="s">
        <v>3549</v>
      </c>
      <c r="D18" s="500" t="s">
        <v>1923</v>
      </c>
      <c r="E18" s="501">
        <v>20</v>
      </c>
      <c r="F18" s="601"/>
      <c r="G18" s="500">
        <f t="shared" si="0"/>
        <v>0</v>
      </c>
      <c r="H18" s="500" t="s">
        <v>3539</v>
      </c>
    </row>
    <row r="19" spans="1:8">
      <c r="A19" s="500"/>
      <c r="B19" s="500"/>
      <c r="D19" s="500"/>
      <c r="E19" s="500"/>
      <c r="F19" s="500"/>
      <c r="G19" s="500"/>
      <c r="H19" s="500"/>
    </row>
    <row r="20" spans="1:8">
      <c r="A20" s="500" t="s">
        <v>3503</v>
      </c>
      <c r="B20" s="500"/>
      <c r="D20" s="500"/>
      <c r="E20" s="500"/>
      <c r="F20" s="500"/>
      <c r="G20" s="500"/>
      <c r="H20" s="500"/>
    </row>
    <row r="21" spans="1:8">
      <c r="A21" s="500"/>
      <c r="B21" s="500"/>
      <c r="D21" s="500"/>
      <c r="E21" s="500"/>
      <c r="F21" s="500"/>
      <c r="G21" s="500"/>
      <c r="H21" s="500"/>
    </row>
    <row r="22" spans="1:8" ht="34.5" customHeight="1">
      <c r="A22" s="500" t="s">
        <v>3550</v>
      </c>
      <c r="B22" s="500" t="s">
        <v>3551</v>
      </c>
      <c r="C22" s="109" t="s">
        <v>3552</v>
      </c>
      <c r="D22" s="500" t="s">
        <v>3024</v>
      </c>
      <c r="E22" s="500">
        <v>8</v>
      </c>
      <c r="F22" s="601"/>
      <c r="G22" s="500">
        <f t="shared" si="0"/>
        <v>0</v>
      </c>
      <c r="H22" s="500" t="s">
        <v>3553</v>
      </c>
    </row>
    <row r="23" spans="1:8" ht="43.5">
      <c r="A23" s="500" t="s">
        <v>3554</v>
      </c>
      <c r="B23" s="500" t="s">
        <v>3555</v>
      </c>
      <c r="C23" s="109" t="s">
        <v>3556</v>
      </c>
      <c r="D23" s="500" t="s">
        <v>3024</v>
      </c>
      <c r="E23" s="500">
        <v>1</v>
      </c>
      <c r="F23" s="601"/>
      <c r="G23" s="500">
        <f t="shared" si="0"/>
        <v>0</v>
      </c>
      <c r="H23" s="500" t="s">
        <v>3553</v>
      </c>
    </row>
    <row r="24" spans="1:8">
      <c r="A24" s="500" t="s">
        <v>3557</v>
      </c>
      <c r="B24" s="500" t="s">
        <v>3558</v>
      </c>
      <c r="C24" s="109" t="s">
        <v>3559</v>
      </c>
      <c r="D24" s="500" t="s">
        <v>564</v>
      </c>
      <c r="E24" s="500">
        <v>1</v>
      </c>
      <c r="F24" s="601"/>
      <c r="G24" s="500">
        <f t="shared" si="0"/>
        <v>0</v>
      </c>
      <c r="H24" s="500" t="s">
        <v>3021</v>
      </c>
    </row>
    <row r="25" spans="1:8">
      <c r="A25" s="500"/>
      <c r="B25" s="500"/>
      <c r="D25" s="500"/>
      <c r="E25" s="500"/>
      <c r="F25" s="500"/>
      <c r="G25" s="500"/>
      <c r="H25" s="500"/>
    </row>
    <row r="26" spans="1:8">
      <c r="A26" s="500" t="s">
        <v>3510</v>
      </c>
      <c r="B26" s="500"/>
      <c r="D26" s="500"/>
      <c r="E26" s="500"/>
      <c r="F26" s="500"/>
      <c r="G26" s="500"/>
      <c r="H26" s="500"/>
    </row>
    <row r="27" spans="1:8">
      <c r="A27" s="500"/>
      <c r="B27" s="500"/>
      <c r="D27" s="500"/>
      <c r="E27" s="500"/>
      <c r="F27" s="500"/>
      <c r="G27" s="500"/>
      <c r="H27" s="500"/>
    </row>
    <row r="28" spans="1:8" ht="44" customHeight="1">
      <c r="A28" s="500" t="s">
        <v>3560</v>
      </c>
      <c r="B28" s="500">
        <v>741110511</v>
      </c>
      <c r="C28" s="109" t="s">
        <v>3561</v>
      </c>
      <c r="D28" s="500" t="s">
        <v>1923</v>
      </c>
      <c r="E28" s="500">
        <v>100</v>
      </c>
      <c r="F28" s="601"/>
      <c r="G28" s="500">
        <f t="shared" si="0"/>
        <v>0</v>
      </c>
      <c r="H28" s="500" t="s">
        <v>3539</v>
      </c>
    </row>
    <row r="29" spans="1:8" ht="63.5" customHeight="1">
      <c r="A29" s="500" t="s">
        <v>3562</v>
      </c>
      <c r="B29" s="500">
        <v>741110041</v>
      </c>
      <c r="C29" s="109" t="s">
        <v>3563</v>
      </c>
      <c r="D29" s="500" t="s">
        <v>1923</v>
      </c>
      <c r="E29" s="500">
        <v>300</v>
      </c>
      <c r="F29" s="601"/>
      <c r="G29" s="500">
        <f t="shared" si="0"/>
        <v>0</v>
      </c>
      <c r="H29" s="500" t="s">
        <v>3539</v>
      </c>
    </row>
    <row r="30" spans="1:8">
      <c r="A30" s="500" t="s">
        <v>3564</v>
      </c>
      <c r="B30" s="500" t="s">
        <v>3565</v>
      </c>
      <c r="C30" s="109" t="s">
        <v>3566</v>
      </c>
      <c r="D30" s="500" t="s">
        <v>3024</v>
      </c>
      <c r="E30" s="500">
        <v>0.5</v>
      </c>
      <c r="F30" s="601"/>
      <c r="G30" s="500">
        <f t="shared" si="0"/>
        <v>0</v>
      </c>
      <c r="H30" s="500" t="s">
        <v>3493</v>
      </c>
    </row>
    <row r="31" spans="1:8" ht="66" customHeight="1">
      <c r="A31" s="500" t="s">
        <v>3567</v>
      </c>
      <c r="B31" s="500">
        <v>460932111</v>
      </c>
      <c r="C31" s="109" t="s">
        <v>3568</v>
      </c>
      <c r="D31" s="500" t="s">
        <v>564</v>
      </c>
      <c r="E31" s="500">
        <v>450</v>
      </c>
      <c r="F31" s="602"/>
      <c r="G31" s="500">
        <f t="shared" si="0"/>
        <v>0</v>
      </c>
      <c r="H31" s="500" t="s">
        <v>3539</v>
      </c>
    </row>
    <row r="32" spans="1:8">
      <c r="A32" s="500"/>
      <c r="B32" s="500"/>
      <c r="D32" s="500"/>
      <c r="E32" s="500"/>
      <c r="F32" s="500"/>
      <c r="G32" s="500"/>
      <c r="H32" s="500"/>
    </row>
    <row r="33" spans="1:8">
      <c r="A33" s="500" t="s">
        <v>3519</v>
      </c>
      <c r="B33" s="500"/>
      <c r="D33" s="500"/>
      <c r="E33" s="500"/>
      <c r="F33" s="500"/>
      <c r="G33" s="500"/>
      <c r="H33" s="500"/>
    </row>
    <row r="34" spans="1:8">
      <c r="A34" s="500"/>
      <c r="B34" s="500"/>
      <c r="D34" s="500"/>
      <c r="E34" s="500"/>
      <c r="F34" s="500"/>
      <c r="G34" s="500"/>
      <c r="H34" s="500"/>
    </row>
    <row r="35" spans="1:8" ht="65" customHeight="1">
      <c r="A35" s="500" t="s">
        <v>3569</v>
      </c>
      <c r="B35" s="500">
        <v>741920051</v>
      </c>
      <c r="C35" s="109" t="s">
        <v>3570</v>
      </c>
      <c r="D35" s="500" t="s">
        <v>2274</v>
      </c>
      <c r="E35" s="500">
        <v>0.4</v>
      </c>
      <c r="F35" s="601"/>
      <c r="G35" s="500">
        <f t="shared" si="0"/>
        <v>0</v>
      </c>
      <c r="H35" s="500" t="s">
        <v>3539</v>
      </c>
    </row>
    <row r="36" spans="1:8" ht="71.5" customHeight="1">
      <c r="A36" s="500" t="s">
        <v>3571</v>
      </c>
      <c r="B36" s="500">
        <v>741920061</v>
      </c>
      <c r="C36" s="109" t="s">
        <v>3572</v>
      </c>
      <c r="D36" s="500" t="s">
        <v>2274</v>
      </c>
      <c r="E36" s="500">
        <v>0.3</v>
      </c>
      <c r="F36" s="601"/>
      <c r="G36" s="500">
        <f t="shared" si="0"/>
        <v>0</v>
      </c>
      <c r="H36" s="500" t="s">
        <v>3539</v>
      </c>
    </row>
    <row r="37" spans="1:8">
      <c r="A37" s="500"/>
      <c r="B37" s="500"/>
      <c r="D37" s="500"/>
      <c r="E37" s="500"/>
      <c r="F37" s="500"/>
      <c r="G37" s="500"/>
      <c r="H37" s="500"/>
    </row>
    <row r="38" spans="1:8">
      <c r="A38" s="500" t="s">
        <v>3524</v>
      </c>
      <c r="B38" s="500"/>
      <c r="D38" s="500"/>
      <c r="E38" s="500"/>
      <c r="F38" s="500"/>
      <c r="G38" s="500"/>
      <c r="H38" s="500"/>
    </row>
    <row r="39" spans="1:8">
      <c r="A39" s="500"/>
      <c r="B39" s="500"/>
      <c r="D39" s="500"/>
      <c r="E39" s="500"/>
      <c r="F39" s="500"/>
      <c r="G39" s="500"/>
      <c r="H39" s="500"/>
    </row>
    <row r="40" spans="1:8" ht="109" customHeight="1">
      <c r="A40" s="500" t="s">
        <v>3573</v>
      </c>
      <c r="B40" s="500" t="s">
        <v>3574</v>
      </c>
      <c r="C40" s="109" t="s">
        <v>3527</v>
      </c>
      <c r="D40" s="500" t="s">
        <v>3024</v>
      </c>
      <c r="E40" s="500">
        <v>4</v>
      </c>
      <c r="F40" s="601"/>
      <c r="G40" s="500">
        <f t="shared" si="0"/>
        <v>0</v>
      </c>
      <c r="H40" s="500" t="s">
        <v>3553</v>
      </c>
    </row>
    <row r="41" spans="1:8">
      <c r="A41" s="500" t="s">
        <v>3575</v>
      </c>
      <c r="B41" s="500" t="s">
        <v>3576</v>
      </c>
      <c r="C41" s="109" t="s">
        <v>3577</v>
      </c>
      <c r="D41" s="500" t="s">
        <v>3024</v>
      </c>
      <c r="E41" s="500">
        <v>4</v>
      </c>
      <c r="F41" s="601"/>
      <c r="G41" s="500">
        <f t="shared" si="0"/>
        <v>0</v>
      </c>
      <c r="H41" s="500" t="s">
        <v>3553</v>
      </c>
    </row>
    <row r="42" spans="1:8" ht="44" customHeight="1">
      <c r="A42" s="500" t="s">
        <v>3578</v>
      </c>
      <c r="B42" s="500" t="s">
        <v>3579</v>
      </c>
      <c r="C42" s="109" t="s">
        <v>3580</v>
      </c>
      <c r="D42" s="500" t="s">
        <v>3024</v>
      </c>
      <c r="E42" s="500">
        <v>5</v>
      </c>
      <c r="F42" s="601"/>
      <c r="G42" s="500">
        <f t="shared" si="0"/>
        <v>0</v>
      </c>
      <c r="H42" s="500" t="s">
        <v>3553</v>
      </c>
    </row>
    <row r="43" spans="1:8" ht="29">
      <c r="A43" s="500" t="s">
        <v>3581</v>
      </c>
      <c r="B43" s="500" t="s">
        <v>3582</v>
      </c>
      <c r="C43" s="109" t="s">
        <v>3583</v>
      </c>
      <c r="D43" s="500" t="s">
        <v>3024</v>
      </c>
      <c r="E43" s="500">
        <v>6</v>
      </c>
      <c r="F43" s="601"/>
      <c r="G43" s="500">
        <f t="shared" si="0"/>
        <v>0</v>
      </c>
      <c r="H43" s="500" t="s">
        <v>3553</v>
      </c>
    </row>
    <row r="44" spans="1:8" ht="29">
      <c r="A44" s="500" t="s">
        <v>3584</v>
      </c>
      <c r="B44" s="500" t="s">
        <v>3585</v>
      </c>
      <c r="C44" s="109" t="s">
        <v>3586</v>
      </c>
      <c r="D44" s="500" t="s">
        <v>3024</v>
      </c>
      <c r="E44" s="500">
        <v>6</v>
      </c>
      <c r="F44" s="601"/>
      <c r="G44" s="500">
        <f t="shared" si="0"/>
        <v>0</v>
      </c>
      <c r="H44" s="500" t="s">
        <v>3553</v>
      </c>
    </row>
    <row r="45" spans="1:8" ht="56" customHeight="1">
      <c r="A45" s="500" t="s">
        <v>3587</v>
      </c>
      <c r="B45" s="500" t="s">
        <v>3588</v>
      </c>
      <c r="C45" s="109" t="s">
        <v>3589</v>
      </c>
      <c r="D45" s="500" t="s">
        <v>3024</v>
      </c>
      <c r="E45" s="500">
        <v>8</v>
      </c>
      <c r="F45" s="601"/>
      <c r="G45" s="500">
        <f t="shared" si="0"/>
        <v>0</v>
      </c>
      <c r="H45" s="500" t="s">
        <v>3553</v>
      </c>
    </row>
    <row r="46" spans="1:8">
      <c r="A46" s="500" t="s">
        <v>3590</v>
      </c>
      <c r="B46" s="500" t="s">
        <v>3591</v>
      </c>
      <c r="C46" s="109" t="s">
        <v>3592</v>
      </c>
      <c r="D46" s="500" t="s">
        <v>3024</v>
      </c>
      <c r="E46" s="500">
        <v>1</v>
      </c>
      <c r="F46" s="601"/>
      <c r="G46" s="500">
        <f t="shared" si="0"/>
        <v>0</v>
      </c>
      <c r="H46" s="500" t="s">
        <v>3553</v>
      </c>
    </row>
    <row r="47" spans="1:8">
      <c r="A47" s="500" t="s">
        <v>3593</v>
      </c>
      <c r="B47" s="500" t="s">
        <v>3594</v>
      </c>
      <c r="C47" s="109" t="s">
        <v>3595</v>
      </c>
      <c r="D47" s="500" t="s">
        <v>3024</v>
      </c>
      <c r="E47" s="500">
        <v>4</v>
      </c>
      <c r="F47" s="601"/>
      <c r="G47" s="500">
        <f t="shared" si="0"/>
        <v>0</v>
      </c>
      <c r="H47" s="500" t="s">
        <v>3553</v>
      </c>
    </row>
    <row r="48" spans="1:8" ht="58" customHeight="1">
      <c r="A48" s="500" t="s">
        <v>3596</v>
      </c>
      <c r="B48" s="500">
        <v>741810001</v>
      </c>
      <c r="C48" s="109" t="s">
        <v>3597</v>
      </c>
      <c r="D48" s="500" t="s">
        <v>564</v>
      </c>
      <c r="E48" s="500">
        <v>1</v>
      </c>
      <c r="F48" s="601"/>
      <c r="G48" s="500">
        <f t="shared" si="0"/>
        <v>0</v>
      </c>
      <c r="H48" s="500" t="s">
        <v>3598</v>
      </c>
    </row>
    <row r="49" spans="1:8" ht="46.5" customHeight="1">
      <c r="A49" s="500" t="s">
        <v>3599</v>
      </c>
      <c r="B49" s="500" t="s">
        <v>3600</v>
      </c>
      <c r="C49" s="109" t="s">
        <v>3601</v>
      </c>
      <c r="D49" s="500" t="s">
        <v>3024</v>
      </c>
      <c r="E49" s="500">
        <v>16</v>
      </c>
      <c r="F49" s="601"/>
      <c r="G49" s="500">
        <f t="shared" si="0"/>
        <v>0</v>
      </c>
      <c r="H49" s="500" t="s">
        <v>3553</v>
      </c>
    </row>
    <row r="50" spans="1:8">
      <c r="A50" s="500" t="s">
        <v>3602</v>
      </c>
      <c r="B50" s="500" t="s">
        <v>3603</v>
      </c>
      <c r="C50" s="109" t="s">
        <v>3040</v>
      </c>
      <c r="D50" s="500" t="s">
        <v>3024</v>
      </c>
      <c r="E50" s="500">
        <v>4</v>
      </c>
      <c r="F50" s="601"/>
      <c r="G50" s="500">
        <f t="shared" si="0"/>
        <v>0</v>
      </c>
      <c r="H50" s="500" t="s">
        <v>3553</v>
      </c>
    </row>
    <row r="51" spans="1:8">
      <c r="A51" s="500"/>
      <c r="B51" s="500"/>
      <c r="D51" s="500"/>
      <c r="E51" s="500"/>
      <c r="F51" s="500"/>
      <c r="G51" s="500"/>
      <c r="H51" s="500"/>
    </row>
    <row r="52" spans="1:8">
      <c r="A52" s="500"/>
      <c r="B52" s="500"/>
      <c r="D52" s="500"/>
      <c r="E52" s="500"/>
      <c r="F52" s="500"/>
      <c r="G52" s="500"/>
      <c r="H52" s="500"/>
    </row>
    <row r="53" spans="1:8" ht="18.5" customHeight="1">
      <c r="A53" s="500"/>
      <c r="B53" s="500"/>
      <c r="C53" s="109" t="s">
        <v>3533</v>
      </c>
      <c r="D53" s="500"/>
      <c r="E53" s="500"/>
      <c r="F53" s="500"/>
      <c r="G53" s="601"/>
      <c r="H53" s="500"/>
    </row>
    <row r="54" spans="1:8">
      <c r="A54" s="500"/>
      <c r="B54" s="500"/>
      <c r="D54" s="500"/>
      <c r="E54" s="500"/>
      <c r="F54" s="500"/>
      <c r="G54" s="500"/>
      <c r="H54" s="500"/>
    </row>
    <row r="55" spans="1:8">
      <c r="A55" s="500"/>
      <c r="B55" s="500"/>
      <c r="D55" s="500"/>
      <c r="E55" s="500"/>
      <c r="F55" s="500"/>
      <c r="G55" s="500"/>
      <c r="H55" s="500"/>
    </row>
    <row r="56" spans="1:8">
      <c r="A56" s="500"/>
      <c r="B56" s="500"/>
      <c r="D56" s="500"/>
      <c r="E56" s="500"/>
      <c r="F56" s="500"/>
      <c r="G56" s="500"/>
      <c r="H56" s="500"/>
    </row>
    <row r="57" spans="1:8">
      <c r="A57" s="500"/>
      <c r="B57" s="500"/>
      <c r="D57" s="500"/>
      <c r="E57" s="500"/>
      <c r="F57" s="500"/>
      <c r="G57" s="500"/>
      <c r="H57" s="500"/>
    </row>
    <row r="58" spans="1:8">
      <c r="A58" s="500"/>
      <c r="B58" s="500"/>
      <c r="D58" s="500"/>
      <c r="E58" s="500"/>
      <c r="F58" s="500"/>
      <c r="G58" s="500"/>
      <c r="H58" s="500"/>
    </row>
    <row r="59" spans="1:8">
      <c r="A59" s="500"/>
      <c r="B59" s="500"/>
      <c r="D59" s="500"/>
      <c r="E59" s="500"/>
      <c r="F59" s="500"/>
      <c r="G59" s="500"/>
      <c r="H59" s="500"/>
    </row>
    <row r="60" spans="1:8">
      <c r="A60" s="500"/>
      <c r="B60" s="502" t="s">
        <v>3604</v>
      </c>
      <c r="C60" s="503"/>
      <c r="D60" s="502"/>
      <c r="E60" s="502"/>
      <c r="F60" s="502"/>
      <c r="G60" s="504">
        <f>SUM(G10:G58)</f>
        <v>0</v>
      </c>
      <c r="H60" s="500"/>
    </row>
    <row r="61" spans="1:8">
      <c r="A61" s="500"/>
      <c r="B61" s="500"/>
      <c r="D61" s="500"/>
      <c r="E61" s="500"/>
      <c r="F61" s="500"/>
      <c r="G61" s="500"/>
      <c r="H61" s="500"/>
    </row>
    <row r="62" spans="1:8">
      <c r="A62" s="500"/>
      <c r="B62" s="500"/>
      <c r="D62" s="500"/>
      <c r="E62" s="500"/>
      <c r="F62" s="500"/>
      <c r="G62" s="500"/>
      <c r="H62" s="500"/>
    </row>
  </sheetData>
  <pageMargins left="0.7" right="0.7" top="0.78740157499999996" bottom="0.78740157499999996" header="0.3" footer="0.3"/>
  <pageSetup paperSize="9" orientation="portrait" r:id="rId1"/>
  <rowBreaks count="2" manualBreakCount="2">
    <brk id="27" max="6" man="1"/>
    <brk id="4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P78"/>
  <sheetViews>
    <sheetView showOutlineSymbols="0" zoomScale="70" zoomScaleNormal="70" workbookViewId="0">
      <pane ySplit="11" topLeftCell="A48" activePane="bottomLeft" state="frozenSplit"/>
      <selection activeCell="C28" sqref="C28"/>
      <selection pane="bottomLeft" activeCell="C28" sqref="C28"/>
    </sheetView>
  </sheetViews>
  <sheetFormatPr defaultColWidth="21.28515625" defaultRowHeight="15" customHeight="1"/>
  <cols>
    <col min="1" max="1" width="13.28515625"/>
    <col min="2" max="2" width="10"/>
    <col min="3" max="8" width="27.42578125"/>
    <col min="9" max="12" width="25"/>
    <col min="13" max="16" width="21.28515625" hidden="1"/>
  </cols>
  <sheetData>
    <row r="1" spans="1:16" ht="32.5" customHeight="1">
      <c r="A1" s="665" t="s">
        <v>1955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</row>
    <row r="2" spans="1:16" ht="15" customHeight="1">
      <c r="A2" s="666" t="s">
        <v>168</v>
      </c>
      <c r="B2" s="659"/>
      <c r="C2" s="659"/>
      <c r="D2" s="661" t="str">
        <f>'Stavební rozpočet'!C2</f>
        <v>Obecní dům Vavřineč</v>
      </c>
      <c r="E2" s="662"/>
      <c r="F2" s="662"/>
      <c r="G2" s="658" t="s">
        <v>15</v>
      </c>
      <c r="H2" s="658" t="str">
        <f>'Stavební rozpočet'!F2</f>
        <v xml:space="preserve"> </v>
      </c>
      <c r="I2" s="658" t="s">
        <v>1960</v>
      </c>
      <c r="J2" s="658" t="str">
        <f>'Stavební rozpočet'!I2</f>
        <v>Obec Malý Újezd</v>
      </c>
      <c r="K2" s="659"/>
      <c r="L2" s="670"/>
    </row>
    <row r="3" spans="1:16" ht="15" customHeight="1">
      <c r="A3" s="667"/>
      <c r="B3" s="630"/>
      <c r="C3" s="630"/>
      <c r="D3" s="663"/>
      <c r="E3" s="663"/>
      <c r="F3" s="663"/>
      <c r="G3" s="630"/>
      <c r="H3" s="630"/>
      <c r="I3" s="630"/>
      <c r="J3" s="630"/>
      <c r="K3" s="630"/>
      <c r="L3" s="671"/>
    </row>
    <row r="4" spans="1:16" ht="15" customHeight="1">
      <c r="A4" s="668" t="s">
        <v>1264</v>
      </c>
      <c r="B4" s="630"/>
      <c r="C4" s="630"/>
      <c r="D4" s="629" t="str">
        <f>'Stavební rozpočet'!C4</f>
        <v>Rekonstrukce a rozšíření objektu</v>
      </c>
      <c r="E4" s="630"/>
      <c r="F4" s="630"/>
      <c r="G4" s="629" t="s">
        <v>2061</v>
      </c>
      <c r="H4" s="629" t="str">
        <f>'Stavební rozpočet'!F4</f>
        <v xml:space="preserve"> </v>
      </c>
      <c r="I4" s="629" t="s">
        <v>1591</v>
      </c>
      <c r="J4" s="629" t="str">
        <f>'Stavební rozpočet'!I4</f>
        <v> </v>
      </c>
      <c r="K4" s="630"/>
      <c r="L4" s="671"/>
    </row>
    <row r="5" spans="1:16" ht="15" customHeigh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71"/>
    </row>
    <row r="6" spans="1:16" ht="15" customHeight="1">
      <c r="A6" s="668" t="s">
        <v>205</v>
      </c>
      <c r="B6" s="630"/>
      <c r="C6" s="630"/>
      <c r="D6" s="629" t="str">
        <f>'Stavební rozpočet'!C6</f>
        <v>Malý Újezd Vavřineč</v>
      </c>
      <c r="E6" s="630"/>
      <c r="F6" s="630"/>
      <c r="G6" s="629" t="s">
        <v>747</v>
      </c>
      <c r="H6" s="629" t="str">
        <f>'Stavební rozpočet'!F6</f>
        <v xml:space="preserve"> </v>
      </c>
      <c r="I6" s="629" t="s">
        <v>2037</v>
      </c>
      <c r="J6" s="629" t="str">
        <f>'Stavební rozpočet'!I6</f>
        <v>vzejde z výběrového řízení</v>
      </c>
      <c r="K6" s="630"/>
      <c r="L6" s="671"/>
    </row>
    <row r="7" spans="1:16" ht="15" customHeigh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71"/>
    </row>
    <row r="8" spans="1:16" ht="15" customHeight="1">
      <c r="A8" s="668" t="s">
        <v>1126</v>
      </c>
      <c r="B8" s="630"/>
      <c r="C8" s="630"/>
      <c r="D8" s="629" t="str">
        <f>'Stavební rozpočet'!C8</f>
        <v>8018912</v>
      </c>
      <c r="E8" s="630"/>
      <c r="F8" s="630"/>
      <c r="G8" s="629" t="s">
        <v>1302</v>
      </c>
      <c r="H8" s="706">
        <f>'Stavební rozpočet'!F8</f>
        <v>45120</v>
      </c>
      <c r="I8" s="629" t="s">
        <v>1526</v>
      </c>
      <c r="J8" s="629" t="str">
        <f>'Stavební rozpočet'!I8</f>
        <v>Ing. Jiří Šír - VISTA</v>
      </c>
      <c r="K8" s="630"/>
      <c r="L8" s="671"/>
    </row>
    <row r="9" spans="1:16" ht="15" customHeigh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71"/>
    </row>
    <row r="10" spans="1:16" ht="15" customHeight="1">
      <c r="A10" s="57" t="s">
        <v>2144</v>
      </c>
      <c r="B10" s="50" t="s">
        <v>2144</v>
      </c>
      <c r="C10" s="700" t="s">
        <v>2144</v>
      </c>
      <c r="D10" s="700"/>
      <c r="E10" s="700"/>
      <c r="F10" s="700"/>
      <c r="G10" s="700"/>
      <c r="H10" s="700"/>
      <c r="I10" s="702" t="s">
        <v>1474</v>
      </c>
      <c r="J10" s="703"/>
      <c r="K10" s="704"/>
      <c r="L10" s="66" t="s">
        <v>363</v>
      </c>
    </row>
    <row r="11" spans="1:16" ht="15" customHeight="1">
      <c r="A11" s="27" t="s">
        <v>1712</v>
      </c>
      <c r="B11" s="101" t="s">
        <v>764</v>
      </c>
      <c r="C11" s="701" t="s">
        <v>2533</v>
      </c>
      <c r="D11" s="701"/>
      <c r="E11" s="701"/>
      <c r="F11" s="701"/>
      <c r="G11" s="701"/>
      <c r="H11" s="701"/>
      <c r="I11" s="63" t="s">
        <v>120</v>
      </c>
      <c r="J11" s="82" t="s">
        <v>437</v>
      </c>
      <c r="K11" s="62" t="s">
        <v>232</v>
      </c>
      <c r="L11" s="62" t="s">
        <v>232</v>
      </c>
    </row>
    <row r="12" spans="1:16" ht="15" customHeight="1">
      <c r="A12" s="546" t="s">
        <v>1763</v>
      </c>
      <c r="B12" s="547" t="s">
        <v>1597</v>
      </c>
      <c r="C12" s="707" t="s">
        <v>1331</v>
      </c>
      <c r="D12" s="707"/>
      <c r="E12" s="707"/>
      <c r="F12" s="707"/>
      <c r="G12" s="707"/>
      <c r="H12" s="707"/>
      <c r="I12" s="56">
        <f>'Stavební rozpočet'!I12</f>
        <v>0</v>
      </c>
      <c r="J12" s="56">
        <f>'Stavební rozpočet'!J12</f>
        <v>0</v>
      </c>
      <c r="K12" s="56">
        <f>'Stavební rozpočet'!K12</f>
        <v>0</v>
      </c>
      <c r="L12" s="15">
        <f>'Stavební rozpočet'!M12</f>
        <v>693.80982029999996</v>
      </c>
      <c r="M12" s="21" t="s">
        <v>1025</v>
      </c>
      <c r="N12" s="56">
        <f t="shared" ref="N12:N43" si="0">IF(M12="F",0,K12)</f>
        <v>0</v>
      </c>
      <c r="O12" s="12" t="s">
        <v>1763</v>
      </c>
      <c r="P12" s="56">
        <f t="shared" ref="P12:P43" si="1">IF(M12="T",0,K12)</f>
        <v>0</v>
      </c>
    </row>
    <row r="13" spans="1:16" ht="15" customHeight="1">
      <c r="A13" s="24" t="s">
        <v>1763</v>
      </c>
      <c r="B13" s="12" t="s">
        <v>1536</v>
      </c>
      <c r="C13" s="630" t="s">
        <v>546</v>
      </c>
      <c r="D13" s="630"/>
      <c r="E13" s="630"/>
      <c r="F13" s="630"/>
      <c r="G13" s="630"/>
      <c r="H13" s="630"/>
      <c r="I13" s="56">
        <f>SUMIF('Stavební rozpočet'!BB13:BB1564,"SO 01_76_",'Stavební rozpočet'!AY13:AY1564)</f>
        <v>0</v>
      </c>
      <c r="J13" s="56">
        <f>SUMIF('Stavební rozpočet'!BB13:BB1564,"SO 01_76_",'Stavební rozpočet'!AZ13:AZ1564)</f>
        <v>0</v>
      </c>
      <c r="K13" s="56">
        <f>SUMIF('Stavební rozpočet'!BB13:BB1564,"SO 01_76_",'Stavební rozpočet'!AX13:AX1564)</f>
        <v>0</v>
      </c>
      <c r="L13" s="15">
        <f>SUMIF('Stavební rozpočet'!BB13:BB1564,"SO 01_76_",'Stavební rozpočet'!BH13:BH1564)</f>
        <v>66.253619999999984</v>
      </c>
      <c r="M13" s="21" t="s">
        <v>2243</v>
      </c>
      <c r="N13" s="56">
        <f t="shared" si="0"/>
        <v>0</v>
      </c>
      <c r="O13" s="12" t="s">
        <v>1763</v>
      </c>
      <c r="P13" s="56">
        <f t="shared" si="1"/>
        <v>0</v>
      </c>
    </row>
    <row r="14" spans="1:16" ht="15" customHeight="1">
      <c r="A14" s="24" t="s">
        <v>1763</v>
      </c>
      <c r="B14" s="12" t="s">
        <v>873</v>
      </c>
      <c r="C14" s="630" t="s">
        <v>2194</v>
      </c>
      <c r="D14" s="630"/>
      <c r="E14" s="630"/>
      <c r="F14" s="630"/>
      <c r="G14" s="630"/>
      <c r="H14" s="630"/>
      <c r="I14" s="56">
        <f>SUMIF('Stavební rozpočet'!BB13:BB1564,"SO 01_9_",'Stavební rozpočet'!AY13:AY1564)</f>
        <v>0</v>
      </c>
      <c r="J14" s="56">
        <f>SUMIF('Stavební rozpočet'!BB13:BB1564,"SO 01_9_",'Stavební rozpočet'!AZ13:AZ1564)</f>
        <v>0</v>
      </c>
      <c r="K14" s="56">
        <f>SUMIF('Stavební rozpočet'!BB13:BB1564,"SO 01_9_",'Stavební rozpočet'!AX13:AX1564)</f>
        <v>0</v>
      </c>
      <c r="L14" s="15">
        <f>SUMIF('Stavební rozpočet'!BB13:BB1564,"SO 01_9_",'Stavební rozpočet'!BH13:BH1564)</f>
        <v>627.5562003</v>
      </c>
      <c r="M14" s="21" t="s">
        <v>2243</v>
      </c>
      <c r="N14" s="56">
        <f t="shared" si="0"/>
        <v>0</v>
      </c>
      <c r="O14" s="12" t="s">
        <v>1763</v>
      </c>
      <c r="P14" s="56">
        <f t="shared" si="1"/>
        <v>0</v>
      </c>
    </row>
    <row r="15" spans="1:16" ht="15" customHeight="1">
      <c r="A15" s="546" t="s">
        <v>1610</v>
      </c>
      <c r="B15" s="547" t="s">
        <v>1597</v>
      </c>
      <c r="C15" s="707" t="s">
        <v>1119</v>
      </c>
      <c r="D15" s="707"/>
      <c r="E15" s="707"/>
      <c r="F15" s="707"/>
      <c r="G15" s="707"/>
      <c r="H15" s="707"/>
      <c r="I15" s="56">
        <f>'Stavební rozpočet'!I106</f>
        <v>0</v>
      </c>
      <c r="J15" s="56">
        <f>'Stavební rozpočet'!J106</f>
        <v>0</v>
      </c>
      <c r="K15" s="56">
        <f>'Stavební rozpočet'!K106</f>
        <v>0</v>
      </c>
      <c r="L15" s="15">
        <f>'Stavební rozpočet'!M106</f>
        <v>27.527867500000003</v>
      </c>
      <c r="M15" s="21" t="s">
        <v>1025</v>
      </c>
      <c r="N15" s="56">
        <f t="shared" si="0"/>
        <v>0</v>
      </c>
      <c r="O15" s="12" t="s">
        <v>1610</v>
      </c>
      <c r="P15" s="56">
        <f t="shared" si="1"/>
        <v>0</v>
      </c>
    </row>
    <row r="16" spans="1:16" ht="15" customHeight="1">
      <c r="A16" s="24" t="s">
        <v>1610</v>
      </c>
      <c r="B16" s="12" t="s">
        <v>2297</v>
      </c>
      <c r="C16" s="630" t="s">
        <v>567</v>
      </c>
      <c r="D16" s="630"/>
      <c r="E16" s="630"/>
      <c r="F16" s="630"/>
      <c r="G16" s="630"/>
      <c r="H16" s="630"/>
      <c r="I16" s="56">
        <f>SUMIF('Stavební rozpočet'!BB13:BB1564,"SO 02A_1_",'Stavební rozpočet'!AY13:AY1564)</f>
        <v>0</v>
      </c>
      <c r="J16" s="56">
        <f>SUMIF('Stavební rozpočet'!BB13:BB1564,"SO 02A_1_",'Stavební rozpočet'!AZ13:AZ1564)</f>
        <v>0</v>
      </c>
      <c r="K16" s="56">
        <f>SUMIF('Stavební rozpočet'!BB13:BB1564,"SO 02A_1_",'Stavební rozpočet'!AX13:AX1564)</f>
        <v>0</v>
      </c>
      <c r="L16" s="15">
        <f>SUMIF('Stavební rozpočet'!BB13:BB1564,"SO 02A_1_",'Stavební rozpočet'!BH13:BH1564)</f>
        <v>0</v>
      </c>
      <c r="M16" s="21" t="s">
        <v>2243</v>
      </c>
      <c r="N16" s="56">
        <f t="shared" si="0"/>
        <v>0</v>
      </c>
      <c r="O16" s="12" t="s">
        <v>1610</v>
      </c>
      <c r="P16" s="56">
        <f t="shared" si="1"/>
        <v>0</v>
      </c>
    </row>
    <row r="17" spans="1:16" ht="15" customHeight="1">
      <c r="A17" s="24" t="s">
        <v>1610</v>
      </c>
      <c r="B17" s="12" t="s">
        <v>1589</v>
      </c>
      <c r="C17" s="630" t="s">
        <v>1024</v>
      </c>
      <c r="D17" s="630"/>
      <c r="E17" s="630"/>
      <c r="F17" s="630"/>
      <c r="G17" s="630"/>
      <c r="H17" s="630"/>
      <c r="I17" s="56">
        <f>SUMIF('Stavební rozpočet'!BB13:BB1564,"SO 02A_2_",'Stavební rozpočet'!AY13:AY1564)</f>
        <v>0</v>
      </c>
      <c r="J17" s="56">
        <f>SUMIF('Stavební rozpočet'!BB13:BB1564,"SO 02A_2_",'Stavební rozpočet'!AZ13:AZ1564)</f>
        <v>0</v>
      </c>
      <c r="K17" s="56">
        <f>SUMIF('Stavební rozpočet'!BB13:BB1564,"SO 02A_2_",'Stavební rozpočet'!AX13:AX1564)</f>
        <v>0</v>
      </c>
      <c r="L17" s="15">
        <f>SUMIF('Stavební rozpočet'!BB13:BB1564,"SO 02A_2_",'Stavební rozpočet'!BH13:BH1564)</f>
        <v>0.2666</v>
      </c>
      <c r="M17" s="21" t="s">
        <v>2243</v>
      </c>
      <c r="N17" s="56">
        <f t="shared" si="0"/>
        <v>0</v>
      </c>
      <c r="O17" s="12" t="s">
        <v>1610</v>
      </c>
      <c r="P17" s="56">
        <f t="shared" si="1"/>
        <v>0</v>
      </c>
    </row>
    <row r="18" spans="1:16" ht="15" customHeight="1">
      <c r="A18" s="24" t="s">
        <v>1610</v>
      </c>
      <c r="B18" s="12" t="s">
        <v>258</v>
      </c>
      <c r="C18" s="630" t="s">
        <v>1722</v>
      </c>
      <c r="D18" s="630"/>
      <c r="E18" s="630"/>
      <c r="F18" s="630"/>
      <c r="G18" s="630"/>
      <c r="H18" s="630"/>
      <c r="I18" s="56">
        <f>SUMIF('Stavební rozpočet'!BB13:BB1564,"SO 02A_4_",'Stavební rozpočet'!AY13:AY1564)</f>
        <v>0</v>
      </c>
      <c r="J18" s="56">
        <f>SUMIF('Stavební rozpočet'!BB13:BB1564,"SO 02A_4_",'Stavební rozpočet'!AZ13:AZ1564)</f>
        <v>0</v>
      </c>
      <c r="K18" s="56">
        <f>SUMIF('Stavební rozpočet'!BB13:BB1564,"SO 02A_4_",'Stavební rozpočet'!AX13:AX1564)</f>
        <v>0</v>
      </c>
      <c r="L18" s="15">
        <f>SUMIF('Stavební rozpočet'!BB13:BB1564,"SO 02A_4_",'Stavební rozpočet'!BH13:BH1564)</f>
        <v>11.025</v>
      </c>
      <c r="M18" s="21" t="s">
        <v>2243</v>
      </c>
      <c r="N18" s="56">
        <f t="shared" si="0"/>
        <v>0</v>
      </c>
      <c r="O18" s="12" t="s">
        <v>1610</v>
      </c>
      <c r="P18" s="56">
        <f t="shared" si="1"/>
        <v>0</v>
      </c>
    </row>
    <row r="19" spans="1:16" ht="15" customHeight="1">
      <c r="A19" s="24" t="s">
        <v>1610</v>
      </c>
      <c r="B19" s="12" t="s">
        <v>390</v>
      </c>
      <c r="C19" s="630" t="s">
        <v>1439</v>
      </c>
      <c r="D19" s="630"/>
      <c r="E19" s="630"/>
      <c r="F19" s="630"/>
      <c r="G19" s="630"/>
      <c r="H19" s="630"/>
      <c r="I19" s="56">
        <f>SUMIF('Stavební rozpočet'!BB13:BB1564,"SO 02A_6_",'Stavební rozpočet'!AY13:AY1564)</f>
        <v>0</v>
      </c>
      <c r="J19" s="56">
        <f>SUMIF('Stavební rozpočet'!BB13:BB1564,"SO 02A_6_",'Stavební rozpočet'!AZ13:AZ1564)</f>
        <v>0</v>
      </c>
      <c r="K19" s="56">
        <f>SUMIF('Stavební rozpočet'!BB13:BB1564,"SO 02A_6_",'Stavební rozpočet'!AX13:AX1564)</f>
        <v>0</v>
      </c>
      <c r="L19" s="15">
        <f>SUMIF('Stavební rozpočet'!BB13:BB1564,"SO 02A_6_",'Stavební rozpočet'!BH13:BH1564)</f>
        <v>4.7158799999999994</v>
      </c>
      <c r="M19" s="21" t="s">
        <v>2243</v>
      </c>
      <c r="N19" s="56">
        <f t="shared" si="0"/>
        <v>0</v>
      </c>
      <c r="O19" s="12" t="s">
        <v>1610</v>
      </c>
      <c r="P19" s="56">
        <f t="shared" si="1"/>
        <v>0</v>
      </c>
    </row>
    <row r="20" spans="1:16" ht="15" customHeight="1">
      <c r="A20" s="24" t="s">
        <v>1610</v>
      </c>
      <c r="B20" s="12" t="s">
        <v>211</v>
      </c>
      <c r="C20" s="630" t="s">
        <v>210</v>
      </c>
      <c r="D20" s="630"/>
      <c r="E20" s="630"/>
      <c r="F20" s="630"/>
      <c r="G20" s="630"/>
      <c r="H20" s="630"/>
      <c r="I20" s="56">
        <f>SUMIF('Stavební rozpočet'!BB13:BB1564,"SO 02A_71_",'Stavební rozpočet'!AY13:AY1564)</f>
        <v>0</v>
      </c>
      <c r="J20" s="56">
        <f>SUMIF('Stavební rozpočet'!BB13:BB1564,"SO 02A_71_",'Stavební rozpočet'!AZ13:AZ1564)</f>
        <v>0</v>
      </c>
      <c r="K20" s="56">
        <f>SUMIF('Stavební rozpočet'!BB13:BB1564,"SO 02A_71_",'Stavební rozpočet'!AX13:AX1564)</f>
        <v>0</v>
      </c>
      <c r="L20" s="15">
        <f>SUMIF('Stavební rozpočet'!BB13:BB1564,"SO 02A_71_",'Stavební rozpočet'!BH13:BH1564)</f>
        <v>0.2929175</v>
      </c>
      <c r="M20" s="21" t="s">
        <v>2243</v>
      </c>
      <c r="N20" s="56">
        <f t="shared" si="0"/>
        <v>0</v>
      </c>
      <c r="O20" s="12" t="s">
        <v>1610</v>
      </c>
      <c r="P20" s="56">
        <f t="shared" si="1"/>
        <v>0</v>
      </c>
    </row>
    <row r="21" spans="1:16" ht="15" customHeight="1">
      <c r="A21" s="24" t="s">
        <v>1610</v>
      </c>
      <c r="B21" s="12" t="s">
        <v>1181</v>
      </c>
      <c r="C21" s="630" t="s">
        <v>1635</v>
      </c>
      <c r="D21" s="630"/>
      <c r="E21" s="630"/>
      <c r="F21" s="630"/>
      <c r="G21" s="630"/>
      <c r="H21" s="630"/>
      <c r="I21" s="56">
        <f>SUMIF('Stavební rozpočet'!BB13:BB1564,"SO 02A_77_",'Stavební rozpočet'!AY13:AY1564)</f>
        <v>0</v>
      </c>
      <c r="J21" s="56">
        <f>SUMIF('Stavební rozpočet'!BB13:BB1564,"SO 02A_77_",'Stavební rozpočet'!AZ13:AZ1564)</f>
        <v>0</v>
      </c>
      <c r="K21" s="56">
        <f>SUMIF('Stavební rozpočet'!BB13:BB1564,"SO 02A_77_",'Stavební rozpočet'!AX13:AX1564)</f>
        <v>0</v>
      </c>
      <c r="L21" s="15">
        <f>SUMIF('Stavební rozpočet'!BB13:BB1564,"SO 02A_77_",'Stavební rozpočet'!BH13:BH1564)</f>
        <v>0.99686999999999992</v>
      </c>
      <c r="M21" s="21" t="s">
        <v>2243</v>
      </c>
      <c r="N21" s="56">
        <f t="shared" si="0"/>
        <v>0</v>
      </c>
      <c r="O21" s="12" t="s">
        <v>1610</v>
      </c>
      <c r="P21" s="56">
        <f t="shared" si="1"/>
        <v>0</v>
      </c>
    </row>
    <row r="22" spans="1:16" ht="15" customHeight="1">
      <c r="A22" s="24" t="s">
        <v>1610</v>
      </c>
      <c r="B22" s="12" t="s">
        <v>873</v>
      </c>
      <c r="C22" s="630" t="s">
        <v>2194</v>
      </c>
      <c r="D22" s="630"/>
      <c r="E22" s="630"/>
      <c r="F22" s="630"/>
      <c r="G22" s="630"/>
      <c r="H22" s="630"/>
      <c r="I22" s="56">
        <f>SUMIF('Stavební rozpočet'!BB13:BB1564,"SO 02A_9_",'Stavební rozpočet'!AY13:AY1564)</f>
        <v>0</v>
      </c>
      <c r="J22" s="56">
        <f>SUMIF('Stavební rozpočet'!BB13:BB1564,"SO 02A_9_",'Stavební rozpočet'!AZ13:AZ1564)</f>
        <v>0</v>
      </c>
      <c r="K22" s="56">
        <f>SUMIF('Stavební rozpočet'!BB13:BB1564,"SO 02A_9_",'Stavební rozpočet'!AX13:AX1564)</f>
        <v>0</v>
      </c>
      <c r="L22" s="15">
        <f>SUMIF('Stavební rozpočet'!BB13:BB1564,"SO 02A_9_",'Stavební rozpočet'!BH13:BH1564)</f>
        <v>10.230600000000001</v>
      </c>
      <c r="M22" s="21" t="s">
        <v>2243</v>
      </c>
      <c r="N22" s="56">
        <f t="shared" si="0"/>
        <v>0</v>
      </c>
      <c r="O22" s="12" t="s">
        <v>1610</v>
      </c>
      <c r="P22" s="56">
        <f t="shared" si="1"/>
        <v>0</v>
      </c>
    </row>
    <row r="23" spans="1:16" ht="15" customHeight="1">
      <c r="A23" s="546" t="s">
        <v>1746</v>
      </c>
      <c r="B23" s="547" t="s">
        <v>1597</v>
      </c>
      <c r="C23" s="707" t="s">
        <v>1420</v>
      </c>
      <c r="D23" s="707"/>
      <c r="E23" s="707"/>
      <c r="F23" s="707"/>
      <c r="G23" s="707"/>
      <c r="H23" s="707"/>
      <c r="I23" s="56">
        <f>'Stavební rozpočet'!I183</f>
        <v>0</v>
      </c>
      <c r="J23" s="56">
        <f>'Stavební rozpočet'!J183</f>
        <v>0</v>
      </c>
      <c r="K23" s="56">
        <f>'Stavební rozpočet'!K183</f>
        <v>0</v>
      </c>
      <c r="L23" s="15">
        <f>'Stavební rozpočet'!M183</f>
        <v>961.56724929999996</v>
      </c>
      <c r="M23" s="21" t="s">
        <v>1025</v>
      </c>
      <c r="N23" s="56">
        <f t="shared" si="0"/>
        <v>0</v>
      </c>
      <c r="O23" s="12" t="s">
        <v>1746</v>
      </c>
      <c r="P23" s="56">
        <f t="shared" si="1"/>
        <v>0</v>
      </c>
    </row>
    <row r="24" spans="1:16" ht="15" customHeight="1">
      <c r="A24" s="24" t="s">
        <v>1746</v>
      </c>
      <c r="B24" s="12" t="s">
        <v>2297</v>
      </c>
      <c r="C24" s="630" t="s">
        <v>567</v>
      </c>
      <c r="D24" s="630"/>
      <c r="E24" s="630"/>
      <c r="F24" s="630"/>
      <c r="G24" s="630"/>
      <c r="H24" s="630"/>
      <c r="I24" s="56">
        <f>SUMIF('Stavební rozpočet'!BB13:BB1564,"SO 02B_1_",'Stavební rozpočet'!AY13:AY1564)</f>
        <v>0</v>
      </c>
      <c r="J24" s="56">
        <f>SUMIF('Stavební rozpočet'!BB13:BB1564,"SO 02B_1_",'Stavební rozpočet'!AZ13:AZ1564)</f>
        <v>0</v>
      </c>
      <c r="K24" s="56">
        <f>SUMIF('Stavební rozpočet'!BB13:BB1564,"SO 02B_1_",'Stavební rozpočet'!AX13:AX1564)</f>
        <v>0</v>
      </c>
      <c r="L24" s="15">
        <f>SUMIF('Stavební rozpočet'!BB13:BB1564,"SO 02B_1_",'Stavební rozpočet'!BH13:BH1564)</f>
        <v>164.16</v>
      </c>
      <c r="M24" s="21" t="s">
        <v>2243</v>
      </c>
      <c r="N24" s="56">
        <f t="shared" si="0"/>
        <v>0</v>
      </c>
      <c r="O24" s="12" t="s">
        <v>1746</v>
      </c>
      <c r="P24" s="56">
        <f t="shared" si="1"/>
        <v>0</v>
      </c>
    </row>
    <row r="25" spans="1:16" ht="15" customHeight="1">
      <c r="A25" s="24" t="s">
        <v>1746</v>
      </c>
      <c r="B25" s="12" t="s">
        <v>1589</v>
      </c>
      <c r="C25" s="630" t="s">
        <v>1024</v>
      </c>
      <c r="D25" s="630"/>
      <c r="E25" s="630"/>
      <c r="F25" s="630"/>
      <c r="G25" s="630"/>
      <c r="H25" s="630"/>
      <c r="I25" s="56">
        <f>SUMIF('Stavební rozpočet'!BB13:BB1564,"SO 02B_2_",'Stavební rozpočet'!AY13:AY1564)</f>
        <v>0</v>
      </c>
      <c r="J25" s="56">
        <f>SUMIF('Stavební rozpočet'!BB13:BB1564,"SO 02B_2_",'Stavební rozpočet'!AZ13:AZ1564)</f>
        <v>0</v>
      </c>
      <c r="K25" s="56">
        <f>SUMIF('Stavební rozpočet'!BB13:BB1564,"SO 02B_2_",'Stavební rozpočet'!AX13:AX1564)</f>
        <v>0</v>
      </c>
      <c r="L25" s="15">
        <f>SUMIF('Stavební rozpočet'!BB13:BB1564,"SO 02B_2_",'Stavební rozpočet'!BH13:BH1564)</f>
        <v>172.53939879999999</v>
      </c>
      <c r="M25" s="21" t="s">
        <v>2243</v>
      </c>
      <c r="N25" s="56">
        <f t="shared" si="0"/>
        <v>0</v>
      </c>
      <c r="O25" s="12" t="s">
        <v>1746</v>
      </c>
      <c r="P25" s="56">
        <f t="shared" si="1"/>
        <v>0</v>
      </c>
    </row>
    <row r="26" spans="1:16" ht="15" customHeight="1">
      <c r="A26" s="24" t="s">
        <v>1746</v>
      </c>
      <c r="B26" s="12" t="s">
        <v>2007</v>
      </c>
      <c r="C26" s="630" t="s">
        <v>6</v>
      </c>
      <c r="D26" s="630"/>
      <c r="E26" s="630"/>
      <c r="F26" s="630"/>
      <c r="G26" s="630"/>
      <c r="H26" s="630"/>
      <c r="I26" s="56">
        <f>SUMIF('Stavební rozpočet'!BB13:BB1564,"SO 02B_3_",'Stavební rozpočet'!AY13:AY1564)</f>
        <v>0</v>
      </c>
      <c r="J26" s="56">
        <f>SUMIF('Stavební rozpočet'!BB13:BB1564,"SO 02B_3_",'Stavební rozpočet'!AZ13:AZ1564)</f>
        <v>0</v>
      </c>
      <c r="K26" s="56">
        <f>SUMIF('Stavební rozpočet'!BB13:BB1564,"SO 02B_3_",'Stavební rozpočet'!AX13:AX1564)</f>
        <v>0</v>
      </c>
      <c r="L26" s="15">
        <f>SUMIF('Stavební rozpočet'!BB13:BB1564,"SO 02B_3_",'Stavební rozpočet'!BH13:BH1564)</f>
        <v>105.32377519999999</v>
      </c>
      <c r="M26" s="21" t="s">
        <v>2243</v>
      </c>
      <c r="N26" s="56">
        <f t="shared" si="0"/>
        <v>0</v>
      </c>
      <c r="O26" s="12" t="s">
        <v>1746</v>
      </c>
      <c r="P26" s="56">
        <f t="shared" si="1"/>
        <v>0</v>
      </c>
    </row>
    <row r="27" spans="1:16" ht="15" customHeight="1">
      <c r="A27" s="24" t="s">
        <v>1746</v>
      </c>
      <c r="B27" s="12" t="s">
        <v>258</v>
      </c>
      <c r="C27" s="630" t="s">
        <v>1722</v>
      </c>
      <c r="D27" s="630"/>
      <c r="E27" s="630"/>
      <c r="F27" s="630"/>
      <c r="G27" s="630"/>
      <c r="H27" s="630"/>
      <c r="I27" s="56">
        <f>SUMIF('Stavební rozpočet'!BB13:BB1564,"SO 02B_4_",'Stavební rozpočet'!AY13:AY1564)</f>
        <v>0</v>
      </c>
      <c r="J27" s="56">
        <f>SUMIF('Stavební rozpočet'!BB13:BB1564,"SO 02B_4_",'Stavební rozpočet'!AZ13:AZ1564)</f>
        <v>0</v>
      </c>
      <c r="K27" s="56">
        <f>SUMIF('Stavební rozpočet'!BB13:BB1564,"SO 02B_4_",'Stavební rozpočet'!AX13:AX1564)</f>
        <v>0</v>
      </c>
      <c r="L27" s="15">
        <f>SUMIF('Stavební rozpočet'!BB13:BB1564,"SO 02B_4_",'Stavební rozpočet'!BH13:BH1564)</f>
        <v>322.7927679</v>
      </c>
      <c r="M27" s="21" t="s">
        <v>2243</v>
      </c>
      <c r="N27" s="56">
        <f t="shared" si="0"/>
        <v>0</v>
      </c>
      <c r="O27" s="12" t="s">
        <v>1746</v>
      </c>
      <c r="P27" s="56">
        <f t="shared" si="1"/>
        <v>0</v>
      </c>
    </row>
    <row r="28" spans="1:16" ht="15" customHeight="1">
      <c r="A28" s="24" t="s">
        <v>1746</v>
      </c>
      <c r="B28" s="12" t="s">
        <v>390</v>
      </c>
      <c r="C28" s="630" t="s">
        <v>1439</v>
      </c>
      <c r="D28" s="630"/>
      <c r="E28" s="630"/>
      <c r="F28" s="630"/>
      <c r="G28" s="630"/>
      <c r="H28" s="630"/>
      <c r="I28" s="56">
        <f>SUMIF('Stavební rozpočet'!BB13:BB1564,"SO 02B_6_",'Stavební rozpočet'!AY13:AY1564)</f>
        <v>0</v>
      </c>
      <c r="J28" s="56">
        <f>SUMIF('Stavební rozpočet'!BB13:BB1564,"SO 02B_6_",'Stavební rozpočet'!AZ13:AZ1564)</f>
        <v>0</v>
      </c>
      <c r="K28" s="56">
        <f>SUMIF('Stavební rozpočet'!BB13:BB1564,"SO 02B_6_",'Stavební rozpočet'!AX13:AX1564)</f>
        <v>0</v>
      </c>
      <c r="L28" s="15">
        <f>SUMIF('Stavební rozpočet'!BB13:BB1564,"SO 02B_6_",'Stavební rozpočet'!BH13:BH1564)</f>
        <v>96.467439999999982</v>
      </c>
      <c r="M28" s="21" t="s">
        <v>2243</v>
      </c>
      <c r="N28" s="56">
        <f t="shared" si="0"/>
        <v>0</v>
      </c>
      <c r="O28" s="12" t="s">
        <v>1746</v>
      </c>
      <c r="P28" s="56">
        <f t="shared" si="1"/>
        <v>0</v>
      </c>
    </row>
    <row r="29" spans="1:16" ht="15" customHeight="1">
      <c r="A29" s="24" t="s">
        <v>1746</v>
      </c>
      <c r="B29" s="12" t="s">
        <v>211</v>
      </c>
      <c r="C29" s="630" t="s">
        <v>210</v>
      </c>
      <c r="D29" s="630"/>
      <c r="E29" s="630"/>
      <c r="F29" s="630"/>
      <c r="G29" s="630"/>
      <c r="H29" s="630"/>
      <c r="I29" s="56">
        <f>SUMIF('Stavební rozpočet'!BB13:BB1564,"SO 02B_71_",'Stavební rozpočet'!AY13:AY1564)</f>
        <v>0</v>
      </c>
      <c r="J29" s="56">
        <f>SUMIF('Stavební rozpočet'!BB13:BB1564,"SO 02B_71_",'Stavební rozpočet'!AZ13:AZ1564)</f>
        <v>0</v>
      </c>
      <c r="K29" s="56">
        <f>SUMIF('Stavební rozpočet'!BB13:BB1564,"SO 02B_71_",'Stavební rozpočet'!AX13:AX1564)</f>
        <v>0</v>
      </c>
      <c r="L29" s="15">
        <f>SUMIF('Stavební rozpočet'!BB13:BB1564,"SO 02B_71_",'Stavební rozpočet'!BH13:BH1564)</f>
        <v>30.188436599999999</v>
      </c>
      <c r="M29" s="21" t="s">
        <v>2243</v>
      </c>
      <c r="N29" s="56">
        <f t="shared" si="0"/>
        <v>0</v>
      </c>
      <c r="O29" s="12" t="s">
        <v>1746</v>
      </c>
      <c r="P29" s="56">
        <f t="shared" si="1"/>
        <v>0</v>
      </c>
    </row>
    <row r="30" spans="1:16" ht="15" customHeight="1">
      <c r="A30" s="24" t="s">
        <v>1746</v>
      </c>
      <c r="B30" s="12" t="s">
        <v>1536</v>
      </c>
      <c r="C30" s="630" t="s">
        <v>546</v>
      </c>
      <c r="D30" s="630"/>
      <c r="E30" s="630"/>
      <c r="F30" s="630"/>
      <c r="G30" s="630"/>
      <c r="H30" s="630"/>
      <c r="I30" s="56">
        <f>SUMIF('Stavební rozpočet'!BB13:BB1564,"SO 02B_76_",'Stavební rozpočet'!AY13:AY1564)</f>
        <v>0</v>
      </c>
      <c r="J30" s="56">
        <f>SUMIF('Stavební rozpočet'!BB13:BB1564,"SO 02B_76_",'Stavební rozpočet'!AZ13:AZ1564)</f>
        <v>0</v>
      </c>
      <c r="K30" s="56">
        <f>SUMIF('Stavební rozpočet'!BB13:BB1564,"SO 02B_76_",'Stavební rozpočet'!AX13:AX1564)</f>
        <v>0</v>
      </c>
      <c r="L30" s="15">
        <f>SUMIF('Stavební rozpočet'!BB13:BB1564,"SO 02B_76_",'Stavební rozpočet'!BH13:BH1564)</f>
        <v>40.931209299999992</v>
      </c>
      <c r="M30" s="21" t="s">
        <v>2243</v>
      </c>
      <c r="N30" s="56">
        <f t="shared" si="0"/>
        <v>0</v>
      </c>
      <c r="O30" s="12" t="s">
        <v>1746</v>
      </c>
      <c r="P30" s="56">
        <f t="shared" si="1"/>
        <v>0</v>
      </c>
    </row>
    <row r="31" spans="1:16" ht="15" customHeight="1">
      <c r="A31" s="24" t="s">
        <v>1746</v>
      </c>
      <c r="B31" s="12" t="s">
        <v>1181</v>
      </c>
      <c r="C31" s="630" t="s">
        <v>1635</v>
      </c>
      <c r="D31" s="630"/>
      <c r="E31" s="630"/>
      <c r="F31" s="630"/>
      <c r="G31" s="630"/>
      <c r="H31" s="630"/>
      <c r="I31" s="56">
        <f>SUMIF('Stavební rozpočet'!BB13:BB1564,"SO 02B_77_",'Stavební rozpočet'!AY13:AY1564)</f>
        <v>0</v>
      </c>
      <c r="J31" s="56">
        <f>SUMIF('Stavební rozpočet'!BB13:BB1564,"SO 02B_77_",'Stavební rozpočet'!AZ13:AZ1564)</f>
        <v>0</v>
      </c>
      <c r="K31" s="56">
        <f>SUMIF('Stavební rozpočet'!BB13:BB1564,"SO 02B_77_",'Stavební rozpočet'!AX13:AX1564)</f>
        <v>0</v>
      </c>
      <c r="L31" s="15">
        <f>SUMIF('Stavební rozpočet'!BB13:BB1564,"SO 02B_77_",'Stavební rozpočet'!BH13:BH1564)</f>
        <v>12.7871855</v>
      </c>
      <c r="M31" s="21" t="s">
        <v>2243</v>
      </c>
      <c r="N31" s="56">
        <f t="shared" si="0"/>
        <v>0</v>
      </c>
      <c r="O31" s="12" t="s">
        <v>1746</v>
      </c>
      <c r="P31" s="56">
        <f t="shared" si="1"/>
        <v>0</v>
      </c>
    </row>
    <row r="32" spans="1:16" ht="15" customHeight="1">
      <c r="A32" s="24" t="s">
        <v>1746</v>
      </c>
      <c r="B32" s="12" t="s">
        <v>518</v>
      </c>
      <c r="C32" s="630" t="s">
        <v>155</v>
      </c>
      <c r="D32" s="630"/>
      <c r="E32" s="630"/>
      <c r="F32" s="630"/>
      <c r="G32" s="630"/>
      <c r="H32" s="630"/>
      <c r="I32" s="56">
        <f>SUMIF('Stavební rozpočet'!BB13:BB1564,"SO 02B_78_",'Stavební rozpočet'!AY13:AY1564)</f>
        <v>0</v>
      </c>
      <c r="J32" s="56">
        <f>SUMIF('Stavební rozpočet'!BB13:BB1564,"SO 02B_78_",'Stavební rozpočet'!AZ13:AZ1564)</f>
        <v>0</v>
      </c>
      <c r="K32" s="56">
        <f>SUMIF('Stavební rozpočet'!BB13:BB1564,"SO 02B_78_",'Stavební rozpočet'!AX13:AX1564)</f>
        <v>0</v>
      </c>
      <c r="L32" s="15">
        <f>SUMIF('Stavební rozpočet'!BB13:BB1564,"SO 02B_78_",'Stavební rozpočet'!BH13:BH1564)</f>
        <v>2.3301935</v>
      </c>
      <c r="M32" s="21" t="s">
        <v>2243</v>
      </c>
      <c r="N32" s="56">
        <f t="shared" si="0"/>
        <v>0</v>
      </c>
      <c r="O32" s="12" t="s">
        <v>1746</v>
      </c>
      <c r="P32" s="56">
        <f t="shared" si="1"/>
        <v>0</v>
      </c>
    </row>
    <row r="33" spans="1:16" ht="15" customHeight="1">
      <c r="A33" s="24" t="s">
        <v>1746</v>
      </c>
      <c r="B33" s="12" t="s">
        <v>873</v>
      </c>
      <c r="C33" s="630" t="s">
        <v>2194</v>
      </c>
      <c r="D33" s="630"/>
      <c r="E33" s="630"/>
      <c r="F33" s="630"/>
      <c r="G33" s="630"/>
      <c r="H33" s="630"/>
      <c r="I33" s="56">
        <f>SUMIF('Stavební rozpočet'!BB13:BB1564,"SO 02B_9_",'Stavební rozpočet'!AY13:AY1564)</f>
        <v>0</v>
      </c>
      <c r="J33" s="56">
        <f>SUMIF('Stavební rozpočet'!BB13:BB1564,"SO 02B_9_",'Stavební rozpočet'!AZ13:AZ1564)</f>
        <v>0</v>
      </c>
      <c r="K33" s="56">
        <f>SUMIF('Stavební rozpočet'!BB13:BB1564,"SO 02B_9_",'Stavební rozpočet'!AX13:AX1564)</f>
        <v>0</v>
      </c>
      <c r="L33" s="15">
        <f>SUMIF('Stavební rozpočet'!BB13:BB1564,"SO 02B_9_",'Stavební rozpočet'!BH13:BH1564)</f>
        <v>14.046842499999999</v>
      </c>
      <c r="M33" s="21" t="s">
        <v>2243</v>
      </c>
      <c r="N33" s="56">
        <f t="shared" si="0"/>
        <v>0</v>
      </c>
      <c r="O33" s="12" t="s">
        <v>1746</v>
      </c>
      <c r="P33" s="56">
        <f t="shared" si="1"/>
        <v>0</v>
      </c>
    </row>
    <row r="34" spans="1:16" ht="15" customHeight="1">
      <c r="A34" s="24" t="s">
        <v>527</v>
      </c>
      <c r="B34" s="12" t="s">
        <v>1597</v>
      </c>
      <c r="C34" s="630" t="s">
        <v>1906</v>
      </c>
      <c r="D34" s="630"/>
      <c r="E34" s="630"/>
      <c r="F34" s="630"/>
      <c r="G34" s="630"/>
      <c r="H34" s="630"/>
      <c r="I34" s="56">
        <f>'Stavební rozpočet'!I732</f>
        <v>0</v>
      </c>
      <c r="J34" s="56">
        <f>'Stavební rozpočet'!J732</f>
        <v>0</v>
      </c>
      <c r="K34" s="56">
        <f>'Stavební rozpočet'!K732</f>
        <v>0</v>
      </c>
      <c r="L34" s="15">
        <f>'Stavební rozpočet'!M732</f>
        <v>272.24063340000004</v>
      </c>
      <c r="M34" s="21" t="s">
        <v>1025</v>
      </c>
      <c r="N34" s="56">
        <f t="shared" si="0"/>
        <v>0</v>
      </c>
      <c r="O34" s="12" t="s">
        <v>527</v>
      </c>
      <c r="P34" s="56">
        <f t="shared" si="1"/>
        <v>0</v>
      </c>
    </row>
    <row r="35" spans="1:16" ht="15" customHeight="1">
      <c r="A35" s="24" t="s">
        <v>527</v>
      </c>
      <c r="B35" s="12" t="s">
        <v>2297</v>
      </c>
      <c r="C35" s="630" t="s">
        <v>567</v>
      </c>
      <c r="D35" s="630"/>
      <c r="E35" s="630"/>
      <c r="F35" s="630"/>
      <c r="G35" s="630"/>
      <c r="H35" s="630"/>
      <c r="I35" s="56">
        <f>SUMIF('Stavební rozpočet'!BB13:BB1564,"SO 02C_1_",'Stavební rozpočet'!AY13:AY1564)</f>
        <v>0</v>
      </c>
      <c r="J35" s="56">
        <f>SUMIF('Stavební rozpočet'!BB13:BB1564,"SO 02C_1_",'Stavební rozpočet'!AZ13:AZ1564)</f>
        <v>0</v>
      </c>
      <c r="K35" s="56">
        <f>SUMIF('Stavební rozpočet'!BB13:BB1564,"SO 02C_1_",'Stavební rozpočet'!AX13:AX1564)</f>
        <v>0</v>
      </c>
      <c r="L35" s="15">
        <f>SUMIF('Stavební rozpočet'!BB13:BB1564,"SO 02C_1_",'Stavební rozpočet'!BH13:BH1564)</f>
        <v>74.861159999999998</v>
      </c>
      <c r="M35" s="21" t="s">
        <v>2243</v>
      </c>
      <c r="N35" s="56">
        <f t="shared" si="0"/>
        <v>0</v>
      </c>
      <c r="O35" s="12" t="s">
        <v>527</v>
      </c>
      <c r="P35" s="56">
        <f t="shared" si="1"/>
        <v>0</v>
      </c>
    </row>
    <row r="36" spans="1:16" ht="15" customHeight="1">
      <c r="A36" s="24" t="s">
        <v>527</v>
      </c>
      <c r="B36" s="12" t="s">
        <v>2007</v>
      </c>
      <c r="C36" s="630" t="s">
        <v>6</v>
      </c>
      <c r="D36" s="630"/>
      <c r="E36" s="630"/>
      <c r="F36" s="630"/>
      <c r="G36" s="630"/>
      <c r="H36" s="630"/>
      <c r="I36" s="56">
        <f>SUMIF('Stavební rozpočet'!BB13:BB1564,"SO 02C_3_",'Stavební rozpočet'!AY13:AY1564)</f>
        <v>0</v>
      </c>
      <c r="J36" s="56">
        <f>SUMIF('Stavební rozpočet'!BB13:BB1564,"SO 02C_3_",'Stavební rozpočet'!AZ13:AZ1564)</f>
        <v>0</v>
      </c>
      <c r="K36" s="56">
        <f>SUMIF('Stavební rozpočet'!BB13:BB1564,"SO 02C_3_",'Stavební rozpočet'!AX13:AX1564)</f>
        <v>0</v>
      </c>
      <c r="L36" s="15">
        <f>SUMIF('Stavební rozpočet'!BB13:BB1564,"SO 02C_3_",'Stavební rozpočet'!BH13:BH1564)</f>
        <v>66.267502900000011</v>
      </c>
      <c r="M36" s="21" t="s">
        <v>2243</v>
      </c>
      <c r="N36" s="56">
        <f t="shared" si="0"/>
        <v>0</v>
      </c>
      <c r="O36" s="12" t="s">
        <v>527</v>
      </c>
      <c r="P36" s="56">
        <f t="shared" si="1"/>
        <v>0</v>
      </c>
    </row>
    <row r="37" spans="1:16" ht="15" customHeight="1">
      <c r="A37" s="24" t="s">
        <v>527</v>
      </c>
      <c r="B37" s="12" t="s">
        <v>258</v>
      </c>
      <c r="C37" s="630" t="s">
        <v>1722</v>
      </c>
      <c r="D37" s="630"/>
      <c r="E37" s="630"/>
      <c r="F37" s="630"/>
      <c r="G37" s="630"/>
      <c r="H37" s="630"/>
      <c r="I37" s="56">
        <f>SUMIF('Stavební rozpočet'!BB13:BB1564,"SO 02C_4_",'Stavební rozpočet'!AY13:AY1564)</f>
        <v>0</v>
      </c>
      <c r="J37" s="56">
        <f>SUMIF('Stavební rozpočet'!BB13:BB1564,"SO 02C_4_",'Stavební rozpočet'!AZ13:AZ1564)</f>
        <v>0</v>
      </c>
      <c r="K37" s="56">
        <f>SUMIF('Stavební rozpočet'!BB13:BB1564,"SO 02C_4_",'Stavební rozpočet'!AX13:AX1564)</f>
        <v>0</v>
      </c>
      <c r="L37" s="15">
        <f>SUMIF('Stavební rozpočet'!BB13:BB1564,"SO 02C_4_",'Stavební rozpočet'!BH13:BH1564)</f>
        <v>35.263852700000001</v>
      </c>
      <c r="M37" s="21" t="s">
        <v>2243</v>
      </c>
      <c r="N37" s="56">
        <f t="shared" si="0"/>
        <v>0</v>
      </c>
      <c r="O37" s="12" t="s">
        <v>527</v>
      </c>
      <c r="P37" s="56">
        <f t="shared" si="1"/>
        <v>0</v>
      </c>
    </row>
    <row r="38" spans="1:16" ht="15" customHeight="1">
      <c r="A38" s="24" t="s">
        <v>527</v>
      </c>
      <c r="B38" s="12" t="s">
        <v>390</v>
      </c>
      <c r="C38" s="630" t="s">
        <v>1439</v>
      </c>
      <c r="D38" s="630"/>
      <c r="E38" s="630"/>
      <c r="F38" s="630"/>
      <c r="G38" s="630"/>
      <c r="H38" s="630"/>
      <c r="I38" s="56">
        <f>SUMIF('Stavební rozpočet'!BB13:BB1564,"SO 02C_6_",'Stavební rozpočet'!AY13:AY1564)</f>
        <v>0</v>
      </c>
      <c r="J38" s="56">
        <f>SUMIF('Stavební rozpočet'!BB13:BB1564,"SO 02C_6_",'Stavební rozpočet'!AZ13:AZ1564)</f>
        <v>0</v>
      </c>
      <c r="K38" s="56">
        <f>SUMIF('Stavební rozpočet'!BB13:BB1564,"SO 02C_6_",'Stavební rozpočet'!AX13:AX1564)</f>
        <v>0</v>
      </c>
      <c r="L38" s="15">
        <f>SUMIF('Stavební rozpočet'!BB13:BB1564,"SO 02C_6_",'Stavební rozpočet'!BH13:BH1564)</f>
        <v>20.825439000000003</v>
      </c>
      <c r="M38" s="21" t="s">
        <v>2243</v>
      </c>
      <c r="N38" s="56">
        <f t="shared" si="0"/>
        <v>0</v>
      </c>
      <c r="O38" s="12" t="s">
        <v>527</v>
      </c>
      <c r="P38" s="56">
        <f t="shared" si="1"/>
        <v>0</v>
      </c>
    </row>
    <row r="39" spans="1:16" ht="15" customHeight="1">
      <c r="A39" s="24" t="s">
        <v>527</v>
      </c>
      <c r="B39" s="12" t="s">
        <v>211</v>
      </c>
      <c r="C39" s="630" t="s">
        <v>210</v>
      </c>
      <c r="D39" s="630"/>
      <c r="E39" s="630"/>
      <c r="F39" s="630"/>
      <c r="G39" s="630"/>
      <c r="H39" s="630"/>
      <c r="I39" s="56">
        <f>SUMIF('Stavební rozpočet'!BB13:BB1564,"SO 02C_71_",'Stavební rozpočet'!AY13:AY1564)</f>
        <v>0</v>
      </c>
      <c r="J39" s="56">
        <f>SUMIF('Stavební rozpočet'!BB13:BB1564,"SO 02C_71_",'Stavební rozpočet'!AZ13:AZ1564)</f>
        <v>0</v>
      </c>
      <c r="K39" s="56">
        <f>SUMIF('Stavební rozpočet'!BB13:BB1564,"SO 02C_71_",'Stavební rozpočet'!AX13:AX1564)</f>
        <v>0</v>
      </c>
      <c r="L39" s="15">
        <f>SUMIF('Stavební rozpočet'!BB13:BB1564,"SO 02C_71_",'Stavební rozpočet'!BH13:BH1564)</f>
        <v>18.363734999999998</v>
      </c>
      <c r="M39" s="21" t="s">
        <v>2243</v>
      </c>
      <c r="N39" s="56">
        <f t="shared" si="0"/>
        <v>0</v>
      </c>
      <c r="O39" s="12" t="s">
        <v>527</v>
      </c>
      <c r="P39" s="56">
        <f t="shared" si="1"/>
        <v>0</v>
      </c>
    </row>
    <row r="40" spans="1:16" ht="15" customHeight="1">
      <c r="A40" s="24" t="s">
        <v>527</v>
      </c>
      <c r="B40" s="12" t="s">
        <v>1536</v>
      </c>
      <c r="C40" s="630" t="s">
        <v>546</v>
      </c>
      <c r="D40" s="630"/>
      <c r="E40" s="630"/>
      <c r="F40" s="630"/>
      <c r="G40" s="630"/>
      <c r="H40" s="630"/>
      <c r="I40" s="56">
        <f>SUMIF('Stavební rozpočet'!BB13:BB1564,"SO 02C_76_",'Stavební rozpočet'!AY13:AY1564)</f>
        <v>0</v>
      </c>
      <c r="J40" s="56">
        <f>SUMIF('Stavební rozpočet'!BB13:BB1564,"SO 02C_76_",'Stavební rozpočet'!AZ13:AZ1564)</f>
        <v>0</v>
      </c>
      <c r="K40" s="56">
        <f>SUMIF('Stavební rozpočet'!BB13:BB1564,"SO 02C_76_",'Stavební rozpočet'!AX13:AX1564)</f>
        <v>0</v>
      </c>
      <c r="L40" s="15">
        <f>SUMIF('Stavební rozpočet'!BB13:BB1564,"SO 02C_76_",'Stavební rozpočet'!BH13:BH1564)</f>
        <v>54.051973799999999</v>
      </c>
      <c r="M40" s="21" t="s">
        <v>2243</v>
      </c>
      <c r="N40" s="56">
        <f t="shared" si="0"/>
        <v>0</v>
      </c>
      <c r="O40" s="12" t="s">
        <v>527</v>
      </c>
      <c r="P40" s="56">
        <f t="shared" si="1"/>
        <v>0</v>
      </c>
    </row>
    <row r="41" spans="1:16" ht="15" customHeight="1">
      <c r="A41" s="24" t="s">
        <v>527</v>
      </c>
      <c r="B41" s="12" t="s">
        <v>1181</v>
      </c>
      <c r="C41" s="630" t="s">
        <v>1635</v>
      </c>
      <c r="D41" s="630"/>
      <c r="E41" s="630"/>
      <c r="F41" s="630"/>
      <c r="G41" s="630"/>
      <c r="H41" s="630"/>
      <c r="I41" s="56">
        <f>SUMIF('Stavební rozpočet'!BB13:BB1564,"SO 02C_77_",'Stavební rozpočet'!AY13:AY1564)</f>
        <v>0</v>
      </c>
      <c r="J41" s="56">
        <f>SUMIF('Stavební rozpočet'!BB13:BB1564,"SO 02C_77_",'Stavební rozpočet'!AZ13:AZ1564)</f>
        <v>0</v>
      </c>
      <c r="K41" s="56">
        <f>SUMIF('Stavební rozpočet'!BB13:BB1564,"SO 02C_77_",'Stavební rozpočet'!AX13:AX1564)</f>
        <v>0</v>
      </c>
      <c r="L41" s="15">
        <f>SUMIF('Stavební rozpočet'!BB13:BB1564,"SO 02C_77_",'Stavební rozpočet'!BH13:BH1564)</f>
        <v>2.1718700000000002</v>
      </c>
      <c r="M41" s="21" t="s">
        <v>2243</v>
      </c>
      <c r="N41" s="56">
        <f t="shared" si="0"/>
        <v>0</v>
      </c>
      <c r="O41" s="12" t="s">
        <v>527</v>
      </c>
      <c r="P41" s="56">
        <f t="shared" si="1"/>
        <v>0</v>
      </c>
    </row>
    <row r="42" spans="1:16" ht="15" customHeight="1">
      <c r="A42" s="24" t="s">
        <v>527</v>
      </c>
      <c r="B42" s="12" t="s">
        <v>518</v>
      </c>
      <c r="C42" s="630" t="s">
        <v>155</v>
      </c>
      <c r="D42" s="630"/>
      <c r="E42" s="630"/>
      <c r="F42" s="630"/>
      <c r="G42" s="630"/>
      <c r="H42" s="630"/>
      <c r="I42" s="56">
        <f>SUMIF('Stavební rozpočet'!BB13:BB1564,"SO 02C_78_",'Stavební rozpočet'!AY13:AY1564)</f>
        <v>0</v>
      </c>
      <c r="J42" s="56">
        <f>SUMIF('Stavební rozpočet'!BB13:BB1564,"SO 02C_78_",'Stavební rozpočet'!AZ13:AZ1564)</f>
        <v>0</v>
      </c>
      <c r="K42" s="56">
        <f>SUMIF('Stavební rozpočet'!BB13:BB1564,"SO 02C_78_",'Stavební rozpočet'!AX13:AX1564)</f>
        <v>0</v>
      </c>
      <c r="L42" s="15">
        <f>SUMIF('Stavební rozpočet'!BB13:BB1564,"SO 02C_78_",'Stavební rozpočet'!BH13:BH1564)</f>
        <v>0.42530000000000001</v>
      </c>
      <c r="M42" s="21" t="s">
        <v>2243</v>
      </c>
      <c r="N42" s="56">
        <f t="shared" si="0"/>
        <v>0</v>
      </c>
      <c r="O42" s="12" t="s">
        <v>527</v>
      </c>
      <c r="P42" s="56">
        <f t="shared" si="1"/>
        <v>0</v>
      </c>
    </row>
    <row r="43" spans="1:16" ht="15" customHeight="1">
      <c r="A43" s="24" t="s">
        <v>527</v>
      </c>
      <c r="B43" s="12" t="s">
        <v>873</v>
      </c>
      <c r="C43" s="630" t="s">
        <v>2194</v>
      </c>
      <c r="D43" s="630"/>
      <c r="E43" s="630"/>
      <c r="F43" s="630"/>
      <c r="G43" s="630"/>
      <c r="H43" s="630"/>
      <c r="I43" s="56">
        <f>SUMIF('Stavební rozpočet'!BB13:BB1564,"SO 02C_9_",'Stavební rozpočet'!AY13:AY1564)</f>
        <v>0</v>
      </c>
      <c r="J43" s="56">
        <f>SUMIF('Stavební rozpočet'!BB13:BB1564,"SO 02C_9_",'Stavební rozpočet'!AZ13:AZ1564)</f>
        <v>0</v>
      </c>
      <c r="K43" s="56">
        <f>SUMIF('Stavební rozpočet'!BB13:BB1564,"SO 02C_9_",'Stavební rozpočet'!AX13:AX1564)</f>
        <v>0</v>
      </c>
      <c r="L43" s="15">
        <f>SUMIF('Stavební rozpočet'!BB13:BB1564,"SO 02C_9_",'Stavební rozpočet'!BH13:BH1564)</f>
        <v>9.8000000000000014E-3</v>
      </c>
      <c r="M43" s="21" t="s">
        <v>2243</v>
      </c>
      <c r="N43" s="56">
        <f t="shared" si="0"/>
        <v>0</v>
      </c>
      <c r="O43" s="12" t="s">
        <v>527</v>
      </c>
      <c r="P43" s="56">
        <f t="shared" si="1"/>
        <v>0</v>
      </c>
    </row>
    <row r="44" spans="1:16" ht="15" customHeight="1">
      <c r="A44" s="546" t="s">
        <v>941</v>
      </c>
      <c r="B44" s="547" t="s">
        <v>1597</v>
      </c>
      <c r="C44" s="707" t="s">
        <v>152</v>
      </c>
      <c r="D44" s="707"/>
      <c r="E44" s="707"/>
      <c r="F44" s="707"/>
      <c r="G44" s="707"/>
      <c r="H44" s="707"/>
      <c r="I44" s="56">
        <f>'Stavební rozpočet'!I1084</f>
        <v>0</v>
      </c>
      <c r="J44" s="56">
        <f>'Stavební rozpočet'!J1084</f>
        <v>0</v>
      </c>
      <c r="K44" s="56">
        <f>'Stavební rozpočet'!K1084</f>
        <v>0</v>
      </c>
      <c r="L44" s="15">
        <f>'Stavební rozpočet'!M1084</f>
        <v>0</v>
      </c>
      <c r="M44" s="21" t="s">
        <v>1025</v>
      </c>
      <c r="N44" s="56">
        <f t="shared" ref="N44:N75" si="2">IF(M44="F",0,K44)</f>
        <v>0</v>
      </c>
      <c r="O44" s="12" t="s">
        <v>941</v>
      </c>
      <c r="P44" s="56">
        <f t="shared" ref="P44:P75" si="3">IF(M44="T",0,K44)</f>
        <v>0</v>
      </c>
    </row>
    <row r="45" spans="1:16" ht="15" customHeight="1">
      <c r="A45" s="24" t="s">
        <v>941</v>
      </c>
      <c r="B45" s="12" t="s">
        <v>873</v>
      </c>
      <c r="C45" s="630" t="s">
        <v>2194</v>
      </c>
      <c r="D45" s="630"/>
      <c r="E45" s="630"/>
      <c r="F45" s="630"/>
      <c r="G45" s="630"/>
      <c r="H45" s="630"/>
      <c r="I45" s="56">
        <f>SUMIF('Stavební rozpočet'!BB13:BB1564,"SO 03a_9_",'Stavební rozpočet'!AY13:AY1564)</f>
        <v>0</v>
      </c>
      <c r="J45" s="56">
        <f>SUMIF('Stavební rozpočet'!BB13:BB1564,"SO 03a_9_",'Stavební rozpočet'!AZ13:AZ1564)</f>
        <v>0</v>
      </c>
      <c r="K45" s="56">
        <f>SUMIF('Stavební rozpočet'!BB13:BB1564,"SO 03a_9_",'Stavební rozpočet'!AX13:AX1564)</f>
        <v>0</v>
      </c>
      <c r="L45" s="15">
        <f>SUMIF('Stavební rozpočet'!BB13:BB1564,"SO 03a_9_",'Stavební rozpočet'!BH13:BH1564)</f>
        <v>0</v>
      </c>
      <c r="M45" s="21" t="s">
        <v>2243</v>
      </c>
      <c r="N45" s="56">
        <f t="shared" si="2"/>
        <v>0</v>
      </c>
      <c r="O45" s="12" t="s">
        <v>941</v>
      </c>
      <c r="P45" s="56">
        <f t="shared" si="3"/>
        <v>0</v>
      </c>
    </row>
    <row r="46" spans="1:16" ht="15" customHeight="1">
      <c r="A46" s="546" t="s">
        <v>12</v>
      </c>
      <c r="B46" s="547" t="s">
        <v>1597</v>
      </c>
      <c r="C46" s="707" t="s">
        <v>2222</v>
      </c>
      <c r="D46" s="707"/>
      <c r="E46" s="707"/>
      <c r="F46" s="707"/>
      <c r="G46" s="707"/>
      <c r="H46" s="707"/>
      <c r="I46" s="56">
        <f>'Stavební rozpočet'!I1088</f>
        <v>0</v>
      </c>
      <c r="J46" s="56">
        <f>'Stavební rozpočet'!J1088</f>
        <v>0</v>
      </c>
      <c r="K46" s="56">
        <f>'Stavební rozpočet'!K1088</f>
        <v>0</v>
      </c>
      <c r="L46" s="15">
        <f>'Stavební rozpočet'!M1088</f>
        <v>0</v>
      </c>
      <c r="M46" s="21" t="s">
        <v>1025</v>
      </c>
      <c r="N46" s="56">
        <f t="shared" si="2"/>
        <v>0</v>
      </c>
      <c r="O46" s="12" t="s">
        <v>12</v>
      </c>
      <c r="P46" s="56">
        <f t="shared" si="3"/>
        <v>0</v>
      </c>
    </row>
    <row r="47" spans="1:16" ht="15" customHeight="1">
      <c r="A47" s="24" t="s">
        <v>12</v>
      </c>
      <c r="B47" s="12" t="s">
        <v>1430</v>
      </c>
      <c r="C47" s="630" t="s">
        <v>2564</v>
      </c>
      <c r="D47" s="630"/>
      <c r="E47" s="630"/>
      <c r="F47" s="630"/>
      <c r="G47" s="630"/>
      <c r="H47" s="630"/>
      <c r="I47" s="56">
        <f>SUMIF('Stavební rozpočet'!BB13:BB1564,"SO 03b_73_",'Stavební rozpočet'!AY13:AY1564)</f>
        <v>0</v>
      </c>
      <c r="J47" s="56">
        <f>SUMIF('Stavební rozpočet'!BB13:BB1564,"SO 03b_73_",'Stavební rozpočet'!AZ13:AZ1564)</f>
        <v>0</v>
      </c>
      <c r="K47" s="56">
        <f>SUMIF('Stavební rozpočet'!BB13:BB1564,"SO 03b_73_",'Stavební rozpočet'!AX13:AX1564)</f>
        <v>0</v>
      </c>
      <c r="L47" s="15">
        <f>SUMIF('Stavební rozpočet'!BB13:BB1564,"SO 03b_73_",'Stavební rozpočet'!BH13:BH1564)</f>
        <v>0</v>
      </c>
      <c r="M47" s="21" t="s">
        <v>2243</v>
      </c>
      <c r="N47" s="56">
        <f t="shared" si="2"/>
        <v>0</v>
      </c>
      <c r="O47" s="12" t="s">
        <v>12</v>
      </c>
      <c r="P47" s="56">
        <f t="shared" si="3"/>
        <v>0</v>
      </c>
    </row>
    <row r="48" spans="1:16" ht="15" customHeight="1">
      <c r="A48" s="546" t="s">
        <v>1452</v>
      </c>
      <c r="B48" s="547" t="s">
        <v>1597</v>
      </c>
      <c r="C48" s="707" t="s">
        <v>2478</v>
      </c>
      <c r="D48" s="707"/>
      <c r="E48" s="707"/>
      <c r="F48" s="707"/>
      <c r="G48" s="707"/>
      <c r="H48" s="707"/>
      <c r="I48" s="56">
        <f>'Stavební rozpočet'!I1092</f>
        <v>0</v>
      </c>
      <c r="J48" s="56">
        <f>'Stavební rozpočet'!J1092</f>
        <v>0</v>
      </c>
      <c r="K48" s="56">
        <f>'Stavební rozpočet'!K1092</f>
        <v>0</v>
      </c>
      <c r="L48" s="15">
        <f>'Stavební rozpočet'!M1092</f>
        <v>0</v>
      </c>
      <c r="M48" s="21" t="s">
        <v>1025</v>
      </c>
      <c r="N48" s="56">
        <f t="shared" si="2"/>
        <v>0</v>
      </c>
      <c r="O48" s="12" t="s">
        <v>1452</v>
      </c>
      <c r="P48" s="56">
        <f t="shared" si="3"/>
        <v>0</v>
      </c>
    </row>
    <row r="49" spans="1:16" ht="15" customHeight="1">
      <c r="A49" s="24" t="s">
        <v>1452</v>
      </c>
      <c r="B49" s="12" t="s">
        <v>873</v>
      </c>
      <c r="C49" s="630" t="s">
        <v>2194</v>
      </c>
      <c r="D49" s="630"/>
      <c r="E49" s="630"/>
      <c r="F49" s="630"/>
      <c r="G49" s="630"/>
      <c r="H49" s="630"/>
      <c r="I49" s="56">
        <f>SUMIF('Stavební rozpočet'!BB13:BB1564,"SO 03c_9_",'Stavební rozpočet'!AY13:AY1564)</f>
        <v>0</v>
      </c>
      <c r="J49" s="56">
        <f>SUMIF('Stavební rozpočet'!BB13:BB1564,"SO 03c_9_",'Stavební rozpočet'!AZ13:AZ1564)</f>
        <v>0</v>
      </c>
      <c r="K49" s="56">
        <f>SUMIF('Stavební rozpočet'!BB13:BB1564,"SO 03c_9_",'Stavební rozpočet'!AX13:AX1564)</f>
        <v>0</v>
      </c>
      <c r="L49" s="15">
        <f>SUMIF('Stavební rozpočet'!BB13:BB1564,"SO 03c_9_",'Stavební rozpočet'!BH13:BH1564)</f>
        <v>0</v>
      </c>
      <c r="M49" s="21" t="s">
        <v>2243</v>
      </c>
      <c r="N49" s="56">
        <f t="shared" si="2"/>
        <v>0</v>
      </c>
      <c r="O49" s="12" t="s">
        <v>1452</v>
      </c>
      <c r="P49" s="56">
        <f t="shared" si="3"/>
        <v>0</v>
      </c>
    </row>
    <row r="50" spans="1:16" ht="15" customHeight="1">
      <c r="A50" s="546" t="s">
        <v>714</v>
      </c>
      <c r="B50" s="547" t="s">
        <v>1597</v>
      </c>
      <c r="C50" s="707" t="s">
        <v>1535</v>
      </c>
      <c r="D50" s="707"/>
      <c r="E50" s="707"/>
      <c r="F50" s="707"/>
      <c r="G50" s="707"/>
      <c r="H50" s="707"/>
      <c r="I50" s="56">
        <f>'Stavební rozpočet'!I1096</f>
        <v>0</v>
      </c>
      <c r="J50" s="56">
        <f>'Stavební rozpočet'!J1096</f>
        <v>0</v>
      </c>
      <c r="K50" s="56">
        <f>'Stavební rozpočet'!K1096</f>
        <v>0</v>
      </c>
      <c r="L50" s="15">
        <f>'Stavební rozpočet'!M1096</f>
        <v>129.62463810000003</v>
      </c>
      <c r="M50" s="21" t="s">
        <v>1025</v>
      </c>
      <c r="N50" s="56">
        <f t="shared" si="2"/>
        <v>0</v>
      </c>
      <c r="O50" s="12" t="s">
        <v>714</v>
      </c>
      <c r="P50" s="56">
        <f t="shared" si="3"/>
        <v>0</v>
      </c>
    </row>
    <row r="51" spans="1:16" ht="15" customHeight="1">
      <c r="A51" s="24" t="s">
        <v>714</v>
      </c>
      <c r="B51" s="12" t="s">
        <v>2297</v>
      </c>
      <c r="C51" s="630" t="s">
        <v>567</v>
      </c>
      <c r="D51" s="630"/>
      <c r="E51" s="630"/>
      <c r="F51" s="630"/>
      <c r="G51" s="630"/>
      <c r="H51" s="630"/>
      <c r="I51" s="56">
        <f>SUMIF('Stavební rozpočet'!BB13:BB1564,"SO 03d_1_",'Stavební rozpočet'!AY13:AY1564)</f>
        <v>0</v>
      </c>
      <c r="J51" s="56">
        <f>SUMIF('Stavební rozpočet'!BB13:BB1564,"SO 03d_1_",'Stavební rozpočet'!AZ13:AZ1564)</f>
        <v>0</v>
      </c>
      <c r="K51" s="56">
        <f>SUMIF('Stavební rozpočet'!BB13:BB1564,"SO 03d_1_",'Stavební rozpočet'!AX13:AX1564)</f>
        <v>0</v>
      </c>
      <c r="L51" s="15">
        <f>SUMIF('Stavební rozpočet'!BB13:BB1564,"SO 03d_1_",'Stavební rozpočet'!BH13:BH1564)</f>
        <v>71.346959999999996</v>
      </c>
      <c r="M51" s="21" t="s">
        <v>2243</v>
      </c>
      <c r="N51" s="56">
        <f t="shared" si="2"/>
        <v>0</v>
      </c>
      <c r="O51" s="12" t="s">
        <v>714</v>
      </c>
      <c r="P51" s="56">
        <f t="shared" si="3"/>
        <v>0</v>
      </c>
    </row>
    <row r="52" spans="1:16" ht="15" customHeight="1">
      <c r="A52" s="24" t="s">
        <v>714</v>
      </c>
      <c r="B52" s="12" t="s">
        <v>258</v>
      </c>
      <c r="C52" s="630" t="s">
        <v>1722</v>
      </c>
      <c r="D52" s="630"/>
      <c r="E52" s="630"/>
      <c r="F52" s="630"/>
      <c r="G52" s="630"/>
      <c r="H52" s="630"/>
      <c r="I52" s="56">
        <f>SUMIF('Stavební rozpočet'!BB13:BB1564,"SO 03d_4_",'Stavební rozpočet'!AY13:AY1564)</f>
        <v>0</v>
      </c>
      <c r="J52" s="56">
        <f>SUMIF('Stavební rozpočet'!BB13:BB1564,"SO 03d_4_",'Stavební rozpočet'!AZ13:AZ1564)</f>
        <v>0</v>
      </c>
      <c r="K52" s="56">
        <f>SUMIF('Stavební rozpočet'!BB13:BB1564,"SO 03d_4_",'Stavební rozpočet'!AX13:AX1564)</f>
        <v>0</v>
      </c>
      <c r="L52" s="15">
        <f>SUMIF('Stavební rozpočet'!BB13:BB1564,"SO 03d_4_",'Stavební rozpočet'!BH13:BH1564)</f>
        <v>53.943668100000004</v>
      </c>
      <c r="M52" s="21" t="s">
        <v>2243</v>
      </c>
      <c r="N52" s="56">
        <f t="shared" si="2"/>
        <v>0</v>
      </c>
      <c r="O52" s="12" t="s">
        <v>714</v>
      </c>
      <c r="P52" s="56">
        <f t="shared" si="3"/>
        <v>0</v>
      </c>
    </row>
    <row r="53" spans="1:16" ht="15" customHeight="1">
      <c r="A53" s="24" t="s">
        <v>714</v>
      </c>
      <c r="B53" s="12" t="s">
        <v>1802</v>
      </c>
      <c r="C53" s="630" t="s">
        <v>425</v>
      </c>
      <c r="D53" s="630"/>
      <c r="E53" s="630"/>
      <c r="F53" s="630"/>
      <c r="G53" s="630"/>
      <c r="H53" s="630"/>
      <c r="I53" s="56">
        <f>SUMIF('Stavební rozpočet'!BB13:BB1564,"SO 03d_72_",'Stavební rozpočet'!AY13:AY1564)</f>
        <v>0</v>
      </c>
      <c r="J53" s="56">
        <f>SUMIF('Stavební rozpočet'!BB13:BB1564,"SO 03d_72_",'Stavební rozpočet'!AZ13:AZ1564)</f>
        <v>0</v>
      </c>
      <c r="K53" s="56">
        <f>SUMIF('Stavební rozpočet'!BB13:BB1564,"SO 03d_72_",'Stavební rozpočet'!AX13:AX1564)</f>
        <v>0</v>
      </c>
      <c r="L53" s="15">
        <f>SUMIF('Stavební rozpočet'!BB13:BB1564,"SO 03d_72_",'Stavební rozpočet'!BH13:BH1564)</f>
        <v>4.1722599999999996</v>
      </c>
      <c r="M53" s="21" t="s">
        <v>2243</v>
      </c>
      <c r="N53" s="56">
        <f t="shared" si="2"/>
        <v>0</v>
      </c>
      <c r="O53" s="12" t="s">
        <v>714</v>
      </c>
      <c r="P53" s="56">
        <f t="shared" si="3"/>
        <v>0</v>
      </c>
    </row>
    <row r="54" spans="1:16" ht="15" customHeight="1">
      <c r="A54" s="24" t="s">
        <v>714</v>
      </c>
      <c r="B54" s="12" t="s">
        <v>1829</v>
      </c>
      <c r="C54" s="630" t="s">
        <v>1556</v>
      </c>
      <c r="D54" s="630"/>
      <c r="E54" s="630"/>
      <c r="F54" s="630"/>
      <c r="G54" s="630"/>
      <c r="H54" s="630"/>
      <c r="I54" s="56">
        <f>SUMIF('Stavební rozpočet'!BB13:BB1564,"SO 03d_8_",'Stavební rozpočet'!AY13:AY1564)</f>
        <v>0</v>
      </c>
      <c r="J54" s="56">
        <f>SUMIF('Stavební rozpočet'!BB13:BB1564,"SO 03d_8_",'Stavební rozpočet'!AZ13:AZ1564)</f>
        <v>0</v>
      </c>
      <c r="K54" s="56">
        <f>SUMIF('Stavební rozpočet'!BB13:BB1564,"SO 03d_8_",'Stavební rozpočet'!AX13:AX1564)</f>
        <v>0</v>
      </c>
      <c r="L54" s="15">
        <f>SUMIF('Stavební rozpočet'!BB13:BB1564,"SO 03d_8_",'Stavební rozpočet'!BH13:BH1564)</f>
        <v>0.15636</v>
      </c>
      <c r="M54" s="21" t="s">
        <v>2243</v>
      </c>
      <c r="N54" s="56">
        <f t="shared" si="2"/>
        <v>0</v>
      </c>
      <c r="O54" s="12" t="s">
        <v>714</v>
      </c>
      <c r="P54" s="56">
        <f t="shared" si="3"/>
        <v>0</v>
      </c>
    </row>
    <row r="55" spans="1:16" ht="15" customHeight="1">
      <c r="A55" s="24" t="s">
        <v>714</v>
      </c>
      <c r="B55" s="12" t="s">
        <v>873</v>
      </c>
      <c r="C55" s="630" t="s">
        <v>2194</v>
      </c>
      <c r="D55" s="630"/>
      <c r="E55" s="630"/>
      <c r="F55" s="630"/>
      <c r="G55" s="630"/>
      <c r="H55" s="630"/>
      <c r="I55" s="56">
        <f>SUMIF('Stavební rozpočet'!BB13:BB1564,"SO 03d_9_",'Stavební rozpočet'!AY13:AY1564)</f>
        <v>0</v>
      </c>
      <c r="J55" s="56">
        <f>SUMIF('Stavební rozpočet'!BB13:BB1564,"SO 03d_9_",'Stavební rozpočet'!AZ13:AZ1564)</f>
        <v>0</v>
      </c>
      <c r="K55" s="56">
        <f>SUMIF('Stavební rozpočet'!BB13:BB1564,"SO 03d_9_",'Stavební rozpočet'!AX13:AX1564)</f>
        <v>0</v>
      </c>
      <c r="L55" s="15">
        <f>SUMIF('Stavební rozpočet'!BB13:BB1564,"SO 03d_9_",'Stavební rozpočet'!BH13:BH1564)</f>
        <v>0</v>
      </c>
      <c r="M55" s="21" t="s">
        <v>2243</v>
      </c>
      <c r="N55" s="56">
        <f t="shared" si="2"/>
        <v>0</v>
      </c>
      <c r="O55" s="12" t="s">
        <v>714</v>
      </c>
      <c r="P55" s="56">
        <f t="shared" si="3"/>
        <v>0</v>
      </c>
    </row>
    <row r="56" spans="1:16" ht="15" customHeight="1">
      <c r="A56" s="24" t="s">
        <v>714</v>
      </c>
      <c r="B56" s="12" t="s">
        <v>1597</v>
      </c>
      <c r="C56" s="630" t="s">
        <v>170</v>
      </c>
      <c r="D56" s="630"/>
      <c r="E56" s="630"/>
      <c r="F56" s="630"/>
      <c r="G56" s="630"/>
      <c r="H56" s="630"/>
      <c r="I56" s="56">
        <f>SUMIF('Stavební rozpočet'!BB13:BB1564,"SO 03d_Z_",'Stavební rozpočet'!AY13:AY1564)</f>
        <v>0</v>
      </c>
      <c r="J56" s="56">
        <f>SUMIF('Stavební rozpočet'!BB13:BB1564,"SO 03d_Z_",'Stavební rozpočet'!AZ13:AZ1564)</f>
        <v>0</v>
      </c>
      <c r="K56" s="56">
        <f>SUMIF('Stavební rozpočet'!BB13:BB1564,"SO 03d_Z_",'Stavební rozpočet'!AX13:AX1564)</f>
        <v>0</v>
      </c>
      <c r="L56" s="15">
        <f>SUMIF('Stavební rozpočet'!BB13:BB1564,"SO 03d_Z_",'Stavební rozpočet'!BH13:BH1564)</f>
        <v>5.3899999999999998E-3</v>
      </c>
      <c r="M56" s="21" t="s">
        <v>2243</v>
      </c>
      <c r="N56" s="56">
        <f t="shared" si="2"/>
        <v>0</v>
      </c>
      <c r="O56" s="12" t="s">
        <v>714</v>
      </c>
      <c r="P56" s="56">
        <f t="shared" si="3"/>
        <v>0</v>
      </c>
    </row>
    <row r="57" spans="1:16" ht="15" customHeight="1">
      <c r="A57" s="546" t="s">
        <v>225</v>
      </c>
      <c r="B57" s="547" t="s">
        <v>1597</v>
      </c>
      <c r="C57" s="707" t="s">
        <v>1895</v>
      </c>
      <c r="D57" s="707"/>
      <c r="E57" s="707"/>
      <c r="F57" s="707"/>
      <c r="G57" s="707"/>
      <c r="H57" s="707"/>
      <c r="I57" s="56">
        <f>'Stavební rozpočet'!I1340</f>
        <v>0</v>
      </c>
      <c r="J57" s="56">
        <f>'Stavební rozpočet'!J1340</f>
        <v>0</v>
      </c>
      <c r="K57" s="56">
        <f>'Stavební rozpočet'!K1340</f>
        <v>0</v>
      </c>
      <c r="L57" s="15">
        <f>'Stavební rozpočet'!M1340</f>
        <v>0</v>
      </c>
      <c r="M57" s="21" t="s">
        <v>1025</v>
      </c>
      <c r="N57" s="56">
        <f t="shared" si="2"/>
        <v>0</v>
      </c>
      <c r="O57" s="12" t="s">
        <v>225</v>
      </c>
      <c r="P57" s="56">
        <f t="shared" si="3"/>
        <v>0</v>
      </c>
    </row>
    <row r="58" spans="1:16" ht="15" customHeight="1">
      <c r="A58" s="24" t="s">
        <v>225</v>
      </c>
      <c r="B58" s="12" t="s">
        <v>873</v>
      </c>
      <c r="C58" s="630" t="s">
        <v>2194</v>
      </c>
      <c r="D58" s="630"/>
      <c r="E58" s="630"/>
      <c r="F58" s="630"/>
      <c r="G58" s="630"/>
      <c r="H58" s="630"/>
      <c r="I58" s="56">
        <f>SUMIF('Stavební rozpočet'!BB13:BB1564,"SO 03e_9_",'Stavební rozpočet'!AY13:AY1564)</f>
        <v>0</v>
      </c>
      <c r="J58" s="56">
        <f>SUMIF('Stavební rozpočet'!BB13:BB1564,"SO 03e_9_",'Stavební rozpočet'!AZ13:AZ1564)</f>
        <v>0</v>
      </c>
      <c r="K58" s="56">
        <f>SUMIF('Stavební rozpočet'!BB13:BB1564,"SO 03e_9_",'Stavební rozpočet'!AX13:AX1564)</f>
        <v>0</v>
      </c>
      <c r="L58" s="15">
        <f>SUMIF('Stavební rozpočet'!BB13:BB1564,"SO 03e_9_",'Stavební rozpočet'!BH13:BH1564)</f>
        <v>0</v>
      </c>
      <c r="M58" s="21" t="s">
        <v>2243</v>
      </c>
      <c r="N58" s="56">
        <f t="shared" si="2"/>
        <v>0</v>
      </c>
      <c r="O58" s="12" t="s">
        <v>225</v>
      </c>
      <c r="P58" s="56">
        <f t="shared" si="3"/>
        <v>0</v>
      </c>
    </row>
    <row r="59" spans="1:16" ht="15" customHeight="1">
      <c r="A59" s="546" t="s">
        <v>1681</v>
      </c>
      <c r="B59" s="547" t="s">
        <v>1597</v>
      </c>
      <c r="C59" s="707" t="s">
        <v>1984</v>
      </c>
      <c r="D59" s="707"/>
      <c r="E59" s="707"/>
      <c r="F59" s="707"/>
      <c r="G59" s="707"/>
      <c r="H59" s="707"/>
      <c r="I59" s="56">
        <f>'Stavební rozpočet'!I1344</f>
        <v>0</v>
      </c>
      <c r="J59" s="56">
        <f>'Stavební rozpočet'!J1344</f>
        <v>0</v>
      </c>
      <c r="K59" s="56">
        <f>'Stavební rozpočet'!K1344</f>
        <v>0</v>
      </c>
      <c r="L59" s="15">
        <f>'Stavební rozpočet'!M1344</f>
        <v>0</v>
      </c>
      <c r="M59" s="21" t="s">
        <v>1025</v>
      </c>
      <c r="N59" s="56">
        <f t="shared" si="2"/>
        <v>0</v>
      </c>
      <c r="O59" s="12" t="s">
        <v>1681</v>
      </c>
      <c r="P59" s="56">
        <f t="shared" si="3"/>
        <v>0</v>
      </c>
    </row>
    <row r="60" spans="1:16" ht="15" customHeight="1">
      <c r="A60" s="24" t="s">
        <v>1681</v>
      </c>
      <c r="B60" s="12" t="s">
        <v>873</v>
      </c>
      <c r="C60" s="630" t="s">
        <v>2194</v>
      </c>
      <c r="D60" s="630"/>
      <c r="E60" s="630"/>
      <c r="F60" s="630"/>
      <c r="G60" s="630"/>
      <c r="H60" s="630"/>
      <c r="I60" s="56">
        <f>SUMIF('Stavební rozpočet'!BB13:BB1564,"SO 03f_9_",'Stavební rozpočet'!AY13:AY1564)</f>
        <v>0</v>
      </c>
      <c r="J60" s="56">
        <f>SUMIF('Stavební rozpočet'!BB13:BB1564,"SO 03f_9_",'Stavební rozpočet'!AZ13:AZ1564)</f>
        <v>0</v>
      </c>
      <c r="K60" s="56">
        <f>SUMIF('Stavební rozpočet'!BB13:BB1564,"SO 03f_9_",'Stavební rozpočet'!AX13:AX1564)</f>
        <v>0</v>
      </c>
      <c r="L60" s="15">
        <f>SUMIF('Stavební rozpočet'!BB13:BB1564,"SO 03f_9_",'Stavební rozpočet'!BH13:BH1564)</f>
        <v>0</v>
      </c>
      <c r="M60" s="21" t="s">
        <v>2243</v>
      </c>
      <c r="N60" s="56">
        <f t="shared" si="2"/>
        <v>0</v>
      </c>
      <c r="O60" s="12" t="s">
        <v>1681</v>
      </c>
      <c r="P60" s="56">
        <f t="shared" si="3"/>
        <v>0</v>
      </c>
    </row>
    <row r="61" spans="1:16" ht="15" customHeight="1">
      <c r="A61" s="546" t="s">
        <v>902</v>
      </c>
      <c r="B61" s="547" t="s">
        <v>1597</v>
      </c>
      <c r="C61" s="707" t="s">
        <v>193</v>
      </c>
      <c r="D61" s="707"/>
      <c r="E61" s="707"/>
      <c r="F61" s="707"/>
      <c r="G61" s="707"/>
      <c r="H61" s="707"/>
      <c r="I61" s="56">
        <f>'Stavební rozpočet'!I1348</f>
        <v>0</v>
      </c>
      <c r="J61" s="56">
        <f>'Stavební rozpočet'!J1348</f>
        <v>0</v>
      </c>
      <c r="K61" s="56">
        <f>'Stavební rozpočet'!K1348</f>
        <v>0</v>
      </c>
      <c r="L61" s="15">
        <f>'Stavební rozpočet'!M1348</f>
        <v>88.402851600000005</v>
      </c>
      <c r="M61" s="21" t="s">
        <v>1025</v>
      </c>
      <c r="N61" s="56">
        <f t="shared" si="2"/>
        <v>0</v>
      </c>
      <c r="O61" s="12" t="s">
        <v>902</v>
      </c>
      <c r="P61" s="56">
        <f t="shared" si="3"/>
        <v>0</v>
      </c>
    </row>
    <row r="62" spans="1:16" ht="15" customHeight="1">
      <c r="A62" s="24" t="s">
        <v>902</v>
      </c>
      <c r="B62" s="12" t="s">
        <v>2297</v>
      </c>
      <c r="C62" s="630" t="s">
        <v>567</v>
      </c>
      <c r="D62" s="630"/>
      <c r="E62" s="630"/>
      <c r="F62" s="630"/>
      <c r="G62" s="630"/>
      <c r="H62" s="630"/>
      <c r="I62" s="56">
        <f>SUMIF('Stavební rozpočet'!BB13:BB1564,"SO 04_1_",'Stavební rozpočet'!AY13:AY1564)</f>
        <v>0</v>
      </c>
      <c r="J62" s="56">
        <f>SUMIF('Stavební rozpočet'!BB13:BB1564,"SO 04_1_",'Stavební rozpočet'!AZ13:AZ1564)</f>
        <v>0</v>
      </c>
      <c r="K62" s="56">
        <f>SUMIF('Stavební rozpočet'!BB13:BB1564,"SO 04_1_",'Stavební rozpočet'!AX13:AX1564)</f>
        <v>0</v>
      </c>
      <c r="L62" s="15">
        <f>SUMIF('Stavební rozpočet'!BB13:BB1564,"SO 04_1_",'Stavební rozpočet'!BH13:BH1564)</f>
        <v>58.774805600000001</v>
      </c>
      <c r="M62" s="21" t="s">
        <v>2243</v>
      </c>
      <c r="N62" s="56">
        <f t="shared" si="2"/>
        <v>0</v>
      </c>
      <c r="O62" s="12" t="s">
        <v>902</v>
      </c>
      <c r="P62" s="56">
        <f t="shared" si="3"/>
        <v>0</v>
      </c>
    </row>
    <row r="63" spans="1:16" ht="15" customHeight="1">
      <c r="A63" s="24" t="s">
        <v>902</v>
      </c>
      <c r="B63" s="12" t="s">
        <v>258</v>
      </c>
      <c r="C63" s="630" t="s">
        <v>1722</v>
      </c>
      <c r="D63" s="630"/>
      <c r="E63" s="630"/>
      <c r="F63" s="630"/>
      <c r="G63" s="630"/>
      <c r="H63" s="630"/>
      <c r="I63" s="56">
        <f>SUMIF('Stavební rozpočet'!BB13:BB1564,"SO 04_4_",'Stavební rozpočet'!AY13:AY1564)</f>
        <v>0</v>
      </c>
      <c r="J63" s="56">
        <f>SUMIF('Stavební rozpočet'!BB13:BB1564,"SO 04_4_",'Stavební rozpočet'!AZ13:AZ1564)</f>
        <v>0</v>
      </c>
      <c r="K63" s="56">
        <f>SUMIF('Stavební rozpočet'!BB13:BB1564,"SO 04_4_",'Stavební rozpočet'!AX13:AX1564)</f>
        <v>0</v>
      </c>
      <c r="L63" s="15">
        <f>SUMIF('Stavební rozpočet'!BB13:BB1564,"SO 04_4_",'Stavební rozpočet'!BH13:BH1564)</f>
        <v>25.2290402</v>
      </c>
      <c r="M63" s="21" t="s">
        <v>2243</v>
      </c>
      <c r="N63" s="56">
        <f t="shared" si="2"/>
        <v>0</v>
      </c>
      <c r="O63" s="12" t="s">
        <v>902</v>
      </c>
      <c r="P63" s="56">
        <f t="shared" si="3"/>
        <v>0</v>
      </c>
    </row>
    <row r="64" spans="1:16" ht="15" customHeight="1">
      <c r="A64" s="24" t="s">
        <v>902</v>
      </c>
      <c r="B64" s="12" t="s">
        <v>1802</v>
      </c>
      <c r="C64" s="630" t="s">
        <v>425</v>
      </c>
      <c r="D64" s="630"/>
      <c r="E64" s="630"/>
      <c r="F64" s="630"/>
      <c r="G64" s="630"/>
      <c r="H64" s="630"/>
      <c r="I64" s="56">
        <f>SUMIF('Stavební rozpočet'!BB13:BB1564,"SO 04_72_",'Stavební rozpočet'!AY13:AY1564)</f>
        <v>0</v>
      </c>
      <c r="J64" s="56">
        <f>SUMIF('Stavební rozpočet'!BB13:BB1564,"SO 04_72_",'Stavební rozpočet'!AZ13:AZ1564)</f>
        <v>0</v>
      </c>
      <c r="K64" s="56">
        <f>SUMIF('Stavební rozpočet'!BB13:BB1564,"SO 04_72_",'Stavební rozpočet'!AX13:AX1564)</f>
        <v>0</v>
      </c>
      <c r="L64" s="15">
        <f>SUMIF('Stavební rozpočet'!BB13:BB1564,"SO 04_72_",'Stavební rozpočet'!BH13:BH1564)</f>
        <v>0.78064</v>
      </c>
      <c r="M64" s="21" t="s">
        <v>2243</v>
      </c>
      <c r="N64" s="56">
        <f t="shared" si="2"/>
        <v>0</v>
      </c>
      <c r="O64" s="12" t="s">
        <v>902</v>
      </c>
      <c r="P64" s="56">
        <f t="shared" si="3"/>
        <v>0</v>
      </c>
    </row>
    <row r="65" spans="1:16" ht="15" customHeight="1">
      <c r="A65" s="24" t="s">
        <v>902</v>
      </c>
      <c r="B65" s="12" t="s">
        <v>1829</v>
      </c>
      <c r="C65" s="630" t="s">
        <v>1556</v>
      </c>
      <c r="D65" s="630"/>
      <c r="E65" s="630"/>
      <c r="F65" s="630"/>
      <c r="G65" s="630"/>
      <c r="H65" s="630"/>
      <c r="I65" s="56">
        <f>SUMIF('Stavební rozpočet'!BB13:BB1564,"SO 04_8_",'Stavební rozpočet'!AY13:AY1564)</f>
        <v>0</v>
      </c>
      <c r="J65" s="56">
        <f>SUMIF('Stavební rozpočet'!BB13:BB1564,"SO 04_8_",'Stavební rozpočet'!AZ13:AZ1564)</f>
        <v>0</v>
      </c>
      <c r="K65" s="56">
        <f>SUMIF('Stavební rozpočet'!BB13:BB1564,"SO 04_8_",'Stavební rozpočet'!AX13:AX1564)</f>
        <v>0</v>
      </c>
      <c r="L65" s="15">
        <f>SUMIF('Stavební rozpočet'!BB13:BB1564,"SO 04_8_",'Stavební rozpočet'!BH13:BH1564)</f>
        <v>3.6183658000000003</v>
      </c>
      <c r="M65" s="21" t="s">
        <v>2243</v>
      </c>
      <c r="N65" s="56">
        <f t="shared" si="2"/>
        <v>0</v>
      </c>
      <c r="O65" s="12" t="s">
        <v>902</v>
      </c>
      <c r="P65" s="56">
        <f t="shared" si="3"/>
        <v>0</v>
      </c>
    </row>
    <row r="66" spans="1:16" ht="15" customHeight="1">
      <c r="A66" s="24" t="s">
        <v>902</v>
      </c>
      <c r="B66" s="12" t="s">
        <v>873</v>
      </c>
      <c r="C66" s="630" t="s">
        <v>2194</v>
      </c>
      <c r="D66" s="630"/>
      <c r="E66" s="630"/>
      <c r="F66" s="630"/>
      <c r="G66" s="630"/>
      <c r="H66" s="630"/>
      <c r="I66" s="56">
        <f>SUMIF('Stavební rozpočet'!BB13:BB1564,"SO 04_9_",'Stavební rozpočet'!AY13:AY1564)</f>
        <v>0</v>
      </c>
      <c r="J66" s="56">
        <f>SUMIF('Stavební rozpočet'!BB13:BB1564,"SO 04_9_",'Stavební rozpočet'!AZ13:AZ1564)</f>
        <v>0</v>
      </c>
      <c r="K66" s="56">
        <f>SUMIF('Stavební rozpočet'!BB13:BB1564,"SO 04_9_",'Stavební rozpočet'!AX13:AX1564)</f>
        <v>0</v>
      </c>
      <c r="L66" s="15">
        <f>SUMIF('Stavební rozpočet'!BB13:BB1564,"SO 04_9_",'Stavební rozpočet'!BH13:BH1564)</f>
        <v>0</v>
      </c>
      <c r="M66" s="21" t="s">
        <v>2243</v>
      </c>
      <c r="N66" s="56">
        <f t="shared" si="2"/>
        <v>0</v>
      </c>
      <c r="O66" s="12" t="s">
        <v>902</v>
      </c>
      <c r="P66" s="56">
        <f t="shared" si="3"/>
        <v>0</v>
      </c>
    </row>
    <row r="67" spans="1:16" ht="15" customHeight="1">
      <c r="A67" s="546" t="s">
        <v>119</v>
      </c>
      <c r="B67" s="547" t="s">
        <v>1597</v>
      </c>
      <c r="C67" s="707" t="s">
        <v>466</v>
      </c>
      <c r="D67" s="707"/>
      <c r="E67" s="707"/>
      <c r="F67" s="707"/>
      <c r="G67" s="707"/>
      <c r="H67" s="707"/>
      <c r="I67" s="56">
        <f>'Stavební rozpočet'!I1446</f>
        <v>0</v>
      </c>
      <c r="J67" s="56">
        <f>'Stavební rozpočet'!J1446</f>
        <v>0</v>
      </c>
      <c r="K67" s="56">
        <f>'Stavební rozpočet'!K1446</f>
        <v>0</v>
      </c>
      <c r="L67" s="15">
        <f>'Stavební rozpočet'!M1446</f>
        <v>40.253705200000006</v>
      </c>
      <c r="M67" s="21" t="s">
        <v>1025</v>
      </c>
      <c r="N67" s="56">
        <f t="shared" si="2"/>
        <v>0</v>
      </c>
      <c r="O67" s="12" t="s">
        <v>119</v>
      </c>
      <c r="P67" s="56">
        <f t="shared" si="3"/>
        <v>0</v>
      </c>
    </row>
    <row r="68" spans="1:16" ht="15" customHeight="1">
      <c r="A68" s="24" t="s">
        <v>119</v>
      </c>
      <c r="B68" s="12" t="s">
        <v>2297</v>
      </c>
      <c r="C68" s="630" t="s">
        <v>567</v>
      </c>
      <c r="D68" s="630"/>
      <c r="E68" s="630"/>
      <c r="F68" s="630"/>
      <c r="G68" s="630"/>
      <c r="H68" s="630"/>
      <c r="I68" s="56">
        <f>SUMIF('Stavební rozpočet'!BB13:BB1564,"SO 05_1_",'Stavební rozpočet'!AY13:AY1564)</f>
        <v>0</v>
      </c>
      <c r="J68" s="56">
        <f>SUMIF('Stavební rozpočet'!BB13:BB1564,"SO 05_1_",'Stavební rozpočet'!AZ13:AZ1564)</f>
        <v>0</v>
      </c>
      <c r="K68" s="56">
        <f>SUMIF('Stavební rozpočet'!BB13:BB1564,"SO 05_1_",'Stavební rozpočet'!AX13:AX1564)</f>
        <v>0</v>
      </c>
      <c r="L68" s="15">
        <f>SUMIF('Stavební rozpočet'!BB13:BB1564,"SO 05_1_",'Stavební rozpočet'!BH13:BH1564)</f>
        <v>16.593814000000002</v>
      </c>
      <c r="M68" s="21" t="s">
        <v>2243</v>
      </c>
      <c r="N68" s="56">
        <f t="shared" si="2"/>
        <v>0</v>
      </c>
      <c r="O68" s="12" t="s">
        <v>119</v>
      </c>
      <c r="P68" s="56">
        <f t="shared" si="3"/>
        <v>0</v>
      </c>
    </row>
    <row r="69" spans="1:16" ht="15" customHeight="1">
      <c r="A69" s="24" t="s">
        <v>119</v>
      </c>
      <c r="B69" s="12" t="s">
        <v>258</v>
      </c>
      <c r="C69" s="630" t="s">
        <v>1722</v>
      </c>
      <c r="D69" s="630"/>
      <c r="E69" s="630"/>
      <c r="F69" s="630"/>
      <c r="G69" s="630"/>
      <c r="H69" s="630"/>
      <c r="I69" s="56">
        <f>SUMIF('Stavební rozpočet'!BB13:BB1564,"SO 05_4_",'Stavební rozpočet'!AY13:AY1564)</f>
        <v>0</v>
      </c>
      <c r="J69" s="56">
        <f>SUMIF('Stavební rozpočet'!BB13:BB1564,"SO 05_4_",'Stavební rozpočet'!AZ13:AZ1564)</f>
        <v>0</v>
      </c>
      <c r="K69" s="56">
        <f>SUMIF('Stavební rozpočet'!BB13:BB1564,"SO 05_4_",'Stavební rozpočet'!AX13:AX1564)</f>
        <v>0</v>
      </c>
      <c r="L69" s="15">
        <f>SUMIF('Stavební rozpočet'!BB13:BB1564,"SO 05_4_",'Stavební rozpočet'!BH13:BH1564)</f>
        <v>4.0840632000000001</v>
      </c>
      <c r="M69" s="21" t="s">
        <v>2243</v>
      </c>
      <c r="N69" s="56">
        <f t="shared" si="2"/>
        <v>0</v>
      </c>
      <c r="O69" s="12" t="s">
        <v>119</v>
      </c>
      <c r="P69" s="56">
        <f t="shared" si="3"/>
        <v>0</v>
      </c>
    </row>
    <row r="70" spans="1:16" ht="15" customHeight="1">
      <c r="A70" s="24" t="s">
        <v>119</v>
      </c>
      <c r="B70" s="12" t="s">
        <v>1227</v>
      </c>
      <c r="C70" s="630" t="s">
        <v>594</v>
      </c>
      <c r="D70" s="630"/>
      <c r="E70" s="630"/>
      <c r="F70" s="630"/>
      <c r="G70" s="630"/>
      <c r="H70" s="630"/>
      <c r="I70" s="56">
        <f>SUMIF('Stavební rozpočet'!BB13:BB1564,"SO 05_5_",'Stavební rozpočet'!AY13:AY1564)</f>
        <v>0</v>
      </c>
      <c r="J70" s="56">
        <f>SUMIF('Stavební rozpočet'!BB13:BB1564,"SO 05_5_",'Stavební rozpočet'!AZ13:AZ1564)</f>
        <v>0</v>
      </c>
      <c r="K70" s="56">
        <f>SUMIF('Stavební rozpočet'!BB13:BB1564,"SO 05_5_",'Stavební rozpočet'!AX13:AX1564)</f>
        <v>0</v>
      </c>
      <c r="L70" s="15">
        <f>SUMIF('Stavební rozpočet'!BB13:BB1564,"SO 05_5_",'Stavební rozpočet'!BH13:BH1564)</f>
        <v>13.4772</v>
      </c>
      <c r="M70" s="21" t="s">
        <v>2243</v>
      </c>
      <c r="N70" s="56">
        <f t="shared" si="2"/>
        <v>0</v>
      </c>
      <c r="O70" s="12" t="s">
        <v>119</v>
      </c>
      <c r="P70" s="56">
        <f t="shared" si="3"/>
        <v>0</v>
      </c>
    </row>
    <row r="71" spans="1:16" ht="15" customHeight="1">
      <c r="A71" s="24" t="s">
        <v>119</v>
      </c>
      <c r="B71" s="12" t="s">
        <v>1802</v>
      </c>
      <c r="C71" s="630" t="s">
        <v>425</v>
      </c>
      <c r="D71" s="630"/>
      <c r="E71" s="630"/>
      <c r="F71" s="630"/>
      <c r="G71" s="630"/>
      <c r="H71" s="630"/>
      <c r="I71" s="56">
        <f>SUMIF('Stavební rozpočet'!BB13:BB1564,"SO 05_72_",'Stavební rozpočet'!AY13:AY1564)</f>
        <v>0</v>
      </c>
      <c r="J71" s="56">
        <f>SUMIF('Stavební rozpočet'!BB13:BB1564,"SO 05_72_",'Stavební rozpočet'!AZ13:AZ1564)</f>
        <v>0</v>
      </c>
      <c r="K71" s="56">
        <f>SUMIF('Stavební rozpočet'!BB13:BB1564,"SO 05_72_",'Stavební rozpočet'!AX13:AX1564)</f>
        <v>0</v>
      </c>
      <c r="L71" s="15">
        <f>SUMIF('Stavební rozpočet'!BB13:BB1564,"SO 05_72_",'Stavební rozpočet'!BH13:BH1564)</f>
        <v>1.711E-2</v>
      </c>
      <c r="M71" s="21" t="s">
        <v>2243</v>
      </c>
      <c r="N71" s="56">
        <f t="shared" si="2"/>
        <v>0</v>
      </c>
      <c r="O71" s="12" t="s">
        <v>119</v>
      </c>
      <c r="P71" s="56">
        <f t="shared" si="3"/>
        <v>0</v>
      </c>
    </row>
    <row r="72" spans="1:16" ht="15" customHeight="1">
      <c r="A72" s="24" t="s">
        <v>119</v>
      </c>
      <c r="B72" s="12" t="s">
        <v>1829</v>
      </c>
      <c r="C72" s="630" t="s">
        <v>1556</v>
      </c>
      <c r="D72" s="630"/>
      <c r="E72" s="630"/>
      <c r="F72" s="630"/>
      <c r="G72" s="630"/>
      <c r="H72" s="630"/>
      <c r="I72" s="56">
        <f>SUMIF('Stavební rozpočet'!BB13:BB1564,"SO 05_8_",'Stavební rozpočet'!AY13:AY1564)</f>
        <v>0</v>
      </c>
      <c r="J72" s="56">
        <f>SUMIF('Stavební rozpočet'!BB13:BB1564,"SO 05_8_",'Stavební rozpočet'!AZ13:AZ1564)</f>
        <v>0</v>
      </c>
      <c r="K72" s="56">
        <f>SUMIF('Stavební rozpočet'!BB13:BB1564,"SO 05_8_",'Stavební rozpočet'!AX13:AX1564)</f>
        <v>0</v>
      </c>
      <c r="L72" s="15">
        <f>SUMIF('Stavební rozpočet'!BB13:BB1564,"SO 05_8_",'Stavební rozpočet'!BH13:BH1564)</f>
        <v>6.0799180000000002</v>
      </c>
      <c r="M72" s="21" t="s">
        <v>2243</v>
      </c>
      <c r="N72" s="56">
        <f t="shared" si="2"/>
        <v>0</v>
      </c>
      <c r="O72" s="12" t="s">
        <v>119</v>
      </c>
      <c r="P72" s="56">
        <f t="shared" si="3"/>
        <v>0</v>
      </c>
    </row>
    <row r="73" spans="1:16" ht="15" customHeight="1">
      <c r="A73" s="24" t="s">
        <v>119</v>
      </c>
      <c r="B73" s="12" t="s">
        <v>873</v>
      </c>
      <c r="C73" s="630" t="s">
        <v>2194</v>
      </c>
      <c r="D73" s="630"/>
      <c r="E73" s="630"/>
      <c r="F73" s="630"/>
      <c r="G73" s="630"/>
      <c r="H73" s="630"/>
      <c r="I73" s="56">
        <f>SUMIF('Stavební rozpočet'!BB13:BB1564,"SO 05_9_",'Stavební rozpočet'!AY13:AY1564)</f>
        <v>0</v>
      </c>
      <c r="J73" s="56">
        <f>SUMIF('Stavební rozpočet'!BB13:BB1564,"SO 05_9_",'Stavební rozpočet'!AZ13:AZ1564)</f>
        <v>0</v>
      </c>
      <c r="K73" s="56">
        <f>SUMIF('Stavební rozpočet'!BB13:BB1564,"SO 05_9_",'Stavební rozpočet'!AX13:AX1564)</f>
        <v>0</v>
      </c>
      <c r="L73" s="15">
        <f>SUMIF('Stavební rozpočet'!BB13:BB1564,"SO 05_9_",'Stavební rozpočet'!BH13:BH1564)</f>
        <v>1.6000000000000001E-3</v>
      </c>
      <c r="M73" s="21" t="s">
        <v>2243</v>
      </c>
      <c r="N73" s="56">
        <f t="shared" si="2"/>
        <v>0</v>
      </c>
      <c r="O73" s="12" t="s">
        <v>119</v>
      </c>
      <c r="P73" s="56">
        <f t="shared" si="3"/>
        <v>0</v>
      </c>
    </row>
    <row r="74" spans="1:16" ht="15" customHeight="1">
      <c r="A74" s="546" t="s">
        <v>264</v>
      </c>
      <c r="B74" s="547" t="s">
        <v>1597</v>
      </c>
      <c r="C74" s="707" t="s">
        <v>1411</v>
      </c>
      <c r="D74" s="707"/>
      <c r="E74" s="707"/>
      <c r="F74" s="707"/>
      <c r="G74" s="707"/>
      <c r="H74" s="707"/>
      <c r="I74" s="56">
        <f>'Stavební rozpočet'!I1551</f>
        <v>0</v>
      </c>
      <c r="J74" s="56">
        <f>'Stavební rozpočet'!J1551</f>
        <v>0</v>
      </c>
      <c r="K74" s="56">
        <f>'Stavební rozpočet'!K1551</f>
        <v>0</v>
      </c>
      <c r="L74" s="15">
        <f>'Stavební rozpočet'!M1551</f>
        <v>8.2453949999999985</v>
      </c>
      <c r="M74" s="21" t="s">
        <v>1025</v>
      </c>
      <c r="N74" s="56">
        <f t="shared" si="2"/>
        <v>0</v>
      </c>
      <c r="O74" s="12" t="s">
        <v>264</v>
      </c>
      <c r="P74" s="56">
        <f t="shared" si="3"/>
        <v>0</v>
      </c>
    </row>
    <row r="75" spans="1:16" ht="15" customHeight="1">
      <c r="A75" s="94" t="s">
        <v>264</v>
      </c>
      <c r="B75" s="92" t="s">
        <v>1536</v>
      </c>
      <c r="C75" s="660" t="s">
        <v>546</v>
      </c>
      <c r="D75" s="660"/>
      <c r="E75" s="660"/>
      <c r="F75" s="660"/>
      <c r="G75" s="660"/>
      <c r="H75" s="660"/>
      <c r="I75" s="48">
        <f>SUMIF('Stavební rozpočet'!BB13:BB1564,"SO 06_76_",'Stavební rozpočet'!AY13:AY1564)</f>
        <v>0</v>
      </c>
      <c r="J75" s="48">
        <f>SUMIF('Stavební rozpočet'!BB13:BB1564,"SO 06_76_",'Stavební rozpočet'!AZ13:AZ1564)</f>
        <v>0</v>
      </c>
      <c r="K75" s="48">
        <f>SUMIF('Stavební rozpočet'!BB13:BB1564,"SO 06_76_",'Stavební rozpočet'!AX13:AX1564)</f>
        <v>0</v>
      </c>
      <c r="L75" s="55">
        <f>SUMIF('Stavební rozpočet'!BB13:BB1564,"SO 06_76_",'Stavební rozpočet'!BH13:BH1564)</f>
        <v>8.2453949999999985</v>
      </c>
      <c r="M75" s="21" t="s">
        <v>2243</v>
      </c>
      <c r="N75" s="56">
        <f t="shared" si="2"/>
        <v>0</v>
      </c>
      <c r="O75" s="12" t="s">
        <v>264</v>
      </c>
      <c r="P75" s="56">
        <f t="shared" si="3"/>
        <v>0</v>
      </c>
    </row>
    <row r="76" spans="1:16" ht="15" customHeight="1">
      <c r="I76" s="663" t="s">
        <v>1831</v>
      </c>
      <c r="J76" s="663"/>
      <c r="K76" s="14">
        <f>SUM(N12:N75)</f>
        <v>0</v>
      </c>
    </row>
    <row r="77" spans="1:16" ht="15" customHeight="1">
      <c r="A77" s="52" t="s">
        <v>200</v>
      </c>
    </row>
    <row r="78" spans="1:16" ht="12.75" customHeight="1">
      <c r="A78" s="629" t="s">
        <v>1597</v>
      </c>
      <c r="B78" s="630"/>
      <c r="C78" s="630"/>
      <c r="D78" s="630"/>
      <c r="E78" s="630"/>
      <c r="F78" s="630"/>
      <c r="G78" s="630"/>
      <c r="H78" s="630"/>
      <c r="I78" s="630"/>
      <c r="J78" s="630"/>
      <c r="K78" s="630"/>
      <c r="L78" s="630"/>
    </row>
  </sheetData>
  <mergeCells count="94">
    <mergeCell ref="A1:L1"/>
    <mergeCell ref="A2:C3"/>
    <mergeCell ref="A4:C5"/>
    <mergeCell ref="A6:C7"/>
    <mergeCell ref="A8:C9"/>
    <mergeCell ref="D2:F3"/>
    <mergeCell ref="D4:F5"/>
    <mergeCell ref="D6:F7"/>
    <mergeCell ref="D8:F9"/>
    <mergeCell ref="G2:G3"/>
    <mergeCell ref="G4:G5"/>
    <mergeCell ref="G6:G7"/>
    <mergeCell ref="G8:G9"/>
    <mergeCell ref="H2:H3"/>
    <mergeCell ref="H4:H5"/>
    <mergeCell ref="H6:H7"/>
    <mergeCell ref="H8:H9"/>
    <mergeCell ref="I2:I3"/>
    <mergeCell ref="I4:I5"/>
    <mergeCell ref="I6:I7"/>
    <mergeCell ref="I8:I9"/>
    <mergeCell ref="J2:L3"/>
    <mergeCell ref="J4:L5"/>
    <mergeCell ref="J6:L7"/>
    <mergeCell ref="J8:L9"/>
    <mergeCell ref="C20:H20"/>
    <mergeCell ref="C10:H10"/>
    <mergeCell ref="C11:H11"/>
    <mergeCell ref="I10:K10"/>
    <mergeCell ref="C12:H12"/>
    <mergeCell ref="C13:H13"/>
    <mergeCell ref="C14:H14"/>
    <mergeCell ref="C15:H15"/>
    <mergeCell ref="C16:H16"/>
    <mergeCell ref="C17:H17"/>
    <mergeCell ref="C18:H18"/>
    <mergeCell ref="C19:H19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44:H44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56:H56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68:H68"/>
    <mergeCell ref="C57:H57"/>
    <mergeCell ref="C58:H58"/>
    <mergeCell ref="C59:H59"/>
    <mergeCell ref="C60:H60"/>
    <mergeCell ref="C61:H61"/>
    <mergeCell ref="C62:H62"/>
    <mergeCell ref="C63:H63"/>
    <mergeCell ref="C64:H64"/>
    <mergeCell ref="C65:H65"/>
    <mergeCell ref="C66:H66"/>
    <mergeCell ref="C67:H67"/>
    <mergeCell ref="C75:H75"/>
    <mergeCell ref="I76:J76"/>
    <mergeCell ref="A78:L78"/>
    <mergeCell ref="C69:H69"/>
    <mergeCell ref="C70:H70"/>
    <mergeCell ref="C71:H71"/>
    <mergeCell ref="C72:H72"/>
    <mergeCell ref="C73:H73"/>
    <mergeCell ref="C74:H74"/>
  </mergeCells>
  <pageMargins left="0.39400000000000002" right="0.39400000000000002" top="0.59099999999999997" bottom="0.59099999999999997" header="0" footer="0"/>
  <pageSetup paperSize="9" scale="80" firstPageNumber="0" fitToHeight="0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autoPageBreaks="0" fitToPage="1"/>
  </sheetPr>
  <dimension ref="A1:BR1576"/>
  <sheetViews>
    <sheetView showOutlineSymbols="0" zoomScale="75" zoomScaleNormal="75" workbookViewId="0">
      <pane ySplit="11" topLeftCell="A1062" activePane="bottomLeft" state="frozenSplit"/>
      <selection activeCell="C28" sqref="C28"/>
      <selection pane="bottomLeft" activeCell="C28" sqref="C28"/>
    </sheetView>
  </sheetViews>
  <sheetFormatPr defaultColWidth="21.28515625" defaultRowHeight="15" customHeight="1"/>
  <cols>
    <col min="1" max="1" width="7"/>
    <col min="2" max="2" width="19.28515625"/>
    <col min="3" max="3" width="31.28515625"/>
    <col min="4" max="4" width="94.5703125" customWidth="1"/>
    <col min="5" max="5" width="131.85546875" customWidth="1"/>
    <col min="6" max="6" width="19"/>
    <col min="7" max="7" width="22.42578125"/>
    <col min="8" max="8" width="21"/>
    <col min="9" max="11" width="27.42578125"/>
    <col min="12" max="13" width="20.42578125"/>
    <col min="14" max="14" width="31.28515625"/>
    <col min="15" max="15" width="5.42578125" customWidth="1"/>
    <col min="16" max="16" width="30.5703125" customWidth="1"/>
    <col min="17" max="17" width="29.5703125" customWidth="1"/>
    <col min="18" max="19" width="27.5703125" customWidth="1"/>
    <col min="20" max="20" width="5.5703125" customWidth="1"/>
    <col min="21" max="21" width="30.42578125" customWidth="1"/>
    <col min="22" max="22" width="31.42578125" customWidth="1"/>
    <col min="23" max="23" width="30.140625" customWidth="1"/>
    <col min="24" max="24" width="26.28515625" customWidth="1"/>
    <col min="26" max="42" width="0" hidden="1" customWidth="1"/>
    <col min="43" max="44" width="0" style="505" hidden="1" customWidth="1"/>
    <col min="45" max="66" width="0" hidden="1" customWidth="1"/>
    <col min="68" max="68" width="26.5703125" style="592" customWidth="1"/>
    <col min="70" max="70" width="28.85546875" customWidth="1"/>
  </cols>
  <sheetData>
    <row r="1" spans="1:68" ht="36" customHeight="1">
      <c r="A1" s="665" t="s">
        <v>1258</v>
      </c>
      <c r="B1" s="665"/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AU1" s="17">
        <f>SUM(AL1:AL2)</f>
        <v>0</v>
      </c>
      <c r="AV1" s="17">
        <f>SUM(AM1:AM2)</f>
        <v>0</v>
      </c>
      <c r="AW1" s="17">
        <f>SUM(AN1:AN2)</f>
        <v>0</v>
      </c>
    </row>
    <row r="2" spans="1:68" ht="15" customHeight="1">
      <c r="A2" s="666" t="s">
        <v>168</v>
      </c>
      <c r="B2" s="659"/>
      <c r="C2" s="661" t="s">
        <v>887</v>
      </c>
      <c r="D2" s="662"/>
      <c r="E2" s="659" t="s">
        <v>15</v>
      </c>
      <c r="F2" s="659" t="s">
        <v>2144</v>
      </c>
      <c r="G2" s="658" t="s">
        <v>1960</v>
      </c>
      <c r="H2" s="659"/>
      <c r="I2" s="658" t="s">
        <v>1169</v>
      </c>
      <c r="J2" s="659"/>
      <c r="K2" s="659"/>
      <c r="L2" s="659"/>
      <c r="M2" s="659"/>
      <c r="N2" s="670"/>
    </row>
    <row r="3" spans="1:68" ht="15" customHeight="1">
      <c r="A3" s="667"/>
      <c r="B3" s="630"/>
      <c r="C3" s="663"/>
      <c r="D3" s="663"/>
      <c r="E3" s="630"/>
      <c r="F3" s="630"/>
      <c r="G3" s="630"/>
      <c r="H3" s="630"/>
      <c r="I3" s="630"/>
      <c r="J3" s="630"/>
      <c r="K3" s="630"/>
      <c r="L3" s="630"/>
      <c r="M3" s="630"/>
      <c r="N3" s="671"/>
    </row>
    <row r="4" spans="1:68" ht="15" customHeight="1">
      <c r="A4" s="668" t="s">
        <v>1264</v>
      </c>
      <c r="B4" s="630"/>
      <c r="C4" s="629" t="s">
        <v>298</v>
      </c>
      <c r="D4" s="630"/>
      <c r="E4" s="630" t="s">
        <v>2061</v>
      </c>
      <c r="F4" s="630" t="s">
        <v>2144</v>
      </c>
      <c r="G4" s="629" t="s">
        <v>1591</v>
      </c>
      <c r="H4" s="630"/>
      <c r="I4" s="630" t="s">
        <v>1085</v>
      </c>
      <c r="J4" s="630"/>
      <c r="K4" s="630"/>
      <c r="L4" s="630"/>
      <c r="M4" s="630"/>
      <c r="N4" s="671"/>
    </row>
    <row r="5" spans="1:68" ht="15" customHeight="1" thickBot="1">
      <c r="A5" s="667"/>
      <c r="B5" s="630"/>
      <c r="C5" s="630"/>
      <c r="D5" s="630"/>
      <c r="E5" s="630"/>
      <c r="F5" s="630"/>
      <c r="G5" s="630"/>
      <c r="H5" s="630"/>
      <c r="I5" s="630"/>
      <c r="J5" s="630"/>
      <c r="K5" s="630"/>
      <c r="L5" s="630"/>
      <c r="M5" s="630"/>
      <c r="N5" s="671"/>
    </row>
    <row r="6" spans="1:68" ht="15" customHeight="1">
      <c r="A6" s="668" t="s">
        <v>205</v>
      </c>
      <c r="B6" s="630"/>
      <c r="C6" s="629" t="s">
        <v>1228</v>
      </c>
      <c r="D6" s="630"/>
      <c r="E6" s="630" t="s">
        <v>747</v>
      </c>
      <c r="F6" s="630" t="s">
        <v>2144</v>
      </c>
      <c r="G6" s="629" t="s">
        <v>2037</v>
      </c>
      <c r="H6" s="630"/>
      <c r="I6" s="629" t="s">
        <v>3605</v>
      </c>
      <c r="J6" s="630"/>
      <c r="K6" s="630"/>
      <c r="L6" s="630"/>
      <c r="M6" s="630"/>
      <c r="N6" s="671"/>
      <c r="P6" s="730" t="s">
        <v>3721</v>
      </c>
      <c r="Q6" s="731"/>
      <c r="R6" s="731"/>
      <c r="S6" s="731"/>
      <c r="T6" s="731"/>
      <c r="U6" s="731"/>
      <c r="V6" s="731"/>
      <c r="W6" s="731"/>
      <c r="X6" s="732"/>
    </row>
    <row r="7" spans="1:68" ht="15" customHeight="1" thickBot="1">
      <c r="A7" s="667"/>
      <c r="B7" s="630"/>
      <c r="C7" s="630"/>
      <c r="D7" s="630"/>
      <c r="E7" s="630"/>
      <c r="F7" s="630"/>
      <c r="G7" s="630"/>
      <c r="H7" s="630"/>
      <c r="I7" s="630"/>
      <c r="J7" s="630"/>
      <c r="K7" s="630"/>
      <c r="L7" s="630"/>
      <c r="M7" s="630"/>
      <c r="N7" s="671"/>
      <c r="P7" s="733"/>
      <c r="Q7" s="734"/>
      <c r="R7" s="734"/>
      <c r="S7" s="734"/>
      <c r="T7" s="734"/>
      <c r="U7" s="734"/>
      <c r="V7" s="734"/>
      <c r="W7" s="734"/>
      <c r="X7" s="735"/>
    </row>
    <row r="8" spans="1:68" ht="15" customHeight="1">
      <c r="A8" s="668" t="s">
        <v>1126</v>
      </c>
      <c r="B8" s="630"/>
      <c r="C8" s="629" t="s">
        <v>1980</v>
      </c>
      <c r="D8" s="630"/>
      <c r="E8" s="630" t="s">
        <v>1302</v>
      </c>
      <c r="F8" s="738">
        <v>45120</v>
      </c>
      <c r="G8" s="629" t="s">
        <v>1526</v>
      </c>
      <c r="H8" s="630"/>
      <c r="I8" s="629" t="s">
        <v>513</v>
      </c>
      <c r="J8" s="630"/>
      <c r="K8" s="630"/>
      <c r="L8" s="630"/>
      <c r="M8" s="630"/>
      <c r="N8" s="671"/>
      <c r="P8" s="584" t="s">
        <v>3722</v>
      </c>
      <c r="Q8" s="584" t="s">
        <v>3722</v>
      </c>
      <c r="R8" s="725" t="s">
        <v>3722</v>
      </c>
      <c r="S8" s="726"/>
      <c r="T8" s="577"/>
      <c r="U8" s="584" t="s">
        <v>3726</v>
      </c>
      <c r="V8" s="584" t="s">
        <v>3726</v>
      </c>
      <c r="W8" s="727" t="s">
        <v>3730</v>
      </c>
      <c r="X8" s="726"/>
    </row>
    <row r="9" spans="1:68" ht="15" customHeight="1" thickBot="1">
      <c r="A9" s="667"/>
      <c r="B9" s="630"/>
      <c r="C9" s="630"/>
      <c r="D9" s="630"/>
      <c r="E9" s="630"/>
      <c r="F9" s="630"/>
      <c r="G9" s="630"/>
      <c r="H9" s="630"/>
      <c r="I9" s="630"/>
      <c r="J9" s="630"/>
      <c r="K9" s="630"/>
      <c r="L9" s="630"/>
      <c r="M9" s="630"/>
      <c r="N9" s="671"/>
      <c r="P9" s="585" t="s">
        <v>3723</v>
      </c>
      <c r="Q9" s="585" t="s">
        <v>3724</v>
      </c>
      <c r="R9" s="751" t="s">
        <v>3725</v>
      </c>
      <c r="S9" s="729"/>
      <c r="T9" s="578"/>
      <c r="U9" s="585" t="s">
        <v>3727</v>
      </c>
      <c r="V9" s="585" t="s">
        <v>3728</v>
      </c>
      <c r="W9" s="728" t="s">
        <v>3729</v>
      </c>
      <c r="X9" s="729"/>
    </row>
    <row r="10" spans="1:68" ht="29" customHeight="1" thickBot="1">
      <c r="A10" s="98" t="s">
        <v>182</v>
      </c>
      <c r="B10" s="102" t="s">
        <v>1712</v>
      </c>
      <c r="C10" s="102" t="s">
        <v>764</v>
      </c>
      <c r="D10" s="723" t="s">
        <v>2533</v>
      </c>
      <c r="E10" s="724"/>
      <c r="F10" s="102" t="s">
        <v>814</v>
      </c>
      <c r="G10" s="58" t="s">
        <v>1393</v>
      </c>
      <c r="H10" s="93" t="s">
        <v>742</v>
      </c>
      <c r="I10" s="702" t="s">
        <v>1474</v>
      </c>
      <c r="J10" s="703"/>
      <c r="K10" s="704"/>
      <c r="L10" s="703" t="s">
        <v>363</v>
      </c>
      <c r="M10" s="703"/>
      <c r="N10" s="71" t="s">
        <v>617</v>
      </c>
      <c r="P10" s="580"/>
      <c r="Q10" s="581"/>
      <c r="R10" s="752"/>
      <c r="S10" s="737"/>
      <c r="T10" s="579"/>
      <c r="U10" s="582"/>
      <c r="V10" s="583"/>
      <c r="W10" s="736"/>
      <c r="X10" s="737"/>
      <c r="BM10" s="7" t="s">
        <v>923</v>
      </c>
      <c r="BN10" s="105" t="s">
        <v>1213</v>
      </c>
    </row>
    <row r="11" spans="1:68" ht="15" customHeight="1" thickBot="1">
      <c r="A11" s="42" t="s">
        <v>2144</v>
      </c>
      <c r="B11" s="60" t="s">
        <v>2144</v>
      </c>
      <c r="C11" s="60" t="s">
        <v>2144</v>
      </c>
      <c r="D11" s="701" t="s">
        <v>2316</v>
      </c>
      <c r="E11" s="722"/>
      <c r="F11" s="60" t="s">
        <v>2144</v>
      </c>
      <c r="G11" s="60" t="s">
        <v>2144</v>
      </c>
      <c r="H11" s="28" t="s">
        <v>2199</v>
      </c>
      <c r="I11" s="63" t="s">
        <v>120</v>
      </c>
      <c r="J11" s="82" t="s">
        <v>437</v>
      </c>
      <c r="K11" s="62" t="s">
        <v>232</v>
      </c>
      <c r="L11" s="82" t="s">
        <v>767</v>
      </c>
      <c r="M11" s="28" t="s">
        <v>232</v>
      </c>
      <c r="N11" s="63" t="s">
        <v>586</v>
      </c>
      <c r="P11" s="574"/>
      <c r="Q11" s="575"/>
      <c r="R11" s="580"/>
      <c r="S11" s="581"/>
      <c r="T11" s="575"/>
      <c r="U11" s="574"/>
      <c r="V11" s="575"/>
      <c r="W11" s="580"/>
      <c r="X11" s="582"/>
      <c r="AB11" s="7" t="s">
        <v>1811</v>
      </c>
      <c r="AC11" s="7" t="s">
        <v>1429</v>
      </c>
      <c r="AD11" s="7" t="s">
        <v>2411</v>
      </c>
      <c r="AE11" s="7" t="s">
        <v>642</v>
      </c>
      <c r="AF11" s="7" t="s">
        <v>1982</v>
      </c>
      <c r="AG11" s="7" t="s">
        <v>854</v>
      </c>
      <c r="AH11" s="7" t="s">
        <v>2088</v>
      </c>
      <c r="AI11" s="7" t="s">
        <v>994</v>
      </c>
      <c r="AJ11" s="7" t="s">
        <v>601</v>
      </c>
      <c r="BJ11" s="7" t="s">
        <v>1814</v>
      </c>
      <c r="BK11" s="7" t="s">
        <v>2343</v>
      </c>
      <c r="BL11" s="7" t="s">
        <v>2558</v>
      </c>
      <c r="BP11" s="593"/>
    </row>
    <row r="12" spans="1:68" ht="15" customHeight="1">
      <c r="A12" s="67" t="s">
        <v>1597</v>
      </c>
      <c r="B12" s="65" t="s">
        <v>1763</v>
      </c>
      <c r="C12" s="553" t="s">
        <v>1597</v>
      </c>
      <c r="D12" s="708" t="s">
        <v>1331</v>
      </c>
      <c r="E12" s="708"/>
      <c r="F12" s="78" t="s">
        <v>2144</v>
      </c>
      <c r="G12" s="78" t="s">
        <v>2144</v>
      </c>
      <c r="H12" s="78" t="s">
        <v>2144</v>
      </c>
      <c r="I12" s="11">
        <f>I13+I35+I40+I43+I48+I85+I91</f>
        <v>0</v>
      </c>
      <c r="J12" s="11">
        <f>J13+J35+J40+J43+J48+J85+J91</f>
        <v>0</v>
      </c>
      <c r="K12" s="554">
        <f>K13+K35+K40+K43+K48+K85+K91</f>
        <v>0</v>
      </c>
      <c r="L12" s="44" t="s">
        <v>1597</v>
      </c>
      <c r="M12" s="11">
        <f>M13+M35+M40+M43+M48+M85+M91</f>
        <v>693.80982029999996</v>
      </c>
      <c r="N12" s="5" t="s">
        <v>1597</v>
      </c>
      <c r="P12" s="592"/>
      <c r="Q12" s="592"/>
      <c r="R12" s="592"/>
      <c r="S12" s="592"/>
      <c r="T12" s="592"/>
      <c r="U12" s="592"/>
      <c r="V12" s="592"/>
      <c r="W12" s="592"/>
      <c r="X12" s="592"/>
    </row>
    <row r="13" spans="1:68" ht="15" customHeight="1">
      <c r="A13" s="32" t="s">
        <v>1597</v>
      </c>
      <c r="B13" s="26" t="s">
        <v>1763</v>
      </c>
      <c r="C13" s="512" t="s">
        <v>1435</v>
      </c>
      <c r="D13" s="709" t="s">
        <v>2463</v>
      </c>
      <c r="E13" s="709"/>
      <c r="F13" s="46" t="s">
        <v>2144</v>
      </c>
      <c r="G13" s="46" t="s">
        <v>2144</v>
      </c>
      <c r="H13" s="46" t="s">
        <v>2144</v>
      </c>
      <c r="I13" s="17">
        <f>SUM(I14:I33)</f>
        <v>0</v>
      </c>
      <c r="J13" s="17">
        <f>SUM(J14:J33)</f>
        <v>0</v>
      </c>
      <c r="K13" s="515">
        <f>SUM(K14:K33)</f>
        <v>0</v>
      </c>
      <c r="L13" s="7" t="s">
        <v>1597</v>
      </c>
      <c r="M13" s="17">
        <f>SUM(M14:M33)</f>
        <v>47.051719999999996</v>
      </c>
      <c r="N13" s="20" t="s">
        <v>1597</v>
      </c>
      <c r="P13" s="592">
        <f>K13</f>
        <v>0</v>
      </c>
      <c r="Q13" s="592"/>
      <c r="R13" s="592"/>
      <c r="S13" s="592"/>
      <c r="T13" s="592"/>
      <c r="U13" s="592"/>
      <c r="V13" s="592"/>
      <c r="W13" s="592"/>
      <c r="X13" s="592"/>
      <c r="AK13" s="7" t="s">
        <v>1763</v>
      </c>
      <c r="AU13" s="17">
        <f>SUM(AL14:AL33)</f>
        <v>0</v>
      </c>
      <c r="AV13" s="17">
        <f>SUM(AM14:AM33)</f>
        <v>0</v>
      </c>
      <c r="AW13" s="17">
        <f>SUM(AN14:AN33)</f>
        <v>0</v>
      </c>
    </row>
    <row r="14" spans="1:68" ht="15" customHeight="1">
      <c r="A14" s="24" t="s">
        <v>2297</v>
      </c>
      <c r="B14" s="12" t="s">
        <v>1763</v>
      </c>
      <c r="C14" s="12" t="s">
        <v>900</v>
      </c>
      <c r="D14" s="630" t="s">
        <v>1328</v>
      </c>
      <c r="E14" s="630"/>
      <c r="F14" s="12" t="s">
        <v>1923</v>
      </c>
      <c r="G14" s="56">
        <v>377</v>
      </c>
      <c r="H14" s="625"/>
      <c r="I14" s="56">
        <f>G14*AQ14</f>
        <v>0</v>
      </c>
      <c r="J14" s="56">
        <f>G14*AR14</f>
        <v>0</v>
      </c>
      <c r="K14" s="56">
        <f>G14*H14</f>
        <v>0</v>
      </c>
      <c r="L14" s="56">
        <v>1.0160000000000001E-2</v>
      </c>
      <c r="M14" s="56">
        <f>G14*L14</f>
        <v>3.8303200000000004</v>
      </c>
      <c r="N14" s="31" t="s">
        <v>1579</v>
      </c>
      <c r="P14" s="592"/>
      <c r="Q14" s="592"/>
      <c r="R14" s="592"/>
      <c r="S14" s="592"/>
      <c r="T14" s="592"/>
      <c r="U14" s="592"/>
      <c r="V14" s="592"/>
      <c r="W14" s="592"/>
      <c r="X14" s="592"/>
      <c r="AB14" s="56">
        <f>IF(AS14="5",BL14,0)</f>
        <v>0</v>
      </c>
      <c r="AD14" s="56">
        <f>IF(AS14="1",BJ14,0)</f>
        <v>0</v>
      </c>
      <c r="AE14" s="56">
        <f>IF(AS14="1",BK14,0)</f>
        <v>0</v>
      </c>
      <c r="AF14" s="56">
        <f>IF(AS14="7",BJ14,0)</f>
        <v>0</v>
      </c>
      <c r="AG14" s="56">
        <f>IF(AS14="7",BK14,0)</f>
        <v>0</v>
      </c>
      <c r="AH14" s="56">
        <f>IF(AS14="2",BJ14,0)</f>
        <v>0</v>
      </c>
      <c r="AI14" s="56">
        <f>IF(AS14="2",BK14,0)</f>
        <v>0</v>
      </c>
      <c r="AJ14" s="56">
        <f>IF(AS14="0",BL14,0)</f>
        <v>0</v>
      </c>
      <c r="AK14" s="7" t="s">
        <v>1763</v>
      </c>
      <c r="AL14" s="56">
        <f>IF(AP14=0,K14,0)</f>
        <v>0</v>
      </c>
      <c r="AM14" s="56">
        <f>IF(AP14=15,K14,0)</f>
        <v>0</v>
      </c>
      <c r="AN14" s="56">
        <f>IF(AP14=21,K14,0)</f>
        <v>0</v>
      </c>
      <c r="AP14" s="56">
        <v>21</v>
      </c>
      <c r="AQ14" s="88">
        <f>H14*0.0716463414634146</f>
        <v>0</v>
      </c>
      <c r="AR14" s="88">
        <f>H14*(1-0.0716463414634146)</f>
        <v>0</v>
      </c>
      <c r="AS14" s="21" t="s">
        <v>2311</v>
      </c>
      <c r="AX14" s="56">
        <f>AY14+AZ14</f>
        <v>0</v>
      </c>
      <c r="AY14" s="56">
        <f>G14*AQ14</f>
        <v>0</v>
      </c>
      <c r="AZ14" s="56">
        <f>G14*AR14</f>
        <v>0</v>
      </c>
      <c r="BA14" s="21" t="s">
        <v>1449</v>
      </c>
      <c r="BB14" s="21" t="s">
        <v>366</v>
      </c>
      <c r="BC14" s="7" t="s">
        <v>2091</v>
      </c>
      <c r="BE14" s="56">
        <f>AY14+AZ14</f>
        <v>0</v>
      </c>
      <c r="BF14" s="56">
        <f>H14/(100-BG14)*100</f>
        <v>0</v>
      </c>
      <c r="BG14" s="56">
        <v>0</v>
      </c>
      <c r="BH14" s="56">
        <f>M14</f>
        <v>3.8303200000000004</v>
      </c>
      <c r="BJ14" s="56">
        <f>G14*AQ14</f>
        <v>0</v>
      </c>
      <c r="BK14" s="56">
        <f>G14*AR14</f>
        <v>0</v>
      </c>
      <c r="BL14" s="56">
        <f>G14*H14</f>
        <v>0</v>
      </c>
      <c r="BM14" s="56"/>
      <c r="BN14" s="56">
        <v>762</v>
      </c>
    </row>
    <row r="15" spans="1:68" ht="15" customHeight="1">
      <c r="A15" s="36"/>
      <c r="D15" s="45" t="s">
        <v>511</v>
      </c>
      <c r="E15" s="104" t="s">
        <v>2545</v>
      </c>
      <c r="G15" s="13">
        <v>50.000000000000007</v>
      </c>
      <c r="N15" s="19"/>
      <c r="P15" s="592"/>
      <c r="Q15" s="592"/>
      <c r="R15" s="592"/>
      <c r="S15" s="592"/>
      <c r="T15" s="592"/>
      <c r="U15" s="592"/>
      <c r="V15" s="592"/>
      <c r="W15" s="592"/>
      <c r="X15" s="592"/>
    </row>
    <row r="16" spans="1:68" ht="15" customHeight="1">
      <c r="A16" s="36"/>
      <c r="D16" s="45" t="s">
        <v>2040</v>
      </c>
      <c r="E16" s="104" t="s">
        <v>2021</v>
      </c>
      <c r="G16" s="13">
        <v>25.000000000000004</v>
      </c>
      <c r="N16" s="19"/>
      <c r="P16" s="592"/>
      <c r="Q16" s="592"/>
      <c r="R16" s="592"/>
      <c r="S16" s="592"/>
      <c r="T16" s="592"/>
      <c r="U16" s="592"/>
      <c r="V16" s="592"/>
      <c r="W16" s="592"/>
      <c r="X16" s="592"/>
    </row>
    <row r="17" spans="1:66" ht="15" customHeight="1">
      <c r="A17" s="36"/>
      <c r="D17" s="45" t="s">
        <v>511</v>
      </c>
      <c r="E17" s="104" t="s">
        <v>2003</v>
      </c>
      <c r="G17" s="13">
        <v>50.000000000000007</v>
      </c>
      <c r="N17" s="19"/>
      <c r="P17" s="592"/>
      <c r="Q17" s="592"/>
      <c r="R17" s="592"/>
      <c r="S17" s="592"/>
      <c r="T17" s="592"/>
      <c r="U17" s="592"/>
      <c r="V17" s="592"/>
      <c r="W17" s="592"/>
      <c r="X17" s="592"/>
    </row>
    <row r="18" spans="1:66" ht="15" customHeight="1">
      <c r="A18" s="36"/>
      <c r="D18" s="45" t="s">
        <v>94</v>
      </c>
      <c r="E18" s="104" t="s">
        <v>2293</v>
      </c>
      <c r="G18" s="13">
        <v>133</v>
      </c>
      <c r="N18" s="19"/>
      <c r="P18" s="592"/>
      <c r="Q18" s="592"/>
      <c r="R18" s="592"/>
      <c r="S18" s="592"/>
      <c r="T18" s="592"/>
      <c r="U18" s="592"/>
      <c r="V18" s="592"/>
      <c r="W18" s="592"/>
      <c r="X18" s="592"/>
    </row>
    <row r="19" spans="1:66" ht="15" customHeight="1">
      <c r="A19" s="36"/>
      <c r="D19" s="45" t="s">
        <v>1855</v>
      </c>
      <c r="E19" s="104" t="s">
        <v>1055</v>
      </c>
      <c r="G19" s="13">
        <v>84</v>
      </c>
      <c r="N19" s="19"/>
      <c r="P19" s="592"/>
      <c r="Q19" s="592"/>
      <c r="R19" s="592"/>
      <c r="S19" s="592"/>
      <c r="T19" s="592"/>
      <c r="U19" s="592"/>
      <c r="V19" s="592"/>
      <c r="W19" s="592"/>
      <c r="X19" s="592"/>
    </row>
    <row r="20" spans="1:66" ht="15" customHeight="1">
      <c r="A20" s="36"/>
      <c r="D20" s="45" t="s">
        <v>1081</v>
      </c>
      <c r="E20" s="104" t="s">
        <v>411</v>
      </c>
      <c r="G20" s="13">
        <v>35</v>
      </c>
      <c r="N20" s="19"/>
      <c r="P20" s="592"/>
      <c r="Q20" s="592"/>
      <c r="R20" s="592"/>
      <c r="S20" s="592"/>
      <c r="T20" s="592"/>
      <c r="U20" s="592"/>
      <c r="V20" s="592"/>
      <c r="W20" s="592"/>
      <c r="X20" s="592"/>
    </row>
    <row r="21" spans="1:66" ht="15" customHeight="1">
      <c r="A21" s="24" t="s">
        <v>1589</v>
      </c>
      <c r="B21" s="12" t="s">
        <v>1763</v>
      </c>
      <c r="C21" s="12" t="s">
        <v>1375</v>
      </c>
      <c r="D21" s="630" t="s">
        <v>1020</v>
      </c>
      <c r="E21" s="630"/>
      <c r="F21" s="12" t="s">
        <v>1923</v>
      </c>
      <c r="G21" s="56">
        <v>400</v>
      </c>
      <c r="H21" s="625"/>
      <c r="I21" s="56">
        <f>G21*AQ21</f>
        <v>0</v>
      </c>
      <c r="J21" s="56">
        <f>G21*AR21</f>
        <v>0</v>
      </c>
      <c r="K21" s="56">
        <f>G21*H21</f>
        <v>0</v>
      </c>
      <c r="L21" s="56">
        <v>1.4E-2</v>
      </c>
      <c r="M21" s="56">
        <f>G21*L21</f>
        <v>5.6000000000000005</v>
      </c>
      <c r="N21" s="31" t="s">
        <v>1579</v>
      </c>
      <c r="P21" s="592"/>
      <c r="Q21" s="592"/>
      <c r="R21" s="592"/>
      <c r="S21" s="592"/>
      <c r="T21" s="592"/>
      <c r="U21" s="592"/>
      <c r="V21" s="592"/>
      <c r="W21" s="592"/>
      <c r="X21" s="592"/>
      <c r="AB21" s="56">
        <f>IF(AS21="5",BL21,0)</f>
        <v>0</v>
      </c>
      <c r="AD21" s="56">
        <f>IF(AS21="1",BJ21,0)</f>
        <v>0</v>
      </c>
      <c r="AE21" s="56">
        <f>IF(AS21="1",BK21,0)</f>
        <v>0</v>
      </c>
      <c r="AF21" s="56">
        <f>IF(AS21="7",BJ21,0)</f>
        <v>0</v>
      </c>
      <c r="AG21" s="56">
        <f>IF(AS21="7",BK21,0)</f>
        <v>0</v>
      </c>
      <c r="AH21" s="56">
        <f>IF(AS21="2",BJ21,0)</f>
        <v>0</v>
      </c>
      <c r="AI21" s="56">
        <f>IF(AS21="2",BK21,0)</f>
        <v>0</v>
      </c>
      <c r="AJ21" s="56">
        <f>IF(AS21="0",BL21,0)</f>
        <v>0</v>
      </c>
      <c r="AK21" s="7" t="s">
        <v>1763</v>
      </c>
      <c r="AL21" s="56">
        <f>IF(AP21=0,K21,0)</f>
        <v>0</v>
      </c>
      <c r="AM21" s="56">
        <f>IF(AP21=15,K21,0)</f>
        <v>0</v>
      </c>
      <c r="AN21" s="56">
        <f>IF(AP21=21,K21,0)</f>
        <v>0</v>
      </c>
      <c r="AP21" s="56">
        <v>21</v>
      </c>
      <c r="AQ21" s="88">
        <f>H21*0</f>
        <v>0</v>
      </c>
      <c r="AR21" s="88">
        <f>H21*(1-0)</f>
        <v>0</v>
      </c>
      <c r="AS21" s="21" t="s">
        <v>2311</v>
      </c>
      <c r="AX21" s="56">
        <f>AY21+AZ21</f>
        <v>0</v>
      </c>
      <c r="AY21" s="56">
        <f>G21*AQ21</f>
        <v>0</v>
      </c>
      <c r="AZ21" s="56">
        <f>G21*AR21</f>
        <v>0</v>
      </c>
      <c r="BA21" s="21" t="s">
        <v>1449</v>
      </c>
      <c r="BB21" s="21" t="s">
        <v>366</v>
      </c>
      <c r="BC21" s="7" t="s">
        <v>2091</v>
      </c>
      <c r="BE21" s="56">
        <f>AY21+AZ21</f>
        <v>0</v>
      </c>
      <c r="BF21" s="56">
        <f>H21/(100-BG21)*100</f>
        <v>0</v>
      </c>
      <c r="BG21" s="56">
        <v>0</v>
      </c>
      <c r="BH21" s="56">
        <f>M21</f>
        <v>5.6000000000000005</v>
      </c>
      <c r="BJ21" s="56">
        <f>G21*AQ21</f>
        <v>0</v>
      </c>
      <c r="BK21" s="56">
        <f>G21*AR21</f>
        <v>0</v>
      </c>
      <c r="BL21" s="56">
        <f>G21*H21</f>
        <v>0</v>
      </c>
      <c r="BM21" s="56"/>
      <c r="BN21" s="56">
        <v>762</v>
      </c>
    </row>
    <row r="22" spans="1:66" ht="15" customHeight="1">
      <c r="A22" s="36"/>
      <c r="D22" s="45" t="s">
        <v>2054</v>
      </c>
      <c r="E22" s="104" t="s">
        <v>400</v>
      </c>
      <c r="G22" s="13">
        <v>400.00000000000006</v>
      </c>
      <c r="N22" s="19"/>
      <c r="P22" s="592"/>
      <c r="Q22" s="592"/>
      <c r="R22" s="592"/>
      <c r="S22" s="592"/>
      <c r="T22" s="592"/>
      <c r="U22" s="592"/>
      <c r="V22" s="592"/>
      <c r="W22" s="592"/>
      <c r="X22" s="592"/>
    </row>
    <row r="23" spans="1:66" ht="15" customHeight="1">
      <c r="A23" s="24" t="s">
        <v>2007</v>
      </c>
      <c r="B23" s="12" t="s">
        <v>1763</v>
      </c>
      <c r="C23" s="12" t="s">
        <v>1164</v>
      </c>
      <c r="D23" s="630" t="s">
        <v>1596</v>
      </c>
      <c r="E23" s="630"/>
      <c r="F23" s="12" t="s">
        <v>2274</v>
      </c>
      <c r="G23" s="56">
        <v>395</v>
      </c>
      <c r="H23" s="625"/>
      <c r="I23" s="56">
        <f>G23*AQ23</f>
        <v>0</v>
      </c>
      <c r="J23" s="56">
        <f>G23*AR23</f>
        <v>0</v>
      </c>
      <c r="K23" s="56">
        <f>G23*H23</f>
        <v>0</v>
      </c>
      <c r="L23" s="56">
        <v>7.0000000000000001E-3</v>
      </c>
      <c r="M23" s="56">
        <f>G23*L23</f>
        <v>2.7650000000000001</v>
      </c>
      <c r="N23" s="31" t="s">
        <v>1579</v>
      </c>
      <c r="P23" s="592"/>
      <c r="Q23" s="592"/>
      <c r="R23" s="592"/>
      <c r="S23" s="592"/>
      <c r="T23" s="592"/>
      <c r="U23" s="592"/>
      <c r="V23" s="592"/>
      <c r="W23" s="592"/>
      <c r="X23" s="592"/>
      <c r="AB23" s="56">
        <f>IF(AS23="5",BL23,0)</f>
        <v>0</v>
      </c>
      <c r="AD23" s="56">
        <f>IF(AS23="1",BJ23,0)</f>
        <v>0</v>
      </c>
      <c r="AE23" s="56">
        <f>IF(AS23="1",BK23,0)</f>
        <v>0</v>
      </c>
      <c r="AF23" s="56">
        <f>IF(AS23="7",BJ23,0)</f>
        <v>0</v>
      </c>
      <c r="AG23" s="56">
        <f>IF(AS23="7",BK23,0)</f>
        <v>0</v>
      </c>
      <c r="AH23" s="56">
        <f>IF(AS23="2",BJ23,0)</f>
        <v>0</v>
      </c>
      <c r="AI23" s="56">
        <f>IF(AS23="2",BK23,0)</f>
        <v>0</v>
      </c>
      <c r="AJ23" s="56">
        <f>IF(AS23="0",BL23,0)</f>
        <v>0</v>
      </c>
      <c r="AK23" s="7" t="s">
        <v>1763</v>
      </c>
      <c r="AL23" s="56">
        <f>IF(AP23=0,K23,0)</f>
        <v>0</v>
      </c>
      <c r="AM23" s="56">
        <f>IF(AP23=15,K23,0)</f>
        <v>0</v>
      </c>
      <c r="AN23" s="56">
        <f>IF(AP23=21,K23,0)</f>
        <v>0</v>
      </c>
      <c r="AP23" s="56">
        <v>21</v>
      </c>
      <c r="AQ23" s="88">
        <f>H23*0</f>
        <v>0</v>
      </c>
      <c r="AR23" s="88">
        <f>H23*(1-0)</f>
        <v>0</v>
      </c>
      <c r="AS23" s="21" t="s">
        <v>2311</v>
      </c>
      <c r="AX23" s="56">
        <f>AY23+AZ23</f>
        <v>0</v>
      </c>
      <c r="AY23" s="56">
        <f>G23*AQ23</f>
        <v>0</v>
      </c>
      <c r="AZ23" s="56">
        <f>G23*AR23</f>
        <v>0</v>
      </c>
      <c r="BA23" s="21" t="s">
        <v>1449</v>
      </c>
      <c r="BB23" s="21" t="s">
        <v>366</v>
      </c>
      <c r="BC23" s="7" t="s">
        <v>2091</v>
      </c>
      <c r="BE23" s="56">
        <f>AY23+AZ23</f>
        <v>0</v>
      </c>
      <c r="BF23" s="56">
        <f>H23/(100-BG23)*100</f>
        <v>0</v>
      </c>
      <c r="BG23" s="56">
        <v>0</v>
      </c>
      <c r="BH23" s="56">
        <f>M23</f>
        <v>2.7650000000000001</v>
      </c>
      <c r="BJ23" s="56">
        <f>G23*AQ23</f>
        <v>0</v>
      </c>
      <c r="BK23" s="56">
        <f>G23*AR23</f>
        <v>0</v>
      </c>
      <c r="BL23" s="56">
        <f>G23*H23</f>
        <v>0</v>
      </c>
      <c r="BM23" s="56"/>
      <c r="BN23" s="56">
        <v>762</v>
      </c>
    </row>
    <row r="24" spans="1:66" ht="15" customHeight="1">
      <c r="A24" s="36"/>
      <c r="D24" s="45" t="s">
        <v>18</v>
      </c>
      <c r="E24" s="104" t="s">
        <v>1597</v>
      </c>
      <c r="G24" s="13">
        <v>395.00000000000006</v>
      </c>
      <c r="N24" s="19"/>
      <c r="P24" s="592"/>
      <c r="Q24" s="592"/>
      <c r="R24" s="592"/>
      <c r="S24" s="592"/>
      <c r="T24" s="592"/>
      <c r="U24" s="592"/>
      <c r="V24" s="592"/>
      <c r="W24" s="592"/>
      <c r="X24" s="592"/>
    </row>
    <row r="25" spans="1:66" ht="15" customHeight="1">
      <c r="A25" s="24" t="s">
        <v>258</v>
      </c>
      <c r="B25" s="12" t="s">
        <v>1763</v>
      </c>
      <c r="C25" s="12" t="s">
        <v>143</v>
      </c>
      <c r="D25" s="630" t="s">
        <v>314</v>
      </c>
      <c r="E25" s="630"/>
      <c r="F25" s="12" t="s">
        <v>2274</v>
      </c>
      <c r="G25" s="56">
        <v>250</v>
      </c>
      <c r="H25" s="625"/>
      <c r="I25" s="56">
        <f>G25*AQ25</f>
        <v>0</v>
      </c>
      <c r="J25" s="56">
        <f>G25*AR25</f>
        <v>0</v>
      </c>
      <c r="K25" s="56">
        <f>G25*H25</f>
        <v>0</v>
      </c>
      <c r="L25" s="56">
        <v>1.4999999999999999E-2</v>
      </c>
      <c r="M25" s="56">
        <f>G25*L25</f>
        <v>3.75</v>
      </c>
      <c r="N25" s="31" t="s">
        <v>1579</v>
      </c>
      <c r="P25" s="592"/>
      <c r="Q25" s="592"/>
      <c r="R25" s="592"/>
      <c r="S25" s="592"/>
      <c r="T25" s="592"/>
      <c r="U25" s="592"/>
      <c r="V25" s="592"/>
      <c r="W25" s="592"/>
      <c r="X25" s="592"/>
      <c r="AB25" s="56">
        <f>IF(AS25="5",BL25,0)</f>
        <v>0</v>
      </c>
      <c r="AD25" s="56">
        <f>IF(AS25="1",BJ25,0)</f>
        <v>0</v>
      </c>
      <c r="AE25" s="56">
        <f>IF(AS25="1",BK25,0)</f>
        <v>0</v>
      </c>
      <c r="AF25" s="56">
        <f>IF(AS25="7",BJ25,0)</f>
        <v>0</v>
      </c>
      <c r="AG25" s="56">
        <f>IF(AS25="7",BK25,0)</f>
        <v>0</v>
      </c>
      <c r="AH25" s="56">
        <f>IF(AS25="2",BJ25,0)</f>
        <v>0</v>
      </c>
      <c r="AI25" s="56">
        <f>IF(AS25="2",BK25,0)</f>
        <v>0</v>
      </c>
      <c r="AJ25" s="56">
        <f>IF(AS25="0",BL25,0)</f>
        <v>0</v>
      </c>
      <c r="AK25" s="7" t="s">
        <v>1763</v>
      </c>
      <c r="AL25" s="56">
        <f>IF(AP25=0,K25,0)</f>
        <v>0</v>
      </c>
      <c r="AM25" s="56">
        <f>IF(AP25=15,K25,0)</f>
        <v>0</v>
      </c>
      <c r="AN25" s="56">
        <f>IF(AP25=21,K25,0)</f>
        <v>0</v>
      </c>
      <c r="AP25" s="56">
        <v>21</v>
      </c>
      <c r="AQ25" s="88">
        <f>H25*0</f>
        <v>0</v>
      </c>
      <c r="AR25" s="88">
        <f>H25*(1-0)</f>
        <v>0</v>
      </c>
      <c r="AS25" s="21" t="s">
        <v>2311</v>
      </c>
      <c r="AX25" s="56">
        <f>AY25+AZ25</f>
        <v>0</v>
      </c>
      <c r="AY25" s="56">
        <f>G25*AQ25</f>
        <v>0</v>
      </c>
      <c r="AZ25" s="56">
        <f>G25*AR25</f>
        <v>0</v>
      </c>
      <c r="BA25" s="21" t="s">
        <v>1449</v>
      </c>
      <c r="BB25" s="21" t="s">
        <v>366</v>
      </c>
      <c r="BC25" s="7" t="s">
        <v>2091</v>
      </c>
      <c r="BE25" s="56">
        <f>AY25+AZ25</f>
        <v>0</v>
      </c>
      <c r="BF25" s="56">
        <f>H25/(100-BG25)*100</f>
        <v>0</v>
      </c>
      <c r="BG25" s="56">
        <v>0</v>
      </c>
      <c r="BH25" s="56">
        <f>M25</f>
        <v>3.75</v>
      </c>
      <c r="BJ25" s="56">
        <f>G25*AQ25</f>
        <v>0</v>
      </c>
      <c r="BK25" s="56">
        <f>G25*AR25</f>
        <v>0</v>
      </c>
      <c r="BL25" s="56">
        <f>G25*H25</f>
        <v>0</v>
      </c>
      <c r="BM25" s="56"/>
      <c r="BN25" s="56">
        <v>762</v>
      </c>
    </row>
    <row r="26" spans="1:66" ht="15" customHeight="1">
      <c r="A26" s="36"/>
      <c r="D26" s="45" t="s">
        <v>1060</v>
      </c>
      <c r="E26" s="104" t="s">
        <v>2012</v>
      </c>
      <c r="G26" s="13">
        <v>250.00000000000003</v>
      </c>
      <c r="N26" s="19"/>
      <c r="P26" s="592"/>
      <c r="Q26" s="592"/>
      <c r="R26" s="592"/>
      <c r="S26" s="592"/>
      <c r="T26" s="592"/>
      <c r="U26" s="592"/>
      <c r="V26" s="592"/>
      <c r="W26" s="592"/>
      <c r="X26" s="592"/>
    </row>
    <row r="27" spans="1:66" ht="15" customHeight="1">
      <c r="A27" s="24" t="s">
        <v>1227</v>
      </c>
      <c r="B27" s="12" t="s">
        <v>1763</v>
      </c>
      <c r="C27" s="12" t="s">
        <v>353</v>
      </c>
      <c r="D27" s="630" t="s">
        <v>1989</v>
      </c>
      <c r="E27" s="630"/>
      <c r="F27" s="12" t="s">
        <v>2274</v>
      </c>
      <c r="G27" s="56">
        <v>280</v>
      </c>
      <c r="H27" s="625"/>
      <c r="I27" s="56">
        <f>G27*AQ27</f>
        <v>0</v>
      </c>
      <c r="J27" s="56">
        <f>G27*AR27</f>
        <v>0</v>
      </c>
      <c r="K27" s="56">
        <f>G27*H27</f>
        <v>0</v>
      </c>
      <c r="L27" s="56">
        <v>1.7999999999999999E-2</v>
      </c>
      <c r="M27" s="56">
        <f>G27*L27</f>
        <v>5.04</v>
      </c>
      <c r="N27" s="31" t="s">
        <v>1579</v>
      </c>
      <c r="P27" s="592"/>
      <c r="Q27" s="592"/>
      <c r="R27" s="592"/>
      <c r="S27" s="592"/>
      <c r="T27" s="592"/>
      <c r="U27" s="592"/>
      <c r="V27" s="592"/>
      <c r="W27" s="592"/>
      <c r="X27" s="592"/>
      <c r="AB27" s="56">
        <f>IF(AS27="5",BL27,0)</f>
        <v>0</v>
      </c>
      <c r="AD27" s="56">
        <f>IF(AS27="1",BJ27,0)</f>
        <v>0</v>
      </c>
      <c r="AE27" s="56">
        <f>IF(AS27="1",BK27,0)</f>
        <v>0</v>
      </c>
      <c r="AF27" s="56">
        <f>IF(AS27="7",BJ27,0)</f>
        <v>0</v>
      </c>
      <c r="AG27" s="56">
        <f>IF(AS27="7",BK27,0)</f>
        <v>0</v>
      </c>
      <c r="AH27" s="56">
        <f>IF(AS27="2",BJ27,0)</f>
        <v>0</v>
      </c>
      <c r="AI27" s="56">
        <f>IF(AS27="2",BK27,0)</f>
        <v>0</v>
      </c>
      <c r="AJ27" s="56">
        <f>IF(AS27="0",BL27,0)</f>
        <v>0</v>
      </c>
      <c r="AK27" s="7" t="s">
        <v>1763</v>
      </c>
      <c r="AL27" s="56">
        <f>IF(AP27=0,K27,0)</f>
        <v>0</v>
      </c>
      <c r="AM27" s="56">
        <f>IF(AP27=15,K27,0)</f>
        <v>0</v>
      </c>
      <c r="AN27" s="56">
        <f>IF(AP27=21,K27,0)</f>
        <v>0</v>
      </c>
      <c r="AP27" s="56">
        <v>21</v>
      </c>
      <c r="AQ27" s="88">
        <f>H27*0</f>
        <v>0</v>
      </c>
      <c r="AR27" s="88">
        <f>H27*(1-0)</f>
        <v>0</v>
      </c>
      <c r="AS27" s="21" t="s">
        <v>2311</v>
      </c>
      <c r="AX27" s="56">
        <f>AY27+AZ27</f>
        <v>0</v>
      </c>
      <c r="AY27" s="56">
        <f>G27*AQ27</f>
        <v>0</v>
      </c>
      <c r="AZ27" s="56">
        <f>G27*AR27</f>
        <v>0</v>
      </c>
      <c r="BA27" s="21" t="s">
        <v>1449</v>
      </c>
      <c r="BB27" s="21" t="s">
        <v>366</v>
      </c>
      <c r="BC27" s="7" t="s">
        <v>2091</v>
      </c>
      <c r="BE27" s="56">
        <f>AY27+AZ27</f>
        <v>0</v>
      </c>
      <c r="BF27" s="56">
        <f>H27/(100-BG27)*100</f>
        <v>0</v>
      </c>
      <c r="BG27" s="56">
        <v>0</v>
      </c>
      <c r="BH27" s="56">
        <f>M27</f>
        <v>5.04</v>
      </c>
      <c r="BJ27" s="56">
        <f>G27*AQ27</f>
        <v>0</v>
      </c>
      <c r="BK27" s="56">
        <f>G27*AR27</f>
        <v>0</v>
      </c>
      <c r="BL27" s="56">
        <f>G27*H27</f>
        <v>0</v>
      </c>
      <c r="BM27" s="56"/>
      <c r="BN27" s="56">
        <v>762</v>
      </c>
    </row>
    <row r="28" spans="1:66" ht="15" customHeight="1">
      <c r="A28" s="36"/>
      <c r="D28" s="45" t="s">
        <v>1985</v>
      </c>
      <c r="E28" s="104" t="s">
        <v>88</v>
      </c>
      <c r="G28" s="13">
        <v>280</v>
      </c>
      <c r="N28" s="19"/>
      <c r="P28" s="592"/>
      <c r="Q28" s="592"/>
      <c r="R28" s="592"/>
      <c r="S28" s="592"/>
      <c r="T28" s="592"/>
      <c r="U28" s="592"/>
      <c r="V28" s="592"/>
      <c r="W28" s="592"/>
      <c r="X28" s="592"/>
    </row>
    <row r="29" spans="1:66" ht="15" customHeight="1">
      <c r="A29" s="24" t="s">
        <v>390</v>
      </c>
      <c r="B29" s="12" t="s">
        <v>1763</v>
      </c>
      <c r="C29" s="12" t="s">
        <v>2423</v>
      </c>
      <c r="D29" s="630" t="s">
        <v>743</v>
      </c>
      <c r="E29" s="630"/>
      <c r="F29" s="12" t="s">
        <v>1923</v>
      </c>
      <c r="G29" s="56">
        <v>220</v>
      </c>
      <c r="H29" s="625"/>
      <c r="I29" s="56">
        <f>G29*AQ29</f>
        <v>0</v>
      </c>
      <c r="J29" s="56">
        <f>G29*AR29</f>
        <v>0</v>
      </c>
      <c r="K29" s="56">
        <f>G29*H29</f>
        <v>0</v>
      </c>
      <c r="L29" s="56">
        <v>2.5159999999999998E-2</v>
      </c>
      <c r="M29" s="56">
        <f>G29*L29</f>
        <v>5.5351999999999997</v>
      </c>
      <c r="N29" s="31" t="s">
        <v>1579</v>
      </c>
      <c r="P29" s="592"/>
      <c r="Q29" s="592"/>
      <c r="R29" s="592"/>
      <c r="S29" s="592"/>
      <c r="T29" s="592"/>
      <c r="U29" s="592"/>
      <c r="V29" s="592"/>
      <c r="W29" s="592"/>
      <c r="X29" s="592"/>
      <c r="AB29" s="56">
        <f>IF(AS29="5",BL29,0)</f>
        <v>0</v>
      </c>
      <c r="AD29" s="56">
        <f>IF(AS29="1",BJ29,0)</f>
        <v>0</v>
      </c>
      <c r="AE29" s="56">
        <f>IF(AS29="1",BK29,0)</f>
        <v>0</v>
      </c>
      <c r="AF29" s="56">
        <f>IF(AS29="7",BJ29,0)</f>
        <v>0</v>
      </c>
      <c r="AG29" s="56">
        <f>IF(AS29="7",BK29,0)</f>
        <v>0</v>
      </c>
      <c r="AH29" s="56">
        <f>IF(AS29="2",BJ29,0)</f>
        <v>0</v>
      </c>
      <c r="AI29" s="56">
        <f>IF(AS29="2",BK29,0)</f>
        <v>0</v>
      </c>
      <c r="AJ29" s="56">
        <f>IF(AS29="0",BL29,0)</f>
        <v>0</v>
      </c>
      <c r="AK29" s="7" t="s">
        <v>1763</v>
      </c>
      <c r="AL29" s="56">
        <f>IF(AP29=0,K29,0)</f>
        <v>0</v>
      </c>
      <c r="AM29" s="56">
        <f>IF(AP29=15,K29,0)</f>
        <v>0</v>
      </c>
      <c r="AN29" s="56">
        <f>IF(AP29=21,K29,0)</f>
        <v>0</v>
      </c>
      <c r="AP29" s="56">
        <v>21</v>
      </c>
      <c r="AQ29" s="88">
        <f>H29*0.0542099192618224</f>
        <v>0</v>
      </c>
      <c r="AR29" s="88">
        <f>H29*(1-0.0542099192618224)</f>
        <v>0</v>
      </c>
      <c r="AS29" s="21" t="s">
        <v>2311</v>
      </c>
      <c r="AX29" s="56">
        <f>AY29+AZ29</f>
        <v>0</v>
      </c>
      <c r="AY29" s="56">
        <f>G29*AQ29</f>
        <v>0</v>
      </c>
      <c r="AZ29" s="56">
        <f>G29*AR29</f>
        <v>0</v>
      </c>
      <c r="BA29" s="21" t="s">
        <v>1449</v>
      </c>
      <c r="BB29" s="21" t="s">
        <v>366</v>
      </c>
      <c r="BC29" s="7" t="s">
        <v>2091</v>
      </c>
      <c r="BE29" s="56">
        <f>AY29+AZ29</f>
        <v>0</v>
      </c>
      <c r="BF29" s="56">
        <f>H29/(100-BG29)*100</f>
        <v>0</v>
      </c>
      <c r="BG29" s="56">
        <v>0</v>
      </c>
      <c r="BH29" s="56">
        <f>M29</f>
        <v>5.5351999999999997</v>
      </c>
      <c r="BJ29" s="56">
        <f>G29*AQ29</f>
        <v>0</v>
      </c>
      <c r="BK29" s="56">
        <f>G29*AR29</f>
        <v>0</v>
      </c>
      <c r="BL29" s="56">
        <f>G29*H29</f>
        <v>0</v>
      </c>
      <c r="BM29" s="56"/>
      <c r="BN29" s="56">
        <v>762</v>
      </c>
    </row>
    <row r="30" spans="1:66" ht="15" customHeight="1">
      <c r="A30" s="36"/>
      <c r="D30" s="45" t="s">
        <v>1457</v>
      </c>
      <c r="E30" s="104" t="s">
        <v>806</v>
      </c>
      <c r="G30" s="13">
        <v>220.00000000000003</v>
      </c>
      <c r="N30" s="19"/>
      <c r="P30" s="592"/>
      <c r="Q30" s="592"/>
      <c r="R30" s="592"/>
      <c r="S30" s="592"/>
      <c r="T30" s="592"/>
      <c r="U30" s="592"/>
      <c r="V30" s="592"/>
      <c r="W30" s="592"/>
      <c r="X30" s="592"/>
    </row>
    <row r="31" spans="1:66" ht="15" customHeight="1">
      <c r="A31" s="24" t="s">
        <v>2311</v>
      </c>
      <c r="B31" s="12" t="s">
        <v>1763</v>
      </c>
      <c r="C31" s="12" t="s">
        <v>2166</v>
      </c>
      <c r="D31" s="630" t="s">
        <v>1448</v>
      </c>
      <c r="E31" s="630"/>
      <c r="F31" s="12" t="s">
        <v>2274</v>
      </c>
      <c r="G31" s="56">
        <v>110</v>
      </c>
      <c r="H31" s="625"/>
      <c r="I31" s="56">
        <f>G31*AQ31</f>
        <v>0</v>
      </c>
      <c r="J31" s="56">
        <f>G31*AR31</f>
        <v>0</v>
      </c>
      <c r="K31" s="56">
        <f>G31*H31</f>
        <v>0</v>
      </c>
      <c r="L31" s="56">
        <v>6.4159999999999995E-2</v>
      </c>
      <c r="M31" s="56">
        <f>G31*L31</f>
        <v>7.057599999999999</v>
      </c>
      <c r="N31" s="31" t="s">
        <v>1579</v>
      </c>
      <c r="P31" s="592"/>
      <c r="Q31" s="592"/>
      <c r="R31" s="592"/>
      <c r="S31" s="592"/>
      <c r="T31" s="592"/>
      <c r="U31" s="592"/>
      <c r="V31" s="592"/>
      <c r="W31" s="592"/>
      <c r="X31" s="592"/>
      <c r="AB31" s="56">
        <f>IF(AS31="5",BL31,0)</f>
        <v>0</v>
      </c>
      <c r="AD31" s="56">
        <f>IF(AS31="1",BJ31,0)</f>
        <v>0</v>
      </c>
      <c r="AE31" s="56">
        <f>IF(AS31="1",BK31,0)</f>
        <v>0</v>
      </c>
      <c r="AF31" s="56">
        <f>IF(AS31="7",BJ31,0)</f>
        <v>0</v>
      </c>
      <c r="AG31" s="56">
        <f>IF(AS31="7",BK31,0)</f>
        <v>0</v>
      </c>
      <c r="AH31" s="56">
        <f>IF(AS31="2",BJ31,0)</f>
        <v>0</v>
      </c>
      <c r="AI31" s="56">
        <f>IF(AS31="2",BK31,0)</f>
        <v>0</v>
      </c>
      <c r="AJ31" s="56">
        <f>IF(AS31="0",BL31,0)</f>
        <v>0</v>
      </c>
      <c r="AK31" s="7" t="s">
        <v>1763</v>
      </c>
      <c r="AL31" s="56">
        <f>IF(AP31=0,K31,0)</f>
        <v>0</v>
      </c>
      <c r="AM31" s="56">
        <f>IF(AP31=15,K31,0)</f>
        <v>0</v>
      </c>
      <c r="AN31" s="56">
        <f>IF(AP31=21,K31,0)</f>
        <v>0</v>
      </c>
      <c r="AP31" s="56">
        <v>21</v>
      </c>
      <c r="AQ31" s="88">
        <f>H31*0.0324120736300462</f>
        <v>0</v>
      </c>
      <c r="AR31" s="88">
        <f>H31*(1-0.0324120736300462)</f>
        <v>0</v>
      </c>
      <c r="AS31" s="21" t="s">
        <v>2311</v>
      </c>
      <c r="AX31" s="56">
        <f>AY31+AZ31</f>
        <v>0</v>
      </c>
      <c r="AY31" s="56">
        <f>G31*AQ31</f>
        <v>0</v>
      </c>
      <c r="AZ31" s="56">
        <f>G31*AR31</f>
        <v>0</v>
      </c>
      <c r="BA31" s="21" t="s">
        <v>1449</v>
      </c>
      <c r="BB31" s="21" t="s">
        <v>366</v>
      </c>
      <c r="BC31" s="7" t="s">
        <v>2091</v>
      </c>
      <c r="BE31" s="56">
        <f>AY31+AZ31</f>
        <v>0</v>
      </c>
      <c r="BF31" s="56">
        <f>H31/(100-BG31)*100</f>
        <v>0</v>
      </c>
      <c r="BG31" s="56">
        <v>0</v>
      </c>
      <c r="BH31" s="56">
        <f>M31</f>
        <v>7.057599999999999</v>
      </c>
      <c r="BJ31" s="56">
        <f>G31*AQ31</f>
        <v>0</v>
      </c>
      <c r="BK31" s="56">
        <f>G31*AR31</f>
        <v>0</v>
      </c>
      <c r="BL31" s="56">
        <f>G31*H31</f>
        <v>0</v>
      </c>
      <c r="BM31" s="56"/>
      <c r="BN31" s="56">
        <v>762</v>
      </c>
    </row>
    <row r="32" spans="1:66" ht="15" customHeight="1">
      <c r="A32" s="36"/>
      <c r="D32" s="45" t="s">
        <v>1478</v>
      </c>
      <c r="E32" s="104" t="s">
        <v>2252</v>
      </c>
      <c r="G32" s="13">
        <v>110.00000000000001</v>
      </c>
      <c r="N32" s="19"/>
      <c r="P32" s="592"/>
      <c r="Q32" s="592"/>
      <c r="R32" s="592"/>
      <c r="S32" s="592"/>
      <c r="T32" s="592"/>
      <c r="U32" s="592"/>
      <c r="V32" s="592"/>
      <c r="W32" s="592"/>
      <c r="X32" s="592"/>
    </row>
    <row r="33" spans="1:66" ht="15" customHeight="1">
      <c r="A33" s="24" t="s">
        <v>1829</v>
      </c>
      <c r="B33" s="12" t="s">
        <v>1763</v>
      </c>
      <c r="C33" s="12" t="s">
        <v>2166</v>
      </c>
      <c r="D33" s="630" t="s">
        <v>1448</v>
      </c>
      <c r="E33" s="630"/>
      <c r="F33" s="12" t="s">
        <v>2274</v>
      </c>
      <c r="G33" s="56">
        <v>210</v>
      </c>
      <c r="H33" s="625"/>
      <c r="I33" s="56">
        <f>G33*AQ33</f>
        <v>0</v>
      </c>
      <c r="J33" s="56">
        <f>G33*AR33</f>
        <v>0</v>
      </c>
      <c r="K33" s="56">
        <f>G33*H33</f>
        <v>0</v>
      </c>
      <c r="L33" s="56">
        <v>6.4159999999999995E-2</v>
      </c>
      <c r="M33" s="56">
        <f>G33*L33</f>
        <v>13.473599999999999</v>
      </c>
      <c r="N33" s="31" t="s">
        <v>1579</v>
      </c>
      <c r="P33" s="592"/>
      <c r="Q33" s="592"/>
      <c r="R33" s="592"/>
      <c r="S33" s="592"/>
      <c r="T33" s="592"/>
      <c r="U33" s="592"/>
      <c r="V33" s="592"/>
      <c r="W33" s="592"/>
      <c r="X33" s="592"/>
      <c r="AB33" s="56">
        <f>IF(AS33="5",BL33,0)</f>
        <v>0</v>
      </c>
      <c r="AD33" s="56">
        <f>IF(AS33="1",BJ33,0)</f>
        <v>0</v>
      </c>
      <c r="AE33" s="56">
        <f>IF(AS33="1",BK33,0)</f>
        <v>0</v>
      </c>
      <c r="AF33" s="56">
        <f>IF(AS33="7",BJ33,0)</f>
        <v>0</v>
      </c>
      <c r="AG33" s="56">
        <f>IF(AS33="7",BK33,0)</f>
        <v>0</v>
      </c>
      <c r="AH33" s="56">
        <f>IF(AS33="2",BJ33,0)</f>
        <v>0</v>
      </c>
      <c r="AI33" s="56">
        <f>IF(AS33="2",BK33,0)</f>
        <v>0</v>
      </c>
      <c r="AJ33" s="56">
        <f>IF(AS33="0",BL33,0)</f>
        <v>0</v>
      </c>
      <c r="AK33" s="7" t="s">
        <v>1763</v>
      </c>
      <c r="AL33" s="56">
        <f>IF(AP33=0,K33,0)</f>
        <v>0</v>
      </c>
      <c r="AM33" s="56">
        <f>IF(AP33=15,K33,0)</f>
        <v>0</v>
      </c>
      <c r="AN33" s="56">
        <f>IF(AP33=21,K33,0)</f>
        <v>0</v>
      </c>
      <c r="AP33" s="56">
        <v>21</v>
      </c>
      <c r="AQ33" s="88">
        <f>H33*0.0324115578235984</f>
        <v>0</v>
      </c>
      <c r="AR33" s="88">
        <f>H33*(1-0.0324115578235984)</f>
        <v>0</v>
      </c>
      <c r="AS33" s="21" t="s">
        <v>2311</v>
      </c>
      <c r="AX33" s="56">
        <f>AY33+AZ33</f>
        <v>0</v>
      </c>
      <c r="AY33" s="56">
        <f>G33*AQ33</f>
        <v>0</v>
      </c>
      <c r="AZ33" s="56">
        <f>G33*AR33</f>
        <v>0</v>
      </c>
      <c r="BA33" s="21" t="s">
        <v>1449</v>
      </c>
      <c r="BB33" s="21" t="s">
        <v>366</v>
      </c>
      <c r="BC33" s="7" t="s">
        <v>2091</v>
      </c>
      <c r="BE33" s="56">
        <f>AY33+AZ33</f>
        <v>0</v>
      </c>
      <c r="BF33" s="56">
        <f>H33/(100-BG33)*100</f>
        <v>0</v>
      </c>
      <c r="BG33" s="56">
        <v>0</v>
      </c>
      <c r="BH33" s="56">
        <f>M33</f>
        <v>13.473599999999999</v>
      </c>
      <c r="BJ33" s="56">
        <f>G33*AQ33</f>
        <v>0</v>
      </c>
      <c r="BK33" s="56">
        <f>G33*AR33</f>
        <v>0</v>
      </c>
      <c r="BL33" s="56">
        <f>G33*H33</f>
        <v>0</v>
      </c>
      <c r="BM33" s="56"/>
      <c r="BN33" s="56">
        <v>762</v>
      </c>
    </row>
    <row r="34" spans="1:66" ht="15" customHeight="1">
      <c r="A34" s="36"/>
      <c r="D34" s="45" t="s">
        <v>2475</v>
      </c>
      <c r="E34" s="104" t="s">
        <v>1140</v>
      </c>
      <c r="G34" s="13">
        <v>210.00000000000003</v>
      </c>
      <c r="N34" s="19"/>
      <c r="P34" s="592"/>
      <c r="Q34" s="592"/>
      <c r="R34" s="592"/>
      <c r="S34" s="592"/>
      <c r="T34" s="592"/>
      <c r="U34" s="592"/>
      <c r="V34" s="592"/>
      <c r="W34" s="592"/>
      <c r="X34" s="592"/>
    </row>
    <row r="35" spans="1:66" ht="15" customHeight="1">
      <c r="A35" s="32" t="s">
        <v>1597</v>
      </c>
      <c r="B35" s="26" t="s">
        <v>1763</v>
      </c>
      <c r="C35" s="512" t="s">
        <v>189</v>
      </c>
      <c r="D35" s="709" t="s">
        <v>305</v>
      </c>
      <c r="E35" s="709"/>
      <c r="F35" s="46" t="s">
        <v>2144</v>
      </c>
      <c r="G35" s="46" t="s">
        <v>2144</v>
      </c>
      <c r="H35" s="46" t="s">
        <v>2144</v>
      </c>
      <c r="I35" s="17">
        <f>SUM(I36:I38)</f>
        <v>0</v>
      </c>
      <c r="J35" s="17">
        <f>SUM(J36:J38)</f>
        <v>0</v>
      </c>
      <c r="K35" s="515">
        <f>SUM(K36:K38)</f>
        <v>0</v>
      </c>
      <c r="L35" s="7" t="s">
        <v>1597</v>
      </c>
      <c r="M35" s="17">
        <f>SUM(M36:M38)</f>
        <v>1.9444000000000001</v>
      </c>
      <c r="N35" s="20" t="s">
        <v>1597</v>
      </c>
      <c r="P35" s="592">
        <f>K35</f>
        <v>0</v>
      </c>
      <c r="Q35" s="592"/>
      <c r="R35" s="592"/>
      <c r="S35" s="592"/>
      <c r="T35" s="592"/>
      <c r="U35" s="592"/>
      <c r="V35" s="592"/>
      <c r="W35" s="592"/>
      <c r="X35" s="592"/>
      <c r="AK35" s="7" t="s">
        <v>1763</v>
      </c>
      <c r="AU35" s="17">
        <f>SUM(AL36:AL38)</f>
        <v>0</v>
      </c>
      <c r="AV35" s="17">
        <f>SUM(AM36:AM38)</f>
        <v>0</v>
      </c>
      <c r="AW35" s="17">
        <f>SUM(AN36:AN38)</f>
        <v>0</v>
      </c>
    </row>
    <row r="36" spans="1:66" ht="15" customHeight="1">
      <c r="A36" s="24" t="s">
        <v>873</v>
      </c>
      <c r="B36" s="12" t="s">
        <v>1763</v>
      </c>
      <c r="C36" s="12" t="s">
        <v>1848</v>
      </c>
      <c r="D36" s="630" t="s">
        <v>1883</v>
      </c>
      <c r="E36" s="630"/>
      <c r="F36" s="12" t="s">
        <v>2274</v>
      </c>
      <c r="G36" s="56">
        <v>250</v>
      </c>
      <c r="H36" s="625"/>
      <c r="I36" s="56">
        <f>G36*AQ36</f>
        <v>0</v>
      </c>
      <c r="J36" s="56">
        <f>G36*AR36</f>
        <v>0</v>
      </c>
      <c r="K36" s="56">
        <f>G36*H36</f>
        <v>0</v>
      </c>
      <c r="L36" s="56">
        <v>7.3200000000000001E-3</v>
      </c>
      <c r="M36" s="56">
        <f>G36*L36</f>
        <v>1.83</v>
      </c>
      <c r="N36" s="31" t="s">
        <v>1579</v>
      </c>
      <c r="P36" s="592"/>
      <c r="Q36" s="592"/>
      <c r="R36" s="592"/>
      <c r="S36" s="592"/>
      <c r="T36" s="592"/>
      <c r="U36" s="592"/>
      <c r="V36" s="592"/>
      <c r="W36" s="592"/>
      <c r="X36" s="592"/>
      <c r="AB36" s="56">
        <f>IF(AS36="5",BL36,0)</f>
        <v>0</v>
      </c>
      <c r="AD36" s="56">
        <f>IF(AS36="1",BJ36,0)</f>
        <v>0</v>
      </c>
      <c r="AE36" s="56">
        <f>IF(AS36="1",BK36,0)</f>
        <v>0</v>
      </c>
      <c r="AF36" s="56">
        <f>IF(AS36="7",BJ36,0)</f>
        <v>0</v>
      </c>
      <c r="AG36" s="56">
        <f>IF(AS36="7",BK36,0)</f>
        <v>0</v>
      </c>
      <c r="AH36" s="56">
        <f>IF(AS36="2",BJ36,0)</f>
        <v>0</v>
      </c>
      <c r="AI36" s="56">
        <f>IF(AS36="2",BK36,0)</f>
        <v>0</v>
      </c>
      <c r="AJ36" s="56">
        <f>IF(AS36="0",BL36,0)</f>
        <v>0</v>
      </c>
      <c r="AK36" s="7" t="s">
        <v>1763</v>
      </c>
      <c r="AL36" s="56">
        <f>IF(AP36=0,K36,0)</f>
        <v>0</v>
      </c>
      <c r="AM36" s="56">
        <f>IF(AP36=15,K36,0)</f>
        <v>0</v>
      </c>
      <c r="AN36" s="56">
        <f>IF(AP36=21,K36,0)</f>
        <v>0</v>
      </c>
      <c r="AP36" s="56">
        <v>21</v>
      </c>
      <c r="AQ36" s="88">
        <f>H36*0</f>
        <v>0</v>
      </c>
      <c r="AR36" s="88">
        <f>H36*(1-0)</f>
        <v>0</v>
      </c>
      <c r="AS36" s="21" t="s">
        <v>2311</v>
      </c>
      <c r="AX36" s="56">
        <f>AY36+AZ36</f>
        <v>0</v>
      </c>
      <c r="AY36" s="56">
        <f>G36*AQ36</f>
        <v>0</v>
      </c>
      <c r="AZ36" s="56">
        <f>G36*AR36</f>
        <v>0</v>
      </c>
      <c r="BA36" s="21" t="s">
        <v>1857</v>
      </c>
      <c r="BB36" s="21" t="s">
        <v>366</v>
      </c>
      <c r="BC36" s="7" t="s">
        <v>2091</v>
      </c>
      <c r="BE36" s="56">
        <f>AY36+AZ36</f>
        <v>0</v>
      </c>
      <c r="BF36" s="56">
        <f>H36/(100-BG36)*100</f>
        <v>0</v>
      </c>
      <c r="BG36" s="56">
        <v>0</v>
      </c>
      <c r="BH36" s="56">
        <f>M36</f>
        <v>1.83</v>
      </c>
      <c r="BJ36" s="56">
        <f>G36*AQ36</f>
        <v>0</v>
      </c>
      <c r="BK36" s="56">
        <f>G36*AR36</f>
        <v>0</v>
      </c>
      <c r="BL36" s="56">
        <f>G36*H36</f>
        <v>0</v>
      </c>
      <c r="BM36" s="56"/>
      <c r="BN36" s="56">
        <v>764</v>
      </c>
    </row>
    <row r="37" spans="1:66" ht="15" customHeight="1">
      <c r="A37" s="36"/>
      <c r="D37" s="45" t="s">
        <v>1060</v>
      </c>
      <c r="E37" s="104" t="s">
        <v>2304</v>
      </c>
      <c r="G37" s="13">
        <v>250.00000000000003</v>
      </c>
      <c r="N37" s="19"/>
      <c r="P37" s="592"/>
      <c r="Q37" s="592"/>
      <c r="R37" s="592"/>
      <c r="S37" s="592"/>
      <c r="T37" s="592"/>
      <c r="U37" s="592"/>
      <c r="V37" s="592"/>
      <c r="W37" s="592"/>
      <c r="X37" s="592"/>
    </row>
    <row r="38" spans="1:66" ht="15" customHeight="1">
      <c r="A38" s="24" t="s">
        <v>1346</v>
      </c>
      <c r="B38" s="12" t="s">
        <v>1763</v>
      </c>
      <c r="C38" s="12" t="s">
        <v>1686</v>
      </c>
      <c r="D38" s="630" t="s">
        <v>1542</v>
      </c>
      <c r="E38" s="630"/>
      <c r="F38" s="12" t="s">
        <v>1923</v>
      </c>
      <c r="G38" s="56">
        <v>40</v>
      </c>
      <c r="H38" s="625"/>
      <c r="I38" s="56">
        <f>G38*AQ38</f>
        <v>0</v>
      </c>
      <c r="J38" s="56">
        <f>G38*AR38</f>
        <v>0</v>
      </c>
      <c r="K38" s="56">
        <f>G38*H38</f>
        <v>0</v>
      </c>
      <c r="L38" s="56">
        <v>2.8600000000000001E-3</v>
      </c>
      <c r="M38" s="56">
        <f>G38*L38</f>
        <v>0.1144</v>
      </c>
      <c r="N38" s="31" t="s">
        <v>1579</v>
      </c>
      <c r="P38" s="592"/>
      <c r="Q38" s="592"/>
      <c r="R38" s="592"/>
      <c r="S38" s="592"/>
      <c r="T38" s="592"/>
      <c r="U38" s="592"/>
      <c r="V38" s="592"/>
      <c r="W38" s="592"/>
      <c r="X38" s="592"/>
      <c r="AB38" s="56">
        <f>IF(AS38="5",BL38,0)</f>
        <v>0</v>
      </c>
      <c r="AD38" s="56">
        <f>IF(AS38="1",BJ38,0)</f>
        <v>0</v>
      </c>
      <c r="AE38" s="56">
        <f>IF(AS38="1",BK38,0)</f>
        <v>0</v>
      </c>
      <c r="AF38" s="56">
        <f>IF(AS38="7",BJ38,0)</f>
        <v>0</v>
      </c>
      <c r="AG38" s="56">
        <f>IF(AS38="7",BK38,0)</f>
        <v>0</v>
      </c>
      <c r="AH38" s="56">
        <f>IF(AS38="2",BJ38,0)</f>
        <v>0</v>
      </c>
      <c r="AI38" s="56">
        <f>IF(AS38="2",BK38,0)</f>
        <v>0</v>
      </c>
      <c r="AJ38" s="56">
        <f>IF(AS38="0",BL38,0)</f>
        <v>0</v>
      </c>
      <c r="AK38" s="7" t="s">
        <v>1763</v>
      </c>
      <c r="AL38" s="56">
        <f>IF(AP38=0,K38,0)</f>
        <v>0</v>
      </c>
      <c r="AM38" s="56">
        <f>IF(AP38=15,K38,0)</f>
        <v>0</v>
      </c>
      <c r="AN38" s="56">
        <f>IF(AP38=21,K38,0)</f>
        <v>0</v>
      </c>
      <c r="AP38" s="56">
        <v>21</v>
      </c>
      <c r="AQ38" s="88">
        <f>H38*0</f>
        <v>0</v>
      </c>
      <c r="AR38" s="88">
        <f>H38*(1-0)</f>
        <v>0</v>
      </c>
      <c r="AS38" s="21" t="s">
        <v>2311</v>
      </c>
      <c r="AX38" s="56">
        <f>AY38+AZ38</f>
        <v>0</v>
      </c>
      <c r="AY38" s="56">
        <f>G38*AQ38</f>
        <v>0</v>
      </c>
      <c r="AZ38" s="56">
        <f>G38*AR38</f>
        <v>0</v>
      </c>
      <c r="BA38" s="21" t="s">
        <v>1857</v>
      </c>
      <c r="BB38" s="21" t="s">
        <v>366</v>
      </c>
      <c r="BC38" s="7" t="s">
        <v>2091</v>
      </c>
      <c r="BE38" s="56">
        <f>AY38+AZ38</f>
        <v>0</v>
      </c>
      <c r="BF38" s="56">
        <f>H38/(100-BG38)*100</f>
        <v>0</v>
      </c>
      <c r="BG38" s="56">
        <v>0</v>
      </c>
      <c r="BH38" s="56">
        <f>M38</f>
        <v>0.1144</v>
      </c>
      <c r="BJ38" s="56">
        <f>G38*AQ38</f>
        <v>0</v>
      </c>
      <c r="BK38" s="56">
        <f>G38*AR38</f>
        <v>0</v>
      </c>
      <c r="BL38" s="56">
        <f>G38*H38</f>
        <v>0</v>
      </c>
      <c r="BM38" s="56"/>
      <c r="BN38" s="56">
        <v>764</v>
      </c>
    </row>
    <row r="39" spans="1:66" ht="15" customHeight="1">
      <c r="A39" s="36"/>
      <c r="D39" s="45" t="s">
        <v>822</v>
      </c>
      <c r="E39" s="104" t="s">
        <v>1597</v>
      </c>
      <c r="G39" s="13">
        <v>40</v>
      </c>
      <c r="N39" s="19"/>
      <c r="P39" s="592"/>
      <c r="Q39" s="592"/>
      <c r="R39" s="592"/>
      <c r="S39" s="592"/>
      <c r="T39" s="592"/>
      <c r="U39" s="592"/>
      <c r="V39" s="592"/>
      <c r="W39" s="592"/>
      <c r="X39" s="592"/>
    </row>
    <row r="40" spans="1:66" ht="15" customHeight="1">
      <c r="A40" s="32" t="s">
        <v>1597</v>
      </c>
      <c r="B40" s="26" t="s">
        <v>1763</v>
      </c>
      <c r="C40" s="512" t="s">
        <v>631</v>
      </c>
      <c r="D40" s="709" t="s">
        <v>2004</v>
      </c>
      <c r="E40" s="709"/>
      <c r="F40" s="46" t="s">
        <v>2144</v>
      </c>
      <c r="G40" s="46" t="s">
        <v>2144</v>
      </c>
      <c r="H40" s="46" t="s">
        <v>2144</v>
      </c>
      <c r="I40" s="17">
        <f>SUM(I41:I41)</f>
        <v>0</v>
      </c>
      <c r="J40" s="17">
        <f>SUM(J41:J41)</f>
        <v>0</v>
      </c>
      <c r="K40" s="515">
        <f>SUM(K41:K41)</f>
        <v>0</v>
      </c>
      <c r="L40" s="7" t="s">
        <v>1597</v>
      </c>
      <c r="M40" s="17">
        <f>SUM(M41:M41)</f>
        <v>16.59</v>
      </c>
      <c r="N40" s="20" t="s">
        <v>1597</v>
      </c>
      <c r="P40" s="592">
        <f>K40</f>
        <v>0</v>
      </c>
      <c r="Q40" s="592"/>
      <c r="R40" s="592"/>
      <c r="S40" s="592"/>
      <c r="T40" s="592"/>
      <c r="U40" s="592"/>
      <c r="V40" s="592"/>
      <c r="W40" s="592"/>
      <c r="X40" s="592"/>
      <c r="AK40" s="7" t="s">
        <v>1763</v>
      </c>
      <c r="AU40" s="17">
        <f>SUM(AL41:AL41)</f>
        <v>0</v>
      </c>
      <c r="AV40" s="17">
        <f>SUM(AM41:AM41)</f>
        <v>0</v>
      </c>
      <c r="AW40" s="17">
        <f>SUM(AN41:AN41)</f>
        <v>0</v>
      </c>
    </row>
    <row r="41" spans="1:66" ht="15" customHeight="1">
      <c r="A41" s="24" t="s">
        <v>1939</v>
      </c>
      <c r="B41" s="12" t="s">
        <v>1763</v>
      </c>
      <c r="C41" s="12" t="s">
        <v>431</v>
      </c>
      <c r="D41" s="630" t="s">
        <v>1897</v>
      </c>
      <c r="E41" s="630"/>
      <c r="F41" s="12" t="s">
        <v>2274</v>
      </c>
      <c r="G41" s="56">
        <v>395</v>
      </c>
      <c r="H41" s="625"/>
      <c r="I41" s="56">
        <f>G41*AQ41</f>
        <v>0</v>
      </c>
      <c r="J41" s="56">
        <f>G41*AR41</f>
        <v>0</v>
      </c>
      <c r="K41" s="56">
        <f>G41*H41</f>
        <v>0</v>
      </c>
      <c r="L41" s="56">
        <v>4.2000000000000003E-2</v>
      </c>
      <c r="M41" s="56">
        <f>G41*L41</f>
        <v>16.59</v>
      </c>
      <c r="N41" s="31" t="s">
        <v>1579</v>
      </c>
      <c r="P41" s="592"/>
      <c r="Q41" s="592"/>
      <c r="R41" s="592"/>
      <c r="S41" s="592"/>
      <c r="T41" s="592"/>
      <c r="U41" s="592"/>
      <c r="V41" s="592"/>
      <c r="W41" s="592"/>
      <c r="X41" s="592"/>
      <c r="AB41" s="56">
        <f>IF(AS41="5",BL41,0)</f>
        <v>0</v>
      </c>
      <c r="AD41" s="56">
        <f>IF(AS41="1",BJ41,0)</f>
        <v>0</v>
      </c>
      <c r="AE41" s="56">
        <f>IF(AS41="1",BK41,0)</f>
        <v>0</v>
      </c>
      <c r="AF41" s="56">
        <f>IF(AS41="7",BJ41,0)</f>
        <v>0</v>
      </c>
      <c r="AG41" s="56">
        <f>IF(AS41="7",BK41,0)</f>
        <v>0</v>
      </c>
      <c r="AH41" s="56">
        <f>IF(AS41="2",BJ41,0)</f>
        <v>0</v>
      </c>
      <c r="AI41" s="56">
        <f>IF(AS41="2",BK41,0)</f>
        <v>0</v>
      </c>
      <c r="AJ41" s="56">
        <f>IF(AS41="0",BL41,0)</f>
        <v>0</v>
      </c>
      <c r="AK41" s="7" t="s">
        <v>1763</v>
      </c>
      <c r="AL41" s="56">
        <f>IF(AP41=0,K41,0)</f>
        <v>0</v>
      </c>
      <c r="AM41" s="56">
        <f>IF(AP41=15,K41,0)</f>
        <v>0</v>
      </c>
      <c r="AN41" s="56">
        <f>IF(AP41=21,K41,0)</f>
        <v>0</v>
      </c>
      <c r="AP41" s="56">
        <v>21</v>
      </c>
      <c r="AQ41" s="88">
        <f>H41*0</f>
        <v>0</v>
      </c>
      <c r="AR41" s="88">
        <f>H41*(1-0)</f>
        <v>0</v>
      </c>
      <c r="AS41" s="21" t="s">
        <v>2311</v>
      </c>
      <c r="AX41" s="56">
        <f>AY41+AZ41</f>
        <v>0</v>
      </c>
      <c r="AY41" s="56">
        <f>G41*AQ41</f>
        <v>0</v>
      </c>
      <c r="AZ41" s="56">
        <f>G41*AR41</f>
        <v>0</v>
      </c>
      <c r="BA41" s="21" t="s">
        <v>474</v>
      </c>
      <c r="BB41" s="21" t="s">
        <v>366</v>
      </c>
      <c r="BC41" s="7" t="s">
        <v>2091</v>
      </c>
      <c r="BE41" s="56">
        <f>AY41+AZ41</f>
        <v>0</v>
      </c>
      <c r="BF41" s="56">
        <f>H41/(100-BG41)*100</f>
        <v>0</v>
      </c>
      <c r="BG41" s="56">
        <v>0</v>
      </c>
      <c r="BH41" s="56">
        <f>M41</f>
        <v>16.59</v>
      </c>
      <c r="BJ41" s="56">
        <f>G41*AQ41</f>
        <v>0</v>
      </c>
      <c r="BK41" s="56">
        <f>G41*AR41</f>
        <v>0</v>
      </c>
      <c r="BL41" s="56">
        <f>G41*H41</f>
        <v>0</v>
      </c>
      <c r="BM41" s="56"/>
      <c r="BN41" s="56">
        <v>765</v>
      </c>
    </row>
    <row r="42" spans="1:66" ht="15" customHeight="1">
      <c r="A42" s="36"/>
      <c r="D42" s="45" t="s">
        <v>2071</v>
      </c>
      <c r="E42" s="104" t="s">
        <v>1597</v>
      </c>
      <c r="G42" s="13">
        <v>395.00000000000006</v>
      </c>
      <c r="N42" s="19"/>
      <c r="P42" s="592"/>
      <c r="Q42" s="592"/>
      <c r="R42" s="592"/>
      <c r="S42" s="592"/>
      <c r="T42" s="592"/>
      <c r="U42" s="592"/>
      <c r="V42" s="592"/>
      <c r="W42" s="592"/>
      <c r="X42" s="592"/>
    </row>
    <row r="43" spans="1:66" ht="15" customHeight="1">
      <c r="A43" s="32" t="s">
        <v>1597</v>
      </c>
      <c r="B43" s="26" t="s">
        <v>1763</v>
      </c>
      <c r="C43" s="512" t="s">
        <v>1041</v>
      </c>
      <c r="D43" s="709" t="s">
        <v>703</v>
      </c>
      <c r="E43" s="709"/>
      <c r="F43" s="46" t="s">
        <v>2144</v>
      </c>
      <c r="G43" s="46" t="s">
        <v>2144</v>
      </c>
      <c r="H43" s="46" t="s">
        <v>2144</v>
      </c>
      <c r="I43" s="17">
        <f>SUM(I44:I46)</f>
        <v>0</v>
      </c>
      <c r="J43" s="17">
        <f>SUM(J44:J46)</f>
        <v>0</v>
      </c>
      <c r="K43" s="515">
        <f>SUM(K44:K46)</f>
        <v>0</v>
      </c>
      <c r="L43" s="7" t="s">
        <v>1597</v>
      </c>
      <c r="M43" s="17">
        <f>SUM(M44:M46)</f>
        <v>0.66749999999999998</v>
      </c>
      <c r="N43" s="20" t="s">
        <v>1597</v>
      </c>
      <c r="P43" s="592">
        <f>K43</f>
        <v>0</v>
      </c>
      <c r="Q43" s="592"/>
      <c r="R43" s="592"/>
      <c r="S43" s="592"/>
      <c r="T43" s="592"/>
      <c r="U43" s="592"/>
      <c r="V43" s="592"/>
      <c r="W43" s="592"/>
      <c r="X43" s="592"/>
      <c r="AK43" s="7" t="s">
        <v>1763</v>
      </c>
      <c r="AU43" s="17">
        <f>SUM(AL44:AL46)</f>
        <v>0</v>
      </c>
      <c r="AV43" s="17">
        <f>SUM(AM44:AM46)</f>
        <v>0</v>
      </c>
      <c r="AW43" s="17">
        <f>SUM(AN44:AN46)</f>
        <v>0</v>
      </c>
    </row>
    <row r="44" spans="1:66" ht="15" customHeight="1">
      <c r="A44" s="24" t="s">
        <v>1697</v>
      </c>
      <c r="B44" s="12" t="s">
        <v>1763</v>
      </c>
      <c r="C44" s="12" t="s">
        <v>1254</v>
      </c>
      <c r="D44" s="630" t="s">
        <v>1816</v>
      </c>
      <c r="E44" s="630"/>
      <c r="F44" s="12" t="s">
        <v>2274</v>
      </c>
      <c r="G44" s="56">
        <v>15</v>
      </c>
      <c r="H44" s="625"/>
      <c r="I44" s="56">
        <f>G44*AQ44</f>
        <v>0</v>
      </c>
      <c r="J44" s="56">
        <f>G44*AR44</f>
        <v>0</v>
      </c>
      <c r="K44" s="56">
        <f>G44*H44</f>
        <v>0</v>
      </c>
      <c r="L44" s="56">
        <v>1.7999999999999999E-2</v>
      </c>
      <c r="M44" s="56">
        <f>G44*L44</f>
        <v>0.26999999999999996</v>
      </c>
      <c r="N44" s="31" t="s">
        <v>1579</v>
      </c>
      <c r="P44" s="592"/>
      <c r="Q44" s="592"/>
      <c r="R44" s="592"/>
      <c r="S44" s="592"/>
      <c r="T44" s="592"/>
      <c r="U44" s="592"/>
      <c r="V44" s="592"/>
      <c r="W44" s="592"/>
      <c r="X44" s="592"/>
      <c r="AB44" s="56">
        <f>IF(AS44="5",BL44,0)</f>
        <v>0</v>
      </c>
      <c r="AD44" s="56">
        <f>IF(AS44="1",BJ44,0)</f>
        <v>0</v>
      </c>
      <c r="AE44" s="56">
        <f>IF(AS44="1",BK44,0)</f>
        <v>0</v>
      </c>
      <c r="AF44" s="56">
        <f>IF(AS44="7",BJ44,0)</f>
        <v>0</v>
      </c>
      <c r="AG44" s="56">
        <f>IF(AS44="7",BK44,0)</f>
        <v>0</v>
      </c>
      <c r="AH44" s="56">
        <f>IF(AS44="2",BJ44,0)</f>
        <v>0</v>
      </c>
      <c r="AI44" s="56">
        <f>IF(AS44="2",BK44,0)</f>
        <v>0</v>
      </c>
      <c r="AJ44" s="56">
        <f>IF(AS44="0",BL44,0)</f>
        <v>0</v>
      </c>
      <c r="AK44" s="7" t="s">
        <v>1763</v>
      </c>
      <c r="AL44" s="56">
        <f>IF(AP44=0,K44,0)</f>
        <v>0</v>
      </c>
      <c r="AM44" s="56">
        <f>IF(AP44=15,K44,0)</f>
        <v>0</v>
      </c>
      <c r="AN44" s="56">
        <f>IF(AP44=21,K44,0)</f>
        <v>0</v>
      </c>
      <c r="AP44" s="56">
        <v>21</v>
      </c>
      <c r="AQ44" s="88">
        <f>H44*0</f>
        <v>0</v>
      </c>
      <c r="AR44" s="88">
        <f>H44*(1-0)</f>
        <v>0</v>
      </c>
      <c r="AS44" s="21" t="s">
        <v>2311</v>
      </c>
      <c r="AX44" s="56">
        <f>AY44+AZ44</f>
        <v>0</v>
      </c>
      <c r="AY44" s="56">
        <f>G44*AQ44</f>
        <v>0</v>
      </c>
      <c r="AZ44" s="56">
        <f>G44*AR44</f>
        <v>0</v>
      </c>
      <c r="BA44" s="21" t="s">
        <v>644</v>
      </c>
      <c r="BB44" s="21" t="s">
        <v>366</v>
      </c>
      <c r="BC44" s="7" t="s">
        <v>2091</v>
      </c>
      <c r="BE44" s="56">
        <f>AY44+AZ44</f>
        <v>0</v>
      </c>
      <c r="BF44" s="56">
        <f>H44/(100-BG44)*100</f>
        <v>0</v>
      </c>
      <c r="BG44" s="56">
        <v>0</v>
      </c>
      <c r="BH44" s="56">
        <f>M44</f>
        <v>0.26999999999999996</v>
      </c>
      <c r="BJ44" s="56">
        <f>G44*AQ44</f>
        <v>0</v>
      </c>
      <c r="BK44" s="56">
        <f>G44*AR44</f>
        <v>0</v>
      </c>
      <c r="BL44" s="56">
        <f>G44*H44</f>
        <v>0</v>
      </c>
      <c r="BM44" s="56"/>
      <c r="BN44" s="56">
        <v>767</v>
      </c>
    </row>
    <row r="45" spans="1:66" ht="15" customHeight="1">
      <c r="A45" s="36"/>
      <c r="D45" s="45" t="s">
        <v>908</v>
      </c>
      <c r="E45" s="104" t="s">
        <v>1597</v>
      </c>
      <c r="G45" s="13">
        <v>15.000000000000002</v>
      </c>
      <c r="N45" s="19"/>
      <c r="P45" s="592"/>
      <c r="Q45" s="592"/>
      <c r="R45" s="592"/>
      <c r="S45" s="592"/>
      <c r="T45" s="592"/>
      <c r="U45" s="592"/>
      <c r="V45" s="592"/>
      <c r="W45" s="592"/>
      <c r="X45" s="592"/>
    </row>
    <row r="46" spans="1:66" ht="15" customHeight="1">
      <c r="A46" s="24" t="s">
        <v>668</v>
      </c>
      <c r="B46" s="12" t="s">
        <v>1763</v>
      </c>
      <c r="C46" s="12" t="s">
        <v>675</v>
      </c>
      <c r="D46" s="630" t="s">
        <v>1117</v>
      </c>
      <c r="E46" s="630"/>
      <c r="F46" s="12" t="s">
        <v>2182</v>
      </c>
      <c r="G46" s="56">
        <v>375</v>
      </c>
      <c r="H46" s="625"/>
      <c r="I46" s="56">
        <f>G46*AQ46</f>
        <v>0</v>
      </c>
      <c r="J46" s="56">
        <f>G46*AR46</f>
        <v>0</v>
      </c>
      <c r="K46" s="56">
        <f>G46*H46</f>
        <v>0</v>
      </c>
      <c r="L46" s="56">
        <v>1.06E-3</v>
      </c>
      <c r="M46" s="56">
        <f>G46*L46</f>
        <v>0.39749999999999996</v>
      </c>
      <c r="N46" s="31" t="s">
        <v>1579</v>
      </c>
      <c r="P46" s="592"/>
      <c r="Q46" s="592"/>
      <c r="R46" s="592"/>
      <c r="S46" s="592"/>
      <c r="T46" s="592"/>
      <c r="U46" s="592"/>
      <c r="V46" s="592"/>
      <c r="W46" s="592"/>
      <c r="X46" s="592"/>
      <c r="AB46" s="56">
        <f>IF(AS46="5",BL46,0)</f>
        <v>0</v>
      </c>
      <c r="AD46" s="56">
        <f>IF(AS46="1",BJ46,0)</f>
        <v>0</v>
      </c>
      <c r="AE46" s="56">
        <f>IF(AS46="1",BK46,0)</f>
        <v>0</v>
      </c>
      <c r="AF46" s="56">
        <f>IF(AS46="7",BJ46,0)</f>
        <v>0</v>
      </c>
      <c r="AG46" s="56">
        <f>IF(AS46="7",BK46,0)</f>
        <v>0</v>
      </c>
      <c r="AH46" s="56">
        <f>IF(AS46="2",BJ46,0)</f>
        <v>0</v>
      </c>
      <c r="AI46" s="56">
        <f>IF(AS46="2",BK46,0)</f>
        <v>0</v>
      </c>
      <c r="AJ46" s="56">
        <f>IF(AS46="0",BL46,0)</f>
        <v>0</v>
      </c>
      <c r="AK46" s="7" t="s">
        <v>1763</v>
      </c>
      <c r="AL46" s="56">
        <f>IF(AP46=0,K46,0)</f>
        <v>0</v>
      </c>
      <c r="AM46" s="56">
        <f>IF(AP46=15,K46,0)</f>
        <v>0</v>
      </c>
      <c r="AN46" s="56">
        <f>IF(AP46=21,K46,0)</f>
        <v>0</v>
      </c>
      <c r="AP46" s="56">
        <v>21</v>
      </c>
      <c r="AQ46" s="88">
        <f>H46*0.340227272727273</f>
        <v>0</v>
      </c>
      <c r="AR46" s="88">
        <f>H46*(1-0.340227272727273)</f>
        <v>0</v>
      </c>
      <c r="AS46" s="21" t="s">
        <v>2311</v>
      </c>
      <c r="AX46" s="56">
        <f>AY46+AZ46</f>
        <v>0</v>
      </c>
      <c r="AY46" s="56">
        <f>G46*AQ46</f>
        <v>0</v>
      </c>
      <c r="AZ46" s="56">
        <f>G46*AR46</f>
        <v>0</v>
      </c>
      <c r="BA46" s="21" t="s">
        <v>644</v>
      </c>
      <c r="BB46" s="21" t="s">
        <v>366</v>
      </c>
      <c r="BC46" s="7" t="s">
        <v>2091</v>
      </c>
      <c r="BE46" s="56">
        <f>AY46+AZ46</f>
        <v>0</v>
      </c>
      <c r="BF46" s="56">
        <f>H46/(100-BG46)*100</f>
        <v>0</v>
      </c>
      <c r="BG46" s="56">
        <v>0</v>
      </c>
      <c r="BH46" s="56">
        <f>M46</f>
        <v>0.39749999999999996</v>
      </c>
      <c r="BJ46" s="56">
        <f>G46*AQ46</f>
        <v>0</v>
      </c>
      <c r="BK46" s="56">
        <f>G46*AR46</f>
        <v>0</v>
      </c>
      <c r="BL46" s="56">
        <f>G46*H46</f>
        <v>0</v>
      </c>
      <c r="BM46" s="56"/>
      <c r="BN46" s="56">
        <v>767</v>
      </c>
    </row>
    <row r="47" spans="1:66" ht="15" customHeight="1">
      <c r="A47" s="36"/>
      <c r="D47" s="45" t="s">
        <v>1522</v>
      </c>
      <c r="E47" s="104" t="s">
        <v>867</v>
      </c>
      <c r="G47" s="13">
        <v>375.00000000000006</v>
      </c>
      <c r="N47" s="19"/>
      <c r="P47" s="592"/>
      <c r="Q47" s="592"/>
      <c r="R47" s="592"/>
      <c r="S47" s="592"/>
      <c r="T47" s="592"/>
      <c r="U47" s="592"/>
      <c r="V47" s="592"/>
      <c r="W47" s="592"/>
      <c r="X47" s="592"/>
    </row>
    <row r="48" spans="1:66" ht="15" customHeight="1">
      <c r="A48" s="32" t="s">
        <v>1597</v>
      </c>
      <c r="B48" s="26" t="s">
        <v>1763</v>
      </c>
      <c r="C48" s="512" t="s">
        <v>1288</v>
      </c>
      <c r="D48" s="709" t="s">
        <v>1720</v>
      </c>
      <c r="E48" s="709"/>
      <c r="F48" s="46" t="s">
        <v>2144</v>
      </c>
      <c r="G48" s="46" t="s">
        <v>2144</v>
      </c>
      <c r="H48" s="46" t="s">
        <v>2144</v>
      </c>
      <c r="I48" s="17">
        <f>SUM(I49:I82)</f>
        <v>0</v>
      </c>
      <c r="J48" s="17">
        <f>SUM(J49:J82)</f>
        <v>0</v>
      </c>
      <c r="K48" s="515">
        <f>SUM(K49:K82)</f>
        <v>0</v>
      </c>
      <c r="L48" s="7" t="s">
        <v>1597</v>
      </c>
      <c r="M48" s="17">
        <f>SUM(M49:M82)</f>
        <v>601.24261030000002</v>
      </c>
      <c r="N48" s="20" t="s">
        <v>1597</v>
      </c>
      <c r="P48" s="592">
        <f>K48</f>
        <v>0</v>
      </c>
      <c r="Q48" s="592"/>
      <c r="R48" s="592"/>
      <c r="S48" s="592"/>
      <c r="T48" s="592"/>
      <c r="U48" s="592"/>
      <c r="V48" s="592"/>
      <c r="W48" s="592"/>
      <c r="X48" s="592"/>
      <c r="AK48" s="7" t="s">
        <v>1763</v>
      </c>
      <c r="AU48" s="17">
        <f>SUM(AL49:AL82)</f>
        <v>0</v>
      </c>
      <c r="AV48" s="17">
        <f>SUM(AM49:AM82)</f>
        <v>0</v>
      </c>
      <c r="AW48" s="17">
        <f>SUM(AN49:AN82)</f>
        <v>0</v>
      </c>
    </row>
    <row r="49" spans="1:66" ht="15" customHeight="1">
      <c r="A49" s="24" t="s">
        <v>1376</v>
      </c>
      <c r="B49" s="12" t="s">
        <v>1763</v>
      </c>
      <c r="C49" s="12" t="s">
        <v>78</v>
      </c>
      <c r="D49" s="630" t="s">
        <v>1941</v>
      </c>
      <c r="E49" s="630"/>
      <c r="F49" s="12" t="s">
        <v>2236</v>
      </c>
      <c r="G49" s="56">
        <v>1.67</v>
      </c>
      <c r="H49" s="625"/>
      <c r="I49" s="56">
        <f>G49*AQ49</f>
        <v>0</v>
      </c>
      <c r="J49" s="56">
        <f>G49*AR49</f>
        <v>0</v>
      </c>
      <c r="K49" s="56">
        <f>G49*H49</f>
        <v>0</v>
      </c>
      <c r="L49" s="56">
        <v>1.8124899999999999</v>
      </c>
      <c r="M49" s="56">
        <f>G49*L49</f>
        <v>3.0268582999999998</v>
      </c>
      <c r="N49" s="31" t="s">
        <v>1579</v>
      </c>
      <c r="P49" s="592"/>
      <c r="Q49" s="592"/>
      <c r="R49" s="592"/>
      <c r="S49" s="592"/>
      <c r="T49" s="592"/>
      <c r="U49" s="592"/>
      <c r="V49" s="592"/>
      <c r="W49" s="592"/>
      <c r="X49" s="592"/>
      <c r="AB49" s="56">
        <f>IF(AS49="5",BL49,0)</f>
        <v>0</v>
      </c>
      <c r="AD49" s="56">
        <f>IF(AS49="1",BJ49,0)</f>
        <v>0</v>
      </c>
      <c r="AE49" s="56">
        <f>IF(AS49="1",BK49,0)</f>
        <v>0</v>
      </c>
      <c r="AF49" s="56">
        <f>IF(AS49="7",BJ49,0)</f>
        <v>0</v>
      </c>
      <c r="AG49" s="56">
        <f>IF(AS49="7",BK49,0)</f>
        <v>0</v>
      </c>
      <c r="AH49" s="56">
        <f>IF(AS49="2",BJ49,0)</f>
        <v>0</v>
      </c>
      <c r="AI49" s="56">
        <f>IF(AS49="2",BK49,0)</f>
        <v>0</v>
      </c>
      <c r="AJ49" s="56">
        <f>IF(AS49="0",BL49,0)</f>
        <v>0</v>
      </c>
      <c r="AK49" s="7" t="s">
        <v>1763</v>
      </c>
      <c r="AL49" s="56">
        <f>IF(AP49=0,K49,0)</f>
        <v>0</v>
      </c>
      <c r="AM49" s="56">
        <f>IF(AP49=15,K49,0)</f>
        <v>0</v>
      </c>
      <c r="AN49" s="56">
        <f>IF(AP49=21,K49,0)</f>
        <v>0</v>
      </c>
      <c r="AP49" s="56">
        <v>21</v>
      </c>
      <c r="AQ49" s="88">
        <f>H49*0.1875566857646</f>
        <v>0</v>
      </c>
      <c r="AR49" s="88">
        <f>H49*(1-0.1875566857646)</f>
        <v>0</v>
      </c>
      <c r="AS49" s="21" t="s">
        <v>2297</v>
      </c>
      <c r="AX49" s="56">
        <f>AY49+AZ49</f>
        <v>0</v>
      </c>
      <c r="AY49" s="56">
        <f>G49*AQ49</f>
        <v>0</v>
      </c>
      <c r="AZ49" s="56">
        <f>G49*AR49</f>
        <v>0</v>
      </c>
      <c r="BA49" s="21" t="s">
        <v>2050</v>
      </c>
      <c r="BB49" s="21" t="s">
        <v>2524</v>
      </c>
      <c r="BC49" s="7" t="s">
        <v>2091</v>
      </c>
      <c r="BE49" s="56">
        <f>AY49+AZ49</f>
        <v>0</v>
      </c>
      <c r="BF49" s="56">
        <f>H49/(100-BG49)*100</f>
        <v>0</v>
      </c>
      <c r="BG49" s="56">
        <v>0</v>
      </c>
      <c r="BH49" s="56">
        <f>M49</f>
        <v>3.0268582999999998</v>
      </c>
      <c r="BJ49" s="56">
        <f>G49*AQ49</f>
        <v>0</v>
      </c>
      <c r="BK49" s="56">
        <f>G49*AR49</f>
        <v>0</v>
      </c>
      <c r="BL49" s="56">
        <f>G49*H49</f>
        <v>0</v>
      </c>
      <c r="BM49" s="56"/>
      <c r="BN49" s="56">
        <v>96</v>
      </c>
    </row>
    <row r="50" spans="1:66" ht="15" customHeight="1">
      <c r="A50" s="36"/>
      <c r="D50" s="45" t="s">
        <v>1361</v>
      </c>
      <c r="E50" s="104" t="s">
        <v>349</v>
      </c>
      <c r="G50" s="13">
        <v>0.9900000000000001</v>
      </c>
      <c r="N50" s="19"/>
      <c r="P50" s="592"/>
      <c r="Q50" s="592"/>
      <c r="R50" s="592"/>
      <c r="S50" s="592"/>
      <c r="T50" s="592"/>
      <c r="U50" s="592"/>
      <c r="V50" s="592"/>
      <c r="W50" s="592"/>
      <c r="X50" s="592"/>
    </row>
    <row r="51" spans="1:66" ht="15" customHeight="1">
      <c r="A51" s="36"/>
      <c r="D51" s="45" t="s">
        <v>734</v>
      </c>
      <c r="E51" s="104" t="s">
        <v>545</v>
      </c>
      <c r="G51" s="13">
        <v>0.68</v>
      </c>
      <c r="N51" s="19"/>
      <c r="P51" s="592"/>
      <c r="Q51" s="592"/>
      <c r="R51" s="592"/>
      <c r="S51" s="592"/>
      <c r="T51" s="592"/>
      <c r="U51" s="592"/>
      <c r="V51" s="592"/>
      <c r="W51" s="592"/>
      <c r="X51" s="592"/>
    </row>
    <row r="52" spans="1:66" ht="15" customHeight="1">
      <c r="A52" s="24" t="s">
        <v>908</v>
      </c>
      <c r="B52" s="12" t="s">
        <v>1763</v>
      </c>
      <c r="C52" s="12" t="s">
        <v>2409</v>
      </c>
      <c r="D52" s="630" t="s">
        <v>2538</v>
      </c>
      <c r="E52" s="630"/>
      <c r="F52" s="12" t="s">
        <v>2236</v>
      </c>
      <c r="G52" s="56">
        <v>147.63</v>
      </c>
      <c r="H52" s="625"/>
      <c r="I52" s="56">
        <f>G52*AQ52</f>
        <v>0</v>
      </c>
      <c r="J52" s="56">
        <f>G52*AR52</f>
        <v>0</v>
      </c>
      <c r="K52" s="56">
        <f>G52*H52</f>
        <v>0</v>
      </c>
      <c r="L52" s="56">
        <v>1.9512799999999999</v>
      </c>
      <c r="M52" s="56">
        <f>G52*L52</f>
        <v>288.0674664</v>
      </c>
      <c r="N52" s="31" t="s">
        <v>1579</v>
      </c>
      <c r="P52" s="592"/>
      <c r="Q52" s="592"/>
      <c r="R52" s="592"/>
      <c r="S52" s="592"/>
      <c r="T52" s="592"/>
      <c r="U52" s="592"/>
      <c r="V52" s="592"/>
      <c r="W52" s="592"/>
      <c r="X52" s="592"/>
      <c r="AB52" s="56">
        <f>IF(AS52="5",BL52,0)</f>
        <v>0</v>
      </c>
      <c r="AD52" s="56">
        <f>IF(AS52="1",BJ52,0)</f>
        <v>0</v>
      </c>
      <c r="AE52" s="56">
        <f>IF(AS52="1",BK52,0)</f>
        <v>0</v>
      </c>
      <c r="AF52" s="56">
        <f>IF(AS52="7",BJ52,0)</f>
        <v>0</v>
      </c>
      <c r="AG52" s="56">
        <f>IF(AS52="7",BK52,0)</f>
        <v>0</v>
      </c>
      <c r="AH52" s="56">
        <f>IF(AS52="2",BJ52,0)</f>
        <v>0</v>
      </c>
      <c r="AI52" s="56">
        <f>IF(AS52="2",BK52,0)</f>
        <v>0</v>
      </c>
      <c r="AJ52" s="56">
        <f>IF(AS52="0",BL52,0)</f>
        <v>0</v>
      </c>
      <c r="AK52" s="7" t="s">
        <v>1763</v>
      </c>
      <c r="AL52" s="56">
        <f>IF(AP52=0,K52,0)</f>
        <v>0</v>
      </c>
      <c r="AM52" s="56">
        <f>IF(AP52=15,K52,0)</f>
        <v>0</v>
      </c>
      <c r="AN52" s="56">
        <f>IF(AP52=21,K52,0)</f>
        <v>0</v>
      </c>
      <c r="AP52" s="56">
        <v>21</v>
      </c>
      <c r="AQ52" s="88">
        <f>H52*0.0358256805707221</f>
        <v>0</v>
      </c>
      <c r="AR52" s="88">
        <f>H52*(1-0.0358256805707221)</f>
        <v>0</v>
      </c>
      <c r="AS52" s="21" t="s">
        <v>2297</v>
      </c>
      <c r="AX52" s="56">
        <f>AY52+AZ52</f>
        <v>0</v>
      </c>
      <c r="AY52" s="56">
        <f>G52*AQ52</f>
        <v>0</v>
      </c>
      <c r="AZ52" s="56">
        <f>G52*AR52</f>
        <v>0</v>
      </c>
      <c r="BA52" s="21" t="s">
        <v>2050</v>
      </c>
      <c r="BB52" s="21" t="s">
        <v>2524</v>
      </c>
      <c r="BC52" s="7" t="s">
        <v>2091</v>
      </c>
      <c r="BE52" s="56">
        <f>AY52+AZ52</f>
        <v>0</v>
      </c>
      <c r="BF52" s="56">
        <f>H52/(100-BG52)*100</f>
        <v>0</v>
      </c>
      <c r="BG52" s="56">
        <v>0</v>
      </c>
      <c r="BH52" s="56">
        <f>M52</f>
        <v>288.0674664</v>
      </c>
      <c r="BJ52" s="56">
        <f>G52*AQ52</f>
        <v>0</v>
      </c>
      <c r="BK52" s="56">
        <f>G52*AR52</f>
        <v>0</v>
      </c>
      <c r="BL52" s="56">
        <f>G52*H52</f>
        <v>0</v>
      </c>
      <c r="BM52" s="56"/>
      <c r="BN52" s="56">
        <v>96</v>
      </c>
    </row>
    <row r="53" spans="1:66" ht="15" customHeight="1">
      <c r="A53" s="36"/>
      <c r="D53" s="45" t="s">
        <v>1646</v>
      </c>
      <c r="E53" s="104" t="s">
        <v>2232</v>
      </c>
      <c r="G53" s="13">
        <v>24.01</v>
      </c>
      <c r="N53" s="19"/>
      <c r="P53" s="592"/>
      <c r="Q53" s="592"/>
      <c r="R53" s="592"/>
      <c r="S53" s="592"/>
      <c r="T53" s="592"/>
      <c r="U53" s="592"/>
      <c r="V53" s="592"/>
      <c r="W53" s="592"/>
      <c r="X53" s="592"/>
    </row>
    <row r="54" spans="1:66" ht="15" customHeight="1">
      <c r="A54" s="36"/>
      <c r="D54" s="45" t="s">
        <v>1282</v>
      </c>
      <c r="E54" s="104" t="s">
        <v>596</v>
      </c>
      <c r="G54" s="13">
        <v>-6.3100000000000005</v>
      </c>
      <c r="N54" s="19"/>
      <c r="P54" s="592"/>
      <c r="Q54" s="592"/>
      <c r="R54" s="592"/>
      <c r="S54" s="592"/>
      <c r="T54" s="592"/>
      <c r="U54" s="592"/>
      <c r="V54" s="592"/>
      <c r="W54" s="592"/>
      <c r="X54" s="592"/>
    </row>
    <row r="55" spans="1:66" ht="15" customHeight="1">
      <c r="A55" s="36"/>
      <c r="D55" s="45" t="s">
        <v>1836</v>
      </c>
      <c r="E55" s="104" t="s">
        <v>596</v>
      </c>
      <c r="G55" s="13">
        <v>-16</v>
      </c>
      <c r="N55" s="19"/>
      <c r="P55" s="592"/>
      <c r="Q55" s="592"/>
      <c r="R55" s="592"/>
      <c r="S55" s="592"/>
      <c r="T55" s="592"/>
      <c r="U55" s="592"/>
      <c r="V55" s="592"/>
      <c r="W55" s="592"/>
      <c r="X55" s="592"/>
    </row>
    <row r="56" spans="1:66" ht="15" customHeight="1">
      <c r="A56" s="36"/>
      <c r="D56" s="45" t="s">
        <v>869</v>
      </c>
      <c r="E56" s="104" t="s">
        <v>2224</v>
      </c>
      <c r="G56" s="13">
        <v>13.110000000000001</v>
      </c>
      <c r="N56" s="19"/>
      <c r="P56" s="592"/>
      <c r="Q56" s="592"/>
      <c r="R56" s="592"/>
      <c r="S56" s="592"/>
      <c r="T56" s="592"/>
      <c r="U56" s="592"/>
      <c r="V56" s="592"/>
      <c r="W56" s="592"/>
      <c r="X56" s="592"/>
    </row>
    <row r="57" spans="1:66" ht="15" customHeight="1">
      <c r="A57" s="36"/>
      <c r="D57" s="45" t="s">
        <v>2479</v>
      </c>
      <c r="E57" s="104" t="s">
        <v>2067</v>
      </c>
      <c r="G57" s="13">
        <v>39.6</v>
      </c>
      <c r="N57" s="19"/>
      <c r="P57" s="592"/>
      <c r="Q57" s="592"/>
      <c r="R57" s="592"/>
      <c r="S57" s="592"/>
      <c r="T57" s="592"/>
      <c r="U57" s="592"/>
      <c r="V57" s="592"/>
      <c r="W57" s="592"/>
      <c r="X57" s="592"/>
    </row>
    <row r="58" spans="1:66" ht="15" customHeight="1">
      <c r="A58" s="36"/>
      <c r="D58" s="45" t="s">
        <v>786</v>
      </c>
      <c r="E58" s="104" t="s">
        <v>713</v>
      </c>
      <c r="G58" s="13">
        <v>89.210000000000008</v>
      </c>
      <c r="N58" s="19"/>
      <c r="P58" s="592"/>
      <c r="Q58" s="592"/>
      <c r="R58" s="592"/>
      <c r="S58" s="592"/>
      <c r="T58" s="592"/>
      <c r="U58" s="592"/>
      <c r="V58" s="592"/>
      <c r="W58" s="592"/>
      <c r="X58" s="592"/>
    </row>
    <row r="59" spans="1:66" ht="15" customHeight="1">
      <c r="A59" s="36"/>
      <c r="D59" s="45" t="s">
        <v>2570</v>
      </c>
      <c r="E59" s="104" t="s">
        <v>337</v>
      </c>
      <c r="G59" s="13">
        <v>4.0100000000000007</v>
      </c>
      <c r="N59" s="19"/>
      <c r="P59" s="592"/>
      <c r="Q59" s="592"/>
      <c r="R59" s="592"/>
      <c r="S59" s="592"/>
      <c r="T59" s="592"/>
      <c r="U59" s="592"/>
      <c r="V59" s="592"/>
      <c r="W59" s="592"/>
      <c r="X59" s="592"/>
    </row>
    <row r="60" spans="1:66" ht="15" customHeight="1">
      <c r="A60" s="24" t="s">
        <v>213</v>
      </c>
      <c r="B60" s="12" t="s">
        <v>1763</v>
      </c>
      <c r="C60" s="12" t="s">
        <v>2421</v>
      </c>
      <c r="D60" s="630" t="s">
        <v>613</v>
      </c>
      <c r="E60" s="630"/>
      <c r="F60" s="12" t="s">
        <v>2236</v>
      </c>
      <c r="G60" s="56">
        <v>1.57</v>
      </c>
      <c r="H60" s="625"/>
      <c r="I60" s="56">
        <f>G60*AQ60</f>
        <v>0</v>
      </c>
      <c r="J60" s="56">
        <f>G60*AR60</f>
        <v>0</v>
      </c>
      <c r="K60" s="56">
        <f>G60*H60</f>
        <v>0</v>
      </c>
      <c r="L60" s="56">
        <v>1.1760999999999999</v>
      </c>
      <c r="M60" s="56">
        <f>G60*L60</f>
        <v>1.8464769999999999</v>
      </c>
      <c r="N60" s="31" t="s">
        <v>1579</v>
      </c>
      <c r="P60" s="592"/>
      <c r="Q60" s="592"/>
      <c r="R60" s="592"/>
      <c r="S60" s="592"/>
      <c r="T60" s="592"/>
      <c r="U60" s="592"/>
      <c r="V60" s="592"/>
      <c r="W60" s="592"/>
      <c r="X60" s="592"/>
      <c r="AB60" s="56">
        <f>IF(AS60="5",BL60,0)</f>
        <v>0</v>
      </c>
      <c r="AD60" s="56">
        <f>IF(AS60="1",BJ60,0)</f>
        <v>0</v>
      </c>
      <c r="AE60" s="56">
        <f>IF(AS60="1",BK60,0)</f>
        <v>0</v>
      </c>
      <c r="AF60" s="56">
        <f>IF(AS60="7",BJ60,0)</f>
        <v>0</v>
      </c>
      <c r="AG60" s="56">
        <f>IF(AS60="7",BK60,0)</f>
        <v>0</v>
      </c>
      <c r="AH60" s="56">
        <f>IF(AS60="2",BJ60,0)</f>
        <v>0</v>
      </c>
      <c r="AI60" s="56">
        <f>IF(AS60="2",BK60,0)</f>
        <v>0</v>
      </c>
      <c r="AJ60" s="56">
        <f>IF(AS60="0",BL60,0)</f>
        <v>0</v>
      </c>
      <c r="AK60" s="7" t="s">
        <v>1763</v>
      </c>
      <c r="AL60" s="56">
        <f>IF(AP60=0,K60,0)</f>
        <v>0</v>
      </c>
      <c r="AM60" s="56">
        <f>IF(AP60=15,K60,0)</f>
        <v>0</v>
      </c>
      <c r="AN60" s="56">
        <f>IF(AP60=21,K60,0)</f>
        <v>0</v>
      </c>
      <c r="AP60" s="56">
        <v>21</v>
      </c>
      <c r="AQ60" s="88">
        <f>H60*0.0409130441811216</f>
        <v>0</v>
      </c>
      <c r="AR60" s="88">
        <f>H60*(1-0.0409130441811216)</f>
        <v>0</v>
      </c>
      <c r="AS60" s="21" t="s">
        <v>2297</v>
      </c>
      <c r="AX60" s="56">
        <f>AY60+AZ60</f>
        <v>0</v>
      </c>
      <c r="AY60" s="56">
        <f>G60*AQ60</f>
        <v>0</v>
      </c>
      <c r="AZ60" s="56">
        <f>G60*AR60</f>
        <v>0</v>
      </c>
      <c r="BA60" s="21" t="s">
        <v>2050</v>
      </c>
      <c r="BB60" s="21" t="s">
        <v>2524</v>
      </c>
      <c r="BC60" s="7" t="s">
        <v>2091</v>
      </c>
      <c r="BE60" s="56">
        <f>AY60+AZ60</f>
        <v>0</v>
      </c>
      <c r="BF60" s="56">
        <f>H60/(100-BG60)*100</f>
        <v>0</v>
      </c>
      <c r="BG60" s="56">
        <v>0</v>
      </c>
      <c r="BH60" s="56">
        <f>M60</f>
        <v>1.8464769999999999</v>
      </c>
      <c r="BJ60" s="56">
        <f>G60*AQ60</f>
        <v>0</v>
      </c>
      <c r="BK60" s="56">
        <f>G60*AR60</f>
        <v>0</v>
      </c>
      <c r="BL60" s="56">
        <f>G60*H60</f>
        <v>0</v>
      </c>
      <c r="BM60" s="56"/>
      <c r="BN60" s="56">
        <v>96</v>
      </c>
    </row>
    <row r="61" spans="1:66" ht="15" customHeight="1">
      <c r="A61" s="36"/>
      <c r="D61" s="45" t="s">
        <v>635</v>
      </c>
      <c r="E61" s="104" t="s">
        <v>77</v>
      </c>
      <c r="G61" s="13">
        <v>1.57</v>
      </c>
      <c r="N61" s="19"/>
      <c r="P61" s="592"/>
      <c r="Q61" s="592"/>
      <c r="R61" s="592"/>
      <c r="S61" s="592"/>
      <c r="T61" s="592"/>
      <c r="U61" s="592"/>
      <c r="V61" s="592"/>
      <c r="W61" s="592"/>
      <c r="X61" s="592"/>
    </row>
    <row r="62" spans="1:66" ht="15" customHeight="1">
      <c r="A62" s="24" t="s">
        <v>1605</v>
      </c>
      <c r="B62" s="12" t="s">
        <v>1763</v>
      </c>
      <c r="C62" s="12" t="s">
        <v>2541</v>
      </c>
      <c r="D62" s="630" t="s">
        <v>1342</v>
      </c>
      <c r="E62" s="630"/>
      <c r="F62" s="12" t="s">
        <v>2236</v>
      </c>
      <c r="G62" s="56">
        <v>6.6</v>
      </c>
      <c r="H62" s="625"/>
      <c r="I62" s="56">
        <f>G62*AQ62</f>
        <v>0</v>
      </c>
      <c r="J62" s="56">
        <f>G62*AR62</f>
        <v>0</v>
      </c>
      <c r="K62" s="56">
        <f>G62*H62</f>
        <v>0</v>
      </c>
      <c r="L62" s="56">
        <v>1.80128</v>
      </c>
      <c r="M62" s="56">
        <f>G62*L62</f>
        <v>11.888447999999999</v>
      </c>
      <c r="N62" s="31" t="s">
        <v>1579</v>
      </c>
      <c r="P62" s="592"/>
      <c r="Q62" s="592"/>
      <c r="R62" s="592"/>
      <c r="S62" s="592"/>
      <c r="T62" s="592"/>
      <c r="U62" s="592"/>
      <c r="V62" s="592"/>
      <c r="W62" s="592"/>
      <c r="X62" s="592"/>
      <c r="AB62" s="56">
        <f>IF(AS62="5",BL62,0)</f>
        <v>0</v>
      </c>
      <c r="AD62" s="56">
        <f>IF(AS62="1",BJ62,0)</f>
        <v>0</v>
      </c>
      <c r="AE62" s="56">
        <f>IF(AS62="1",BK62,0)</f>
        <v>0</v>
      </c>
      <c r="AF62" s="56">
        <f>IF(AS62="7",BJ62,0)</f>
        <v>0</v>
      </c>
      <c r="AG62" s="56">
        <f>IF(AS62="7",BK62,0)</f>
        <v>0</v>
      </c>
      <c r="AH62" s="56">
        <f>IF(AS62="2",BJ62,0)</f>
        <v>0</v>
      </c>
      <c r="AI62" s="56">
        <f>IF(AS62="2",BK62,0)</f>
        <v>0</v>
      </c>
      <c r="AJ62" s="56">
        <f>IF(AS62="0",BL62,0)</f>
        <v>0</v>
      </c>
      <c r="AK62" s="7" t="s">
        <v>1763</v>
      </c>
      <c r="AL62" s="56">
        <f>IF(AP62=0,K62,0)</f>
        <v>0</v>
      </c>
      <c r="AM62" s="56">
        <f>IF(AP62=15,K62,0)</f>
        <v>0</v>
      </c>
      <c r="AN62" s="56">
        <f>IF(AP62=21,K62,0)</f>
        <v>0</v>
      </c>
      <c r="AP62" s="56">
        <v>21</v>
      </c>
      <c r="AQ62" s="88">
        <f>H62*0.0400102632890918</f>
        <v>0</v>
      </c>
      <c r="AR62" s="88">
        <f>H62*(1-0.0400102632890918)</f>
        <v>0</v>
      </c>
      <c r="AS62" s="21" t="s">
        <v>2297</v>
      </c>
      <c r="AX62" s="56">
        <f>AY62+AZ62</f>
        <v>0</v>
      </c>
      <c r="AY62" s="56">
        <f>G62*AQ62</f>
        <v>0</v>
      </c>
      <c r="AZ62" s="56">
        <f>G62*AR62</f>
        <v>0</v>
      </c>
      <c r="BA62" s="21" t="s">
        <v>2050</v>
      </c>
      <c r="BB62" s="21" t="s">
        <v>2524</v>
      </c>
      <c r="BC62" s="7" t="s">
        <v>2091</v>
      </c>
      <c r="BE62" s="56">
        <f>AY62+AZ62</f>
        <v>0</v>
      </c>
      <c r="BF62" s="56">
        <f>H62/(100-BG62)*100</f>
        <v>0</v>
      </c>
      <c r="BG62" s="56">
        <v>0</v>
      </c>
      <c r="BH62" s="56">
        <f>M62</f>
        <v>11.888447999999999</v>
      </c>
      <c r="BJ62" s="56">
        <f>G62*AQ62</f>
        <v>0</v>
      </c>
      <c r="BK62" s="56">
        <f>G62*AR62</f>
        <v>0</v>
      </c>
      <c r="BL62" s="56">
        <f>G62*H62</f>
        <v>0</v>
      </c>
      <c r="BM62" s="56"/>
      <c r="BN62" s="56">
        <v>96</v>
      </c>
    </row>
    <row r="63" spans="1:66" ht="15" customHeight="1">
      <c r="A63" s="36"/>
      <c r="D63" s="45" t="s">
        <v>972</v>
      </c>
      <c r="E63" s="104" t="s">
        <v>2368</v>
      </c>
      <c r="G63" s="13">
        <v>3.6</v>
      </c>
      <c r="N63" s="19"/>
      <c r="P63" s="592"/>
      <c r="Q63" s="592"/>
      <c r="R63" s="592"/>
      <c r="S63" s="592"/>
      <c r="T63" s="592"/>
      <c r="U63" s="592"/>
      <c r="V63" s="592"/>
      <c r="W63" s="592"/>
      <c r="X63" s="592"/>
    </row>
    <row r="64" spans="1:66" ht="15" customHeight="1">
      <c r="A64" s="36"/>
      <c r="D64" s="45" t="s">
        <v>1307</v>
      </c>
      <c r="E64" s="104" t="s">
        <v>912</v>
      </c>
      <c r="G64" s="13">
        <v>3.0000000000000004</v>
      </c>
      <c r="N64" s="19"/>
      <c r="P64" s="592"/>
      <c r="Q64" s="592"/>
      <c r="R64" s="592"/>
      <c r="S64" s="592"/>
      <c r="T64" s="592"/>
      <c r="U64" s="592"/>
      <c r="V64" s="592"/>
      <c r="W64" s="592"/>
      <c r="X64" s="592"/>
    </row>
    <row r="65" spans="1:66" ht="15" customHeight="1">
      <c r="A65" s="24" t="s">
        <v>1846</v>
      </c>
      <c r="B65" s="12" t="s">
        <v>1763</v>
      </c>
      <c r="C65" s="12" t="s">
        <v>101</v>
      </c>
      <c r="D65" s="630" t="s">
        <v>2486</v>
      </c>
      <c r="E65" s="630"/>
      <c r="F65" s="12" t="s">
        <v>2274</v>
      </c>
      <c r="G65" s="56">
        <v>42.88</v>
      </c>
      <c r="H65" s="625"/>
      <c r="I65" s="56">
        <f>G65*AQ65</f>
        <v>0</v>
      </c>
      <c r="J65" s="56">
        <f>G65*AR65</f>
        <v>0</v>
      </c>
      <c r="K65" s="56">
        <f>G65*H65</f>
        <v>0</v>
      </c>
      <c r="L65" s="56">
        <v>3.2000000000000001E-2</v>
      </c>
      <c r="M65" s="56">
        <f>G65*L65</f>
        <v>1.37216</v>
      </c>
      <c r="N65" s="31" t="s">
        <v>1579</v>
      </c>
      <c r="P65" s="592"/>
      <c r="Q65" s="592"/>
      <c r="R65" s="592"/>
      <c r="S65" s="592"/>
      <c r="T65" s="592"/>
      <c r="U65" s="592"/>
      <c r="V65" s="592"/>
      <c r="W65" s="592"/>
      <c r="X65" s="592"/>
      <c r="AB65" s="56">
        <f>IF(AS65="5",BL65,0)</f>
        <v>0</v>
      </c>
      <c r="AD65" s="56">
        <f>IF(AS65="1",BJ65,0)</f>
        <v>0</v>
      </c>
      <c r="AE65" s="56">
        <f>IF(AS65="1",BK65,0)</f>
        <v>0</v>
      </c>
      <c r="AF65" s="56">
        <f>IF(AS65="7",BJ65,0)</f>
        <v>0</v>
      </c>
      <c r="AG65" s="56">
        <f>IF(AS65="7",BK65,0)</f>
        <v>0</v>
      </c>
      <c r="AH65" s="56">
        <f>IF(AS65="2",BJ65,0)</f>
        <v>0</v>
      </c>
      <c r="AI65" s="56">
        <f>IF(AS65="2",BK65,0)</f>
        <v>0</v>
      </c>
      <c r="AJ65" s="56">
        <f>IF(AS65="0",BL65,0)</f>
        <v>0</v>
      </c>
      <c r="AK65" s="7" t="s">
        <v>1763</v>
      </c>
      <c r="AL65" s="56">
        <f>IF(AP65=0,K65,0)</f>
        <v>0</v>
      </c>
      <c r="AM65" s="56">
        <f>IF(AP65=15,K65,0)</f>
        <v>0</v>
      </c>
      <c r="AN65" s="56">
        <f>IF(AP65=21,K65,0)</f>
        <v>0</v>
      </c>
      <c r="AP65" s="56">
        <v>21</v>
      </c>
      <c r="AQ65" s="88">
        <f>H65*0.166079545454545</f>
        <v>0</v>
      </c>
      <c r="AR65" s="88">
        <f>H65*(1-0.166079545454545)</f>
        <v>0</v>
      </c>
      <c r="AS65" s="21" t="s">
        <v>2297</v>
      </c>
      <c r="AX65" s="56">
        <f>AY65+AZ65</f>
        <v>0</v>
      </c>
      <c r="AY65" s="56">
        <f>G65*AQ65</f>
        <v>0</v>
      </c>
      <c r="AZ65" s="56">
        <f>G65*AR65</f>
        <v>0</v>
      </c>
      <c r="BA65" s="21" t="s">
        <v>2050</v>
      </c>
      <c r="BB65" s="21" t="s">
        <v>2524</v>
      </c>
      <c r="BC65" s="7" t="s">
        <v>2091</v>
      </c>
      <c r="BE65" s="56">
        <f>AY65+AZ65</f>
        <v>0</v>
      </c>
      <c r="BF65" s="56">
        <f>H65/(100-BG65)*100</f>
        <v>0</v>
      </c>
      <c r="BG65" s="56">
        <v>0</v>
      </c>
      <c r="BH65" s="56">
        <f>M65</f>
        <v>1.37216</v>
      </c>
      <c r="BJ65" s="56">
        <f>G65*AQ65</f>
        <v>0</v>
      </c>
      <c r="BK65" s="56">
        <f>G65*AR65</f>
        <v>0</v>
      </c>
      <c r="BL65" s="56">
        <f>G65*H65</f>
        <v>0</v>
      </c>
      <c r="BM65" s="56"/>
      <c r="BN65" s="56">
        <v>96</v>
      </c>
    </row>
    <row r="66" spans="1:66" ht="15" customHeight="1">
      <c r="A66" s="36"/>
      <c r="D66" s="45" t="s">
        <v>879</v>
      </c>
      <c r="E66" s="104" t="s">
        <v>1597</v>
      </c>
      <c r="G66" s="13">
        <v>42.88</v>
      </c>
      <c r="N66" s="19"/>
      <c r="P66" s="592"/>
      <c r="Q66" s="592"/>
      <c r="R66" s="592"/>
      <c r="S66" s="592"/>
      <c r="T66" s="592"/>
      <c r="U66" s="592"/>
      <c r="V66" s="592"/>
      <c r="W66" s="592"/>
      <c r="X66" s="592"/>
    </row>
    <row r="67" spans="1:66" ht="15" customHeight="1">
      <c r="A67" s="24" t="s">
        <v>1466</v>
      </c>
      <c r="B67" s="12" t="s">
        <v>1763</v>
      </c>
      <c r="C67" s="12" t="s">
        <v>454</v>
      </c>
      <c r="D67" s="630" t="s">
        <v>1296</v>
      </c>
      <c r="E67" s="630"/>
      <c r="F67" s="12" t="s">
        <v>2274</v>
      </c>
      <c r="G67" s="56">
        <v>50.82</v>
      </c>
      <c r="H67" s="625"/>
      <c r="I67" s="56">
        <f>G67*AQ67</f>
        <v>0</v>
      </c>
      <c r="J67" s="56">
        <f>G67*AR67</f>
        <v>0</v>
      </c>
      <c r="K67" s="56">
        <f>G67*H67</f>
        <v>0</v>
      </c>
      <c r="L67" s="56">
        <v>7.7170000000000002E-2</v>
      </c>
      <c r="M67" s="56">
        <f>G67*L67</f>
        <v>3.9217794000000001</v>
      </c>
      <c r="N67" s="31" t="s">
        <v>1579</v>
      </c>
      <c r="P67" s="592"/>
      <c r="Q67" s="592"/>
      <c r="R67" s="592"/>
      <c r="S67" s="592"/>
      <c r="T67" s="592"/>
      <c r="U67" s="592"/>
      <c r="V67" s="592"/>
      <c r="W67" s="592"/>
      <c r="X67" s="592"/>
      <c r="AB67" s="56">
        <f>IF(AS67="5",BL67,0)</f>
        <v>0</v>
      </c>
      <c r="AD67" s="56">
        <f>IF(AS67="1",BJ67,0)</f>
        <v>0</v>
      </c>
      <c r="AE67" s="56">
        <f>IF(AS67="1",BK67,0)</f>
        <v>0</v>
      </c>
      <c r="AF67" s="56">
        <f>IF(AS67="7",BJ67,0)</f>
        <v>0</v>
      </c>
      <c r="AG67" s="56">
        <f>IF(AS67="7",BK67,0)</f>
        <v>0</v>
      </c>
      <c r="AH67" s="56">
        <f>IF(AS67="2",BJ67,0)</f>
        <v>0</v>
      </c>
      <c r="AI67" s="56">
        <f>IF(AS67="2",BK67,0)</f>
        <v>0</v>
      </c>
      <c r="AJ67" s="56">
        <f>IF(AS67="0",BL67,0)</f>
        <v>0</v>
      </c>
      <c r="AK67" s="7" t="s">
        <v>1763</v>
      </c>
      <c r="AL67" s="56">
        <f>IF(AP67=0,K67,0)</f>
        <v>0</v>
      </c>
      <c r="AM67" s="56">
        <f>IF(AP67=15,K67,0)</f>
        <v>0</v>
      </c>
      <c r="AN67" s="56">
        <f>IF(AP67=21,K67,0)</f>
        <v>0</v>
      </c>
      <c r="AP67" s="56">
        <v>21</v>
      </c>
      <c r="AQ67" s="88">
        <f>H67*0.0772009029345373</f>
        <v>0</v>
      </c>
      <c r="AR67" s="88">
        <f>H67*(1-0.0772009029345373)</f>
        <v>0</v>
      </c>
      <c r="AS67" s="21" t="s">
        <v>2297</v>
      </c>
      <c r="AX67" s="56">
        <f>AY67+AZ67</f>
        <v>0</v>
      </c>
      <c r="AY67" s="56">
        <f>G67*AQ67</f>
        <v>0</v>
      </c>
      <c r="AZ67" s="56">
        <f>G67*AR67</f>
        <v>0</v>
      </c>
      <c r="BA67" s="21" t="s">
        <v>2050</v>
      </c>
      <c r="BB67" s="21" t="s">
        <v>2524</v>
      </c>
      <c r="BC67" s="7" t="s">
        <v>2091</v>
      </c>
      <c r="BE67" s="56">
        <f>AY67+AZ67</f>
        <v>0</v>
      </c>
      <c r="BF67" s="56">
        <f>H67/(100-BG67)*100</f>
        <v>0</v>
      </c>
      <c r="BG67" s="56">
        <v>0</v>
      </c>
      <c r="BH67" s="56">
        <f>M67</f>
        <v>3.9217794000000001</v>
      </c>
      <c r="BJ67" s="56">
        <f>G67*AQ67</f>
        <v>0</v>
      </c>
      <c r="BK67" s="56">
        <f>G67*AR67</f>
        <v>0</v>
      </c>
      <c r="BL67" s="56">
        <f>G67*H67</f>
        <v>0</v>
      </c>
      <c r="BM67" s="56"/>
      <c r="BN67" s="56">
        <v>96</v>
      </c>
    </row>
    <row r="68" spans="1:66" ht="15" customHeight="1">
      <c r="A68" s="36"/>
      <c r="D68" s="45" t="s">
        <v>2393</v>
      </c>
      <c r="E68" s="104" t="s">
        <v>1597</v>
      </c>
      <c r="G68" s="13">
        <v>50.820000000000007</v>
      </c>
      <c r="N68" s="19"/>
      <c r="P68" s="592"/>
      <c r="Q68" s="592"/>
      <c r="R68" s="592"/>
      <c r="S68" s="592"/>
      <c r="T68" s="592"/>
      <c r="U68" s="592"/>
      <c r="V68" s="592"/>
      <c r="W68" s="592"/>
      <c r="X68" s="592"/>
    </row>
    <row r="69" spans="1:66" ht="15" customHeight="1">
      <c r="A69" s="24" t="s">
        <v>109</v>
      </c>
      <c r="B69" s="12" t="s">
        <v>1763</v>
      </c>
      <c r="C69" s="12" t="s">
        <v>2098</v>
      </c>
      <c r="D69" s="630" t="s">
        <v>359</v>
      </c>
      <c r="E69" s="630"/>
      <c r="F69" s="12" t="s">
        <v>2236</v>
      </c>
      <c r="G69" s="56">
        <v>2.06</v>
      </c>
      <c r="H69" s="625"/>
      <c r="I69" s="56">
        <f>G69*AQ69</f>
        <v>0</v>
      </c>
      <c r="J69" s="56">
        <f>G69*AR69</f>
        <v>0</v>
      </c>
      <c r="K69" s="56">
        <f>G69*H69</f>
        <v>0</v>
      </c>
      <c r="L69" s="56">
        <v>0.56999999999999995</v>
      </c>
      <c r="M69" s="56">
        <f>G69*L69</f>
        <v>1.1741999999999999</v>
      </c>
      <c r="N69" s="31" t="s">
        <v>1579</v>
      </c>
      <c r="P69" s="592"/>
      <c r="Q69" s="592"/>
      <c r="R69" s="592"/>
      <c r="S69" s="592"/>
      <c r="T69" s="592"/>
      <c r="U69" s="592"/>
      <c r="V69" s="592"/>
      <c r="W69" s="592"/>
      <c r="X69" s="592"/>
      <c r="AB69" s="56">
        <f>IF(AS69="5",BL69,0)</f>
        <v>0</v>
      </c>
      <c r="AD69" s="56">
        <f>IF(AS69="1",BJ69,0)</f>
        <v>0</v>
      </c>
      <c r="AE69" s="56">
        <f>IF(AS69="1",BK69,0)</f>
        <v>0</v>
      </c>
      <c r="AF69" s="56">
        <f>IF(AS69="7",BJ69,0)</f>
        <v>0</v>
      </c>
      <c r="AG69" s="56">
        <f>IF(AS69="7",BK69,0)</f>
        <v>0</v>
      </c>
      <c r="AH69" s="56">
        <f>IF(AS69="2",BJ69,0)</f>
        <v>0</v>
      </c>
      <c r="AI69" s="56">
        <f>IF(AS69="2",BK69,0)</f>
        <v>0</v>
      </c>
      <c r="AJ69" s="56">
        <f>IF(AS69="0",BL69,0)</f>
        <v>0</v>
      </c>
      <c r="AK69" s="7" t="s">
        <v>1763</v>
      </c>
      <c r="AL69" s="56">
        <f>IF(AP69=0,K69,0)</f>
        <v>0</v>
      </c>
      <c r="AM69" s="56">
        <f>IF(AP69=15,K69,0)</f>
        <v>0</v>
      </c>
      <c r="AN69" s="56">
        <f>IF(AP69=21,K69,0)</f>
        <v>0</v>
      </c>
      <c r="AP69" s="56">
        <v>21</v>
      </c>
      <c r="AQ69" s="88">
        <f>H69*0</f>
        <v>0</v>
      </c>
      <c r="AR69" s="88">
        <f>H69*(1-0)</f>
        <v>0</v>
      </c>
      <c r="AS69" s="21" t="s">
        <v>2297</v>
      </c>
      <c r="AX69" s="56">
        <f>AY69+AZ69</f>
        <v>0</v>
      </c>
      <c r="AY69" s="56">
        <f>G69*AQ69</f>
        <v>0</v>
      </c>
      <c r="AZ69" s="56">
        <f>G69*AR69</f>
        <v>0</v>
      </c>
      <c r="BA69" s="21" t="s">
        <v>2050</v>
      </c>
      <c r="BB69" s="21" t="s">
        <v>2524</v>
      </c>
      <c r="BC69" s="7" t="s">
        <v>2091</v>
      </c>
      <c r="BE69" s="56">
        <f>AY69+AZ69</f>
        <v>0</v>
      </c>
      <c r="BF69" s="56">
        <f>H69/(100-BG69)*100</f>
        <v>0</v>
      </c>
      <c r="BG69" s="56">
        <v>0</v>
      </c>
      <c r="BH69" s="56">
        <f>M69</f>
        <v>1.1741999999999999</v>
      </c>
      <c r="BJ69" s="56">
        <f>G69*AQ69</f>
        <v>0</v>
      </c>
      <c r="BK69" s="56">
        <f>G69*AR69</f>
        <v>0</v>
      </c>
      <c r="BL69" s="56">
        <f>G69*H69</f>
        <v>0</v>
      </c>
      <c r="BM69" s="56"/>
      <c r="BN69" s="56">
        <v>96</v>
      </c>
    </row>
    <row r="70" spans="1:66" ht="15" customHeight="1">
      <c r="A70" s="36"/>
      <c r="D70" s="45" t="s">
        <v>1849</v>
      </c>
      <c r="E70" s="104" t="s">
        <v>2590</v>
      </c>
      <c r="G70" s="13">
        <v>2.06</v>
      </c>
      <c r="N70" s="19"/>
      <c r="P70" s="592"/>
      <c r="Q70" s="592"/>
      <c r="R70" s="592"/>
      <c r="S70" s="592"/>
      <c r="T70" s="592"/>
      <c r="U70" s="592"/>
      <c r="V70" s="592"/>
      <c r="W70" s="592"/>
      <c r="X70" s="592"/>
    </row>
    <row r="71" spans="1:66" ht="15" customHeight="1">
      <c r="A71" s="24" t="s">
        <v>1632</v>
      </c>
      <c r="B71" s="12" t="s">
        <v>1763</v>
      </c>
      <c r="C71" s="12" t="s">
        <v>322</v>
      </c>
      <c r="D71" s="630" t="s">
        <v>593</v>
      </c>
      <c r="E71" s="630"/>
      <c r="F71" s="12" t="s">
        <v>2236</v>
      </c>
      <c r="G71" s="56">
        <v>72</v>
      </c>
      <c r="H71" s="625"/>
      <c r="I71" s="56">
        <f>G71*AQ71</f>
        <v>0</v>
      </c>
      <c r="J71" s="56">
        <f>G71*AR71</f>
        <v>0</v>
      </c>
      <c r="K71" s="56">
        <f>G71*H71</f>
        <v>0</v>
      </c>
      <c r="L71" s="56">
        <v>2.2000000000000002</v>
      </c>
      <c r="M71" s="56">
        <f>G71*L71</f>
        <v>158.4</v>
      </c>
      <c r="N71" s="31" t="s">
        <v>1579</v>
      </c>
      <c r="P71" s="592"/>
      <c r="Q71" s="592"/>
      <c r="R71" s="592"/>
      <c r="S71" s="592"/>
      <c r="T71" s="592"/>
      <c r="U71" s="592"/>
      <c r="V71" s="592"/>
      <c r="W71" s="592"/>
      <c r="X71" s="592"/>
      <c r="AB71" s="56">
        <f>IF(AS71="5",BL71,0)</f>
        <v>0</v>
      </c>
      <c r="AD71" s="56">
        <f>IF(AS71="1",BJ71,0)</f>
        <v>0</v>
      </c>
      <c r="AE71" s="56">
        <f>IF(AS71="1",BK71,0)</f>
        <v>0</v>
      </c>
      <c r="AF71" s="56">
        <f>IF(AS71="7",BJ71,0)</f>
        <v>0</v>
      </c>
      <c r="AG71" s="56">
        <f>IF(AS71="7",BK71,0)</f>
        <v>0</v>
      </c>
      <c r="AH71" s="56">
        <f>IF(AS71="2",BJ71,0)</f>
        <v>0</v>
      </c>
      <c r="AI71" s="56">
        <f>IF(AS71="2",BK71,0)</f>
        <v>0</v>
      </c>
      <c r="AJ71" s="56">
        <f>IF(AS71="0",BL71,0)</f>
        <v>0</v>
      </c>
      <c r="AK71" s="7" t="s">
        <v>1763</v>
      </c>
      <c r="AL71" s="56">
        <f>IF(AP71=0,K71,0)</f>
        <v>0</v>
      </c>
      <c r="AM71" s="56">
        <f>IF(AP71=15,K71,0)</f>
        <v>0</v>
      </c>
      <c r="AN71" s="56">
        <f>IF(AP71=21,K71,0)</f>
        <v>0</v>
      </c>
      <c r="AP71" s="56">
        <v>21</v>
      </c>
      <c r="AQ71" s="88">
        <f>H71*0</f>
        <v>0</v>
      </c>
      <c r="AR71" s="88">
        <f>H71*(1-0)</f>
        <v>0</v>
      </c>
      <c r="AS71" s="21" t="s">
        <v>2297</v>
      </c>
      <c r="AX71" s="56">
        <f>AY71+AZ71</f>
        <v>0</v>
      </c>
      <c r="AY71" s="56">
        <f>G71*AQ71</f>
        <v>0</v>
      </c>
      <c r="AZ71" s="56">
        <f>G71*AR71</f>
        <v>0</v>
      </c>
      <c r="BA71" s="21" t="s">
        <v>2050</v>
      </c>
      <c r="BB71" s="21" t="s">
        <v>2524</v>
      </c>
      <c r="BC71" s="7" t="s">
        <v>2091</v>
      </c>
      <c r="BE71" s="56">
        <f>AY71+AZ71</f>
        <v>0</v>
      </c>
      <c r="BF71" s="56">
        <f>H71/(100-BG71)*100</f>
        <v>0</v>
      </c>
      <c r="BG71" s="56">
        <v>0</v>
      </c>
      <c r="BH71" s="56">
        <f>M71</f>
        <v>158.4</v>
      </c>
      <c r="BJ71" s="56">
        <f>G71*AQ71</f>
        <v>0</v>
      </c>
      <c r="BK71" s="56">
        <f>G71*AR71</f>
        <v>0</v>
      </c>
      <c r="BL71" s="56">
        <f>G71*H71</f>
        <v>0</v>
      </c>
      <c r="BM71" s="56"/>
      <c r="BN71" s="56">
        <v>96</v>
      </c>
    </row>
    <row r="72" spans="1:66" ht="15" customHeight="1">
      <c r="A72" s="36"/>
      <c r="D72" s="45" t="s">
        <v>394</v>
      </c>
      <c r="E72" s="104" t="s">
        <v>506</v>
      </c>
      <c r="G72" s="13">
        <v>72</v>
      </c>
      <c r="N72" s="19"/>
      <c r="P72" s="592"/>
      <c r="Q72" s="592"/>
      <c r="R72" s="592"/>
      <c r="S72" s="592"/>
      <c r="T72" s="592"/>
      <c r="U72" s="592"/>
      <c r="V72" s="592"/>
      <c r="W72" s="592"/>
      <c r="X72" s="592"/>
    </row>
    <row r="73" spans="1:66" ht="15" customHeight="1">
      <c r="A73" s="24" t="s">
        <v>2212</v>
      </c>
      <c r="B73" s="12" t="s">
        <v>1763</v>
      </c>
      <c r="C73" s="12" t="s">
        <v>1343</v>
      </c>
      <c r="D73" s="630" t="s">
        <v>65</v>
      </c>
      <c r="E73" s="630"/>
      <c r="F73" s="12" t="s">
        <v>2236</v>
      </c>
      <c r="G73" s="56">
        <v>25</v>
      </c>
      <c r="H73" s="625"/>
      <c r="I73" s="56">
        <f>G73*AQ73</f>
        <v>0</v>
      </c>
      <c r="J73" s="56">
        <f>G73*AR73</f>
        <v>0</v>
      </c>
      <c r="K73" s="56">
        <f>G73*H73</f>
        <v>0</v>
      </c>
      <c r="L73" s="56">
        <v>1.7026600000000001</v>
      </c>
      <c r="M73" s="56">
        <f>G73*L73</f>
        <v>42.566500000000005</v>
      </c>
      <c r="N73" s="31" t="s">
        <v>1579</v>
      </c>
      <c r="P73" s="592"/>
      <c r="Q73" s="592"/>
      <c r="R73" s="592"/>
      <c r="S73" s="592"/>
      <c r="T73" s="592"/>
      <c r="U73" s="592"/>
      <c r="V73" s="592"/>
      <c r="W73" s="592"/>
      <c r="X73" s="592"/>
      <c r="AB73" s="56">
        <f>IF(AS73="5",BL73,0)</f>
        <v>0</v>
      </c>
      <c r="AD73" s="56">
        <f>IF(AS73="1",BJ73,0)</f>
        <v>0</v>
      </c>
      <c r="AE73" s="56">
        <f>IF(AS73="1",BK73,0)</f>
        <v>0</v>
      </c>
      <c r="AF73" s="56">
        <f>IF(AS73="7",BJ73,0)</f>
        <v>0</v>
      </c>
      <c r="AG73" s="56">
        <f>IF(AS73="7",BK73,0)</f>
        <v>0</v>
      </c>
      <c r="AH73" s="56">
        <f>IF(AS73="2",BJ73,0)</f>
        <v>0</v>
      </c>
      <c r="AI73" s="56">
        <f>IF(AS73="2",BK73,0)</f>
        <v>0</v>
      </c>
      <c r="AJ73" s="56">
        <f>IF(AS73="0",BL73,0)</f>
        <v>0</v>
      </c>
      <c r="AK73" s="7" t="s">
        <v>1763</v>
      </c>
      <c r="AL73" s="56">
        <f>IF(AP73=0,K73,0)</f>
        <v>0</v>
      </c>
      <c r="AM73" s="56">
        <f>IF(AP73=15,K73,0)</f>
        <v>0</v>
      </c>
      <c r="AN73" s="56">
        <f>IF(AP73=21,K73,0)</f>
        <v>0</v>
      </c>
      <c r="AP73" s="56">
        <v>21</v>
      </c>
      <c r="AQ73" s="88">
        <f>H73*0.0210072913853632</f>
        <v>0</v>
      </c>
      <c r="AR73" s="88">
        <f>H73*(1-0.0210072913853632)</f>
        <v>0</v>
      </c>
      <c r="AS73" s="21" t="s">
        <v>2297</v>
      </c>
      <c r="AX73" s="56">
        <f>AY73+AZ73</f>
        <v>0</v>
      </c>
      <c r="AY73" s="56">
        <f>G73*AQ73</f>
        <v>0</v>
      </c>
      <c r="AZ73" s="56">
        <f>G73*AR73</f>
        <v>0</v>
      </c>
      <c r="BA73" s="21" t="s">
        <v>2050</v>
      </c>
      <c r="BB73" s="21" t="s">
        <v>2524</v>
      </c>
      <c r="BC73" s="7" t="s">
        <v>2091</v>
      </c>
      <c r="BE73" s="56">
        <f>AY73+AZ73</f>
        <v>0</v>
      </c>
      <c r="BF73" s="56">
        <f>H73/(100-BG73)*100</f>
        <v>0</v>
      </c>
      <c r="BG73" s="56">
        <v>0</v>
      </c>
      <c r="BH73" s="56">
        <f>M73</f>
        <v>42.566500000000005</v>
      </c>
      <c r="BJ73" s="56">
        <f>G73*AQ73</f>
        <v>0</v>
      </c>
      <c r="BK73" s="56">
        <f>G73*AR73</f>
        <v>0</v>
      </c>
      <c r="BL73" s="56">
        <f>G73*H73</f>
        <v>0</v>
      </c>
      <c r="BM73" s="56"/>
      <c r="BN73" s="56">
        <v>96</v>
      </c>
    </row>
    <row r="74" spans="1:66" ht="15" customHeight="1">
      <c r="A74" s="36"/>
      <c r="D74" s="45" t="s">
        <v>364</v>
      </c>
      <c r="E74" s="104" t="s">
        <v>1387</v>
      </c>
      <c r="G74" s="13">
        <v>25.000000000000004</v>
      </c>
      <c r="N74" s="19"/>
      <c r="P74" s="592"/>
      <c r="Q74" s="592"/>
      <c r="R74" s="592"/>
      <c r="S74" s="592"/>
      <c r="T74" s="592"/>
      <c r="U74" s="592"/>
      <c r="V74" s="592"/>
      <c r="W74" s="592"/>
      <c r="X74" s="592"/>
    </row>
    <row r="75" spans="1:66" ht="15" customHeight="1">
      <c r="A75" s="24" t="s">
        <v>1031</v>
      </c>
      <c r="B75" s="12" t="s">
        <v>1763</v>
      </c>
      <c r="C75" s="12" t="s">
        <v>2470</v>
      </c>
      <c r="D75" s="630" t="s">
        <v>773</v>
      </c>
      <c r="E75" s="630"/>
      <c r="F75" s="12" t="s">
        <v>1074</v>
      </c>
      <c r="G75" s="56">
        <v>2.72</v>
      </c>
      <c r="H75" s="625"/>
      <c r="I75" s="56">
        <f>G75*AQ75</f>
        <v>0</v>
      </c>
      <c r="J75" s="56">
        <f>G75*AR75</f>
        <v>0</v>
      </c>
      <c r="K75" s="56">
        <f>G75*H75</f>
        <v>0</v>
      </c>
      <c r="L75" s="56">
        <v>1.2954600000000001</v>
      </c>
      <c r="M75" s="56">
        <f>G75*L75</f>
        <v>3.5236512000000002</v>
      </c>
      <c r="N75" s="31" t="s">
        <v>1579</v>
      </c>
      <c r="P75" s="592"/>
      <c r="Q75" s="592"/>
      <c r="R75" s="592"/>
      <c r="S75" s="592"/>
      <c r="T75" s="592"/>
      <c r="U75" s="592"/>
      <c r="V75" s="592"/>
      <c r="W75" s="592"/>
      <c r="X75" s="592"/>
      <c r="AB75" s="56">
        <f>IF(AS75="5",BL75,0)</f>
        <v>0</v>
      </c>
      <c r="AD75" s="56">
        <f>IF(AS75="1",BJ75,0)</f>
        <v>0</v>
      </c>
      <c r="AE75" s="56">
        <f>IF(AS75="1",BK75,0)</f>
        <v>0</v>
      </c>
      <c r="AF75" s="56">
        <f>IF(AS75="7",BJ75,0)</f>
        <v>0</v>
      </c>
      <c r="AG75" s="56">
        <f>IF(AS75="7",BK75,0)</f>
        <v>0</v>
      </c>
      <c r="AH75" s="56">
        <f>IF(AS75="2",BJ75,0)</f>
        <v>0</v>
      </c>
      <c r="AI75" s="56">
        <f>IF(AS75="2",BK75,0)</f>
        <v>0</v>
      </c>
      <c r="AJ75" s="56">
        <f>IF(AS75="0",BL75,0)</f>
        <v>0</v>
      </c>
      <c r="AK75" s="7" t="s">
        <v>1763</v>
      </c>
      <c r="AL75" s="56">
        <f>IF(AP75=0,K75,0)</f>
        <v>0</v>
      </c>
      <c r="AM75" s="56">
        <f>IF(AP75=15,K75,0)</f>
        <v>0</v>
      </c>
      <c r="AN75" s="56">
        <f>IF(AP75=21,K75,0)</f>
        <v>0</v>
      </c>
      <c r="AP75" s="56">
        <v>21</v>
      </c>
      <c r="AQ75" s="88">
        <f>H75*0.103870845204179</f>
        <v>0</v>
      </c>
      <c r="AR75" s="88">
        <f>H75*(1-0.103870845204179)</f>
        <v>0</v>
      </c>
      <c r="AS75" s="21" t="s">
        <v>2297</v>
      </c>
      <c r="AX75" s="56">
        <f>AY75+AZ75</f>
        <v>0</v>
      </c>
      <c r="AY75" s="56">
        <f>G75*AQ75</f>
        <v>0</v>
      </c>
      <c r="AZ75" s="56">
        <f>G75*AR75</f>
        <v>0</v>
      </c>
      <c r="BA75" s="21" t="s">
        <v>2050</v>
      </c>
      <c r="BB75" s="21" t="s">
        <v>2524</v>
      </c>
      <c r="BC75" s="7" t="s">
        <v>2091</v>
      </c>
      <c r="BE75" s="56">
        <f>AY75+AZ75</f>
        <v>0</v>
      </c>
      <c r="BF75" s="56">
        <f>H75/(100-BG75)*100</f>
        <v>0</v>
      </c>
      <c r="BG75" s="56">
        <v>0</v>
      </c>
      <c r="BH75" s="56">
        <f>M75</f>
        <v>3.5236512000000002</v>
      </c>
      <c r="BJ75" s="56">
        <f>G75*AQ75</f>
        <v>0</v>
      </c>
      <c r="BK75" s="56">
        <f>G75*AR75</f>
        <v>0</v>
      </c>
      <c r="BL75" s="56">
        <f>G75*H75</f>
        <v>0</v>
      </c>
      <c r="BM75" s="56"/>
      <c r="BN75" s="56">
        <v>96</v>
      </c>
    </row>
    <row r="76" spans="1:66" ht="15" customHeight="1">
      <c r="A76" s="36"/>
      <c r="D76" s="45" t="s">
        <v>981</v>
      </c>
      <c r="E76" s="104" t="s">
        <v>1389</v>
      </c>
      <c r="G76" s="13">
        <v>2.72</v>
      </c>
      <c r="N76" s="19"/>
      <c r="P76" s="592"/>
      <c r="Q76" s="592"/>
      <c r="R76" s="592"/>
      <c r="S76" s="592"/>
      <c r="T76" s="592"/>
      <c r="U76" s="592"/>
      <c r="V76" s="592"/>
      <c r="W76" s="592"/>
      <c r="X76" s="592"/>
    </row>
    <row r="77" spans="1:66" ht="15" customHeight="1">
      <c r="A77" s="24" t="s">
        <v>222</v>
      </c>
      <c r="B77" s="12" t="s">
        <v>1763</v>
      </c>
      <c r="C77" s="12" t="s">
        <v>231</v>
      </c>
      <c r="D77" s="630" t="s">
        <v>8</v>
      </c>
      <c r="E77" s="630"/>
      <c r="F77" s="12" t="s">
        <v>2236</v>
      </c>
      <c r="G77" s="56">
        <v>37.61</v>
      </c>
      <c r="H77" s="625"/>
      <c r="I77" s="56">
        <f>G77*AQ77</f>
        <v>0</v>
      </c>
      <c r="J77" s="56">
        <f>G77*AR77</f>
        <v>0</v>
      </c>
      <c r="K77" s="56">
        <f>G77*H77</f>
        <v>0</v>
      </c>
      <c r="L77" s="56">
        <v>2</v>
      </c>
      <c r="M77" s="56">
        <f>G77*L77</f>
        <v>75.22</v>
      </c>
      <c r="N77" s="31" t="s">
        <v>1579</v>
      </c>
      <c r="P77" s="592"/>
      <c r="Q77" s="592"/>
      <c r="R77" s="592"/>
      <c r="S77" s="592"/>
      <c r="T77" s="592"/>
      <c r="U77" s="592"/>
      <c r="V77" s="592"/>
      <c r="W77" s="592"/>
      <c r="X77" s="592"/>
      <c r="AB77" s="56">
        <f>IF(AS77="5",BL77,0)</f>
        <v>0</v>
      </c>
      <c r="AD77" s="56">
        <f>IF(AS77="1",BJ77,0)</f>
        <v>0</v>
      </c>
      <c r="AE77" s="56">
        <f>IF(AS77="1",BK77,0)</f>
        <v>0</v>
      </c>
      <c r="AF77" s="56">
        <f>IF(AS77="7",BJ77,0)</f>
        <v>0</v>
      </c>
      <c r="AG77" s="56">
        <f>IF(AS77="7",BK77,0)</f>
        <v>0</v>
      </c>
      <c r="AH77" s="56">
        <f>IF(AS77="2",BJ77,0)</f>
        <v>0</v>
      </c>
      <c r="AI77" s="56">
        <f>IF(AS77="2",BK77,0)</f>
        <v>0</v>
      </c>
      <c r="AJ77" s="56">
        <f>IF(AS77="0",BL77,0)</f>
        <v>0</v>
      </c>
      <c r="AK77" s="7" t="s">
        <v>1763</v>
      </c>
      <c r="AL77" s="56">
        <f>IF(AP77=0,K77,0)</f>
        <v>0</v>
      </c>
      <c r="AM77" s="56">
        <f>IF(AP77=15,K77,0)</f>
        <v>0</v>
      </c>
      <c r="AN77" s="56">
        <f>IF(AP77=21,K77,0)</f>
        <v>0</v>
      </c>
      <c r="AP77" s="56">
        <v>21</v>
      </c>
      <c r="AQ77" s="88">
        <f>H77*0</f>
        <v>0</v>
      </c>
      <c r="AR77" s="88">
        <f>H77*(1-0)</f>
        <v>0</v>
      </c>
      <c r="AS77" s="21" t="s">
        <v>2297</v>
      </c>
      <c r="AX77" s="56">
        <f>AY77+AZ77</f>
        <v>0</v>
      </c>
      <c r="AY77" s="56">
        <f>G77*AQ77</f>
        <v>0</v>
      </c>
      <c r="AZ77" s="56">
        <f>G77*AR77</f>
        <v>0</v>
      </c>
      <c r="BA77" s="21" t="s">
        <v>2050</v>
      </c>
      <c r="BB77" s="21" t="s">
        <v>2524</v>
      </c>
      <c r="BC77" s="7" t="s">
        <v>2091</v>
      </c>
      <c r="BE77" s="56">
        <f>AY77+AZ77</f>
        <v>0</v>
      </c>
      <c r="BF77" s="56">
        <f>H77/(100-BG77)*100</f>
        <v>0</v>
      </c>
      <c r="BG77" s="56">
        <v>0</v>
      </c>
      <c r="BH77" s="56">
        <f>M77</f>
        <v>75.22</v>
      </c>
      <c r="BJ77" s="56">
        <f>G77*AQ77</f>
        <v>0</v>
      </c>
      <c r="BK77" s="56">
        <f>G77*AR77</f>
        <v>0</v>
      </c>
      <c r="BL77" s="56">
        <f>G77*H77</f>
        <v>0</v>
      </c>
      <c r="BM77" s="56"/>
      <c r="BN77" s="56">
        <v>96</v>
      </c>
    </row>
    <row r="78" spans="1:66" ht="15" customHeight="1">
      <c r="A78" s="36"/>
      <c r="D78" s="45" t="s">
        <v>1327</v>
      </c>
      <c r="E78" s="104" t="s">
        <v>396</v>
      </c>
      <c r="G78" s="13">
        <v>32.300000000000004</v>
      </c>
      <c r="N78" s="19"/>
      <c r="P78" s="592"/>
      <c r="Q78" s="592"/>
      <c r="R78" s="592"/>
      <c r="S78" s="592"/>
      <c r="T78" s="592"/>
      <c r="U78" s="592"/>
      <c r="V78" s="592"/>
      <c r="W78" s="592"/>
      <c r="X78" s="592"/>
    </row>
    <row r="79" spans="1:66" ht="15" customHeight="1">
      <c r="A79" s="36"/>
      <c r="D79" s="45" t="s">
        <v>447</v>
      </c>
      <c r="E79" s="104" t="s">
        <v>440</v>
      </c>
      <c r="G79" s="13">
        <v>5.3100000000000005</v>
      </c>
      <c r="N79" s="19"/>
      <c r="P79" s="592"/>
      <c r="Q79" s="592"/>
      <c r="R79" s="592"/>
      <c r="S79" s="592"/>
      <c r="T79" s="592"/>
      <c r="U79" s="592"/>
      <c r="V79" s="592"/>
      <c r="W79" s="592"/>
      <c r="X79" s="592"/>
    </row>
    <row r="80" spans="1:66" ht="15" customHeight="1">
      <c r="A80" s="24" t="s">
        <v>562</v>
      </c>
      <c r="B80" s="12" t="s">
        <v>1763</v>
      </c>
      <c r="C80" s="12" t="s">
        <v>2098</v>
      </c>
      <c r="D80" s="630" t="s">
        <v>359</v>
      </c>
      <c r="E80" s="630"/>
      <c r="F80" s="12" t="s">
        <v>2236</v>
      </c>
      <c r="G80" s="56">
        <v>2.8</v>
      </c>
      <c r="H80" s="625"/>
      <c r="I80" s="56">
        <f>G80*AQ80</f>
        <v>0</v>
      </c>
      <c r="J80" s="56">
        <f>G80*AR80</f>
        <v>0</v>
      </c>
      <c r="K80" s="56">
        <f>G80*H80</f>
        <v>0</v>
      </c>
      <c r="L80" s="56">
        <v>0.56999999999999995</v>
      </c>
      <c r="M80" s="56">
        <f>G80*L80</f>
        <v>1.5959999999999999</v>
      </c>
      <c r="N80" s="31" t="s">
        <v>1579</v>
      </c>
      <c r="P80" s="592"/>
      <c r="Q80" s="592"/>
      <c r="R80" s="592"/>
      <c r="S80" s="592"/>
      <c r="T80" s="592"/>
      <c r="U80" s="592"/>
      <c r="V80" s="592"/>
      <c r="W80" s="592"/>
      <c r="X80" s="592"/>
      <c r="AB80" s="56">
        <f>IF(AS80="5",BL80,0)</f>
        <v>0</v>
      </c>
      <c r="AD80" s="56">
        <f>IF(AS80="1",BJ80,0)</f>
        <v>0</v>
      </c>
      <c r="AE80" s="56">
        <f>IF(AS80="1",BK80,0)</f>
        <v>0</v>
      </c>
      <c r="AF80" s="56">
        <f>IF(AS80="7",BJ80,0)</f>
        <v>0</v>
      </c>
      <c r="AG80" s="56">
        <f>IF(AS80="7",BK80,0)</f>
        <v>0</v>
      </c>
      <c r="AH80" s="56">
        <f>IF(AS80="2",BJ80,0)</f>
        <v>0</v>
      </c>
      <c r="AI80" s="56">
        <f>IF(AS80="2",BK80,0)</f>
        <v>0</v>
      </c>
      <c r="AJ80" s="56">
        <f>IF(AS80="0",BL80,0)</f>
        <v>0</v>
      </c>
      <c r="AK80" s="7" t="s">
        <v>1763</v>
      </c>
      <c r="AL80" s="56">
        <f>IF(AP80=0,K80,0)</f>
        <v>0</v>
      </c>
      <c r="AM80" s="56">
        <f>IF(AP80=15,K80,0)</f>
        <v>0</v>
      </c>
      <c r="AN80" s="56">
        <f>IF(AP80=21,K80,0)</f>
        <v>0</v>
      </c>
      <c r="AP80" s="56">
        <v>21</v>
      </c>
      <c r="AQ80" s="88">
        <f>H80*0</f>
        <v>0</v>
      </c>
      <c r="AR80" s="88">
        <f>H80*(1-0)</f>
        <v>0</v>
      </c>
      <c r="AS80" s="21" t="s">
        <v>2297</v>
      </c>
      <c r="AX80" s="56">
        <f>AY80+AZ80</f>
        <v>0</v>
      </c>
      <c r="AY80" s="56">
        <f>G80*AQ80</f>
        <v>0</v>
      </c>
      <c r="AZ80" s="56">
        <f>G80*AR80</f>
        <v>0</v>
      </c>
      <c r="BA80" s="21" t="s">
        <v>2050</v>
      </c>
      <c r="BB80" s="21" t="s">
        <v>2524</v>
      </c>
      <c r="BC80" s="7" t="s">
        <v>2091</v>
      </c>
      <c r="BE80" s="56">
        <f>AY80+AZ80</f>
        <v>0</v>
      </c>
      <c r="BF80" s="56">
        <f>H80/(100-BG80)*100</f>
        <v>0</v>
      </c>
      <c r="BG80" s="56">
        <v>0</v>
      </c>
      <c r="BH80" s="56">
        <f>M80</f>
        <v>1.5959999999999999</v>
      </c>
      <c r="BJ80" s="56">
        <f>G80*AQ80</f>
        <v>0</v>
      </c>
      <c r="BK80" s="56">
        <f>G80*AR80</f>
        <v>0</v>
      </c>
      <c r="BL80" s="56">
        <f>G80*H80</f>
        <v>0</v>
      </c>
      <c r="BM80" s="56"/>
      <c r="BN80" s="56">
        <v>96</v>
      </c>
    </row>
    <row r="81" spans="1:66" ht="15" customHeight="1">
      <c r="A81" s="36"/>
      <c r="D81" s="45" t="s">
        <v>2200</v>
      </c>
      <c r="E81" s="104" t="s">
        <v>2230</v>
      </c>
      <c r="G81" s="13">
        <v>2.8000000000000003</v>
      </c>
      <c r="N81" s="19"/>
      <c r="P81" s="592"/>
      <c r="Q81" s="592"/>
      <c r="R81" s="592"/>
      <c r="S81" s="592"/>
      <c r="T81" s="592"/>
      <c r="U81" s="592"/>
      <c r="V81" s="592"/>
      <c r="W81" s="592"/>
      <c r="X81" s="592"/>
    </row>
    <row r="82" spans="1:66" ht="15" customHeight="1">
      <c r="A82" s="24" t="s">
        <v>280</v>
      </c>
      <c r="B82" s="12" t="s">
        <v>1763</v>
      </c>
      <c r="C82" s="12" t="s">
        <v>393</v>
      </c>
      <c r="D82" s="630" t="s">
        <v>1118</v>
      </c>
      <c r="E82" s="630"/>
      <c r="F82" s="12" t="s">
        <v>2236</v>
      </c>
      <c r="G82" s="56">
        <v>5.17</v>
      </c>
      <c r="H82" s="625"/>
      <c r="I82" s="56">
        <f>G82*AQ82</f>
        <v>0</v>
      </c>
      <c r="J82" s="56">
        <f>G82*AR82</f>
        <v>0</v>
      </c>
      <c r="K82" s="56">
        <f>G82*H82</f>
        <v>0</v>
      </c>
      <c r="L82" s="56">
        <v>1.671</v>
      </c>
      <c r="M82" s="56">
        <f>G82*L82</f>
        <v>8.6390700000000002</v>
      </c>
      <c r="N82" s="31" t="s">
        <v>1579</v>
      </c>
      <c r="P82" s="592"/>
      <c r="Q82" s="592"/>
      <c r="R82" s="592"/>
      <c r="S82" s="592"/>
      <c r="T82" s="592"/>
      <c r="U82" s="592"/>
      <c r="V82" s="592"/>
      <c r="W82" s="592"/>
      <c r="X82" s="592"/>
      <c r="AB82" s="56">
        <f>IF(AS82="5",BL82,0)</f>
        <v>0</v>
      </c>
      <c r="AD82" s="56">
        <f>IF(AS82="1",BJ82,0)</f>
        <v>0</v>
      </c>
      <c r="AE82" s="56">
        <f>IF(AS82="1",BK82,0)</f>
        <v>0</v>
      </c>
      <c r="AF82" s="56">
        <f>IF(AS82="7",BJ82,0)</f>
        <v>0</v>
      </c>
      <c r="AG82" s="56">
        <f>IF(AS82="7",BK82,0)</f>
        <v>0</v>
      </c>
      <c r="AH82" s="56">
        <f>IF(AS82="2",BJ82,0)</f>
        <v>0</v>
      </c>
      <c r="AI82" s="56">
        <f>IF(AS82="2",BK82,0)</f>
        <v>0</v>
      </c>
      <c r="AJ82" s="56">
        <f>IF(AS82="0",BL82,0)</f>
        <v>0</v>
      </c>
      <c r="AK82" s="7" t="s">
        <v>1763</v>
      </c>
      <c r="AL82" s="56">
        <f>IF(AP82=0,K82,0)</f>
        <v>0</v>
      </c>
      <c r="AM82" s="56">
        <f>IF(AP82=15,K82,0)</f>
        <v>0</v>
      </c>
      <c r="AN82" s="56">
        <f>IF(AP82=21,K82,0)</f>
        <v>0</v>
      </c>
      <c r="AP82" s="56">
        <v>21</v>
      </c>
      <c r="AQ82" s="88">
        <f>H82*0</f>
        <v>0</v>
      </c>
      <c r="AR82" s="88">
        <f>H82*(1-0)</f>
        <v>0</v>
      </c>
      <c r="AS82" s="21" t="s">
        <v>2297</v>
      </c>
      <c r="AX82" s="56">
        <f>AY82+AZ82</f>
        <v>0</v>
      </c>
      <c r="AY82" s="56">
        <f>G82*AQ82</f>
        <v>0</v>
      </c>
      <c r="AZ82" s="56">
        <f>G82*AR82</f>
        <v>0</v>
      </c>
      <c r="BA82" s="21" t="s">
        <v>2050</v>
      </c>
      <c r="BB82" s="21" t="s">
        <v>2524</v>
      </c>
      <c r="BC82" s="7" t="s">
        <v>2091</v>
      </c>
      <c r="BE82" s="56">
        <f>AY82+AZ82</f>
        <v>0</v>
      </c>
      <c r="BF82" s="56">
        <f>H82/(100-BG82)*100</f>
        <v>0</v>
      </c>
      <c r="BG82" s="56">
        <v>0</v>
      </c>
      <c r="BH82" s="56">
        <f>M82</f>
        <v>8.6390700000000002</v>
      </c>
      <c r="BJ82" s="56">
        <f>G82*AQ82</f>
        <v>0</v>
      </c>
      <c r="BK82" s="56">
        <f>G82*AR82</f>
        <v>0</v>
      </c>
      <c r="BL82" s="56">
        <f>G82*H82</f>
        <v>0</v>
      </c>
      <c r="BM82" s="56"/>
      <c r="BN82" s="56">
        <v>96</v>
      </c>
    </row>
    <row r="83" spans="1:66" ht="15" customHeight="1">
      <c r="A83" s="36"/>
      <c r="D83" s="45" t="s">
        <v>2528</v>
      </c>
      <c r="E83" s="104" t="s">
        <v>1620</v>
      </c>
      <c r="G83" s="13">
        <v>3.7700000000000005</v>
      </c>
      <c r="N83" s="19"/>
      <c r="P83" s="592"/>
      <c r="Q83" s="592"/>
      <c r="R83" s="592"/>
      <c r="S83" s="592"/>
      <c r="T83" s="592"/>
      <c r="U83" s="592"/>
      <c r="V83" s="592"/>
      <c r="W83" s="592"/>
      <c r="X83" s="592"/>
    </row>
    <row r="84" spans="1:66" ht="15" customHeight="1">
      <c r="A84" s="36"/>
      <c r="D84" s="45" t="s">
        <v>1940</v>
      </c>
      <c r="E84" s="104" t="s">
        <v>2612</v>
      </c>
      <c r="G84" s="13">
        <v>1.4000000000000001</v>
      </c>
      <c r="N84" s="19"/>
      <c r="P84" s="592"/>
      <c r="Q84" s="592"/>
      <c r="R84" s="592"/>
      <c r="S84" s="592"/>
      <c r="T84" s="592"/>
      <c r="U84" s="592"/>
      <c r="V84" s="592"/>
      <c r="W84" s="592"/>
      <c r="X84" s="592"/>
    </row>
    <row r="85" spans="1:66" ht="15" customHeight="1">
      <c r="A85" s="32" t="s">
        <v>1597</v>
      </c>
      <c r="B85" s="26" t="s">
        <v>1763</v>
      </c>
      <c r="C85" s="553" t="s">
        <v>259</v>
      </c>
      <c r="D85" s="709" t="s">
        <v>2580</v>
      </c>
      <c r="E85" s="709"/>
      <c r="F85" s="46" t="s">
        <v>2144</v>
      </c>
      <c r="G85" s="46" t="s">
        <v>2144</v>
      </c>
      <c r="H85" s="46" t="s">
        <v>2144</v>
      </c>
      <c r="I85" s="17">
        <f>SUM(I86:I88)</f>
        <v>0</v>
      </c>
      <c r="J85" s="17">
        <f>SUM(J86:J88)</f>
        <v>0</v>
      </c>
      <c r="K85" s="554">
        <f>SUM(K86:K88)</f>
        <v>0</v>
      </c>
      <c r="L85" s="7" t="s">
        <v>1597</v>
      </c>
      <c r="M85" s="17">
        <f>SUM(M86:M88)</f>
        <v>26.313589999999998</v>
      </c>
      <c r="N85" s="20" t="s">
        <v>1597</v>
      </c>
      <c r="P85" s="592"/>
      <c r="Q85" s="592"/>
      <c r="R85" s="592"/>
      <c r="S85" s="592"/>
      <c r="T85" s="592"/>
      <c r="U85" s="592"/>
      <c r="V85" s="592"/>
      <c r="W85" s="592"/>
      <c r="X85" s="592"/>
      <c r="AK85" s="7" t="s">
        <v>1763</v>
      </c>
      <c r="AU85" s="17">
        <f>SUM(AL86:AL88)</f>
        <v>0</v>
      </c>
      <c r="AV85" s="17">
        <f>SUM(AM86:AM88)</f>
        <v>0</v>
      </c>
      <c r="AW85" s="17">
        <f>SUM(AN86:AN88)</f>
        <v>0</v>
      </c>
    </row>
    <row r="86" spans="1:66" ht="15" customHeight="1">
      <c r="A86" s="24" t="s">
        <v>2267</v>
      </c>
      <c r="B86" s="507" t="s">
        <v>1763</v>
      </c>
      <c r="C86" s="527" t="s">
        <v>1819</v>
      </c>
      <c r="D86" s="715" t="s">
        <v>171</v>
      </c>
      <c r="E86" s="715"/>
      <c r="F86" s="507" t="s">
        <v>2274</v>
      </c>
      <c r="G86" s="508">
        <v>286</v>
      </c>
      <c r="H86" s="625"/>
      <c r="I86" s="508">
        <f>G86*AQ86</f>
        <v>0</v>
      </c>
      <c r="J86" s="508">
        <f>G86*AR86</f>
        <v>0</v>
      </c>
      <c r="K86" s="528">
        <f>G86*H86</f>
        <v>0</v>
      </c>
      <c r="L86" s="508">
        <v>4.5999999999999999E-2</v>
      </c>
      <c r="M86" s="508">
        <f>G86*L86</f>
        <v>13.156000000000001</v>
      </c>
      <c r="N86" s="509" t="s">
        <v>1579</v>
      </c>
      <c r="P86" s="592"/>
      <c r="Q86" s="592">
        <f>K86</f>
        <v>0</v>
      </c>
      <c r="R86" s="592"/>
      <c r="S86" s="592"/>
      <c r="T86" s="592"/>
      <c r="U86" s="592"/>
      <c r="V86" s="592"/>
      <c r="W86" s="592"/>
      <c r="X86" s="592"/>
      <c r="AB86" s="56">
        <f>IF(AS86="5",BL86,0)</f>
        <v>0</v>
      </c>
      <c r="AD86" s="56">
        <f>IF(AS86="1",BJ86,0)</f>
        <v>0</v>
      </c>
      <c r="AE86" s="56">
        <f>IF(AS86="1",BK86,0)</f>
        <v>0</v>
      </c>
      <c r="AF86" s="56">
        <f>IF(AS86="7",BJ86,0)</f>
        <v>0</v>
      </c>
      <c r="AG86" s="56">
        <f>IF(AS86="7",BK86,0)</f>
        <v>0</v>
      </c>
      <c r="AH86" s="56">
        <f>IF(AS86="2",BJ86,0)</f>
        <v>0</v>
      </c>
      <c r="AI86" s="56">
        <f>IF(AS86="2",BK86,0)</f>
        <v>0</v>
      </c>
      <c r="AJ86" s="56">
        <f>IF(AS86="0",BL86,0)</f>
        <v>0</v>
      </c>
      <c r="AK86" s="105" t="s">
        <v>1763</v>
      </c>
      <c r="AL86" s="56">
        <f>IF(AP86=0,K86,0)</f>
        <v>0</v>
      </c>
      <c r="AM86" s="56">
        <f>IF(AP86=15,K86,0)</f>
        <v>0</v>
      </c>
      <c r="AN86" s="56">
        <f>IF(AP86=21,K86,0)</f>
        <v>0</v>
      </c>
      <c r="AP86" s="56">
        <v>21</v>
      </c>
      <c r="AQ86" s="56">
        <f>H86*0</f>
        <v>0</v>
      </c>
      <c r="AR86" s="56">
        <f>H86*(1-0)</f>
        <v>0</v>
      </c>
      <c r="AS86" s="21" t="s">
        <v>2297</v>
      </c>
      <c r="AX86" s="56">
        <f>AY86+AZ86</f>
        <v>0</v>
      </c>
      <c r="AY86" s="56">
        <f>G86*AQ86</f>
        <v>0</v>
      </c>
      <c r="AZ86" s="56">
        <f>G86*AR86</f>
        <v>0</v>
      </c>
      <c r="BA86" s="21" t="s">
        <v>725</v>
      </c>
      <c r="BB86" s="21" t="s">
        <v>2524</v>
      </c>
      <c r="BC86" s="105" t="s">
        <v>2091</v>
      </c>
      <c r="BE86" s="56">
        <f>AY86+AZ86</f>
        <v>0</v>
      </c>
      <c r="BF86" s="56">
        <f>H86/(100-BG86)*100</f>
        <v>0</v>
      </c>
      <c r="BG86" s="56">
        <v>0</v>
      </c>
      <c r="BH86" s="56">
        <f>M86</f>
        <v>13.156000000000001</v>
      </c>
      <c r="BJ86" s="56">
        <f>G86*AQ86</f>
        <v>0</v>
      </c>
      <c r="BK86" s="56">
        <f>G86*AR86</f>
        <v>0</v>
      </c>
      <c r="BL86" s="56">
        <f>G86*H86</f>
        <v>0</v>
      </c>
      <c r="BM86" s="56"/>
      <c r="BN86" s="56">
        <v>97</v>
      </c>
    </row>
    <row r="87" spans="1:66" ht="15" customHeight="1">
      <c r="A87" s="36"/>
      <c r="D87" s="45" t="s">
        <v>1202</v>
      </c>
      <c r="E87" s="104" t="s">
        <v>2426</v>
      </c>
      <c r="G87" s="13">
        <v>286</v>
      </c>
      <c r="N87" s="19"/>
      <c r="P87" s="592"/>
      <c r="Q87" s="592"/>
      <c r="R87" s="592"/>
      <c r="S87" s="592"/>
      <c r="T87" s="592"/>
      <c r="U87" s="592"/>
      <c r="V87" s="592"/>
      <c r="W87" s="592"/>
      <c r="X87" s="592"/>
    </row>
    <row r="88" spans="1:66" ht="15" customHeight="1">
      <c r="A88" s="24" t="s">
        <v>2539</v>
      </c>
      <c r="B88" s="12" t="s">
        <v>1763</v>
      </c>
      <c r="C88" s="513" t="s">
        <v>2422</v>
      </c>
      <c r="D88" s="630" t="s">
        <v>1187</v>
      </c>
      <c r="E88" s="630"/>
      <c r="F88" s="12" t="s">
        <v>2274</v>
      </c>
      <c r="G88" s="56">
        <v>223.01</v>
      </c>
      <c r="H88" s="625"/>
      <c r="I88" s="56">
        <f>G88*AQ88</f>
        <v>0</v>
      </c>
      <c r="J88" s="56">
        <f>G88*AR88</f>
        <v>0</v>
      </c>
      <c r="K88" s="517">
        <f>G88*H88</f>
        <v>0</v>
      </c>
      <c r="L88" s="56">
        <v>5.8999999999999997E-2</v>
      </c>
      <c r="M88" s="56">
        <f>G88*L88</f>
        <v>13.157589999999999</v>
      </c>
      <c r="N88" s="31" t="s">
        <v>1579</v>
      </c>
      <c r="P88" s="592">
        <f>K88</f>
        <v>0</v>
      </c>
      <c r="Q88" s="592"/>
      <c r="R88" s="592"/>
      <c r="S88" s="592"/>
      <c r="T88" s="592"/>
      <c r="U88" s="592"/>
      <c r="V88" s="592"/>
      <c r="W88" s="592"/>
      <c r="X88" s="592"/>
      <c r="AB88" s="56">
        <f>IF(AS88="5",BL88,0)</f>
        <v>0</v>
      </c>
      <c r="AD88" s="56">
        <f>IF(AS88="1",BJ88,0)</f>
        <v>0</v>
      </c>
      <c r="AE88" s="56">
        <f>IF(AS88="1",BK88,0)</f>
        <v>0</v>
      </c>
      <c r="AF88" s="56">
        <f>IF(AS88="7",BJ88,0)</f>
        <v>0</v>
      </c>
      <c r="AG88" s="56">
        <f>IF(AS88="7",BK88,0)</f>
        <v>0</v>
      </c>
      <c r="AH88" s="56">
        <f>IF(AS88="2",BJ88,0)</f>
        <v>0</v>
      </c>
      <c r="AI88" s="56">
        <f>IF(AS88="2",BK88,0)</f>
        <v>0</v>
      </c>
      <c r="AJ88" s="56">
        <f>IF(AS88="0",BL88,0)</f>
        <v>0</v>
      </c>
      <c r="AK88" s="7" t="s">
        <v>1763</v>
      </c>
      <c r="AL88" s="56">
        <f>IF(AP88=0,K88,0)</f>
        <v>0</v>
      </c>
      <c r="AM88" s="56">
        <f>IF(AP88=15,K88,0)</f>
        <v>0</v>
      </c>
      <c r="AN88" s="56">
        <f>IF(AP88=21,K88,0)</f>
        <v>0</v>
      </c>
      <c r="AP88" s="56">
        <v>21</v>
      </c>
      <c r="AQ88" s="88">
        <f>H88*0</f>
        <v>0</v>
      </c>
      <c r="AR88" s="88">
        <f>H88*(1-0)</f>
        <v>0</v>
      </c>
      <c r="AS88" s="21" t="s">
        <v>2297</v>
      </c>
      <c r="AX88" s="56">
        <f>AY88+AZ88</f>
        <v>0</v>
      </c>
      <c r="AY88" s="56">
        <f>G88*AQ88</f>
        <v>0</v>
      </c>
      <c r="AZ88" s="56">
        <f>G88*AR88</f>
        <v>0</v>
      </c>
      <c r="BA88" s="21" t="s">
        <v>725</v>
      </c>
      <c r="BB88" s="21" t="s">
        <v>2524</v>
      </c>
      <c r="BC88" s="7" t="s">
        <v>2091</v>
      </c>
      <c r="BE88" s="56">
        <f>AY88+AZ88</f>
        <v>0</v>
      </c>
      <c r="BF88" s="56">
        <f>H88/(100-BG88)*100</f>
        <v>0</v>
      </c>
      <c r="BG88" s="56">
        <v>0</v>
      </c>
      <c r="BH88" s="56">
        <f>M88</f>
        <v>13.157589999999999</v>
      </c>
      <c r="BJ88" s="56">
        <f>G88*AQ88</f>
        <v>0</v>
      </c>
      <c r="BK88" s="56">
        <f>G88*AR88</f>
        <v>0</v>
      </c>
      <c r="BL88" s="56">
        <f>G88*H88</f>
        <v>0</v>
      </c>
      <c r="BM88" s="56"/>
      <c r="BN88" s="56">
        <v>97</v>
      </c>
    </row>
    <row r="89" spans="1:66" ht="15" customHeight="1">
      <c r="A89" s="36"/>
      <c r="D89" s="45" t="s">
        <v>1707</v>
      </c>
      <c r="E89" s="104" t="s">
        <v>48</v>
      </c>
      <c r="G89" s="13">
        <v>259</v>
      </c>
      <c r="N89" s="19"/>
      <c r="P89" s="592"/>
      <c r="Q89" s="592"/>
      <c r="R89" s="592"/>
      <c r="S89" s="592"/>
      <c r="T89" s="592"/>
      <c r="U89" s="592"/>
      <c r="V89" s="592"/>
      <c r="W89" s="592"/>
      <c r="X89" s="592"/>
    </row>
    <row r="90" spans="1:66" ht="15" customHeight="1">
      <c r="A90" s="36"/>
      <c r="D90" s="45" t="s">
        <v>2298</v>
      </c>
      <c r="E90" s="104" t="s">
        <v>596</v>
      </c>
      <c r="G90" s="13">
        <v>-35.99</v>
      </c>
      <c r="N90" s="19"/>
      <c r="P90" s="592"/>
      <c r="Q90" s="592"/>
      <c r="R90" s="592"/>
      <c r="S90" s="592"/>
      <c r="T90" s="592"/>
      <c r="U90" s="592"/>
      <c r="V90" s="592"/>
      <c r="W90" s="592"/>
      <c r="X90" s="592"/>
    </row>
    <row r="91" spans="1:66" ht="15" customHeight="1">
      <c r="A91" s="32" t="s">
        <v>1597</v>
      </c>
      <c r="B91" s="26" t="s">
        <v>1763</v>
      </c>
      <c r="C91" s="553" t="s">
        <v>765</v>
      </c>
      <c r="D91" s="709" t="s">
        <v>985</v>
      </c>
      <c r="E91" s="709"/>
      <c r="F91" s="46" t="s">
        <v>2144</v>
      </c>
      <c r="G91" s="46" t="s">
        <v>2144</v>
      </c>
      <c r="H91" s="46" t="s">
        <v>2144</v>
      </c>
      <c r="I91" s="17">
        <f>SUM(I92:I104)</f>
        <v>0</v>
      </c>
      <c r="J91" s="17">
        <f>SUM(J92:J104)</f>
        <v>0</v>
      </c>
      <c r="K91" s="554">
        <f>SUM(K92:K104)</f>
        <v>0</v>
      </c>
      <c r="L91" s="7" t="s">
        <v>1597</v>
      </c>
      <c r="M91" s="17">
        <f>SUM(M92:M104)</f>
        <v>0</v>
      </c>
      <c r="N91" s="20" t="s">
        <v>1597</v>
      </c>
      <c r="P91" s="592"/>
      <c r="Q91" s="592"/>
      <c r="R91" s="592"/>
      <c r="S91" s="592"/>
      <c r="T91" s="592"/>
      <c r="U91" s="592"/>
      <c r="V91" s="592"/>
      <c r="W91" s="592"/>
      <c r="X91" s="592"/>
      <c r="AK91" s="7" t="s">
        <v>1763</v>
      </c>
      <c r="AU91" s="17">
        <f>SUM(AL92:AL104)</f>
        <v>0</v>
      </c>
      <c r="AV91" s="17">
        <f>SUM(AM92:AM104)</f>
        <v>0</v>
      </c>
      <c r="AW91" s="17">
        <f>SUM(AN92:AN104)</f>
        <v>0</v>
      </c>
    </row>
    <row r="92" spans="1:66" ht="15" customHeight="1">
      <c r="A92" s="24" t="s">
        <v>178</v>
      </c>
      <c r="B92" s="12" t="s">
        <v>1763</v>
      </c>
      <c r="C92" s="12" t="s">
        <v>375</v>
      </c>
      <c r="D92" s="630" t="s">
        <v>255</v>
      </c>
      <c r="E92" s="630"/>
      <c r="F92" s="12" t="s">
        <v>1074</v>
      </c>
      <c r="G92" s="56">
        <v>28.45</v>
      </c>
      <c r="H92" s="625"/>
      <c r="I92" s="56">
        <f>G92*AQ92</f>
        <v>0</v>
      </c>
      <c r="J92" s="56">
        <f>G92*AR92</f>
        <v>0</v>
      </c>
      <c r="K92" s="56">
        <f>G92*H92</f>
        <v>0</v>
      </c>
      <c r="L92" s="56">
        <v>0</v>
      </c>
      <c r="M92" s="56">
        <f>G92*L92</f>
        <v>0</v>
      </c>
      <c r="N92" s="31" t="s">
        <v>1579</v>
      </c>
      <c r="P92" s="592"/>
      <c r="Q92" s="592"/>
      <c r="R92" s="592">
        <f>14.225*H92</f>
        <v>0</v>
      </c>
      <c r="S92" s="592">
        <f>14.225*H92</f>
        <v>0</v>
      </c>
      <c r="T92" s="592"/>
      <c r="U92" s="592"/>
      <c r="V92" s="592"/>
      <c r="W92" s="592"/>
      <c r="X92" s="592"/>
      <c r="AB92" s="56">
        <f>IF(AS92="5",BL92,0)</f>
        <v>0</v>
      </c>
      <c r="AD92" s="56">
        <f>IF(AS92="1",BJ92,0)</f>
        <v>0</v>
      </c>
      <c r="AE92" s="56">
        <f>IF(AS92="1",BK92,0)</f>
        <v>0</v>
      </c>
      <c r="AF92" s="56">
        <f>IF(AS92="7",BJ92,0)</f>
        <v>0</v>
      </c>
      <c r="AG92" s="56">
        <f>IF(AS92="7",BK92,0)</f>
        <v>0</v>
      </c>
      <c r="AH92" s="56">
        <f>IF(AS92="2",BJ92,0)</f>
        <v>0</v>
      </c>
      <c r="AI92" s="56">
        <f>IF(AS92="2",BK92,0)</f>
        <v>0</v>
      </c>
      <c r="AJ92" s="56">
        <f>IF(AS92="0",BL92,0)</f>
        <v>0</v>
      </c>
      <c r="AK92" s="7" t="s">
        <v>1763</v>
      </c>
      <c r="AL92" s="56">
        <f>IF(AP92=0,K92,0)</f>
        <v>0</v>
      </c>
      <c r="AM92" s="56">
        <f>IF(AP92=15,K92,0)</f>
        <v>0</v>
      </c>
      <c r="AN92" s="56">
        <f>IF(AP92=21,K92,0)</f>
        <v>0</v>
      </c>
      <c r="AP92" s="56">
        <v>21</v>
      </c>
      <c r="AQ92" s="88">
        <f>H92*0</f>
        <v>0</v>
      </c>
      <c r="AR92" s="88">
        <f>H92*(1-0)</f>
        <v>0</v>
      </c>
      <c r="AS92" s="21" t="s">
        <v>1227</v>
      </c>
      <c r="AX92" s="56">
        <f>AY92+AZ92</f>
        <v>0</v>
      </c>
      <c r="AY92" s="56">
        <f>G92*AQ92</f>
        <v>0</v>
      </c>
      <c r="AZ92" s="56">
        <f>G92*AR92</f>
        <v>0</v>
      </c>
      <c r="BA92" s="21" t="s">
        <v>942</v>
      </c>
      <c r="BB92" s="21" t="s">
        <v>2524</v>
      </c>
      <c r="BC92" s="7" t="s">
        <v>2091</v>
      </c>
      <c r="BE92" s="56">
        <f>AY92+AZ92</f>
        <v>0</v>
      </c>
      <c r="BF92" s="56">
        <f>H92/(100-BG92)*100</f>
        <v>0</v>
      </c>
      <c r="BG92" s="56">
        <v>0</v>
      </c>
      <c r="BH92" s="56">
        <f>M92</f>
        <v>0</v>
      </c>
      <c r="BJ92" s="56">
        <f>G92*AQ92</f>
        <v>0</v>
      </c>
      <c r="BK92" s="56">
        <f>G92*AR92</f>
        <v>0</v>
      </c>
      <c r="BL92" s="56">
        <f>G92*H92</f>
        <v>0</v>
      </c>
      <c r="BM92" s="56"/>
      <c r="BN92" s="56"/>
    </row>
    <row r="93" spans="1:66" ht="15" customHeight="1">
      <c r="A93" s="36"/>
      <c r="D93" s="45" t="s">
        <v>1555</v>
      </c>
      <c r="E93" s="104" t="s">
        <v>1182</v>
      </c>
      <c r="G93" s="13">
        <v>28.450000000000003</v>
      </c>
      <c r="N93" s="19"/>
      <c r="P93" s="592"/>
      <c r="Q93" s="592"/>
      <c r="R93" s="592"/>
      <c r="S93" s="592"/>
      <c r="T93" s="592"/>
      <c r="U93" s="592"/>
      <c r="V93" s="592"/>
      <c r="W93" s="592"/>
      <c r="X93" s="592"/>
    </row>
    <row r="94" spans="1:66" ht="15" customHeight="1">
      <c r="A94" s="24" t="s">
        <v>1485</v>
      </c>
      <c r="B94" s="12" t="s">
        <v>1763</v>
      </c>
      <c r="C94" s="12" t="s">
        <v>2352</v>
      </c>
      <c r="D94" s="630" t="s">
        <v>1104</v>
      </c>
      <c r="E94" s="630"/>
      <c r="F94" s="12" t="s">
        <v>1074</v>
      </c>
      <c r="G94" s="56">
        <v>15.9</v>
      </c>
      <c r="H94" s="625"/>
      <c r="I94" s="56">
        <f>G94*AQ94</f>
        <v>0</v>
      </c>
      <c r="J94" s="56">
        <f>G94*AR94</f>
        <v>0</v>
      </c>
      <c r="K94" s="56">
        <f>G94*H94</f>
        <v>0</v>
      </c>
      <c r="L94" s="56">
        <v>0</v>
      </c>
      <c r="M94" s="56">
        <f>G94*L94</f>
        <v>0</v>
      </c>
      <c r="N94" s="31" t="s">
        <v>1579</v>
      </c>
      <c r="P94" s="592"/>
      <c r="Q94" s="592"/>
      <c r="R94" s="592">
        <f>K94</f>
        <v>0</v>
      </c>
      <c r="S94" s="592"/>
      <c r="T94" s="592"/>
      <c r="U94" s="592"/>
      <c r="V94" s="592"/>
      <c r="W94" s="592"/>
      <c r="X94" s="592"/>
      <c r="AB94" s="56">
        <f>IF(AS94="5",BL94,0)</f>
        <v>0</v>
      </c>
      <c r="AD94" s="56">
        <f>IF(AS94="1",BJ94,0)</f>
        <v>0</v>
      </c>
      <c r="AE94" s="56">
        <f>IF(AS94="1",BK94,0)</f>
        <v>0</v>
      </c>
      <c r="AF94" s="56">
        <f>IF(AS94="7",BJ94,0)</f>
        <v>0</v>
      </c>
      <c r="AG94" s="56">
        <f>IF(AS94="7",BK94,0)</f>
        <v>0</v>
      </c>
      <c r="AH94" s="56">
        <f>IF(AS94="2",BJ94,0)</f>
        <v>0</v>
      </c>
      <c r="AI94" s="56">
        <f>IF(AS94="2",BK94,0)</f>
        <v>0</v>
      </c>
      <c r="AJ94" s="56">
        <f>IF(AS94="0",BL94,0)</f>
        <v>0</v>
      </c>
      <c r="AK94" s="7" t="s">
        <v>1763</v>
      </c>
      <c r="AL94" s="56">
        <f>IF(AP94=0,K94,0)</f>
        <v>0</v>
      </c>
      <c r="AM94" s="56">
        <f>IF(AP94=15,K94,0)</f>
        <v>0</v>
      </c>
      <c r="AN94" s="56">
        <f>IF(AP94=21,K94,0)</f>
        <v>0</v>
      </c>
      <c r="AP94" s="56">
        <v>21</v>
      </c>
      <c r="AQ94" s="88">
        <f>H94*0</f>
        <v>0</v>
      </c>
      <c r="AR94" s="88">
        <f>H94*(1-0)</f>
        <v>0</v>
      </c>
      <c r="AS94" s="21" t="s">
        <v>1227</v>
      </c>
      <c r="AX94" s="56">
        <f>AY94+AZ94</f>
        <v>0</v>
      </c>
      <c r="AY94" s="56">
        <f>G94*AQ94</f>
        <v>0</v>
      </c>
      <c r="AZ94" s="56">
        <f>G94*AR94</f>
        <v>0</v>
      </c>
      <c r="BA94" s="21" t="s">
        <v>942</v>
      </c>
      <c r="BB94" s="21" t="s">
        <v>2524</v>
      </c>
      <c r="BC94" s="7" t="s">
        <v>2091</v>
      </c>
      <c r="BE94" s="56">
        <f>AY94+AZ94</f>
        <v>0</v>
      </c>
      <c r="BF94" s="56">
        <f>H94/(100-BG94)*100</f>
        <v>0</v>
      </c>
      <c r="BG94" s="56">
        <v>0</v>
      </c>
      <c r="BH94" s="56">
        <f>M94</f>
        <v>0</v>
      </c>
      <c r="BJ94" s="56">
        <f>G94*AQ94</f>
        <v>0</v>
      </c>
      <c r="BK94" s="56">
        <f>G94*AR94</f>
        <v>0</v>
      </c>
      <c r="BL94" s="56">
        <f>G94*H94</f>
        <v>0</v>
      </c>
      <c r="BM94" s="56"/>
      <c r="BN94" s="56"/>
    </row>
    <row r="95" spans="1:66" ht="15" customHeight="1">
      <c r="A95" s="36"/>
      <c r="D95" s="45" t="s">
        <v>1030</v>
      </c>
      <c r="E95" s="104" t="s">
        <v>174</v>
      </c>
      <c r="G95" s="13">
        <v>15.900000000000002</v>
      </c>
      <c r="N95" s="19"/>
      <c r="P95" s="592"/>
      <c r="Q95" s="592"/>
      <c r="R95" s="592"/>
      <c r="S95" s="592"/>
      <c r="T95" s="592"/>
      <c r="U95" s="592"/>
      <c r="V95" s="592"/>
      <c r="W95" s="592"/>
      <c r="X95" s="592"/>
    </row>
    <row r="96" spans="1:66" ht="15" customHeight="1">
      <c r="A96" s="24" t="s">
        <v>1378</v>
      </c>
      <c r="B96" s="12" t="s">
        <v>1763</v>
      </c>
      <c r="C96" s="12" t="s">
        <v>625</v>
      </c>
      <c r="D96" s="630" t="s">
        <v>1711</v>
      </c>
      <c r="E96" s="630"/>
      <c r="F96" s="12" t="s">
        <v>1074</v>
      </c>
      <c r="G96" s="56">
        <v>627.30999999999995</v>
      </c>
      <c r="H96" s="625"/>
      <c r="I96" s="56">
        <f>G96*AQ96</f>
        <v>0</v>
      </c>
      <c r="J96" s="56">
        <f>G96*AR96</f>
        <v>0</v>
      </c>
      <c r="K96" s="56">
        <f>G96*H96</f>
        <v>0</v>
      </c>
      <c r="L96" s="56">
        <v>0</v>
      </c>
      <c r="M96" s="56">
        <f>G96*L96</f>
        <v>0</v>
      </c>
      <c r="N96" s="31" t="s">
        <v>1579</v>
      </c>
      <c r="P96" s="592"/>
      <c r="Q96" s="592"/>
      <c r="R96" s="592">
        <f>K96</f>
        <v>0</v>
      </c>
      <c r="S96" s="592"/>
      <c r="T96" s="592"/>
      <c r="U96" s="592"/>
      <c r="V96" s="592"/>
      <c r="W96" s="592"/>
      <c r="X96" s="592"/>
      <c r="AB96" s="56">
        <f>IF(AS96="5",BL96,0)</f>
        <v>0</v>
      </c>
      <c r="AD96" s="56">
        <f>IF(AS96="1",BJ96,0)</f>
        <v>0</v>
      </c>
      <c r="AE96" s="56">
        <f>IF(AS96="1",BK96,0)</f>
        <v>0</v>
      </c>
      <c r="AF96" s="56">
        <f>IF(AS96="7",BJ96,0)</f>
        <v>0</v>
      </c>
      <c r="AG96" s="56">
        <f>IF(AS96="7",BK96,0)</f>
        <v>0</v>
      </c>
      <c r="AH96" s="56">
        <f>IF(AS96="2",BJ96,0)</f>
        <v>0</v>
      </c>
      <c r="AI96" s="56">
        <f>IF(AS96="2",BK96,0)</f>
        <v>0</v>
      </c>
      <c r="AJ96" s="56">
        <f>IF(AS96="0",BL96,0)</f>
        <v>0</v>
      </c>
      <c r="AK96" s="7" t="s">
        <v>1763</v>
      </c>
      <c r="AL96" s="56">
        <f>IF(AP96=0,K96,0)</f>
        <v>0</v>
      </c>
      <c r="AM96" s="56">
        <f>IF(AP96=15,K96,0)</f>
        <v>0</v>
      </c>
      <c r="AN96" s="56">
        <f>IF(AP96=21,K96,0)</f>
        <v>0</v>
      </c>
      <c r="AP96" s="56">
        <v>21</v>
      </c>
      <c r="AQ96" s="88">
        <f>H96*0</f>
        <v>0</v>
      </c>
      <c r="AR96" s="88">
        <f>H96*(1-0)</f>
        <v>0</v>
      </c>
      <c r="AS96" s="21" t="s">
        <v>1227</v>
      </c>
      <c r="AX96" s="56">
        <f>AY96+AZ96</f>
        <v>0</v>
      </c>
      <c r="AY96" s="56">
        <f>G96*AQ96</f>
        <v>0</v>
      </c>
      <c r="AZ96" s="56">
        <f>G96*AR96</f>
        <v>0</v>
      </c>
      <c r="BA96" s="21" t="s">
        <v>942</v>
      </c>
      <c r="BB96" s="21" t="s">
        <v>2524</v>
      </c>
      <c r="BC96" s="7" t="s">
        <v>2091</v>
      </c>
      <c r="BE96" s="56">
        <f>AY96+AZ96</f>
        <v>0</v>
      </c>
      <c r="BF96" s="56">
        <f>H96/(100-BG96)*100</f>
        <v>0</v>
      </c>
      <c r="BG96" s="56">
        <v>0</v>
      </c>
      <c r="BH96" s="56">
        <f>M96</f>
        <v>0</v>
      </c>
      <c r="BJ96" s="56">
        <f>G96*AQ96</f>
        <v>0</v>
      </c>
      <c r="BK96" s="56">
        <f>G96*AR96</f>
        <v>0</v>
      </c>
      <c r="BL96" s="56">
        <f>G96*H96</f>
        <v>0</v>
      </c>
      <c r="BM96" s="56"/>
      <c r="BN96" s="56"/>
    </row>
    <row r="97" spans="1:66" ht="15" customHeight="1">
      <c r="A97" s="36"/>
      <c r="D97" s="45" t="s">
        <v>1584</v>
      </c>
      <c r="E97" s="104" t="s">
        <v>1182</v>
      </c>
      <c r="G97" s="13">
        <v>627.31000000000006</v>
      </c>
      <c r="N97" s="19"/>
      <c r="P97" s="592"/>
      <c r="Q97" s="592"/>
      <c r="R97" s="592"/>
      <c r="S97" s="592"/>
      <c r="T97" s="592"/>
      <c r="U97" s="592"/>
      <c r="V97" s="592"/>
      <c r="W97" s="592"/>
      <c r="X97" s="592"/>
    </row>
    <row r="98" spans="1:66" ht="15" customHeight="1">
      <c r="A98" s="24" t="s">
        <v>1954</v>
      </c>
      <c r="B98" s="12" t="s">
        <v>1763</v>
      </c>
      <c r="C98" s="12" t="s">
        <v>341</v>
      </c>
      <c r="D98" s="630" t="s">
        <v>1016</v>
      </c>
      <c r="E98" s="630"/>
      <c r="F98" s="12" t="s">
        <v>1074</v>
      </c>
      <c r="G98" s="56">
        <v>9409.65</v>
      </c>
      <c r="H98" s="625"/>
      <c r="I98" s="56">
        <f>G98*AQ98</f>
        <v>0</v>
      </c>
      <c r="J98" s="56">
        <f>G98*AR98</f>
        <v>0</v>
      </c>
      <c r="K98" s="56">
        <f>G98*H98</f>
        <v>0</v>
      </c>
      <c r="L98" s="56">
        <v>0</v>
      </c>
      <c r="M98" s="56">
        <f>G98*L98</f>
        <v>0</v>
      </c>
      <c r="N98" s="31" t="s">
        <v>1579</v>
      </c>
      <c r="P98" s="592"/>
      <c r="Q98" s="592"/>
      <c r="R98" s="592">
        <f>K98</f>
        <v>0</v>
      </c>
      <c r="S98" s="592"/>
      <c r="T98" s="592"/>
      <c r="U98" s="592"/>
      <c r="V98" s="592"/>
      <c r="W98" s="592"/>
      <c r="X98" s="592"/>
      <c r="AB98" s="56">
        <f>IF(AS98="5",BL98,0)</f>
        <v>0</v>
      </c>
      <c r="AD98" s="56">
        <f>IF(AS98="1",BJ98,0)</f>
        <v>0</v>
      </c>
      <c r="AE98" s="56">
        <f>IF(AS98="1",BK98,0)</f>
        <v>0</v>
      </c>
      <c r="AF98" s="56">
        <f>IF(AS98="7",BJ98,0)</f>
        <v>0</v>
      </c>
      <c r="AG98" s="56">
        <f>IF(AS98="7",BK98,0)</f>
        <v>0</v>
      </c>
      <c r="AH98" s="56">
        <f>IF(AS98="2",BJ98,0)</f>
        <v>0</v>
      </c>
      <c r="AI98" s="56">
        <f>IF(AS98="2",BK98,0)</f>
        <v>0</v>
      </c>
      <c r="AJ98" s="56">
        <f>IF(AS98="0",BL98,0)</f>
        <v>0</v>
      </c>
      <c r="AK98" s="7" t="s">
        <v>1763</v>
      </c>
      <c r="AL98" s="56">
        <f>IF(AP98=0,K98,0)</f>
        <v>0</v>
      </c>
      <c r="AM98" s="56">
        <f>IF(AP98=15,K98,0)</f>
        <v>0</v>
      </c>
      <c r="AN98" s="56">
        <f>IF(AP98=21,K98,0)</f>
        <v>0</v>
      </c>
      <c r="AP98" s="56">
        <v>21</v>
      </c>
      <c r="AQ98" s="88">
        <f>H98*0</f>
        <v>0</v>
      </c>
      <c r="AR98" s="88">
        <f>H98*(1-0)</f>
        <v>0</v>
      </c>
      <c r="AS98" s="21" t="s">
        <v>1227</v>
      </c>
      <c r="AX98" s="56">
        <f>AY98+AZ98</f>
        <v>0</v>
      </c>
      <c r="AY98" s="56">
        <f>G98*AQ98</f>
        <v>0</v>
      </c>
      <c r="AZ98" s="56">
        <f>G98*AR98</f>
        <v>0</v>
      </c>
      <c r="BA98" s="21" t="s">
        <v>942</v>
      </c>
      <c r="BB98" s="21" t="s">
        <v>2524</v>
      </c>
      <c r="BC98" s="7" t="s">
        <v>2091</v>
      </c>
      <c r="BE98" s="56">
        <f>AY98+AZ98</f>
        <v>0</v>
      </c>
      <c r="BF98" s="56">
        <f>H98/(100-BG98)*100</f>
        <v>0</v>
      </c>
      <c r="BG98" s="56">
        <v>0</v>
      </c>
      <c r="BH98" s="56">
        <f>M98</f>
        <v>0</v>
      </c>
      <c r="BJ98" s="56">
        <f>G98*AQ98</f>
        <v>0</v>
      </c>
      <c r="BK98" s="56">
        <f>G98*AR98</f>
        <v>0</v>
      </c>
      <c r="BL98" s="56">
        <f>G98*H98</f>
        <v>0</v>
      </c>
      <c r="BM98" s="56"/>
      <c r="BN98" s="56"/>
    </row>
    <row r="99" spans="1:66" ht="15" customHeight="1">
      <c r="A99" s="36"/>
      <c r="D99" s="45" t="s">
        <v>70</v>
      </c>
      <c r="E99" s="104" t="s">
        <v>1597</v>
      </c>
      <c r="G99" s="13">
        <v>9409.6500000000015</v>
      </c>
      <c r="N99" s="19"/>
      <c r="P99" s="592"/>
      <c r="Q99" s="592"/>
      <c r="R99" s="592"/>
      <c r="S99" s="592"/>
      <c r="T99" s="592"/>
      <c r="U99" s="592"/>
      <c r="V99" s="592"/>
      <c r="W99" s="592"/>
      <c r="X99" s="592"/>
    </row>
    <row r="100" spans="1:66" ht="15" customHeight="1">
      <c r="A100" s="24" t="s">
        <v>499</v>
      </c>
      <c r="B100" s="12" t="s">
        <v>1763</v>
      </c>
      <c r="C100" s="12" t="s">
        <v>894</v>
      </c>
      <c r="D100" s="630" t="s">
        <v>2294</v>
      </c>
      <c r="E100" s="630"/>
      <c r="F100" s="12" t="s">
        <v>1074</v>
      </c>
      <c r="G100" s="56">
        <v>47.05</v>
      </c>
      <c r="H100" s="625"/>
      <c r="I100" s="56">
        <f>G100*AQ100</f>
        <v>0</v>
      </c>
      <c r="J100" s="56">
        <f>G100*AR100</f>
        <v>0</v>
      </c>
      <c r="K100" s="56">
        <f>G100*H100</f>
        <v>0</v>
      </c>
      <c r="L100" s="56">
        <v>0</v>
      </c>
      <c r="M100" s="56">
        <f>G100*L100</f>
        <v>0</v>
      </c>
      <c r="N100" s="31" t="s">
        <v>1579</v>
      </c>
      <c r="P100" s="592"/>
      <c r="Q100" s="592"/>
      <c r="R100" s="592">
        <f>K100</f>
        <v>0</v>
      </c>
      <c r="S100" s="592"/>
      <c r="T100" s="592"/>
      <c r="U100" s="592"/>
      <c r="V100" s="592"/>
      <c r="W100" s="592"/>
      <c r="X100" s="592"/>
      <c r="AB100" s="56">
        <f>IF(AS100="5",BL100,0)</f>
        <v>0</v>
      </c>
      <c r="AD100" s="56">
        <f>IF(AS100="1",BJ100,0)</f>
        <v>0</v>
      </c>
      <c r="AE100" s="56">
        <f>IF(AS100="1",BK100,0)</f>
        <v>0</v>
      </c>
      <c r="AF100" s="56">
        <f>IF(AS100="7",BJ100,0)</f>
        <v>0</v>
      </c>
      <c r="AG100" s="56">
        <f>IF(AS100="7",BK100,0)</f>
        <v>0</v>
      </c>
      <c r="AH100" s="56">
        <f>IF(AS100="2",BJ100,0)</f>
        <v>0</v>
      </c>
      <c r="AI100" s="56">
        <f>IF(AS100="2",BK100,0)</f>
        <v>0</v>
      </c>
      <c r="AJ100" s="56">
        <f>IF(AS100="0",BL100,0)</f>
        <v>0</v>
      </c>
      <c r="AK100" s="7" t="s">
        <v>1763</v>
      </c>
      <c r="AL100" s="56">
        <f>IF(AP100=0,K100,0)</f>
        <v>0</v>
      </c>
      <c r="AM100" s="56">
        <f>IF(AP100=15,K100,0)</f>
        <v>0</v>
      </c>
      <c r="AN100" s="56">
        <f>IF(AP100=21,K100,0)</f>
        <v>0</v>
      </c>
      <c r="AP100" s="56">
        <v>21</v>
      </c>
      <c r="AQ100" s="88">
        <f>H100*0</f>
        <v>0</v>
      </c>
      <c r="AR100" s="88">
        <f>H100*(1-0)</f>
        <v>0</v>
      </c>
      <c r="AS100" s="21" t="s">
        <v>1227</v>
      </c>
      <c r="AX100" s="56">
        <f>AY100+AZ100</f>
        <v>0</v>
      </c>
      <c r="AY100" s="56">
        <f>G100*AQ100</f>
        <v>0</v>
      </c>
      <c r="AZ100" s="56">
        <f>G100*AR100</f>
        <v>0</v>
      </c>
      <c r="BA100" s="21" t="s">
        <v>942</v>
      </c>
      <c r="BB100" s="21" t="s">
        <v>2524</v>
      </c>
      <c r="BC100" s="7" t="s">
        <v>2091</v>
      </c>
      <c r="BE100" s="56">
        <f>AY100+AZ100</f>
        <v>0</v>
      </c>
      <c r="BF100" s="56">
        <f>H100/(100-BG100)*100</f>
        <v>0</v>
      </c>
      <c r="BG100" s="56">
        <v>0</v>
      </c>
      <c r="BH100" s="56">
        <f>M100</f>
        <v>0</v>
      </c>
      <c r="BJ100" s="56">
        <f>G100*AQ100</f>
        <v>0</v>
      </c>
      <c r="BK100" s="56">
        <f>G100*AR100</f>
        <v>0</v>
      </c>
      <c r="BL100" s="56">
        <f>G100*H100</f>
        <v>0</v>
      </c>
      <c r="BM100" s="56"/>
      <c r="BN100" s="56"/>
    </row>
    <row r="101" spans="1:66" ht="15" customHeight="1">
      <c r="A101" s="36"/>
      <c r="D101" s="45" t="s">
        <v>1999</v>
      </c>
      <c r="E101" s="104" t="s">
        <v>174</v>
      </c>
      <c r="G101" s="13">
        <v>47.050000000000004</v>
      </c>
      <c r="N101" s="19"/>
      <c r="P101" s="592"/>
      <c r="Q101" s="592"/>
      <c r="R101" s="592"/>
      <c r="S101" s="592"/>
      <c r="T101" s="592"/>
      <c r="U101" s="592"/>
      <c r="V101" s="592"/>
      <c r="W101" s="592"/>
      <c r="X101" s="592"/>
    </row>
    <row r="102" spans="1:66" ht="15" customHeight="1">
      <c r="A102" s="24" t="s">
        <v>2591</v>
      </c>
      <c r="B102" s="12" t="s">
        <v>1763</v>
      </c>
      <c r="C102" s="12" t="s">
        <v>783</v>
      </c>
      <c r="D102" s="630" t="s">
        <v>1116</v>
      </c>
      <c r="E102" s="630"/>
      <c r="F102" s="12" t="s">
        <v>1074</v>
      </c>
      <c r="G102" s="56">
        <v>627</v>
      </c>
      <c r="H102" s="625"/>
      <c r="I102" s="56">
        <f>G102*AQ102</f>
        <v>0</v>
      </c>
      <c r="J102" s="56">
        <f>G102*AR102</f>
        <v>0</v>
      </c>
      <c r="K102" s="56">
        <f>G102*H102</f>
        <v>0</v>
      </c>
      <c r="L102" s="56">
        <v>0</v>
      </c>
      <c r="M102" s="56">
        <f>G102*L102</f>
        <v>0</v>
      </c>
      <c r="N102" s="31" t="s">
        <v>1579</v>
      </c>
      <c r="P102" s="592"/>
      <c r="Q102" s="592"/>
      <c r="R102" s="592">
        <f>K102</f>
        <v>0</v>
      </c>
      <c r="S102" s="592"/>
      <c r="T102" s="592"/>
      <c r="U102" s="592"/>
      <c r="V102" s="592"/>
      <c r="W102" s="592"/>
      <c r="X102" s="592"/>
      <c r="AB102" s="56">
        <f>IF(AS102="5",BL102,0)</f>
        <v>0</v>
      </c>
      <c r="AD102" s="56">
        <f>IF(AS102="1",BJ102,0)</f>
        <v>0</v>
      </c>
      <c r="AE102" s="56">
        <f>IF(AS102="1",BK102,0)</f>
        <v>0</v>
      </c>
      <c r="AF102" s="56">
        <f>IF(AS102="7",BJ102,0)</f>
        <v>0</v>
      </c>
      <c r="AG102" s="56">
        <f>IF(AS102="7",BK102,0)</f>
        <v>0</v>
      </c>
      <c r="AH102" s="56">
        <f>IF(AS102="2",BJ102,0)</f>
        <v>0</v>
      </c>
      <c r="AI102" s="56">
        <f>IF(AS102="2",BK102,0)</f>
        <v>0</v>
      </c>
      <c r="AJ102" s="56">
        <f>IF(AS102="0",BL102,0)</f>
        <v>0</v>
      </c>
      <c r="AK102" s="7" t="s">
        <v>1763</v>
      </c>
      <c r="AL102" s="56">
        <f>IF(AP102=0,K102,0)</f>
        <v>0</v>
      </c>
      <c r="AM102" s="56">
        <f>IF(AP102=15,K102,0)</f>
        <v>0</v>
      </c>
      <c r="AN102" s="56">
        <f>IF(AP102=21,K102,0)</f>
        <v>0</v>
      </c>
      <c r="AP102" s="56">
        <v>21</v>
      </c>
      <c r="AQ102" s="88">
        <f>H102*0</f>
        <v>0</v>
      </c>
      <c r="AR102" s="88">
        <f>H102*(1-0)</f>
        <v>0</v>
      </c>
      <c r="AS102" s="21" t="s">
        <v>1227</v>
      </c>
      <c r="AX102" s="56">
        <f>AY102+AZ102</f>
        <v>0</v>
      </c>
      <c r="AY102" s="56">
        <f>G102*AQ102</f>
        <v>0</v>
      </c>
      <c r="AZ102" s="56">
        <f>G102*AR102</f>
        <v>0</v>
      </c>
      <c r="BA102" s="21" t="s">
        <v>942</v>
      </c>
      <c r="BB102" s="21" t="s">
        <v>2524</v>
      </c>
      <c r="BC102" s="7" t="s">
        <v>2091</v>
      </c>
      <c r="BE102" s="56">
        <f>AY102+AZ102</f>
        <v>0</v>
      </c>
      <c r="BF102" s="56">
        <f>H102/(100-BG102)*100</f>
        <v>0</v>
      </c>
      <c r="BG102" s="56">
        <v>0</v>
      </c>
      <c r="BH102" s="56">
        <f>M102</f>
        <v>0</v>
      </c>
      <c r="BJ102" s="56">
        <f>G102*AQ102</f>
        <v>0</v>
      </c>
      <c r="BK102" s="56">
        <f>G102*AR102</f>
        <v>0</v>
      </c>
      <c r="BL102" s="56">
        <f>G102*H102</f>
        <v>0</v>
      </c>
      <c r="BM102" s="56"/>
      <c r="BN102" s="56"/>
    </row>
    <row r="103" spans="1:66" ht="15" customHeight="1">
      <c r="A103" s="36"/>
      <c r="D103" s="45" t="s">
        <v>1938</v>
      </c>
      <c r="E103" s="104" t="s">
        <v>2560</v>
      </c>
      <c r="G103" s="13">
        <v>627</v>
      </c>
      <c r="N103" s="19"/>
      <c r="P103" s="592"/>
      <c r="Q103" s="592"/>
      <c r="R103" s="592"/>
      <c r="S103" s="592"/>
      <c r="T103" s="592"/>
      <c r="U103" s="592"/>
      <c r="V103" s="592"/>
      <c r="W103" s="592"/>
      <c r="X103" s="592"/>
    </row>
    <row r="104" spans="1:66" ht="15" customHeight="1">
      <c r="A104" s="24" t="s">
        <v>2059</v>
      </c>
      <c r="B104" s="12" t="s">
        <v>1763</v>
      </c>
      <c r="C104" s="12" t="s">
        <v>858</v>
      </c>
      <c r="D104" s="630" t="s">
        <v>899</v>
      </c>
      <c r="E104" s="630"/>
      <c r="F104" s="12" t="s">
        <v>1074</v>
      </c>
      <c r="G104" s="56">
        <v>47.05</v>
      </c>
      <c r="H104" s="625"/>
      <c r="I104" s="56">
        <f>G104*AQ104</f>
        <v>0</v>
      </c>
      <c r="J104" s="56">
        <f>G104*AR104</f>
        <v>0</v>
      </c>
      <c r="K104" s="56">
        <f>G104*H104</f>
        <v>0</v>
      </c>
      <c r="L104" s="56">
        <v>0</v>
      </c>
      <c r="M104" s="56">
        <f>G104*L104</f>
        <v>0</v>
      </c>
      <c r="N104" s="31" t="s">
        <v>1579</v>
      </c>
      <c r="P104" s="592"/>
      <c r="Q104" s="592"/>
      <c r="R104" s="592">
        <f>K104</f>
        <v>0</v>
      </c>
      <c r="S104" s="592"/>
      <c r="T104" s="592"/>
      <c r="U104" s="592"/>
      <c r="V104" s="592"/>
      <c r="W104" s="592"/>
      <c r="X104" s="592"/>
      <c r="AB104" s="56">
        <f>IF(AS104="5",BL104,0)</f>
        <v>0</v>
      </c>
      <c r="AD104" s="56">
        <f>IF(AS104="1",BJ104,0)</f>
        <v>0</v>
      </c>
      <c r="AE104" s="56">
        <f>IF(AS104="1",BK104,0)</f>
        <v>0</v>
      </c>
      <c r="AF104" s="56">
        <f>IF(AS104="7",BJ104,0)</f>
        <v>0</v>
      </c>
      <c r="AG104" s="56">
        <f>IF(AS104="7",BK104,0)</f>
        <v>0</v>
      </c>
      <c r="AH104" s="56">
        <f>IF(AS104="2",BJ104,0)</f>
        <v>0</v>
      </c>
      <c r="AI104" s="56">
        <f>IF(AS104="2",BK104,0)</f>
        <v>0</v>
      </c>
      <c r="AJ104" s="56">
        <f>IF(AS104="0",BL104,0)</f>
        <v>0</v>
      </c>
      <c r="AK104" s="7" t="s">
        <v>1763</v>
      </c>
      <c r="AL104" s="56">
        <f>IF(AP104=0,K104,0)</f>
        <v>0</v>
      </c>
      <c r="AM104" s="56">
        <f>IF(AP104=15,K104,0)</f>
        <v>0</v>
      </c>
      <c r="AN104" s="56">
        <f>IF(AP104=21,K104,0)</f>
        <v>0</v>
      </c>
      <c r="AP104" s="56">
        <v>21</v>
      </c>
      <c r="AQ104" s="88">
        <f>H104*0</f>
        <v>0</v>
      </c>
      <c r="AR104" s="88">
        <f>H104*(1-0)</f>
        <v>0</v>
      </c>
      <c r="AS104" s="21" t="s">
        <v>1227</v>
      </c>
      <c r="AX104" s="56">
        <f>AY104+AZ104</f>
        <v>0</v>
      </c>
      <c r="AY104" s="56">
        <f>G104*AQ104</f>
        <v>0</v>
      </c>
      <c r="AZ104" s="56">
        <f>G104*AR104</f>
        <v>0</v>
      </c>
      <c r="BA104" s="21" t="s">
        <v>942</v>
      </c>
      <c r="BB104" s="21" t="s">
        <v>2524</v>
      </c>
      <c r="BC104" s="7" t="s">
        <v>2091</v>
      </c>
      <c r="BE104" s="56">
        <f>AY104+AZ104</f>
        <v>0</v>
      </c>
      <c r="BF104" s="56">
        <f>H104/(100-BG104)*100</f>
        <v>0</v>
      </c>
      <c r="BG104" s="56">
        <v>0</v>
      </c>
      <c r="BH104" s="56">
        <f>M104</f>
        <v>0</v>
      </c>
      <c r="BJ104" s="56">
        <f>G104*AQ104</f>
        <v>0</v>
      </c>
      <c r="BK104" s="56">
        <f>G104*AR104</f>
        <v>0</v>
      </c>
      <c r="BL104" s="56">
        <f>G104*H104</f>
        <v>0</v>
      </c>
      <c r="BM104" s="56"/>
      <c r="BN104" s="56"/>
    </row>
    <row r="105" spans="1:66" ht="15" customHeight="1">
      <c r="A105" s="36"/>
      <c r="D105" s="45" t="s">
        <v>1999</v>
      </c>
      <c r="E105" s="104" t="s">
        <v>1597</v>
      </c>
      <c r="G105" s="13">
        <v>47.050000000000004</v>
      </c>
      <c r="N105" s="19"/>
      <c r="P105" s="592"/>
      <c r="Q105" s="592"/>
      <c r="R105" s="592"/>
      <c r="S105" s="592"/>
      <c r="T105" s="592"/>
      <c r="U105" s="592"/>
      <c r="V105" s="592"/>
      <c r="W105" s="592"/>
      <c r="X105" s="592"/>
    </row>
    <row r="106" spans="1:66" ht="15" customHeight="1">
      <c r="A106" s="67" t="s">
        <v>1597</v>
      </c>
      <c r="B106" s="65" t="s">
        <v>1610</v>
      </c>
      <c r="C106" s="553" t="s">
        <v>1597</v>
      </c>
      <c r="D106" s="708" t="s">
        <v>1119</v>
      </c>
      <c r="E106" s="708"/>
      <c r="F106" s="78" t="s">
        <v>2144</v>
      </c>
      <c r="G106" s="78" t="s">
        <v>2144</v>
      </c>
      <c r="H106" s="78" t="s">
        <v>2144</v>
      </c>
      <c r="I106" s="11">
        <f>I107+I110+I115+I119+I124+I132+I142+I153+I159+I162+I167+I171+I174</f>
        <v>0</v>
      </c>
      <c r="J106" s="11">
        <f>J107+J110+J115+J119+J124+J132+J142+J153+J159+J162+J167+J171+J174</f>
        <v>0</v>
      </c>
      <c r="K106" s="554">
        <f>K107+K110+K115+K119+K124+K132+K142+K153+K159+K162+K167+K171+K174</f>
        <v>0</v>
      </c>
      <c r="L106" s="44" t="s">
        <v>1597</v>
      </c>
      <c r="M106" s="11">
        <f>M107+M110+M115+M119+M124+M132+M142+M153+M159+M162+M167+M171+M174</f>
        <v>27.527867500000003</v>
      </c>
      <c r="N106" s="5" t="s">
        <v>1597</v>
      </c>
      <c r="P106" s="592"/>
      <c r="Q106" s="592"/>
      <c r="R106" s="592"/>
      <c r="S106" s="592"/>
      <c r="T106" s="592"/>
      <c r="U106" s="592"/>
      <c r="V106" s="592"/>
      <c r="W106" s="592"/>
      <c r="X106" s="592"/>
    </row>
    <row r="107" spans="1:66" ht="15" customHeight="1">
      <c r="A107" s="32" t="s">
        <v>1597</v>
      </c>
      <c r="B107" s="26" t="s">
        <v>1610</v>
      </c>
      <c r="C107" s="512" t="s">
        <v>668</v>
      </c>
      <c r="D107" s="709" t="s">
        <v>16</v>
      </c>
      <c r="E107" s="709"/>
      <c r="F107" s="46" t="s">
        <v>2144</v>
      </c>
      <c r="G107" s="46" t="s">
        <v>2144</v>
      </c>
      <c r="H107" s="46" t="s">
        <v>2144</v>
      </c>
      <c r="I107" s="17">
        <f>SUM(I108:I108)</f>
        <v>0</v>
      </c>
      <c r="J107" s="17">
        <f>SUM(J108:J108)</f>
        <v>0</v>
      </c>
      <c r="K107" s="515">
        <f>SUM(K108:K108)</f>
        <v>0</v>
      </c>
      <c r="L107" s="7" t="s">
        <v>1597</v>
      </c>
      <c r="M107" s="17">
        <f>SUM(M108:M108)</f>
        <v>0</v>
      </c>
      <c r="N107" s="20" t="s">
        <v>1597</v>
      </c>
      <c r="P107" s="592">
        <f>K107</f>
        <v>0</v>
      </c>
      <c r="Q107" s="592"/>
      <c r="R107" s="592"/>
      <c r="S107" s="592"/>
      <c r="T107" s="592"/>
      <c r="U107" s="592"/>
      <c r="V107" s="592"/>
      <c r="W107" s="592"/>
      <c r="X107" s="592"/>
      <c r="AK107" s="7" t="s">
        <v>1610</v>
      </c>
      <c r="AU107" s="17">
        <f>SUM(AL108:AL108)</f>
        <v>0</v>
      </c>
      <c r="AV107" s="17">
        <f>SUM(AM108:AM108)</f>
        <v>0</v>
      </c>
      <c r="AW107" s="17">
        <f>SUM(AN108:AN108)</f>
        <v>0</v>
      </c>
    </row>
    <row r="108" spans="1:66" ht="15" customHeight="1">
      <c r="A108" s="24" t="s">
        <v>1365</v>
      </c>
      <c r="B108" s="12" t="s">
        <v>1610</v>
      </c>
      <c r="C108" s="12" t="s">
        <v>1224</v>
      </c>
      <c r="D108" s="630" t="s">
        <v>278</v>
      </c>
      <c r="E108" s="630"/>
      <c r="F108" s="12" t="s">
        <v>2236</v>
      </c>
      <c r="G108" s="56">
        <v>5.25</v>
      </c>
      <c r="H108" s="625"/>
      <c r="I108" s="56">
        <f>G108*AQ108</f>
        <v>0</v>
      </c>
      <c r="J108" s="56">
        <f>G108*AR108</f>
        <v>0</v>
      </c>
      <c r="K108" s="56">
        <f>G108*H108</f>
        <v>0</v>
      </c>
      <c r="L108" s="56">
        <v>0</v>
      </c>
      <c r="M108" s="56">
        <f>G108*L108</f>
        <v>0</v>
      </c>
      <c r="N108" s="31" t="s">
        <v>1579</v>
      </c>
      <c r="P108" s="592"/>
      <c r="Q108" s="592"/>
      <c r="R108" s="592"/>
      <c r="S108" s="592"/>
      <c r="T108" s="592"/>
      <c r="U108" s="592"/>
      <c r="V108" s="592"/>
      <c r="W108" s="592"/>
      <c r="X108" s="592"/>
      <c r="AB108" s="56">
        <f>IF(AS108="5",BL108,0)</f>
        <v>0</v>
      </c>
      <c r="AD108" s="56">
        <f>IF(AS108="1",BJ108,0)</f>
        <v>0</v>
      </c>
      <c r="AE108" s="56">
        <f>IF(AS108="1",BK108,0)</f>
        <v>0</v>
      </c>
      <c r="AF108" s="56">
        <f>IF(AS108="7",BJ108,0)</f>
        <v>0</v>
      </c>
      <c r="AG108" s="56">
        <f>IF(AS108="7",BK108,0)</f>
        <v>0</v>
      </c>
      <c r="AH108" s="56">
        <f>IF(AS108="2",BJ108,0)</f>
        <v>0</v>
      </c>
      <c r="AI108" s="56">
        <f>IF(AS108="2",BK108,0)</f>
        <v>0</v>
      </c>
      <c r="AJ108" s="56">
        <f>IF(AS108="0",BL108,0)</f>
        <v>0</v>
      </c>
      <c r="AK108" s="7" t="s">
        <v>1610</v>
      </c>
      <c r="AL108" s="56">
        <f>IF(AP108=0,K108,0)</f>
        <v>0</v>
      </c>
      <c r="AM108" s="56">
        <f>IF(AP108=15,K108,0)</f>
        <v>0</v>
      </c>
      <c r="AN108" s="56">
        <f>IF(AP108=21,K108,0)</f>
        <v>0</v>
      </c>
      <c r="AP108" s="56">
        <v>21</v>
      </c>
      <c r="AQ108" s="88">
        <f>H108*0</f>
        <v>0</v>
      </c>
      <c r="AR108" s="88">
        <f>H108*(1-0)</f>
        <v>0</v>
      </c>
      <c r="AS108" s="21" t="s">
        <v>2297</v>
      </c>
      <c r="AX108" s="56">
        <f>AY108+AZ108</f>
        <v>0</v>
      </c>
      <c r="AY108" s="56">
        <f>G108*AQ108</f>
        <v>0</v>
      </c>
      <c r="AZ108" s="56">
        <f>G108*AR108</f>
        <v>0</v>
      </c>
      <c r="BA108" s="21" t="s">
        <v>2092</v>
      </c>
      <c r="BB108" s="21" t="s">
        <v>2035</v>
      </c>
      <c r="BC108" s="7" t="s">
        <v>1921</v>
      </c>
      <c r="BE108" s="56">
        <f>AY108+AZ108</f>
        <v>0</v>
      </c>
      <c r="BF108" s="56">
        <f>H108/(100-BG108)*100</f>
        <v>0</v>
      </c>
      <c r="BG108" s="56">
        <v>0</v>
      </c>
      <c r="BH108" s="56">
        <f>M108</f>
        <v>0</v>
      </c>
      <c r="BJ108" s="56">
        <f>G108*AQ108</f>
        <v>0</v>
      </c>
      <c r="BK108" s="56">
        <f>G108*AR108</f>
        <v>0</v>
      </c>
      <c r="BL108" s="56">
        <f>G108*H108</f>
        <v>0</v>
      </c>
      <c r="BM108" s="56"/>
      <c r="BN108" s="56">
        <v>13</v>
      </c>
    </row>
    <row r="109" spans="1:66" ht="15" customHeight="1">
      <c r="A109" s="36"/>
      <c r="D109" s="45" t="s">
        <v>323</v>
      </c>
      <c r="E109" s="104" t="s">
        <v>2595</v>
      </c>
      <c r="G109" s="13">
        <v>5.25</v>
      </c>
      <c r="N109" s="19"/>
      <c r="P109" s="592"/>
      <c r="Q109" s="592"/>
      <c r="R109" s="592"/>
      <c r="S109" s="592"/>
      <c r="T109" s="592"/>
      <c r="U109" s="592"/>
      <c r="V109" s="592"/>
      <c r="W109" s="592"/>
      <c r="X109" s="592"/>
    </row>
    <row r="110" spans="1:66" ht="15" customHeight="1">
      <c r="A110" s="32" t="s">
        <v>1597</v>
      </c>
      <c r="B110" s="26" t="s">
        <v>1610</v>
      </c>
      <c r="C110" s="512" t="s">
        <v>2539</v>
      </c>
      <c r="D110" s="709" t="s">
        <v>1277</v>
      </c>
      <c r="E110" s="709"/>
      <c r="F110" s="46" t="s">
        <v>2144</v>
      </c>
      <c r="G110" s="46" t="s">
        <v>2144</v>
      </c>
      <c r="H110" s="46" t="s">
        <v>2144</v>
      </c>
      <c r="I110" s="17">
        <f>SUM(I111:I113)</f>
        <v>0</v>
      </c>
      <c r="J110" s="17">
        <f>SUM(J111:J113)</f>
        <v>0</v>
      </c>
      <c r="K110" s="515">
        <f>SUM(K111:K113)</f>
        <v>0</v>
      </c>
      <c r="L110" s="7" t="s">
        <v>1597</v>
      </c>
      <c r="M110" s="17">
        <f>SUM(M111:M113)</f>
        <v>0.2666</v>
      </c>
      <c r="N110" s="20" t="s">
        <v>1597</v>
      </c>
      <c r="P110" s="592">
        <f>K110</f>
        <v>0</v>
      </c>
      <c r="Q110" s="592"/>
      <c r="R110" s="592"/>
      <c r="S110" s="592"/>
      <c r="T110" s="592"/>
      <c r="U110" s="592"/>
      <c r="V110" s="592"/>
      <c r="W110" s="592"/>
      <c r="X110" s="592"/>
      <c r="AK110" s="7" t="s">
        <v>1610</v>
      </c>
      <c r="AU110" s="17">
        <f>SUM(AL111:AL113)</f>
        <v>0</v>
      </c>
      <c r="AV110" s="17">
        <f>SUM(AM111:AM113)</f>
        <v>0</v>
      </c>
      <c r="AW110" s="17">
        <f>SUM(AN111:AN113)</f>
        <v>0</v>
      </c>
    </row>
    <row r="111" spans="1:66" ht="15" customHeight="1">
      <c r="A111" s="24" t="s">
        <v>2270</v>
      </c>
      <c r="B111" s="12" t="s">
        <v>1610</v>
      </c>
      <c r="C111" s="12" t="s">
        <v>1901</v>
      </c>
      <c r="D111" s="630" t="s">
        <v>1332</v>
      </c>
      <c r="E111" s="630"/>
      <c r="F111" s="12" t="s">
        <v>1923</v>
      </c>
      <c r="G111" s="56">
        <v>20</v>
      </c>
      <c r="H111" s="625"/>
      <c r="I111" s="56">
        <f>G111*AQ111</f>
        <v>0</v>
      </c>
      <c r="J111" s="56">
        <f>G111*AR111</f>
        <v>0</v>
      </c>
      <c r="K111" s="56">
        <f>G111*H111</f>
        <v>0</v>
      </c>
      <c r="L111" s="56">
        <v>1.33E-3</v>
      </c>
      <c r="M111" s="56">
        <f>G111*L111</f>
        <v>2.6599999999999999E-2</v>
      </c>
      <c r="N111" s="31" t="s">
        <v>1579</v>
      </c>
      <c r="P111" s="592"/>
      <c r="Q111" s="592"/>
      <c r="R111" s="592"/>
      <c r="S111" s="592"/>
      <c r="T111" s="592"/>
      <c r="U111" s="592"/>
      <c r="V111" s="592"/>
      <c r="W111" s="592"/>
      <c r="X111" s="592"/>
      <c r="AB111" s="56">
        <f>IF(AS111="5",BL111,0)</f>
        <v>0</v>
      </c>
      <c r="AD111" s="56">
        <f>IF(AS111="1",BJ111,0)</f>
        <v>0</v>
      </c>
      <c r="AE111" s="56">
        <f>IF(AS111="1",BK111,0)</f>
        <v>0</v>
      </c>
      <c r="AF111" s="56">
        <f>IF(AS111="7",BJ111,0)</f>
        <v>0</v>
      </c>
      <c r="AG111" s="56">
        <f>IF(AS111="7",BK111,0)</f>
        <v>0</v>
      </c>
      <c r="AH111" s="56">
        <f>IF(AS111="2",BJ111,0)</f>
        <v>0</v>
      </c>
      <c r="AI111" s="56">
        <f>IF(AS111="2",BK111,0)</f>
        <v>0</v>
      </c>
      <c r="AJ111" s="56">
        <f>IF(AS111="0",BL111,0)</f>
        <v>0</v>
      </c>
      <c r="AK111" s="7" t="s">
        <v>1610</v>
      </c>
      <c r="AL111" s="56">
        <f>IF(AP111=0,K111,0)</f>
        <v>0</v>
      </c>
      <c r="AM111" s="56">
        <f>IF(AP111=15,K111,0)</f>
        <v>0</v>
      </c>
      <c r="AN111" s="56">
        <f>IF(AP111=21,K111,0)</f>
        <v>0</v>
      </c>
      <c r="AP111" s="56">
        <v>21</v>
      </c>
      <c r="AQ111" s="88">
        <f>H111*0.759700356718193</f>
        <v>0</v>
      </c>
      <c r="AR111" s="88">
        <f>H111*(1-0.759700356718193)</f>
        <v>0</v>
      </c>
      <c r="AS111" s="21" t="s">
        <v>2297</v>
      </c>
      <c r="AX111" s="56">
        <f>AY111+AZ111</f>
        <v>0</v>
      </c>
      <c r="AY111" s="56">
        <f>G111*AQ111</f>
        <v>0</v>
      </c>
      <c r="AZ111" s="56">
        <f>G111*AR111</f>
        <v>0</v>
      </c>
      <c r="BA111" s="21" t="s">
        <v>1061</v>
      </c>
      <c r="BB111" s="21" t="s">
        <v>1000</v>
      </c>
      <c r="BC111" s="7" t="s">
        <v>1921</v>
      </c>
      <c r="BE111" s="56">
        <f>AY111+AZ111</f>
        <v>0</v>
      </c>
      <c r="BF111" s="56">
        <f>H111/(100-BG111)*100</f>
        <v>0</v>
      </c>
      <c r="BG111" s="56">
        <v>0</v>
      </c>
      <c r="BH111" s="56">
        <f>M111</f>
        <v>2.6599999999999999E-2</v>
      </c>
      <c r="BJ111" s="56">
        <f>G111*AQ111</f>
        <v>0</v>
      </c>
      <c r="BK111" s="56">
        <f>G111*AR111</f>
        <v>0</v>
      </c>
      <c r="BL111" s="56">
        <f>G111*H111</f>
        <v>0</v>
      </c>
      <c r="BM111" s="56"/>
      <c r="BN111" s="56">
        <v>28</v>
      </c>
    </row>
    <row r="112" spans="1:66" ht="15" customHeight="1">
      <c r="A112" s="36"/>
      <c r="D112" s="45" t="s">
        <v>109</v>
      </c>
      <c r="E112" s="104" t="s">
        <v>2614</v>
      </c>
      <c r="G112" s="13">
        <v>20</v>
      </c>
      <c r="N112" s="19"/>
      <c r="P112" s="592"/>
      <c r="Q112" s="592"/>
      <c r="R112" s="592"/>
      <c r="S112" s="592"/>
      <c r="T112" s="592"/>
      <c r="U112" s="592"/>
      <c r="V112" s="592"/>
      <c r="W112" s="592"/>
      <c r="X112" s="592"/>
    </row>
    <row r="113" spans="1:66" ht="15" customHeight="1">
      <c r="A113" s="8" t="s">
        <v>1400</v>
      </c>
      <c r="B113" s="75" t="s">
        <v>1610</v>
      </c>
      <c r="C113" s="75" t="s">
        <v>559</v>
      </c>
      <c r="D113" s="710" t="s">
        <v>1994</v>
      </c>
      <c r="E113" s="710"/>
      <c r="F113" s="75" t="s">
        <v>2182</v>
      </c>
      <c r="G113" s="80">
        <v>240</v>
      </c>
      <c r="H113" s="626"/>
      <c r="I113" s="80">
        <f>G113*AQ113</f>
        <v>0</v>
      </c>
      <c r="J113" s="80">
        <f>G113*AR113</f>
        <v>0</v>
      </c>
      <c r="K113" s="80">
        <f>G113*H113</f>
        <v>0</v>
      </c>
      <c r="L113" s="80">
        <v>1E-3</v>
      </c>
      <c r="M113" s="80">
        <f>G113*L113</f>
        <v>0.24</v>
      </c>
      <c r="N113" s="38" t="s">
        <v>1579</v>
      </c>
      <c r="P113" s="592"/>
      <c r="Q113" s="592"/>
      <c r="R113" s="592"/>
      <c r="S113" s="592"/>
      <c r="T113" s="592"/>
      <c r="U113" s="592"/>
      <c r="V113" s="592"/>
      <c r="W113" s="592"/>
      <c r="X113" s="592"/>
      <c r="AB113" s="56">
        <f>IF(AS113="5",BL113,0)</f>
        <v>0</v>
      </c>
      <c r="AD113" s="56">
        <f>IF(AS113="1",BJ113,0)</f>
        <v>0</v>
      </c>
      <c r="AE113" s="56">
        <f>IF(AS113="1",BK113,0)</f>
        <v>0</v>
      </c>
      <c r="AF113" s="56">
        <f>IF(AS113="7",BJ113,0)</f>
        <v>0</v>
      </c>
      <c r="AG113" s="56">
        <f>IF(AS113="7",BK113,0)</f>
        <v>0</v>
      </c>
      <c r="AH113" s="56">
        <f>IF(AS113="2",BJ113,0)</f>
        <v>0</v>
      </c>
      <c r="AI113" s="56">
        <f>IF(AS113="2",BK113,0)</f>
        <v>0</v>
      </c>
      <c r="AJ113" s="56">
        <f>IF(AS113="0",BL113,0)</f>
        <v>0</v>
      </c>
      <c r="AK113" s="7" t="s">
        <v>1610</v>
      </c>
      <c r="AL113" s="80">
        <f>IF(AP113=0,K113,0)</f>
        <v>0</v>
      </c>
      <c r="AM113" s="80">
        <f>IF(AP113=15,K113,0)</f>
        <v>0</v>
      </c>
      <c r="AN113" s="80">
        <f>IF(AP113=21,K113,0)</f>
        <v>0</v>
      </c>
      <c r="AP113" s="56">
        <v>21</v>
      </c>
      <c r="AQ113" s="88">
        <f>H113*1</f>
        <v>0</v>
      </c>
      <c r="AR113" s="88">
        <f>H113*(1-1)</f>
        <v>0</v>
      </c>
      <c r="AS113" s="64" t="s">
        <v>2297</v>
      </c>
      <c r="AX113" s="56">
        <f>AY113+AZ113</f>
        <v>0</v>
      </c>
      <c r="AY113" s="56">
        <f>G113*AQ113</f>
        <v>0</v>
      </c>
      <c r="AZ113" s="56">
        <f>G113*AR113</f>
        <v>0</v>
      </c>
      <c r="BA113" s="21" t="s">
        <v>1061</v>
      </c>
      <c r="BB113" s="21" t="s">
        <v>1000</v>
      </c>
      <c r="BC113" s="7" t="s">
        <v>1921</v>
      </c>
      <c r="BE113" s="56">
        <f>AY113+AZ113</f>
        <v>0</v>
      </c>
      <c r="BF113" s="56">
        <f>H113/(100-BG113)*100</f>
        <v>0</v>
      </c>
      <c r="BG113" s="56">
        <v>0</v>
      </c>
      <c r="BH113" s="56">
        <f>M113</f>
        <v>0.24</v>
      </c>
      <c r="BJ113" s="80">
        <f>G113*AQ113</f>
        <v>0</v>
      </c>
      <c r="BK113" s="80">
        <f>G113*AR113</f>
        <v>0</v>
      </c>
      <c r="BL113" s="80">
        <f>G113*H113</f>
        <v>0</v>
      </c>
      <c r="BM113" s="80"/>
      <c r="BN113" s="56">
        <v>28</v>
      </c>
    </row>
    <row r="114" spans="1:66" ht="15" customHeight="1">
      <c r="A114" s="36"/>
      <c r="D114" s="45" t="s">
        <v>543</v>
      </c>
      <c r="E114" s="104" t="s">
        <v>244</v>
      </c>
      <c r="G114" s="13">
        <v>240.00000000000003</v>
      </c>
      <c r="N114" s="19"/>
      <c r="P114" s="592"/>
      <c r="Q114" s="592"/>
      <c r="R114" s="592"/>
      <c r="S114" s="592"/>
      <c r="T114" s="592"/>
      <c r="U114" s="592"/>
      <c r="V114" s="592"/>
      <c r="W114" s="592"/>
      <c r="X114" s="592"/>
    </row>
    <row r="115" spans="1:66" ht="15" customHeight="1">
      <c r="A115" s="32" t="s">
        <v>1597</v>
      </c>
      <c r="B115" s="26" t="s">
        <v>1610</v>
      </c>
      <c r="C115" s="512" t="s">
        <v>820</v>
      </c>
      <c r="D115" s="709" t="s">
        <v>1795</v>
      </c>
      <c r="E115" s="709"/>
      <c r="F115" s="46" t="s">
        <v>2144</v>
      </c>
      <c r="G115" s="46" t="s">
        <v>2144</v>
      </c>
      <c r="H115" s="46" t="s">
        <v>2144</v>
      </c>
      <c r="I115" s="17">
        <f>SUM(I116:I116)</f>
        <v>0</v>
      </c>
      <c r="J115" s="17">
        <f>SUM(J116:J116)</f>
        <v>0</v>
      </c>
      <c r="K115" s="515">
        <f>SUM(K116:K116)</f>
        <v>0</v>
      </c>
      <c r="L115" s="7" t="s">
        <v>1597</v>
      </c>
      <c r="M115" s="17">
        <f>SUM(M116:M116)</f>
        <v>11.025</v>
      </c>
      <c r="N115" s="20" t="s">
        <v>1597</v>
      </c>
      <c r="P115" s="592">
        <f>K115</f>
        <v>0</v>
      </c>
      <c r="Q115" s="592"/>
      <c r="R115" s="592"/>
      <c r="S115" s="592"/>
      <c r="T115" s="592"/>
      <c r="U115" s="592"/>
      <c r="V115" s="592"/>
      <c r="W115" s="592"/>
      <c r="X115" s="592"/>
      <c r="AK115" s="7" t="s">
        <v>1610</v>
      </c>
      <c r="AU115" s="17">
        <f>SUM(AL116:AL116)</f>
        <v>0</v>
      </c>
      <c r="AV115" s="17">
        <f>SUM(AM116:AM116)</f>
        <v>0</v>
      </c>
      <c r="AW115" s="17">
        <f>SUM(AN116:AN116)</f>
        <v>0</v>
      </c>
    </row>
    <row r="116" spans="1:66" ht="15" customHeight="1">
      <c r="A116" s="24" t="s">
        <v>1483</v>
      </c>
      <c r="B116" s="12" t="s">
        <v>1610</v>
      </c>
      <c r="C116" s="12" t="s">
        <v>2206</v>
      </c>
      <c r="D116" s="630" t="s">
        <v>156</v>
      </c>
      <c r="E116" s="630"/>
      <c r="F116" s="12" t="s">
        <v>2274</v>
      </c>
      <c r="G116" s="56">
        <v>42</v>
      </c>
      <c r="H116" s="625"/>
      <c r="I116" s="56">
        <f>G116*AQ116</f>
        <v>0</v>
      </c>
      <c r="J116" s="56">
        <f>G116*AR116</f>
        <v>0</v>
      </c>
      <c r="K116" s="56">
        <f>G116*H116</f>
        <v>0</v>
      </c>
      <c r="L116" s="56">
        <v>0.26250000000000001</v>
      </c>
      <c r="M116" s="56">
        <f>G116*L116</f>
        <v>11.025</v>
      </c>
      <c r="N116" s="31" t="s">
        <v>1579</v>
      </c>
      <c r="P116" s="592"/>
      <c r="Q116" s="592"/>
      <c r="R116" s="592"/>
      <c r="S116" s="592"/>
      <c r="T116" s="592"/>
      <c r="U116" s="592"/>
      <c r="V116" s="592"/>
      <c r="W116" s="592"/>
      <c r="X116" s="592"/>
      <c r="AB116" s="56">
        <f>IF(AS116="5",BL116,0)</f>
        <v>0</v>
      </c>
      <c r="AD116" s="56">
        <f>IF(AS116="1",BJ116,0)</f>
        <v>0</v>
      </c>
      <c r="AE116" s="56">
        <f>IF(AS116="1",BK116,0)</f>
        <v>0</v>
      </c>
      <c r="AF116" s="56">
        <f>IF(AS116="7",BJ116,0)</f>
        <v>0</v>
      </c>
      <c r="AG116" s="56">
        <f>IF(AS116="7",BK116,0)</f>
        <v>0</v>
      </c>
      <c r="AH116" s="56">
        <f>IF(AS116="2",BJ116,0)</f>
        <v>0</v>
      </c>
      <c r="AI116" s="56">
        <f>IF(AS116="2",BK116,0)</f>
        <v>0</v>
      </c>
      <c r="AJ116" s="56">
        <f>IF(AS116="0",BL116,0)</f>
        <v>0</v>
      </c>
      <c r="AK116" s="7" t="s">
        <v>1610</v>
      </c>
      <c r="AL116" s="56">
        <f>IF(AP116=0,K116,0)</f>
        <v>0</v>
      </c>
      <c r="AM116" s="56">
        <f>IF(AP116=15,K116,0)</f>
        <v>0</v>
      </c>
      <c r="AN116" s="56">
        <f>IF(AP116=21,K116,0)</f>
        <v>0</v>
      </c>
      <c r="AP116" s="56">
        <v>21</v>
      </c>
      <c r="AQ116" s="88">
        <f>H116*0.771756245446641</f>
        <v>0</v>
      </c>
      <c r="AR116" s="88">
        <f>H116*(1-0.771756245446641)</f>
        <v>0</v>
      </c>
      <c r="AS116" s="21" t="s">
        <v>2297</v>
      </c>
      <c r="AX116" s="56">
        <f>AY116+AZ116</f>
        <v>0</v>
      </c>
      <c r="AY116" s="56">
        <f>G116*AQ116</f>
        <v>0</v>
      </c>
      <c r="AZ116" s="56">
        <f>G116*AR116</f>
        <v>0</v>
      </c>
      <c r="BA116" s="21" t="s">
        <v>1130</v>
      </c>
      <c r="BB116" s="21" t="s">
        <v>1203</v>
      </c>
      <c r="BC116" s="7" t="s">
        <v>1921</v>
      </c>
      <c r="BE116" s="56">
        <f>AY116+AZ116</f>
        <v>0</v>
      </c>
      <c r="BF116" s="56">
        <f>H116/(100-BG116)*100</f>
        <v>0</v>
      </c>
      <c r="BG116" s="56">
        <v>0</v>
      </c>
      <c r="BH116" s="56">
        <f>M116</f>
        <v>11.025</v>
      </c>
      <c r="BJ116" s="56">
        <f>G116*AQ116</f>
        <v>0</v>
      </c>
      <c r="BK116" s="56">
        <f>G116*AR116</f>
        <v>0</v>
      </c>
      <c r="BL116" s="56">
        <f>G116*H116</f>
        <v>0</v>
      </c>
      <c r="BM116" s="56"/>
      <c r="BN116" s="56">
        <v>45</v>
      </c>
    </row>
    <row r="117" spans="1:66" ht="15" customHeight="1">
      <c r="A117" s="36"/>
      <c r="D117" s="45" t="s">
        <v>1632</v>
      </c>
      <c r="E117" s="104" t="s">
        <v>2430</v>
      </c>
      <c r="G117" s="13">
        <v>21</v>
      </c>
      <c r="N117" s="19"/>
      <c r="P117" s="592"/>
      <c r="Q117" s="592"/>
      <c r="R117" s="592"/>
      <c r="S117" s="592"/>
      <c r="T117" s="592"/>
      <c r="U117" s="592"/>
      <c r="V117" s="592"/>
      <c r="W117" s="592"/>
      <c r="X117" s="592"/>
    </row>
    <row r="118" spans="1:66" ht="15" customHeight="1">
      <c r="A118" s="36"/>
      <c r="D118" s="45" t="s">
        <v>1632</v>
      </c>
      <c r="E118" s="104" t="s">
        <v>2149</v>
      </c>
      <c r="G118" s="13">
        <v>21</v>
      </c>
      <c r="N118" s="19"/>
      <c r="P118" s="592"/>
      <c r="Q118" s="592"/>
      <c r="R118" s="592"/>
      <c r="S118" s="592"/>
      <c r="T118" s="592"/>
      <c r="U118" s="592"/>
      <c r="V118" s="592"/>
      <c r="W118" s="592"/>
      <c r="X118" s="592"/>
    </row>
    <row r="119" spans="1:66" ht="15" customHeight="1">
      <c r="A119" s="32" t="s">
        <v>1597</v>
      </c>
      <c r="B119" s="26" t="s">
        <v>1610</v>
      </c>
      <c r="C119" s="529" t="s">
        <v>1676</v>
      </c>
      <c r="D119" s="709" t="s">
        <v>1661</v>
      </c>
      <c r="E119" s="709"/>
      <c r="F119" s="46" t="s">
        <v>2144</v>
      </c>
      <c r="G119" s="46" t="s">
        <v>2144</v>
      </c>
      <c r="H119" s="46" t="s">
        <v>2144</v>
      </c>
      <c r="I119" s="17">
        <f>SUM(I120:I122)</f>
        <v>0</v>
      </c>
      <c r="J119" s="17">
        <f>SUM(J120:J122)</f>
        <v>0</v>
      </c>
      <c r="K119" s="530">
        <f>SUM(K120:K122)</f>
        <v>0</v>
      </c>
      <c r="L119" s="7" t="s">
        <v>1597</v>
      </c>
      <c r="M119" s="17">
        <f>SUM(M120:M122)</f>
        <v>3.7903799999999999</v>
      </c>
      <c r="N119" s="20" t="s">
        <v>1597</v>
      </c>
      <c r="P119" s="592"/>
      <c r="Q119" s="592">
        <f>K119</f>
        <v>0</v>
      </c>
      <c r="R119" s="592"/>
      <c r="S119" s="592"/>
      <c r="T119" s="592"/>
      <c r="U119" s="592"/>
      <c r="V119" s="592"/>
      <c r="W119" s="592"/>
      <c r="X119" s="592"/>
      <c r="AK119" s="7" t="s">
        <v>1610</v>
      </c>
      <c r="AU119" s="17">
        <f>SUM(AL120:AL122)</f>
        <v>0</v>
      </c>
      <c r="AV119" s="17">
        <f>SUM(AM120:AM122)</f>
        <v>0</v>
      </c>
      <c r="AW119" s="17">
        <f>SUM(AN120:AN122)</f>
        <v>0</v>
      </c>
    </row>
    <row r="120" spans="1:66" ht="15" customHeight="1">
      <c r="A120" s="24" t="s">
        <v>822</v>
      </c>
      <c r="B120" s="12" t="s">
        <v>1610</v>
      </c>
      <c r="C120" s="527" t="s">
        <v>2519</v>
      </c>
      <c r="D120" s="715" t="s">
        <v>2671</v>
      </c>
      <c r="E120" s="715"/>
      <c r="F120" s="507" t="s">
        <v>2274</v>
      </c>
      <c r="G120" s="508">
        <v>66</v>
      </c>
      <c r="H120" s="625"/>
      <c r="I120" s="508">
        <f>G120*AQ120</f>
        <v>0</v>
      </c>
      <c r="J120" s="508">
        <f>G120*AR120</f>
        <v>0</v>
      </c>
      <c r="K120" s="528">
        <f>G120*H120</f>
        <v>0</v>
      </c>
      <c r="L120" s="56">
        <v>1.329E-2</v>
      </c>
      <c r="M120" s="56">
        <f>G120*L120</f>
        <v>0.87714000000000003</v>
      </c>
      <c r="N120" s="31" t="s">
        <v>1579</v>
      </c>
      <c r="P120" s="592"/>
      <c r="Q120" s="592"/>
      <c r="R120" s="592"/>
      <c r="S120" s="592"/>
      <c r="T120" s="592"/>
      <c r="U120" s="592"/>
      <c r="V120" s="592"/>
      <c r="W120" s="592"/>
      <c r="X120" s="592"/>
      <c r="AB120" s="56">
        <f>IF(AS120="5",BL120,0)</f>
        <v>0</v>
      </c>
      <c r="AD120" s="56">
        <f>IF(AS120="1",BJ120,0)</f>
        <v>0</v>
      </c>
      <c r="AE120" s="56">
        <f>IF(AS120="1",BK120,0)</f>
        <v>0</v>
      </c>
      <c r="AF120" s="56">
        <f>IF(AS120="7",BJ120,0)</f>
        <v>0</v>
      </c>
      <c r="AG120" s="56">
        <f>IF(AS120="7",BK120,0)</f>
        <v>0</v>
      </c>
      <c r="AH120" s="56">
        <f>IF(AS120="2",BJ120,0)</f>
        <v>0</v>
      </c>
      <c r="AI120" s="56">
        <f>IF(AS120="2",BK120,0)</f>
        <v>0</v>
      </c>
      <c r="AJ120" s="56">
        <f>IF(AS120="0",BL120,0)</f>
        <v>0</v>
      </c>
      <c r="AK120" s="7" t="s">
        <v>1610</v>
      </c>
      <c r="AL120" s="56">
        <f>IF(AP120=0,K120,0)</f>
        <v>0</v>
      </c>
      <c r="AM120" s="56">
        <f>IF(AP120=15,K120,0)</f>
        <v>0</v>
      </c>
      <c r="AN120" s="56">
        <f>IF(AP120=21,K120,0)</f>
        <v>0</v>
      </c>
      <c r="AP120" s="56">
        <v>21</v>
      </c>
      <c r="AQ120" s="88">
        <f>H120*0.584234391349843</f>
        <v>0</v>
      </c>
      <c r="AR120" s="88">
        <f>H120*(1-0.584234391349843)</f>
        <v>0</v>
      </c>
      <c r="AS120" s="21" t="s">
        <v>2297</v>
      </c>
      <c r="AX120" s="56">
        <f>AY120+AZ120</f>
        <v>0</v>
      </c>
      <c r="AY120" s="56">
        <f>G120*AQ120</f>
        <v>0</v>
      </c>
      <c r="AZ120" s="56">
        <f>G120*AR120</f>
        <v>0</v>
      </c>
      <c r="BA120" s="21" t="s">
        <v>1458</v>
      </c>
      <c r="BB120" s="21" t="s">
        <v>975</v>
      </c>
      <c r="BC120" s="7" t="s">
        <v>1921</v>
      </c>
      <c r="BE120" s="56">
        <f>AY120+AZ120</f>
        <v>0</v>
      </c>
      <c r="BF120" s="56">
        <f>H120/(100-BG120)*100</f>
        <v>0</v>
      </c>
      <c r="BG120" s="56">
        <v>0</v>
      </c>
      <c r="BH120" s="56">
        <f>M120</f>
        <v>0.87714000000000003</v>
      </c>
      <c r="BJ120" s="56">
        <f>G120*AQ120</f>
        <v>0</v>
      </c>
      <c r="BK120" s="56">
        <f>G120*AR120</f>
        <v>0</v>
      </c>
      <c r="BL120" s="56">
        <f>G120*H120</f>
        <v>0</v>
      </c>
      <c r="BM120" s="56"/>
      <c r="BN120" s="56">
        <v>61</v>
      </c>
    </row>
    <row r="121" spans="1:66" ht="15" customHeight="1">
      <c r="A121" s="36"/>
      <c r="C121" s="535"/>
      <c r="D121" s="519" t="s">
        <v>2429</v>
      </c>
      <c r="E121" s="520" t="s">
        <v>1597</v>
      </c>
      <c r="F121" s="510"/>
      <c r="G121" s="521">
        <v>66</v>
      </c>
      <c r="H121" s="510"/>
      <c r="I121" s="510"/>
      <c r="J121" s="510"/>
      <c r="K121" s="535"/>
      <c r="N121" s="19"/>
      <c r="P121" s="592"/>
      <c r="Q121" s="592"/>
      <c r="R121" s="592"/>
      <c r="S121" s="592"/>
      <c r="T121" s="592"/>
      <c r="U121" s="592"/>
      <c r="V121" s="592"/>
      <c r="W121" s="592"/>
      <c r="X121" s="592"/>
    </row>
    <row r="122" spans="1:66" ht="15" customHeight="1">
      <c r="A122" s="24" t="s">
        <v>2275</v>
      </c>
      <c r="B122" s="12" t="s">
        <v>1610</v>
      </c>
      <c r="C122" s="527" t="s">
        <v>852</v>
      </c>
      <c r="D122" s="715" t="s">
        <v>1530</v>
      </c>
      <c r="E122" s="715"/>
      <c r="F122" s="507" t="s">
        <v>2274</v>
      </c>
      <c r="G122" s="508">
        <v>66</v>
      </c>
      <c r="H122" s="625"/>
      <c r="I122" s="508">
        <f>G122*AQ122</f>
        <v>0</v>
      </c>
      <c r="J122" s="508">
        <f>G122*AR122</f>
        <v>0</v>
      </c>
      <c r="K122" s="528">
        <f>G122*H122</f>
        <v>0</v>
      </c>
      <c r="L122" s="56">
        <v>4.4139999999999999E-2</v>
      </c>
      <c r="M122" s="56">
        <f>G122*L122</f>
        <v>2.9132400000000001</v>
      </c>
      <c r="N122" s="31" t="s">
        <v>1579</v>
      </c>
      <c r="P122" s="592"/>
      <c r="Q122" s="592"/>
      <c r="R122" s="592"/>
      <c r="S122" s="592"/>
      <c r="T122" s="592"/>
      <c r="U122" s="592"/>
      <c r="V122" s="592"/>
      <c r="W122" s="592"/>
      <c r="X122" s="592"/>
      <c r="AB122" s="56">
        <f>IF(AS122="5",BL122,0)</f>
        <v>0</v>
      </c>
      <c r="AD122" s="56">
        <f>IF(AS122="1",BJ122,0)</f>
        <v>0</v>
      </c>
      <c r="AE122" s="56">
        <f>IF(AS122="1",BK122,0)</f>
        <v>0</v>
      </c>
      <c r="AF122" s="56">
        <f>IF(AS122="7",BJ122,0)</f>
        <v>0</v>
      </c>
      <c r="AG122" s="56">
        <f>IF(AS122="7",BK122,0)</f>
        <v>0</v>
      </c>
      <c r="AH122" s="56">
        <f>IF(AS122="2",BJ122,0)</f>
        <v>0</v>
      </c>
      <c r="AI122" s="56">
        <f>IF(AS122="2",BK122,0)</f>
        <v>0</v>
      </c>
      <c r="AJ122" s="56">
        <f>IF(AS122="0",BL122,0)</f>
        <v>0</v>
      </c>
      <c r="AK122" s="7" t="s">
        <v>1610</v>
      </c>
      <c r="AL122" s="56">
        <f>IF(AP122=0,K122,0)</f>
        <v>0</v>
      </c>
      <c r="AM122" s="56">
        <f>IF(AP122=15,K122,0)</f>
        <v>0</v>
      </c>
      <c r="AN122" s="56">
        <f>IF(AP122=21,K122,0)</f>
        <v>0</v>
      </c>
      <c r="AP122" s="56">
        <v>21</v>
      </c>
      <c r="AQ122" s="88">
        <f>H122*0.142038567493113</f>
        <v>0</v>
      </c>
      <c r="AR122" s="88">
        <f>H122*(1-0.142038567493113)</f>
        <v>0</v>
      </c>
      <c r="AS122" s="21" t="s">
        <v>2297</v>
      </c>
      <c r="AX122" s="56">
        <f>AY122+AZ122</f>
        <v>0</v>
      </c>
      <c r="AY122" s="56">
        <f>G122*AQ122</f>
        <v>0</v>
      </c>
      <c r="AZ122" s="56">
        <f>G122*AR122</f>
        <v>0</v>
      </c>
      <c r="BA122" s="21" t="s">
        <v>1458</v>
      </c>
      <c r="BB122" s="21" t="s">
        <v>975</v>
      </c>
      <c r="BC122" s="7" t="s">
        <v>1921</v>
      </c>
      <c r="BE122" s="56">
        <f>AY122+AZ122</f>
        <v>0</v>
      </c>
      <c r="BF122" s="56">
        <f>H122/(100-BG122)*100</f>
        <v>0</v>
      </c>
      <c r="BG122" s="56">
        <v>0</v>
      </c>
      <c r="BH122" s="56">
        <f>M122</f>
        <v>2.9132400000000001</v>
      </c>
      <c r="BJ122" s="56">
        <f>G122*AQ122</f>
        <v>0</v>
      </c>
      <c r="BK122" s="56">
        <f>G122*AR122</f>
        <v>0</v>
      </c>
      <c r="BL122" s="56">
        <f>G122*H122</f>
        <v>0</v>
      </c>
      <c r="BM122" s="56"/>
      <c r="BN122" s="56">
        <v>61</v>
      </c>
    </row>
    <row r="123" spans="1:66" ht="15" customHeight="1">
      <c r="A123" s="36"/>
      <c r="D123" s="45" t="s">
        <v>2429</v>
      </c>
      <c r="E123" s="104" t="s">
        <v>1597</v>
      </c>
      <c r="G123" s="13">
        <v>66</v>
      </c>
      <c r="N123" s="19"/>
      <c r="P123" s="592"/>
      <c r="Q123" s="592"/>
      <c r="R123" s="592"/>
      <c r="S123" s="592"/>
      <c r="T123" s="592"/>
      <c r="U123" s="592"/>
      <c r="V123" s="592"/>
      <c r="W123" s="592"/>
      <c r="X123" s="592"/>
    </row>
    <row r="124" spans="1:66" ht="15" customHeight="1">
      <c r="A124" s="32" t="s">
        <v>1597</v>
      </c>
      <c r="B124" s="26" t="s">
        <v>1610</v>
      </c>
      <c r="C124" s="512" t="s">
        <v>2593</v>
      </c>
      <c r="D124" s="709" t="s">
        <v>1891</v>
      </c>
      <c r="E124" s="709"/>
      <c r="F124" s="46" t="s">
        <v>2144</v>
      </c>
      <c r="G124" s="46" t="s">
        <v>2144</v>
      </c>
      <c r="H124" s="46" t="s">
        <v>2144</v>
      </c>
      <c r="I124" s="17">
        <f>SUM(I125:I130)</f>
        <v>0</v>
      </c>
      <c r="J124" s="17">
        <f>SUM(J125:J130)</f>
        <v>0</v>
      </c>
      <c r="K124" s="515">
        <f>SUM(K125:K130)</f>
        <v>0</v>
      </c>
      <c r="L124" s="7" t="s">
        <v>1597</v>
      </c>
      <c r="M124" s="17">
        <f>SUM(M125:M130)</f>
        <v>0.92549999999999999</v>
      </c>
      <c r="N124" s="20" t="s">
        <v>1597</v>
      </c>
      <c r="P124" s="592">
        <f>K124</f>
        <v>0</v>
      </c>
      <c r="Q124" s="592"/>
      <c r="R124" s="592"/>
      <c r="S124" s="592"/>
      <c r="T124" s="592"/>
      <c r="U124" s="592"/>
      <c r="V124" s="592"/>
      <c r="W124" s="592"/>
      <c r="X124" s="592"/>
      <c r="AK124" s="7" t="s">
        <v>1610</v>
      </c>
      <c r="AU124" s="17">
        <f>SUM(AL125:AL130)</f>
        <v>0</v>
      </c>
      <c r="AV124" s="17">
        <f>SUM(AM125:AM130)</f>
        <v>0</v>
      </c>
      <c r="AW124" s="17">
        <f>SUM(AN125:AN130)</f>
        <v>0</v>
      </c>
    </row>
    <row r="125" spans="1:66" ht="15" customHeight="1">
      <c r="A125" s="24" t="s">
        <v>430</v>
      </c>
      <c r="B125" s="12" t="s">
        <v>1610</v>
      </c>
      <c r="C125" s="12" t="s">
        <v>1873</v>
      </c>
      <c r="D125" s="630" t="s">
        <v>2672</v>
      </c>
      <c r="E125" s="630"/>
      <c r="F125" s="12" t="s">
        <v>2274</v>
      </c>
      <c r="G125" s="56">
        <v>16</v>
      </c>
      <c r="H125" s="625"/>
      <c r="I125" s="56">
        <f>G125*AQ125</f>
        <v>0</v>
      </c>
      <c r="J125" s="56">
        <f>G125*AR125</f>
        <v>0</v>
      </c>
      <c r="K125" s="56">
        <f>G125*H125</f>
        <v>0</v>
      </c>
      <c r="L125" s="56">
        <v>8.6999999999999994E-3</v>
      </c>
      <c r="M125" s="56">
        <f>G125*L125</f>
        <v>0.13919999999999999</v>
      </c>
      <c r="N125" s="31" t="s">
        <v>1579</v>
      </c>
      <c r="P125" s="592"/>
      <c r="Q125" s="592"/>
      <c r="R125" s="592"/>
      <c r="S125" s="592"/>
      <c r="T125" s="592"/>
      <c r="U125" s="592"/>
      <c r="V125" s="592"/>
      <c r="W125" s="592"/>
      <c r="X125" s="592"/>
      <c r="AB125" s="56">
        <f>IF(AS125="5",BL125,0)</f>
        <v>0</v>
      </c>
      <c r="AD125" s="56">
        <f>IF(AS125="1",BJ125,0)</f>
        <v>0</v>
      </c>
      <c r="AE125" s="56">
        <f>IF(AS125="1",BK125,0)</f>
        <v>0</v>
      </c>
      <c r="AF125" s="56">
        <f>IF(AS125="7",BJ125,0)</f>
        <v>0</v>
      </c>
      <c r="AG125" s="56">
        <f>IF(AS125="7",BK125,0)</f>
        <v>0</v>
      </c>
      <c r="AH125" s="56">
        <f>IF(AS125="2",BJ125,0)</f>
        <v>0</v>
      </c>
      <c r="AI125" s="56">
        <f>IF(AS125="2",BK125,0)</f>
        <v>0</v>
      </c>
      <c r="AJ125" s="56">
        <f>IF(AS125="0",BL125,0)</f>
        <v>0</v>
      </c>
      <c r="AK125" s="7" t="s">
        <v>1610</v>
      </c>
      <c r="AL125" s="56">
        <f>IF(AP125=0,K125,0)</f>
        <v>0</v>
      </c>
      <c r="AM125" s="56">
        <f>IF(AP125=15,K125,0)</f>
        <v>0</v>
      </c>
      <c r="AN125" s="56">
        <f>IF(AP125=21,K125,0)</f>
        <v>0</v>
      </c>
      <c r="AP125" s="56">
        <v>21</v>
      </c>
      <c r="AQ125" s="88">
        <f>H125*0.567587511825922</f>
        <v>0</v>
      </c>
      <c r="AR125" s="88">
        <f>H125*(1-0.567587511825922)</f>
        <v>0</v>
      </c>
      <c r="AS125" s="21" t="s">
        <v>2297</v>
      </c>
      <c r="AX125" s="56">
        <f>AY125+AZ125</f>
        <v>0</v>
      </c>
      <c r="AY125" s="56">
        <f>G125*AQ125</f>
        <v>0</v>
      </c>
      <c r="AZ125" s="56">
        <f>G125*AR125</f>
        <v>0</v>
      </c>
      <c r="BA125" s="21" t="s">
        <v>1021</v>
      </c>
      <c r="BB125" s="21" t="s">
        <v>975</v>
      </c>
      <c r="BC125" s="7" t="s">
        <v>1921</v>
      </c>
      <c r="BE125" s="56">
        <f>AY125+AZ125</f>
        <v>0</v>
      </c>
      <c r="BF125" s="56">
        <f>H125/(100-BG125)*100</f>
        <v>0</v>
      </c>
      <c r="BG125" s="56">
        <v>0</v>
      </c>
      <c r="BH125" s="56">
        <f>M125</f>
        <v>0.13919999999999999</v>
      </c>
      <c r="BJ125" s="56">
        <f>G125*AQ125</f>
        <v>0</v>
      </c>
      <c r="BK125" s="56">
        <f>G125*AR125</f>
        <v>0</v>
      </c>
      <c r="BL125" s="56">
        <f>G125*H125</f>
        <v>0</v>
      </c>
      <c r="BM125" s="56"/>
      <c r="BN125" s="56">
        <v>62</v>
      </c>
    </row>
    <row r="126" spans="1:66" ht="15" customHeight="1">
      <c r="A126" s="36"/>
      <c r="D126" s="45" t="s">
        <v>986</v>
      </c>
      <c r="E126" s="104" t="s">
        <v>1082</v>
      </c>
      <c r="G126" s="13">
        <v>10</v>
      </c>
      <c r="N126" s="19"/>
      <c r="P126" s="592"/>
      <c r="Q126" s="592"/>
      <c r="R126" s="592"/>
      <c r="S126" s="594" t="s">
        <v>2144</v>
      </c>
      <c r="T126" s="592"/>
      <c r="U126" s="592"/>
      <c r="V126" s="592"/>
      <c r="W126" s="592"/>
      <c r="X126" s="592"/>
    </row>
    <row r="127" spans="1:66" ht="15" customHeight="1">
      <c r="A127" s="36"/>
      <c r="D127" s="45" t="s">
        <v>1099</v>
      </c>
      <c r="E127" s="104" t="s">
        <v>2192</v>
      </c>
      <c r="G127" s="13">
        <v>6.0000000000000009</v>
      </c>
      <c r="N127" s="19"/>
      <c r="P127" s="592"/>
      <c r="Q127" s="592"/>
      <c r="R127" s="592"/>
      <c r="S127" s="592"/>
      <c r="T127" s="592"/>
      <c r="U127" s="592"/>
      <c r="V127" s="592"/>
      <c r="W127" s="592"/>
      <c r="X127" s="592"/>
    </row>
    <row r="128" spans="1:66" ht="15" customHeight="1">
      <c r="A128" s="24" t="s">
        <v>769</v>
      </c>
      <c r="B128" s="12" t="s">
        <v>1610</v>
      </c>
      <c r="C128" s="12" t="s">
        <v>2551</v>
      </c>
      <c r="D128" s="630" t="s">
        <v>1108</v>
      </c>
      <c r="E128" s="630"/>
      <c r="F128" s="12" t="s">
        <v>2274</v>
      </c>
      <c r="G128" s="56">
        <v>16</v>
      </c>
      <c r="H128" s="625"/>
      <c r="I128" s="56">
        <f>G128*AQ128</f>
        <v>0</v>
      </c>
      <c r="J128" s="56">
        <f>G128*AR128</f>
        <v>0</v>
      </c>
      <c r="K128" s="56">
        <f>G128*H128</f>
        <v>0</v>
      </c>
      <c r="L128" s="56">
        <v>4.8169999999999998E-2</v>
      </c>
      <c r="M128" s="56">
        <f>G128*L128</f>
        <v>0.77071999999999996</v>
      </c>
      <c r="N128" s="31" t="s">
        <v>1579</v>
      </c>
      <c r="P128" s="592"/>
      <c r="Q128" s="592"/>
      <c r="R128" s="592"/>
      <c r="S128" s="592"/>
      <c r="T128" s="592"/>
      <c r="U128" s="592"/>
      <c r="V128" s="592"/>
      <c r="W128" s="592"/>
      <c r="X128" s="592"/>
      <c r="AB128" s="56">
        <f>IF(AS128="5",BL128,0)</f>
        <v>0</v>
      </c>
      <c r="AD128" s="56">
        <f>IF(AS128="1",BJ128,0)</f>
        <v>0</v>
      </c>
      <c r="AE128" s="56">
        <f>IF(AS128="1",BK128,0)</f>
        <v>0</v>
      </c>
      <c r="AF128" s="56">
        <f>IF(AS128="7",BJ128,0)</f>
        <v>0</v>
      </c>
      <c r="AG128" s="56">
        <f>IF(AS128="7",BK128,0)</f>
        <v>0</v>
      </c>
      <c r="AH128" s="56">
        <f>IF(AS128="2",BJ128,0)</f>
        <v>0</v>
      </c>
      <c r="AI128" s="56">
        <f>IF(AS128="2",BK128,0)</f>
        <v>0</v>
      </c>
      <c r="AJ128" s="56">
        <f>IF(AS128="0",BL128,0)</f>
        <v>0</v>
      </c>
      <c r="AK128" s="7" t="s">
        <v>1610</v>
      </c>
      <c r="AL128" s="56">
        <f>IF(AP128=0,K128,0)</f>
        <v>0</v>
      </c>
      <c r="AM128" s="56">
        <f>IF(AP128=15,K128,0)</f>
        <v>0</v>
      </c>
      <c r="AN128" s="56">
        <f>IF(AP128=21,K128,0)</f>
        <v>0</v>
      </c>
      <c r="AP128" s="56">
        <v>21</v>
      </c>
      <c r="AQ128" s="88">
        <f>H128*0.127133182844244</f>
        <v>0</v>
      </c>
      <c r="AR128" s="88">
        <f>H128*(1-0.127133182844244)</f>
        <v>0</v>
      </c>
      <c r="AS128" s="21" t="s">
        <v>2297</v>
      </c>
      <c r="AX128" s="56">
        <f>AY128+AZ128</f>
        <v>0</v>
      </c>
      <c r="AY128" s="56">
        <f>G128*AQ128</f>
        <v>0</v>
      </c>
      <c r="AZ128" s="56">
        <f>G128*AR128</f>
        <v>0</v>
      </c>
      <c r="BA128" s="21" t="s">
        <v>1021</v>
      </c>
      <c r="BB128" s="21" t="s">
        <v>975</v>
      </c>
      <c r="BC128" s="7" t="s">
        <v>1921</v>
      </c>
      <c r="BE128" s="56">
        <f>AY128+AZ128</f>
        <v>0</v>
      </c>
      <c r="BF128" s="56">
        <f>H128/(100-BG128)*100</f>
        <v>0</v>
      </c>
      <c r="BG128" s="56">
        <v>0</v>
      </c>
      <c r="BH128" s="56">
        <f>M128</f>
        <v>0.77071999999999996</v>
      </c>
      <c r="BJ128" s="56">
        <f>G128*AQ128</f>
        <v>0</v>
      </c>
      <c r="BK128" s="56">
        <f>G128*AR128</f>
        <v>0</v>
      </c>
      <c r="BL128" s="56">
        <f>G128*H128</f>
        <v>0</v>
      </c>
      <c r="BM128" s="56"/>
      <c r="BN128" s="56">
        <v>62</v>
      </c>
    </row>
    <row r="129" spans="1:66" ht="15" customHeight="1">
      <c r="A129" s="36"/>
      <c r="D129" s="45" t="s">
        <v>213</v>
      </c>
      <c r="E129" s="104" t="s">
        <v>1527</v>
      </c>
      <c r="G129" s="13">
        <v>16</v>
      </c>
      <c r="N129" s="19"/>
      <c r="P129" s="592"/>
      <c r="Q129" s="592"/>
      <c r="R129" s="592"/>
      <c r="S129" s="592"/>
      <c r="T129" s="592"/>
      <c r="U129" s="592"/>
      <c r="V129" s="592"/>
      <c r="W129" s="592"/>
      <c r="X129" s="592"/>
    </row>
    <row r="130" spans="1:66" ht="15" customHeight="1">
      <c r="A130" s="24" t="s">
        <v>1008</v>
      </c>
      <c r="B130" s="12" t="s">
        <v>1610</v>
      </c>
      <c r="C130" s="12" t="s">
        <v>516</v>
      </c>
      <c r="D130" s="630" t="s">
        <v>1796</v>
      </c>
      <c r="E130" s="630"/>
      <c r="F130" s="12" t="s">
        <v>2274</v>
      </c>
      <c r="G130" s="56">
        <v>82</v>
      </c>
      <c r="H130" s="625"/>
      <c r="I130" s="56">
        <f>G130*AQ130</f>
        <v>0</v>
      </c>
      <c r="J130" s="56">
        <f>G130*AR130</f>
        <v>0</v>
      </c>
      <c r="K130" s="56">
        <f>G130*H130</f>
        <v>0</v>
      </c>
      <c r="L130" s="56">
        <v>1.9000000000000001E-4</v>
      </c>
      <c r="M130" s="56">
        <f>G130*L130</f>
        <v>1.558E-2</v>
      </c>
      <c r="N130" s="31" t="s">
        <v>1579</v>
      </c>
      <c r="P130" s="592"/>
      <c r="Q130" s="592"/>
      <c r="R130" s="592"/>
      <c r="S130" s="592"/>
      <c r="T130" s="592"/>
      <c r="U130" s="592"/>
      <c r="V130" s="592"/>
      <c r="W130" s="592"/>
      <c r="X130" s="592"/>
      <c r="AB130" s="56">
        <f>IF(AS130="5",BL130,0)</f>
        <v>0</v>
      </c>
      <c r="AD130" s="56">
        <f>IF(AS130="1",BJ130,0)</f>
        <v>0</v>
      </c>
      <c r="AE130" s="56">
        <f>IF(AS130="1",BK130,0)</f>
        <v>0</v>
      </c>
      <c r="AF130" s="56">
        <f>IF(AS130="7",BJ130,0)</f>
        <v>0</v>
      </c>
      <c r="AG130" s="56">
        <f>IF(AS130="7",BK130,0)</f>
        <v>0</v>
      </c>
      <c r="AH130" s="56">
        <f>IF(AS130="2",BJ130,0)</f>
        <v>0</v>
      </c>
      <c r="AI130" s="56">
        <f>IF(AS130="2",BK130,0)</f>
        <v>0</v>
      </c>
      <c r="AJ130" s="56">
        <f>IF(AS130="0",BL130,0)</f>
        <v>0</v>
      </c>
      <c r="AK130" s="7" t="s">
        <v>1610</v>
      </c>
      <c r="AL130" s="56">
        <f>IF(AP130=0,K130,0)</f>
        <v>0</v>
      </c>
      <c r="AM130" s="56">
        <f>IF(AP130=15,K130,0)</f>
        <v>0</v>
      </c>
      <c r="AN130" s="56">
        <f>IF(AP130=21,K130,0)</f>
        <v>0</v>
      </c>
      <c r="AP130" s="56">
        <v>21</v>
      </c>
      <c r="AQ130" s="88">
        <f>H130*0.796200345423143</f>
        <v>0</v>
      </c>
      <c r="AR130" s="88">
        <f>H130*(1-0.796200345423143)</f>
        <v>0</v>
      </c>
      <c r="AS130" s="21" t="s">
        <v>2297</v>
      </c>
      <c r="AX130" s="56">
        <f>AY130+AZ130</f>
        <v>0</v>
      </c>
      <c r="AY130" s="56">
        <f>G130*AQ130</f>
        <v>0</v>
      </c>
      <c r="AZ130" s="56">
        <f>G130*AR130</f>
        <v>0</v>
      </c>
      <c r="BA130" s="21" t="s">
        <v>1021</v>
      </c>
      <c r="BB130" s="21" t="s">
        <v>975</v>
      </c>
      <c r="BC130" s="7" t="s">
        <v>1921</v>
      </c>
      <c r="BE130" s="56">
        <f>AY130+AZ130</f>
        <v>0</v>
      </c>
      <c r="BF130" s="56">
        <f>H130/(100-BG130)*100</f>
        <v>0</v>
      </c>
      <c r="BG130" s="56">
        <v>0</v>
      </c>
      <c r="BH130" s="56">
        <f>M130</f>
        <v>1.558E-2</v>
      </c>
      <c r="BJ130" s="56">
        <f>G130*AQ130</f>
        <v>0</v>
      </c>
      <c r="BK130" s="56">
        <f>G130*AR130</f>
        <v>0</v>
      </c>
      <c r="BL130" s="56">
        <f>G130*H130</f>
        <v>0</v>
      </c>
      <c r="BM130" s="56"/>
      <c r="BN130" s="56">
        <v>62</v>
      </c>
    </row>
    <row r="131" spans="1:66" ht="15" customHeight="1">
      <c r="A131" s="36"/>
      <c r="D131" s="45" t="s">
        <v>2638</v>
      </c>
      <c r="E131" s="104" t="s">
        <v>1597</v>
      </c>
      <c r="G131" s="13">
        <v>82</v>
      </c>
      <c r="N131" s="19"/>
      <c r="P131" s="592"/>
      <c r="Q131" s="592"/>
      <c r="R131" s="592"/>
      <c r="S131" s="592"/>
      <c r="T131" s="592"/>
      <c r="U131" s="592"/>
      <c r="V131" s="592"/>
      <c r="W131" s="592"/>
      <c r="X131" s="592"/>
    </row>
    <row r="132" spans="1:66" ht="15" customHeight="1">
      <c r="A132" s="32" t="s">
        <v>1597</v>
      </c>
      <c r="B132" s="26" t="s">
        <v>1610</v>
      </c>
      <c r="C132" s="512" t="s">
        <v>142</v>
      </c>
      <c r="D132" s="709" t="s">
        <v>2620</v>
      </c>
      <c r="E132" s="709"/>
      <c r="F132" s="46" t="s">
        <v>2144</v>
      </c>
      <c r="G132" s="46" t="s">
        <v>2144</v>
      </c>
      <c r="H132" s="46" t="s">
        <v>2144</v>
      </c>
      <c r="I132" s="17">
        <f>SUM(I133:I139)</f>
        <v>0</v>
      </c>
      <c r="J132" s="17">
        <f>SUM(J133:J139)</f>
        <v>0</v>
      </c>
      <c r="K132" s="515">
        <f>SUM(K133:K139)</f>
        <v>0</v>
      </c>
      <c r="L132" s="7" t="s">
        <v>1597</v>
      </c>
      <c r="M132" s="17">
        <f>SUM(M133:M139)</f>
        <v>0.23264749999999998</v>
      </c>
      <c r="N132" s="20" t="s">
        <v>1597</v>
      </c>
      <c r="P132" s="592">
        <f>K132</f>
        <v>0</v>
      </c>
      <c r="Q132" s="592"/>
      <c r="R132" s="592"/>
      <c r="S132" s="592"/>
      <c r="T132" s="592"/>
      <c r="U132" s="592"/>
      <c r="V132" s="592"/>
      <c r="W132" s="592"/>
      <c r="X132" s="592"/>
      <c r="AK132" s="7" t="s">
        <v>1610</v>
      </c>
      <c r="AU132" s="17">
        <f>SUM(AL133:AL139)</f>
        <v>0</v>
      </c>
      <c r="AV132" s="17">
        <f>SUM(AM133:AM139)</f>
        <v>0</v>
      </c>
      <c r="AW132" s="17">
        <f>SUM(AN133:AN139)</f>
        <v>0</v>
      </c>
    </row>
    <row r="133" spans="1:66" ht="15" customHeight="1">
      <c r="A133" s="24" t="s">
        <v>820</v>
      </c>
      <c r="B133" s="12" t="s">
        <v>1610</v>
      </c>
      <c r="C133" s="12" t="s">
        <v>2013</v>
      </c>
      <c r="D133" s="630" t="s">
        <v>166</v>
      </c>
      <c r="E133" s="630"/>
      <c r="F133" s="12" t="s">
        <v>2274</v>
      </c>
      <c r="G133" s="56">
        <v>21</v>
      </c>
      <c r="H133" s="625"/>
      <c r="I133" s="56">
        <f>G133*AQ133</f>
        <v>0</v>
      </c>
      <c r="J133" s="56">
        <f>G133*AR133</f>
        <v>0</v>
      </c>
      <c r="K133" s="56">
        <f>G133*H133</f>
        <v>0</v>
      </c>
      <c r="L133" s="56">
        <v>3.3E-4</v>
      </c>
      <c r="M133" s="56">
        <f>G133*L133</f>
        <v>6.9300000000000004E-3</v>
      </c>
      <c r="N133" s="31" t="s">
        <v>1579</v>
      </c>
      <c r="P133" s="592"/>
      <c r="Q133" s="592"/>
      <c r="R133" s="592"/>
      <c r="S133" s="592"/>
      <c r="T133" s="592"/>
      <c r="U133" s="592"/>
      <c r="V133" s="592"/>
      <c r="W133" s="592"/>
      <c r="X133" s="592"/>
      <c r="AB133" s="56">
        <f>IF(AS133="5",BL133,0)</f>
        <v>0</v>
      </c>
      <c r="AD133" s="56">
        <f>IF(AS133="1",BJ133,0)</f>
        <v>0</v>
      </c>
      <c r="AE133" s="56">
        <f>IF(AS133="1",BK133,0)</f>
        <v>0</v>
      </c>
      <c r="AF133" s="56">
        <f>IF(AS133="7",BJ133,0)</f>
        <v>0</v>
      </c>
      <c r="AG133" s="56">
        <f>IF(AS133="7",BK133,0)</f>
        <v>0</v>
      </c>
      <c r="AH133" s="56">
        <f>IF(AS133="2",BJ133,0)</f>
        <v>0</v>
      </c>
      <c r="AI133" s="56">
        <f>IF(AS133="2",BK133,0)</f>
        <v>0</v>
      </c>
      <c r="AJ133" s="56">
        <f>IF(AS133="0",BL133,0)</f>
        <v>0</v>
      </c>
      <c r="AK133" s="7" t="s">
        <v>1610</v>
      </c>
      <c r="AL133" s="56">
        <f>IF(AP133=0,K133,0)</f>
        <v>0</v>
      </c>
      <c r="AM133" s="56">
        <f>IF(AP133=15,K133,0)</f>
        <v>0</v>
      </c>
      <c r="AN133" s="56">
        <f>IF(AP133=21,K133,0)</f>
        <v>0</v>
      </c>
      <c r="AP133" s="56">
        <v>21</v>
      </c>
      <c r="AQ133" s="88">
        <f>H133*0.732111522713979</f>
        <v>0</v>
      </c>
      <c r="AR133" s="88">
        <f>H133*(1-0.732111522713979)</f>
        <v>0</v>
      </c>
      <c r="AS133" s="21" t="s">
        <v>2311</v>
      </c>
      <c r="AX133" s="56">
        <f>AY133+AZ133</f>
        <v>0</v>
      </c>
      <c r="AY133" s="56">
        <f>G133*AQ133</f>
        <v>0</v>
      </c>
      <c r="AZ133" s="56">
        <f>G133*AR133</f>
        <v>0</v>
      </c>
      <c r="BA133" s="21" t="s">
        <v>2019</v>
      </c>
      <c r="BB133" s="21" t="s">
        <v>2163</v>
      </c>
      <c r="BC133" s="7" t="s">
        <v>1921</v>
      </c>
      <c r="BE133" s="56">
        <f>AY133+AZ133</f>
        <v>0</v>
      </c>
      <c r="BF133" s="56">
        <f>H133/(100-BG133)*100</f>
        <v>0</v>
      </c>
      <c r="BG133" s="56">
        <v>0</v>
      </c>
      <c r="BH133" s="56">
        <f>M133</f>
        <v>6.9300000000000004E-3</v>
      </c>
      <c r="BJ133" s="56">
        <f>G133*AQ133</f>
        <v>0</v>
      </c>
      <c r="BK133" s="56">
        <f>G133*AR133</f>
        <v>0</v>
      </c>
      <c r="BL133" s="56">
        <f>G133*H133</f>
        <v>0</v>
      </c>
      <c r="BM133" s="56"/>
      <c r="BN133" s="56">
        <v>711</v>
      </c>
    </row>
    <row r="134" spans="1:66" ht="15" customHeight="1">
      <c r="A134" s="36"/>
      <c r="D134" s="45" t="s">
        <v>1632</v>
      </c>
      <c r="E134" s="104" t="s">
        <v>1597</v>
      </c>
      <c r="G134" s="13">
        <v>21</v>
      </c>
      <c r="N134" s="19"/>
      <c r="P134" s="592"/>
      <c r="Q134" s="592"/>
      <c r="R134" s="592"/>
      <c r="S134" s="592"/>
      <c r="T134" s="592"/>
      <c r="U134" s="592"/>
      <c r="V134" s="592"/>
      <c r="W134" s="592"/>
      <c r="X134" s="592"/>
    </row>
    <row r="135" spans="1:66" ht="15" customHeight="1">
      <c r="A135" s="24" t="s">
        <v>1856</v>
      </c>
      <c r="B135" s="12" t="s">
        <v>1610</v>
      </c>
      <c r="C135" s="12" t="s">
        <v>817</v>
      </c>
      <c r="D135" s="630" t="s">
        <v>0</v>
      </c>
      <c r="E135" s="630"/>
      <c r="F135" s="12" t="s">
        <v>2274</v>
      </c>
      <c r="G135" s="56">
        <v>4.75</v>
      </c>
      <c r="H135" s="625"/>
      <c r="I135" s="56">
        <f>G135*AQ135</f>
        <v>0</v>
      </c>
      <c r="J135" s="56">
        <f>G135*AR135</f>
        <v>0</v>
      </c>
      <c r="K135" s="56">
        <f>G135*H135</f>
        <v>0</v>
      </c>
      <c r="L135" s="56">
        <v>1.7000000000000001E-4</v>
      </c>
      <c r="M135" s="56">
        <f>G135*L135</f>
        <v>8.0750000000000006E-4</v>
      </c>
      <c r="N135" s="31" t="s">
        <v>1579</v>
      </c>
      <c r="P135" s="592"/>
      <c r="Q135" s="592"/>
      <c r="R135" s="592"/>
      <c r="S135" s="592"/>
      <c r="T135" s="592"/>
      <c r="U135" s="592"/>
      <c r="V135" s="592"/>
      <c r="W135" s="592"/>
      <c r="X135" s="592"/>
      <c r="AB135" s="56">
        <f>IF(AS135="5",BL135,0)</f>
        <v>0</v>
      </c>
      <c r="AD135" s="56">
        <f>IF(AS135="1",BJ135,0)</f>
        <v>0</v>
      </c>
      <c r="AE135" s="56">
        <f>IF(AS135="1",BK135,0)</f>
        <v>0</v>
      </c>
      <c r="AF135" s="56">
        <f>IF(AS135="7",BJ135,0)</f>
        <v>0</v>
      </c>
      <c r="AG135" s="56">
        <f>IF(AS135="7",BK135,0)</f>
        <v>0</v>
      </c>
      <c r="AH135" s="56">
        <f>IF(AS135="2",BJ135,0)</f>
        <v>0</v>
      </c>
      <c r="AI135" s="56">
        <f>IF(AS135="2",BK135,0)</f>
        <v>0</v>
      </c>
      <c r="AJ135" s="56">
        <f>IF(AS135="0",BL135,0)</f>
        <v>0</v>
      </c>
      <c r="AK135" s="7" t="s">
        <v>1610</v>
      </c>
      <c r="AL135" s="56">
        <f>IF(AP135=0,K135,0)</f>
        <v>0</v>
      </c>
      <c r="AM135" s="56">
        <f>IF(AP135=15,K135,0)</f>
        <v>0</v>
      </c>
      <c r="AN135" s="56">
        <f>IF(AP135=21,K135,0)</f>
        <v>0</v>
      </c>
      <c r="AP135" s="56">
        <v>21</v>
      </c>
      <c r="AQ135" s="88">
        <f>H135*0.170440570064385</f>
        <v>0</v>
      </c>
      <c r="AR135" s="88">
        <f>H135*(1-0.170440570064385)</f>
        <v>0</v>
      </c>
      <c r="AS135" s="21" t="s">
        <v>2311</v>
      </c>
      <c r="AX135" s="56">
        <f>AY135+AZ135</f>
        <v>0</v>
      </c>
      <c r="AY135" s="56">
        <f>G135*AQ135</f>
        <v>0</v>
      </c>
      <c r="AZ135" s="56">
        <f>G135*AR135</f>
        <v>0</v>
      </c>
      <c r="BA135" s="21" t="s">
        <v>2019</v>
      </c>
      <c r="BB135" s="21" t="s">
        <v>2163</v>
      </c>
      <c r="BC135" s="7" t="s">
        <v>1921</v>
      </c>
      <c r="BE135" s="56">
        <f>AY135+AZ135</f>
        <v>0</v>
      </c>
      <c r="BF135" s="56">
        <f>H135/(100-BG135)*100</f>
        <v>0</v>
      </c>
      <c r="BG135" s="56">
        <v>0</v>
      </c>
      <c r="BH135" s="56">
        <f>M135</f>
        <v>8.0750000000000006E-4</v>
      </c>
      <c r="BJ135" s="56">
        <f>G135*AQ135</f>
        <v>0</v>
      </c>
      <c r="BK135" s="56">
        <f>G135*AR135</f>
        <v>0</v>
      </c>
      <c r="BL135" s="56">
        <f>G135*H135</f>
        <v>0</v>
      </c>
      <c r="BM135" s="56"/>
      <c r="BN135" s="56">
        <v>711</v>
      </c>
    </row>
    <row r="136" spans="1:66" ht="15" customHeight="1">
      <c r="A136" s="36"/>
      <c r="D136" s="45" t="s">
        <v>2038</v>
      </c>
      <c r="E136" s="104" t="s">
        <v>1597</v>
      </c>
      <c r="G136" s="13">
        <v>4.75</v>
      </c>
      <c r="N136" s="19"/>
      <c r="P136" s="592"/>
      <c r="Q136" s="592"/>
      <c r="R136" s="592"/>
      <c r="S136" s="592"/>
      <c r="T136" s="592"/>
      <c r="U136" s="592"/>
      <c r="V136" s="592"/>
      <c r="W136" s="592"/>
      <c r="X136" s="592"/>
    </row>
    <row r="137" spans="1:66" ht="15" customHeight="1">
      <c r="A137" s="24" t="s">
        <v>2388</v>
      </c>
      <c r="B137" s="12" t="s">
        <v>1610</v>
      </c>
      <c r="C137" s="12" t="s">
        <v>698</v>
      </c>
      <c r="D137" s="630" t="s">
        <v>477</v>
      </c>
      <c r="E137" s="630"/>
      <c r="F137" s="12" t="s">
        <v>2274</v>
      </c>
      <c r="G137" s="56">
        <v>21</v>
      </c>
      <c r="H137" s="625"/>
      <c r="I137" s="56">
        <f>G137*AQ137</f>
        <v>0</v>
      </c>
      <c r="J137" s="56">
        <f>G137*AR137</f>
        <v>0</v>
      </c>
      <c r="K137" s="56">
        <f>G137*H137</f>
        <v>0</v>
      </c>
      <c r="L137" s="56">
        <v>8.1999999999999998E-4</v>
      </c>
      <c r="M137" s="56">
        <f>G137*L137</f>
        <v>1.7219999999999999E-2</v>
      </c>
      <c r="N137" s="31" t="s">
        <v>1579</v>
      </c>
      <c r="P137" s="592"/>
      <c r="Q137" s="592"/>
      <c r="R137" s="592"/>
      <c r="S137" s="592"/>
      <c r="T137" s="592"/>
      <c r="U137" s="592"/>
      <c r="V137" s="592"/>
      <c r="W137" s="592"/>
      <c r="X137" s="592"/>
      <c r="AB137" s="56">
        <f>IF(AS137="5",BL137,0)</f>
        <v>0</v>
      </c>
      <c r="AD137" s="56">
        <f>IF(AS137="1",BJ137,0)</f>
        <v>0</v>
      </c>
      <c r="AE137" s="56">
        <f>IF(AS137="1",BK137,0)</f>
        <v>0</v>
      </c>
      <c r="AF137" s="56">
        <f>IF(AS137="7",BJ137,0)</f>
        <v>0</v>
      </c>
      <c r="AG137" s="56">
        <f>IF(AS137="7",BK137,0)</f>
        <v>0</v>
      </c>
      <c r="AH137" s="56">
        <f>IF(AS137="2",BJ137,0)</f>
        <v>0</v>
      </c>
      <c r="AI137" s="56">
        <f>IF(AS137="2",BK137,0)</f>
        <v>0</v>
      </c>
      <c r="AJ137" s="56">
        <f>IF(AS137="0",BL137,0)</f>
        <v>0</v>
      </c>
      <c r="AK137" s="7" t="s">
        <v>1610</v>
      </c>
      <c r="AL137" s="56">
        <f>IF(AP137=0,K137,0)</f>
        <v>0</v>
      </c>
      <c r="AM137" s="56">
        <f>IF(AP137=15,K137,0)</f>
        <v>0</v>
      </c>
      <c r="AN137" s="56">
        <f>IF(AP137=21,K137,0)</f>
        <v>0</v>
      </c>
      <c r="AP137" s="56">
        <v>21</v>
      </c>
      <c r="AQ137" s="88">
        <f>H137*0.0798368065277389</f>
        <v>0</v>
      </c>
      <c r="AR137" s="88">
        <f>H137*(1-0.0798368065277389)</f>
        <v>0</v>
      </c>
      <c r="AS137" s="21" t="s">
        <v>2311</v>
      </c>
      <c r="AX137" s="56">
        <f>AY137+AZ137</f>
        <v>0</v>
      </c>
      <c r="AY137" s="56">
        <f>G137*AQ137</f>
        <v>0</v>
      </c>
      <c r="AZ137" s="56">
        <f>G137*AR137</f>
        <v>0</v>
      </c>
      <c r="BA137" s="21" t="s">
        <v>2019</v>
      </c>
      <c r="BB137" s="21" t="s">
        <v>2163</v>
      </c>
      <c r="BC137" s="7" t="s">
        <v>1921</v>
      </c>
      <c r="BE137" s="56">
        <f>AY137+AZ137</f>
        <v>0</v>
      </c>
      <c r="BF137" s="56">
        <f>H137/(100-BG137)*100</f>
        <v>0</v>
      </c>
      <c r="BG137" s="56">
        <v>0</v>
      </c>
      <c r="BH137" s="56">
        <f>M137</f>
        <v>1.7219999999999999E-2</v>
      </c>
      <c r="BJ137" s="56">
        <f>G137*AQ137</f>
        <v>0</v>
      </c>
      <c r="BK137" s="56">
        <f>G137*AR137</f>
        <v>0</v>
      </c>
      <c r="BL137" s="56">
        <f>G137*H137</f>
        <v>0</v>
      </c>
      <c r="BM137" s="56"/>
      <c r="BN137" s="56">
        <v>711</v>
      </c>
    </row>
    <row r="138" spans="1:66" ht="15" customHeight="1">
      <c r="A138" s="36"/>
      <c r="D138" s="45" t="s">
        <v>1632</v>
      </c>
      <c r="E138" s="104" t="s">
        <v>1597</v>
      </c>
      <c r="G138" s="13">
        <v>21</v>
      </c>
      <c r="N138" s="19"/>
      <c r="P138" s="592"/>
      <c r="Q138" s="592"/>
      <c r="R138" s="592"/>
      <c r="S138" s="592"/>
      <c r="T138" s="592"/>
      <c r="U138" s="592"/>
      <c r="V138" s="592"/>
      <c r="W138" s="592"/>
      <c r="X138" s="592"/>
    </row>
    <row r="139" spans="1:66" ht="15" customHeight="1">
      <c r="A139" s="8" t="s">
        <v>177</v>
      </c>
      <c r="B139" s="75" t="s">
        <v>1610</v>
      </c>
      <c r="C139" s="75" t="s">
        <v>1472</v>
      </c>
      <c r="D139" s="710" t="s">
        <v>2673</v>
      </c>
      <c r="E139" s="710"/>
      <c r="F139" s="75" t="s">
        <v>2274</v>
      </c>
      <c r="G139" s="80">
        <v>48.3</v>
      </c>
      <c r="H139" s="626"/>
      <c r="I139" s="80">
        <f>G139*AQ139</f>
        <v>0</v>
      </c>
      <c r="J139" s="80">
        <f>G139*AR139</f>
        <v>0</v>
      </c>
      <c r="K139" s="80">
        <f>G139*H139</f>
        <v>0</v>
      </c>
      <c r="L139" s="80">
        <v>4.3E-3</v>
      </c>
      <c r="M139" s="80">
        <f>G139*L139</f>
        <v>0.20768999999999999</v>
      </c>
      <c r="N139" s="38" t="s">
        <v>1579</v>
      </c>
      <c r="P139" s="592"/>
      <c r="Q139" s="592"/>
      <c r="R139" s="592"/>
      <c r="S139" s="592"/>
      <c r="T139" s="592"/>
      <c r="U139" s="592"/>
      <c r="V139" s="592"/>
      <c r="W139" s="592"/>
      <c r="X139" s="592"/>
      <c r="AB139" s="56">
        <f>IF(AS139="5",BL139,0)</f>
        <v>0</v>
      </c>
      <c r="AD139" s="56">
        <f>IF(AS139="1",BJ139,0)</f>
        <v>0</v>
      </c>
      <c r="AE139" s="56">
        <f>IF(AS139="1",BK139,0)</f>
        <v>0</v>
      </c>
      <c r="AF139" s="56">
        <f>IF(AS139="7",BJ139,0)</f>
        <v>0</v>
      </c>
      <c r="AG139" s="56">
        <f>IF(AS139="7",BK139,0)</f>
        <v>0</v>
      </c>
      <c r="AH139" s="56">
        <f>IF(AS139="2",BJ139,0)</f>
        <v>0</v>
      </c>
      <c r="AI139" s="56">
        <f>IF(AS139="2",BK139,0)</f>
        <v>0</v>
      </c>
      <c r="AJ139" s="56">
        <f>IF(AS139="0",BL139,0)</f>
        <v>0</v>
      </c>
      <c r="AK139" s="7" t="s">
        <v>1610</v>
      </c>
      <c r="AL139" s="80">
        <f>IF(AP139=0,K139,0)</f>
        <v>0</v>
      </c>
      <c r="AM139" s="80">
        <f>IF(AP139=15,K139,0)</f>
        <v>0</v>
      </c>
      <c r="AN139" s="80">
        <f>IF(AP139=21,K139,0)</f>
        <v>0</v>
      </c>
      <c r="AP139" s="56">
        <v>21</v>
      </c>
      <c r="AQ139" s="88">
        <f>H139*1</f>
        <v>0</v>
      </c>
      <c r="AR139" s="88">
        <f>H139*(1-1)</f>
        <v>0</v>
      </c>
      <c r="AS139" s="64" t="s">
        <v>2311</v>
      </c>
      <c r="AX139" s="56">
        <f>AY139+AZ139</f>
        <v>0</v>
      </c>
      <c r="AY139" s="56">
        <f>G139*AQ139</f>
        <v>0</v>
      </c>
      <c r="AZ139" s="56">
        <f>G139*AR139</f>
        <v>0</v>
      </c>
      <c r="BA139" s="21" t="s">
        <v>2019</v>
      </c>
      <c r="BB139" s="21" t="s">
        <v>2163</v>
      </c>
      <c r="BC139" s="7" t="s">
        <v>1921</v>
      </c>
      <c r="BE139" s="56">
        <f>AY139+AZ139</f>
        <v>0</v>
      </c>
      <c r="BF139" s="56">
        <f>H139/(100-BG139)*100</f>
        <v>0</v>
      </c>
      <c r="BG139" s="56">
        <v>0</v>
      </c>
      <c r="BH139" s="56">
        <f>M139</f>
        <v>0.20768999999999999</v>
      </c>
      <c r="BJ139" s="80">
        <f>G139*AQ139</f>
        <v>0</v>
      </c>
      <c r="BK139" s="80">
        <f>G139*AR139</f>
        <v>0</v>
      </c>
      <c r="BL139" s="80">
        <f>G139*H139</f>
        <v>0</v>
      </c>
      <c r="BM139" s="80"/>
      <c r="BN139" s="56">
        <v>711</v>
      </c>
    </row>
    <row r="140" spans="1:66" ht="15" customHeight="1">
      <c r="A140" s="36"/>
      <c r="D140" s="45" t="s">
        <v>493</v>
      </c>
      <c r="E140" s="104" t="s">
        <v>1597</v>
      </c>
      <c r="G140" s="13">
        <v>42</v>
      </c>
      <c r="N140" s="19"/>
      <c r="P140" s="592"/>
      <c r="Q140" s="592"/>
      <c r="R140" s="592"/>
      <c r="S140" s="592"/>
      <c r="T140" s="592"/>
      <c r="U140" s="592"/>
      <c r="V140" s="592"/>
      <c r="W140" s="592"/>
      <c r="X140" s="592"/>
    </row>
    <row r="141" spans="1:66" ht="15" customHeight="1">
      <c r="A141" s="36"/>
      <c r="D141" s="45" t="s">
        <v>316</v>
      </c>
      <c r="E141" s="104" t="s">
        <v>1597</v>
      </c>
      <c r="G141" s="13">
        <v>6.3000000000000007</v>
      </c>
      <c r="N141" s="19"/>
      <c r="P141" s="592"/>
      <c r="Q141" s="592"/>
      <c r="R141" s="592"/>
      <c r="S141" s="592"/>
      <c r="T141" s="592"/>
      <c r="U141" s="592"/>
      <c r="V141" s="592"/>
      <c r="W141" s="592"/>
      <c r="X141" s="592"/>
    </row>
    <row r="142" spans="1:66" ht="15" customHeight="1">
      <c r="A142" s="32" t="s">
        <v>1597</v>
      </c>
      <c r="B142" s="26" t="s">
        <v>1610</v>
      </c>
      <c r="C142" s="512" t="s">
        <v>1861</v>
      </c>
      <c r="D142" s="709" t="s">
        <v>1993</v>
      </c>
      <c r="E142" s="709"/>
      <c r="F142" s="46" t="s">
        <v>2144</v>
      </c>
      <c r="G142" s="46" t="s">
        <v>2144</v>
      </c>
      <c r="H142" s="46" t="s">
        <v>2144</v>
      </c>
      <c r="I142" s="17">
        <f>SUM(I143:I150)</f>
        <v>0</v>
      </c>
      <c r="J142" s="17">
        <f>SUM(J143:J150)</f>
        <v>0</v>
      </c>
      <c r="K142" s="515">
        <f>SUM(K143:K150)</f>
        <v>0</v>
      </c>
      <c r="L142" s="7" t="s">
        <v>1597</v>
      </c>
      <c r="M142" s="17">
        <f>SUM(M143:M150)</f>
        <v>6.0270000000000004E-2</v>
      </c>
      <c r="N142" s="20" t="s">
        <v>1597</v>
      </c>
      <c r="P142" s="592">
        <f>K142</f>
        <v>0</v>
      </c>
      <c r="Q142" s="592"/>
      <c r="R142" s="592"/>
      <c r="S142" s="592"/>
      <c r="T142" s="592"/>
      <c r="U142" s="592"/>
      <c r="V142" s="592"/>
      <c r="W142" s="592"/>
      <c r="X142" s="592"/>
      <c r="AK142" s="7" t="s">
        <v>1610</v>
      </c>
      <c r="AU142" s="17">
        <f>SUM(AL143:AL150)</f>
        <v>0</v>
      </c>
      <c r="AV142" s="17">
        <f>SUM(AM143:AM150)</f>
        <v>0</v>
      </c>
      <c r="AW142" s="17">
        <f>SUM(AN143:AN150)</f>
        <v>0</v>
      </c>
    </row>
    <row r="143" spans="1:66" ht="15" customHeight="1">
      <c r="A143" s="24" t="s">
        <v>1798</v>
      </c>
      <c r="B143" s="12" t="s">
        <v>1610</v>
      </c>
      <c r="C143" s="12" t="s">
        <v>1563</v>
      </c>
      <c r="D143" s="630" t="s">
        <v>372</v>
      </c>
      <c r="E143" s="630"/>
      <c r="F143" s="12" t="s">
        <v>2274</v>
      </c>
      <c r="G143" s="56">
        <v>21</v>
      </c>
      <c r="H143" s="625"/>
      <c r="I143" s="56">
        <f>G143*AQ143</f>
        <v>0</v>
      </c>
      <c r="J143" s="56">
        <f>G143*AR143</f>
        <v>0</v>
      </c>
      <c r="K143" s="56">
        <f>G143*H143</f>
        <v>0</v>
      </c>
      <c r="L143" s="56">
        <v>0</v>
      </c>
      <c r="M143" s="56">
        <f>G143*L143</f>
        <v>0</v>
      </c>
      <c r="N143" s="31" t="s">
        <v>1579</v>
      </c>
      <c r="P143" s="592"/>
      <c r="Q143" s="592"/>
      <c r="R143" s="592"/>
      <c r="S143" s="592"/>
      <c r="T143" s="592"/>
      <c r="U143" s="592"/>
      <c r="V143" s="592"/>
      <c r="W143" s="592"/>
      <c r="X143" s="592"/>
      <c r="AB143" s="56">
        <f>IF(AS143="5",BL143,0)</f>
        <v>0</v>
      </c>
      <c r="AD143" s="56">
        <f>IF(AS143="1",BJ143,0)</f>
        <v>0</v>
      </c>
      <c r="AE143" s="56">
        <f>IF(AS143="1",BK143,0)</f>
        <v>0</v>
      </c>
      <c r="AF143" s="56">
        <f>IF(AS143="7",BJ143,0)</f>
        <v>0</v>
      </c>
      <c r="AG143" s="56">
        <f>IF(AS143="7",BK143,0)</f>
        <v>0</v>
      </c>
      <c r="AH143" s="56">
        <f>IF(AS143="2",BJ143,0)</f>
        <v>0</v>
      </c>
      <c r="AI143" s="56">
        <f>IF(AS143="2",BK143,0)</f>
        <v>0</v>
      </c>
      <c r="AJ143" s="56">
        <f>IF(AS143="0",BL143,0)</f>
        <v>0</v>
      </c>
      <c r="AK143" s="7" t="s">
        <v>1610</v>
      </c>
      <c r="AL143" s="56">
        <f>IF(AP143=0,K143,0)</f>
        <v>0</v>
      </c>
      <c r="AM143" s="56">
        <f>IF(AP143=15,K143,0)</f>
        <v>0</v>
      </c>
      <c r="AN143" s="56">
        <f>IF(AP143=21,K143,0)</f>
        <v>0</v>
      </c>
      <c r="AP143" s="56">
        <v>21</v>
      </c>
      <c r="AQ143" s="88">
        <f>H143*0</f>
        <v>0</v>
      </c>
      <c r="AR143" s="88">
        <f>H143*(1-0)</f>
        <v>0</v>
      </c>
      <c r="AS143" s="21" t="s">
        <v>2311</v>
      </c>
      <c r="AX143" s="56">
        <f>AY143+AZ143</f>
        <v>0</v>
      </c>
      <c r="AY143" s="56">
        <f>G143*AQ143</f>
        <v>0</v>
      </c>
      <c r="AZ143" s="56">
        <f>G143*AR143</f>
        <v>0</v>
      </c>
      <c r="BA143" s="21" t="s">
        <v>1804</v>
      </c>
      <c r="BB143" s="21" t="s">
        <v>2163</v>
      </c>
      <c r="BC143" s="7" t="s">
        <v>1921</v>
      </c>
      <c r="BE143" s="56">
        <f>AY143+AZ143</f>
        <v>0</v>
      </c>
      <c r="BF143" s="56">
        <f>H143/(100-BG143)*100</f>
        <v>0</v>
      </c>
      <c r="BG143" s="56">
        <v>0</v>
      </c>
      <c r="BH143" s="56">
        <f>M143</f>
        <v>0</v>
      </c>
      <c r="BJ143" s="56">
        <f>G143*AQ143</f>
        <v>0</v>
      </c>
      <c r="BK143" s="56">
        <f>G143*AR143</f>
        <v>0</v>
      </c>
      <c r="BL143" s="56">
        <f>G143*H143</f>
        <v>0</v>
      </c>
      <c r="BM143" s="56"/>
      <c r="BN143" s="56">
        <v>713</v>
      </c>
    </row>
    <row r="144" spans="1:66" ht="15" customHeight="1">
      <c r="A144" s="36"/>
      <c r="D144" s="45" t="s">
        <v>1632</v>
      </c>
      <c r="E144" s="104" t="s">
        <v>1597</v>
      </c>
      <c r="G144" s="13">
        <v>21</v>
      </c>
      <c r="N144" s="19"/>
      <c r="P144" s="592"/>
      <c r="Q144" s="592"/>
      <c r="R144" s="592"/>
      <c r="S144" s="592"/>
      <c r="T144" s="592"/>
      <c r="U144" s="592"/>
      <c r="V144" s="592"/>
      <c r="W144" s="592"/>
      <c r="X144" s="592"/>
    </row>
    <row r="145" spans="1:66" ht="15" customHeight="1">
      <c r="A145" s="8" t="s">
        <v>1903</v>
      </c>
      <c r="B145" s="75" t="s">
        <v>1610</v>
      </c>
      <c r="C145" s="75" t="s">
        <v>792</v>
      </c>
      <c r="D145" s="710" t="s">
        <v>1433</v>
      </c>
      <c r="E145" s="710"/>
      <c r="F145" s="75" t="s">
        <v>2236</v>
      </c>
      <c r="G145" s="80">
        <v>2.31</v>
      </c>
      <c r="H145" s="626"/>
      <c r="I145" s="80">
        <f>G145*AQ145</f>
        <v>0</v>
      </c>
      <c r="J145" s="80">
        <f>G145*AR145</f>
        <v>0</v>
      </c>
      <c r="K145" s="80">
        <f>G145*H145</f>
        <v>0</v>
      </c>
      <c r="L145" s="80">
        <v>2.5000000000000001E-2</v>
      </c>
      <c r="M145" s="80">
        <f>G145*L145</f>
        <v>5.7750000000000003E-2</v>
      </c>
      <c r="N145" s="38" t="s">
        <v>1579</v>
      </c>
      <c r="P145" s="592"/>
      <c r="Q145" s="592"/>
      <c r="R145" s="592"/>
      <c r="S145" s="592"/>
      <c r="T145" s="592"/>
      <c r="U145" s="592"/>
      <c r="V145" s="592"/>
      <c r="W145" s="592"/>
      <c r="X145" s="592"/>
      <c r="AB145" s="56">
        <f>IF(AS145="5",BL145,0)</f>
        <v>0</v>
      </c>
      <c r="AD145" s="56">
        <f>IF(AS145="1",BJ145,0)</f>
        <v>0</v>
      </c>
      <c r="AE145" s="56">
        <f>IF(AS145="1",BK145,0)</f>
        <v>0</v>
      </c>
      <c r="AF145" s="56">
        <f>IF(AS145="7",BJ145,0)</f>
        <v>0</v>
      </c>
      <c r="AG145" s="56">
        <f>IF(AS145="7",BK145,0)</f>
        <v>0</v>
      </c>
      <c r="AH145" s="56">
        <f>IF(AS145="2",BJ145,0)</f>
        <v>0</v>
      </c>
      <c r="AI145" s="56">
        <f>IF(AS145="2",BK145,0)</f>
        <v>0</v>
      </c>
      <c r="AJ145" s="56">
        <f>IF(AS145="0",BL145,0)</f>
        <v>0</v>
      </c>
      <c r="AK145" s="7" t="s">
        <v>1610</v>
      </c>
      <c r="AL145" s="80">
        <f>IF(AP145=0,K145,0)</f>
        <v>0</v>
      </c>
      <c r="AM145" s="80">
        <f>IF(AP145=15,K145,0)</f>
        <v>0</v>
      </c>
      <c r="AN145" s="80">
        <f>IF(AP145=21,K145,0)</f>
        <v>0</v>
      </c>
      <c r="AP145" s="56">
        <v>21</v>
      </c>
      <c r="AQ145" s="88">
        <f>H145*1</f>
        <v>0</v>
      </c>
      <c r="AR145" s="88">
        <f>H145*(1-1)</f>
        <v>0</v>
      </c>
      <c r="AS145" s="64" t="s">
        <v>2311</v>
      </c>
      <c r="AX145" s="56">
        <f>AY145+AZ145</f>
        <v>0</v>
      </c>
      <c r="AY145" s="56">
        <f>G145*AQ145</f>
        <v>0</v>
      </c>
      <c r="AZ145" s="56">
        <f>G145*AR145</f>
        <v>0</v>
      </c>
      <c r="BA145" s="21" t="s">
        <v>1804</v>
      </c>
      <c r="BB145" s="21" t="s">
        <v>2163</v>
      </c>
      <c r="BC145" s="7" t="s">
        <v>1921</v>
      </c>
      <c r="BE145" s="56">
        <f>AY145+AZ145</f>
        <v>0</v>
      </c>
      <c r="BF145" s="56">
        <f>H145/(100-BG145)*100</f>
        <v>0</v>
      </c>
      <c r="BG145" s="56">
        <v>0</v>
      </c>
      <c r="BH145" s="56">
        <f>M145</f>
        <v>5.7750000000000003E-2</v>
      </c>
      <c r="BJ145" s="80">
        <f>G145*AQ145</f>
        <v>0</v>
      </c>
      <c r="BK145" s="80">
        <f>G145*AR145</f>
        <v>0</v>
      </c>
      <c r="BL145" s="80">
        <f>G145*H145</f>
        <v>0</v>
      </c>
      <c r="BM145" s="80"/>
      <c r="BN145" s="56">
        <v>713</v>
      </c>
    </row>
    <row r="146" spans="1:66" ht="15" customHeight="1">
      <c r="A146" s="36"/>
      <c r="D146" s="45" t="s">
        <v>2397</v>
      </c>
      <c r="E146" s="104" t="s">
        <v>1597</v>
      </c>
      <c r="G146" s="13">
        <v>2.1</v>
      </c>
      <c r="N146" s="19"/>
      <c r="P146" s="592"/>
      <c r="Q146" s="592"/>
      <c r="R146" s="592"/>
      <c r="S146" s="592"/>
      <c r="T146" s="592"/>
      <c r="U146" s="592"/>
      <c r="V146" s="592"/>
      <c r="W146" s="592"/>
      <c r="X146" s="592"/>
    </row>
    <row r="147" spans="1:66" ht="15" customHeight="1">
      <c r="A147" s="36"/>
      <c r="D147" s="45" t="s">
        <v>623</v>
      </c>
      <c r="E147" s="104" t="s">
        <v>1597</v>
      </c>
      <c r="G147" s="13">
        <v>0.21000000000000002</v>
      </c>
      <c r="N147" s="19"/>
      <c r="P147" s="592"/>
      <c r="Q147" s="592"/>
      <c r="R147" s="592"/>
      <c r="S147" s="592"/>
      <c r="T147" s="592"/>
      <c r="U147" s="592"/>
      <c r="V147" s="592"/>
      <c r="W147" s="592"/>
      <c r="X147" s="592"/>
    </row>
    <row r="148" spans="1:66" ht="15" customHeight="1">
      <c r="A148" s="24" t="s">
        <v>977</v>
      </c>
      <c r="B148" s="12" t="s">
        <v>1610</v>
      </c>
      <c r="C148" s="12" t="s">
        <v>1232</v>
      </c>
      <c r="D148" s="630" t="s">
        <v>475</v>
      </c>
      <c r="E148" s="630"/>
      <c r="F148" s="12" t="s">
        <v>2274</v>
      </c>
      <c r="G148" s="56">
        <v>21</v>
      </c>
      <c r="H148" s="625"/>
      <c r="I148" s="56">
        <f>G148*AQ148</f>
        <v>0</v>
      </c>
      <c r="J148" s="56">
        <f>G148*AR148</f>
        <v>0</v>
      </c>
      <c r="K148" s="56">
        <f>G148*H148</f>
        <v>0</v>
      </c>
      <c r="L148" s="56">
        <v>0</v>
      </c>
      <c r="M148" s="56">
        <f>G148*L148</f>
        <v>0</v>
      </c>
      <c r="N148" s="31" t="s">
        <v>1579</v>
      </c>
      <c r="P148" s="592"/>
      <c r="Q148" s="592"/>
      <c r="R148" s="592"/>
      <c r="S148" s="592"/>
      <c r="T148" s="592"/>
      <c r="U148" s="592"/>
      <c r="V148" s="592"/>
      <c r="W148" s="592"/>
      <c r="X148" s="592"/>
      <c r="AB148" s="56">
        <f>IF(AS148="5",BL148,0)</f>
        <v>0</v>
      </c>
      <c r="AD148" s="56">
        <f>IF(AS148="1",BJ148,0)</f>
        <v>0</v>
      </c>
      <c r="AE148" s="56">
        <f>IF(AS148="1",BK148,0)</f>
        <v>0</v>
      </c>
      <c r="AF148" s="56">
        <f>IF(AS148="7",BJ148,0)</f>
        <v>0</v>
      </c>
      <c r="AG148" s="56">
        <f>IF(AS148="7",BK148,0)</f>
        <v>0</v>
      </c>
      <c r="AH148" s="56">
        <f>IF(AS148="2",BJ148,0)</f>
        <v>0</v>
      </c>
      <c r="AI148" s="56">
        <f>IF(AS148="2",BK148,0)</f>
        <v>0</v>
      </c>
      <c r="AJ148" s="56">
        <f>IF(AS148="0",BL148,0)</f>
        <v>0</v>
      </c>
      <c r="AK148" s="7" t="s">
        <v>1610</v>
      </c>
      <c r="AL148" s="56">
        <f>IF(AP148=0,K148,0)</f>
        <v>0</v>
      </c>
      <c r="AM148" s="56">
        <f>IF(AP148=15,K148,0)</f>
        <v>0</v>
      </c>
      <c r="AN148" s="56">
        <f>IF(AP148=21,K148,0)</f>
        <v>0</v>
      </c>
      <c r="AP148" s="56">
        <v>21</v>
      </c>
      <c r="AQ148" s="88">
        <f>H148*0</f>
        <v>0</v>
      </c>
      <c r="AR148" s="88">
        <f>H148*(1-0)</f>
        <v>0</v>
      </c>
      <c r="AS148" s="21" t="s">
        <v>2311</v>
      </c>
      <c r="AX148" s="56">
        <f>AY148+AZ148</f>
        <v>0</v>
      </c>
      <c r="AY148" s="56">
        <f>G148*AQ148</f>
        <v>0</v>
      </c>
      <c r="AZ148" s="56">
        <f>G148*AR148</f>
        <v>0</v>
      </c>
      <c r="BA148" s="21" t="s">
        <v>1804</v>
      </c>
      <c r="BB148" s="21" t="s">
        <v>2163</v>
      </c>
      <c r="BC148" s="7" t="s">
        <v>1921</v>
      </c>
      <c r="BE148" s="56">
        <f>AY148+AZ148</f>
        <v>0</v>
      </c>
      <c r="BF148" s="56">
        <f>H148/(100-BG148)*100</f>
        <v>0</v>
      </c>
      <c r="BG148" s="56">
        <v>0</v>
      </c>
      <c r="BH148" s="56">
        <f>M148</f>
        <v>0</v>
      </c>
      <c r="BJ148" s="56">
        <f>G148*AQ148</f>
        <v>0</v>
      </c>
      <c r="BK148" s="56">
        <f>G148*AR148</f>
        <v>0</v>
      </c>
      <c r="BL148" s="56">
        <f>G148*H148</f>
        <v>0</v>
      </c>
      <c r="BM148" s="56"/>
      <c r="BN148" s="56">
        <v>713</v>
      </c>
    </row>
    <row r="149" spans="1:66" ht="15" customHeight="1">
      <c r="A149" s="36"/>
      <c r="D149" s="45" t="s">
        <v>1632</v>
      </c>
      <c r="E149" s="104" t="s">
        <v>1597</v>
      </c>
      <c r="G149" s="13">
        <v>21</v>
      </c>
      <c r="N149" s="19"/>
      <c r="P149" s="592"/>
      <c r="Q149" s="592"/>
      <c r="R149" s="592"/>
      <c r="S149" s="592"/>
      <c r="T149" s="592"/>
      <c r="U149" s="592"/>
      <c r="V149" s="592"/>
      <c r="W149" s="592"/>
      <c r="X149" s="592"/>
    </row>
    <row r="150" spans="1:66" ht="15" customHeight="1">
      <c r="A150" s="8" t="s">
        <v>960</v>
      </c>
      <c r="B150" s="75" t="s">
        <v>1610</v>
      </c>
      <c r="C150" s="75" t="s">
        <v>462</v>
      </c>
      <c r="D150" s="710" t="s">
        <v>2442</v>
      </c>
      <c r="E150" s="710"/>
      <c r="F150" s="75" t="s">
        <v>2274</v>
      </c>
      <c r="G150" s="80">
        <v>25.2</v>
      </c>
      <c r="H150" s="626"/>
      <c r="I150" s="80">
        <f>G150*AQ150</f>
        <v>0</v>
      </c>
      <c r="J150" s="80">
        <f>G150*AR150</f>
        <v>0</v>
      </c>
      <c r="K150" s="80">
        <f>G150*H150</f>
        <v>0</v>
      </c>
      <c r="L150" s="80">
        <v>1E-4</v>
      </c>
      <c r="M150" s="80">
        <f>G150*L150</f>
        <v>2.5200000000000001E-3</v>
      </c>
      <c r="N150" s="38" t="s">
        <v>1579</v>
      </c>
      <c r="P150" s="592"/>
      <c r="Q150" s="592"/>
      <c r="R150" s="592"/>
      <c r="S150" s="592"/>
      <c r="T150" s="592"/>
      <c r="U150" s="592"/>
      <c r="V150" s="592"/>
      <c r="W150" s="592"/>
      <c r="X150" s="592"/>
      <c r="AB150" s="56">
        <f>IF(AS150="5",BL150,0)</f>
        <v>0</v>
      </c>
      <c r="AD150" s="56">
        <f>IF(AS150="1",BJ150,0)</f>
        <v>0</v>
      </c>
      <c r="AE150" s="56">
        <f>IF(AS150="1",BK150,0)</f>
        <v>0</v>
      </c>
      <c r="AF150" s="56">
        <f>IF(AS150="7",BJ150,0)</f>
        <v>0</v>
      </c>
      <c r="AG150" s="56">
        <f>IF(AS150="7",BK150,0)</f>
        <v>0</v>
      </c>
      <c r="AH150" s="56">
        <f>IF(AS150="2",BJ150,0)</f>
        <v>0</v>
      </c>
      <c r="AI150" s="56">
        <f>IF(AS150="2",BK150,0)</f>
        <v>0</v>
      </c>
      <c r="AJ150" s="56">
        <f>IF(AS150="0",BL150,0)</f>
        <v>0</v>
      </c>
      <c r="AK150" s="7" t="s">
        <v>1610</v>
      </c>
      <c r="AL150" s="80">
        <f>IF(AP150=0,K150,0)</f>
        <v>0</v>
      </c>
      <c r="AM150" s="80">
        <f>IF(AP150=15,K150,0)</f>
        <v>0</v>
      </c>
      <c r="AN150" s="80">
        <f>IF(AP150=21,K150,0)</f>
        <v>0</v>
      </c>
      <c r="AP150" s="56">
        <v>21</v>
      </c>
      <c r="AQ150" s="88">
        <f>H150*1</f>
        <v>0</v>
      </c>
      <c r="AR150" s="88">
        <f>H150*(1-1)</f>
        <v>0</v>
      </c>
      <c r="AS150" s="64" t="s">
        <v>2311</v>
      </c>
      <c r="AX150" s="56">
        <f>AY150+AZ150</f>
        <v>0</v>
      </c>
      <c r="AY150" s="56">
        <f>G150*AQ150</f>
        <v>0</v>
      </c>
      <c r="AZ150" s="56">
        <f>G150*AR150</f>
        <v>0</v>
      </c>
      <c r="BA150" s="21" t="s">
        <v>1804</v>
      </c>
      <c r="BB150" s="21" t="s">
        <v>2163</v>
      </c>
      <c r="BC150" s="7" t="s">
        <v>1921</v>
      </c>
      <c r="BE150" s="56">
        <f>AY150+AZ150</f>
        <v>0</v>
      </c>
      <c r="BF150" s="56">
        <f>H150/(100-BG150)*100</f>
        <v>0</v>
      </c>
      <c r="BG150" s="56">
        <v>0</v>
      </c>
      <c r="BH150" s="56">
        <f>M150</f>
        <v>2.5200000000000001E-3</v>
      </c>
      <c r="BJ150" s="80">
        <f>G150*AQ150</f>
        <v>0</v>
      </c>
      <c r="BK150" s="80">
        <f>G150*AR150</f>
        <v>0</v>
      </c>
      <c r="BL150" s="80">
        <f>G150*H150</f>
        <v>0</v>
      </c>
      <c r="BM150" s="80"/>
      <c r="BN150" s="56">
        <v>713</v>
      </c>
    </row>
    <row r="151" spans="1:66" ht="15" customHeight="1">
      <c r="A151" s="36"/>
      <c r="D151" s="45" t="s">
        <v>1632</v>
      </c>
      <c r="E151" s="104" t="s">
        <v>2619</v>
      </c>
      <c r="G151" s="13">
        <v>21</v>
      </c>
      <c r="N151" s="19"/>
      <c r="P151" s="592"/>
      <c r="Q151" s="592"/>
      <c r="R151" s="592"/>
      <c r="S151" s="592"/>
      <c r="T151" s="592"/>
      <c r="U151" s="592"/>
      <c r="V151" s="592"/>
      <c r="W151" s="592"/>
      <c r="X151" s="592"/>
    </row>
    <row r="152" spans="1:66" ht="15" customHeight="1">
      <c r="A152" s="36"/>
      <c r="D152" s="45" t="s">
        <v>1374</v>
      </c>
      <c r="E152" s="104" t="s">
        <v>1597</v>
      </c>
      <c r="G152" s="13">
        <v>4.2</v>
      </c>
      <c r="N152" s="19"/>
      <c r="P152" s="592"/>
      <c r="Q152" s="592"/>
      <c r="R152" s="592"/>
      <c r="S152" s="592"/>
      <c r="T152" s="592"/>
      <c r="U152" s="592"/>
      <c r="V152" s="592"/>
      <c r="W152" s="592"/>
      <c r="X152" s="592"/>
    </row>
    <row r="153" spans="1:66" ht="15" customHeight="1">
      <c r="A153" s="32" t="s">
        <v>1597</v>
      </c>
      <c r="B153" s="26" t="s">
        <v>1610</v>
      </c>
      <c r="C153" s="512" t="s">
        <v>2556</v>
      </c>
      <c r="D153" s="709" t="s">
        <v>2045</v>
      </c>
      <c r="E153" s="709"/>
      <c r="F153" s="46" t="s">
        <v>2144</v>
      </c>
      <c r="G153" s="46" t="s">
        <v>2144</v>
      </c>
      <c r="H153" s="46" t="s">
        <v>2144</v>
      </c>
      <c r="I153" s="17">
        <f>SUM(I154:I156)</f>
        <v>0</v>
      </c>
      <c r="J153" s="17">
        <f>SUM(J154:J156)</f>
        <v>0</v>
      </c>
      <c r="K153" s="515">
        <f>SUM(K154:K156)</f>
        <v>0</v>
      </c>
      <c r="L153" s="7" t="s">
        <v>1597</v>
      </c>
      <c r="M153" s="17">
        <f>SUM(M154:M156)</f>
        <v>0.54494999999999993</v>
      </c>
      <c r="N153" s="20" t="s">
        <v>1597</v>
      </c>
      <c r="P153" s="592">
        <f>K153</f>
        <v>0</v>
      </c>
      <c r="Q153" s="592"/>
      <c r="R153" s="592"/>
      <c r="S153" s="592"/>
      <c r="T153" s="592"/>
      <c r="U153" s="592"/>
      <c r="V153" s="592"/>
      <c r="W153" s="592"/>
      <c r="X153" s="592"/>
      <c r="AK153" s="7" t="s">
        <v>1610</v>
      </c>
      <c r="AU153" s="17">
        <f>SUM(AL154:AL156)</f>
        <v>0</v>
      </c>
      <c r="AV153" s="17">
        <f>SUM(AM154:AM156)</f>
        <v>0</v>
      </c>
      <c r="AW153" s="17">
        <f>SUM(AN154:AN156)</f>
        <v>0</v>
      </c>
    </row>
    <row r="154" spans="1:66" ht="15" customHeight="1">
      <c r="A154" s="24" t="s">
        <v>1086</v>
      </c>
      <c r="B154" s="12" t="s">
        <v>1610</v>
      </c>
      <c r="C154" s="12" t="s">
        <v>733</v>
      </c>
      <c r="D154" s="630" t="s">
        <v>670</v>
      </c>
      <c r="E154" s="630"/>
      <c r="F154" s="12" t="s">
        <v>2274</v>
      </c>
      <c r="G154" s="56">
        <v>21</v>
      </c>
      <c r="H154" s="625"/>
      <c r="I154" s="56">
        <f>G154*AQ154</f>
        <v>0</v>
      </c>
      <c r="J154" s="56">
        <f>G154*AR154</f>
        <v>0</v>
      </c>
      <c r="K154" s="56">
        <f>G154*H154</f>
        <v>0</v>
      </c>
      <c r="L154" s="56">
        <v>4.8300000000000001E-3</v>
      </c>
      <c r="M154" s="56">
        <f>G154*L154</f>
        <v>0.10143000000000001</v>
      </c>
      <c r="N154" s="31" t="s">
        <v>1579</v>
      </c>
      <c r="P154" s="592"/>
      <c r="Q154" s="592"/>
      <c r="R154" s="592"/>
      <c r="S154" s="592"/>
      <c r="T154" s="592"/>
      <c r="U154" s="592"/>
      <c r="V154" s="592"/>
      <c r="W154" s="592"/>
      <c r="X154" s="592"/>
      <c r="AB154" s="56">
        <f>IF(AS154="5",BL154,0)</f>
        <v>0</v>
      </c>
      <c r="AD154" s="56">
        <f>IF(AS154="1",BJ154,0)</f>
        <v>0</v>
      </c>
      <c r="AE154" s="56">
        <f>IF(AS154="1",BK154,0)</f>
        <v>0</v>
      </c>
      <c r="AF154" s="56">
        <f>IF(AS154="7",BJ154,0)</f>
        <v>0</v>
      </c>
      <c r="AG154" s="56">
        <f>IF(AS154="7",BK154,0)</f>
        <v>0</v>
      </c>
      <c r="AH154" s="56">
        <f>IF(AS154="2",BJ154,0)</f>
        <v>0</v>
      </c>
      <c r="AI154" s="56">
        <f>IF(AS154="2",BK154,0)</f>
        <v>0</v>
      </c>
      <c r="AJ154" s="56">
        <f>IF(AS154="0",BL154,0)</f>
        <v>0</v>
      </c>
      <c r="AK154" s="7" t="s">
        <v>1610</v>
      </c>
      <c r="AL154" s="56">
        <f>IF(AP154=0,K154,0)</f>
        <v>0</v>
      </c>
      <c r="AM154" s="56">
        <f>IF(AP154=15,K154,0)</f>
        <v>0</v>
      </c>
      <c r="AN154" s="56">
        <f>IF(AP154=21,K154,0)</f>
        <v>0</v>
      </c>
      <c r="AP154" s="56">
        <v>21</v>
      </c>
      <c r="AQ154" s="88">
        <f>H154*0.181176470588235</f>
        <v>0</v>
      </c>
      <c r="AR154" s="88">
        <f>H154*(1-0.181176470588235)</f>
        <v>0</v>
      </c>
      <c r="AS154" s="21" t="s">
        <v>2311</v>
      </c>
      <c r="AX154" s="56">
        <f>AY154+AZ154</f>
        <v>0</v>
      </c>
      <c r="AY154" s="56">
        <f>G154*AQ154</f>
        <v>0</v>
      </c>
      <c r="AZ154" s="56">
        <f>G154*AR154</f>
        <v>0</v>
      </c>
      <c r="BA154" s="21" t="s">
        <v>2365</v>
      </c>
      <c r="BB154" s="21" t="s">
        <v>595</v>
      </c>
      <c r="BC154" s="7" t="s">
        <v>1921</v>
      </c>
      <c r="BE154" s="56">
        <f>AY154+AZ154</f>
        <v>0</v>
      </c>
      <c r="BF154" s="56">
        <f>H154/(100-BG154)*100</f>
        <v>0</v>
      </c>
      <c r="BG154" s="56">
        <v>0</v>
      </c>
      <c r="BH154" s="56">
        <f>M154</f>
        <v>0.10143000000000001</v>
      </c>
      <c r="BJ154" s="56">
        <f>G154*AQ154</f>
        <v>0</v>
      </c>
      <c r="BK154" s="56">
        <f>G154*AR154</f>
        <v>0</v>
      </c>
      <c r="BL154" s="56">
        <f>G154*H154</f>
        <v>0</v>
      </c>
      <c r="BM154" s="56"/>
      <c r="BN154" s="56">
        <v>771</v>
      </c>
    </row>
    <row r="155" spans="1:66" ht="15" customHeight="1">
      <c r="A155" s="36"/>
      <c r="D155" s="45" t="s">
        <v>1632</v>
      </c>
      <c r="E155" s="104" t="s">
        <v>331</v>
      </c>
      <c r="G155" s="13">
        <v>21</v>
      </c>
      <c r="N155" s="19"/>
      <c r="P155" s="592"/>
      <c r="Q155" s="592"/>
      <c r="R155" s="592"/>
      <c r="S155" s="592"/>
      <c r="T155" s="592"/>
      <c r="U155" s="592"/>
      <c r="V155" s="592"/>
      <c r="W155" s="592"/>
      <c r="X155" s="592"/>
    </row>
    <row r="156" spans="1:66" ht="15" customHeight="1">
      <c r="A156" s="8" t="s">
        <v>2137</v>
      </c>
      <c r="B156" s="75" t="s">
        <v>1610</v>
      </c>
      <c r="C156" s="75" t="s">
        <v>999</v>
      </c>
      <c r="D156" s="710" t="s">
        <v>1205</v>
      </c>
      <c r="E156" s="710"/>
      <c r="F156" s="75" t="s">
        <v>2274</v>
      </c>
      <c r="G156" s="80">
        <v>23.1</v>
      </c>
      <c r="H156" s="626"/>
      <c r="I156" s="80">
        <f>G156*AQ156</f>
        <v>0</v>
      </c>
      <c r="J156" s="80">
        <f>G156*AR156</f>
        <v>0</v>
      </c>
      <c r="K156" s="80">
        <f>G156*H156</f>
        <v>0</v>
      </c>
      <c r="L156" s="80">
        <v>1.9199999999999998E-2</v>
      </c>
      <c r="M156" s="80">
        <f>G156*L156</f>
        <v>0.44351999999999997</v>
      </c>
      <c r="N156" s="38" t="s">
        <v>1579</v>
      </c>
      <c r="P156" s="592"/>
      <c r="Q156" s="592"/>
      <c r="R156" s="592"/>
      <c r="S156" s="592"/>
      <c r="T156" s="592"/>
      <c r="U156" s="592"/>
      <c r="V156" s="592"/>
      <c r="W156" s="592"/>
      <c r="X156" s="592"/>
      <c r="AB156" s="56">
        <f>IF(AS156="5",BL156,0)</f>
        <v>0</v>
      </c>
      <c r="AD156" s="56">
        <f>IF(AS156="1",BJ156,0)</f>
        <v>0</v>
      </c>
      <c r="AE156" s="56">
        <f>IF(AS156="1",BK156,0)</f>
        <v>0</v>
      </c>
      <c r="AF156" s="56">
        <f>IF(AS156="7",BJ156,0)</f>
        <v>0</v>
      </c>
      <c r="AG156" s="56">
        <f>IF(AS156="7",BK156,0)</f>
        <v>0</v>
      </c>
      <c r="AH156" s="56">
        <f>IF(AS156="2",BJ156,0)</f>
        <v>0</v>
      </c>
      <c r="AI156" s="56">
        <f>IF(AS156="2",BK156,0)</f>
        <v>0</v>
      </c>
      <c r="AJ156" s="56">
        <f>IF(AS156="0",BL156,0)</f>
        <v>0</v>
      </c>
      <c r="AK156" s="7" t="s">
        <v>1610</v>
      </c>
      <c r="AL156" s="80">
        <f>IF(AP156=0,K156,0)</f>
        <v>0</v>
      </c>
      <c r="AM156" s="80">
        <f>IF(AP156=15,K156,0)</f>
        <v>0</v>
      </c>
      <c r="AN156" s="80">
        <f>IF(AP156=21,K156,0)</f>
        <v>0</v>
      </c>
      <c r="AP156" s="56">
        <v>21</v>
      </c>
      <c r="AQ156" s="88">
        <f>H156*1</f>
        <v>0</v>
      </c>
      <c r="AR156" s="88">
        <f>H156*(1-1)</f>
        <v>0</v>
      </c>
      <c r="AS156" s="64" t="s">
        <v>2311</v>
      </c>
      <c r="AX156" s="56">
        <f>AY156+AZ156</f>
        <v>0</v>
      </c>
      <c r="AY156" s="56">
        <f>G156*AQ156</f>
        <v>0</v>
      </c>
      <c r="AZ156" s="56">
        <f>G156*AR156</f>
        <v>0</v>
      </c>
      <c r="BA156" s="21" t="s">
        <v>2365</v>
      </c>
      <c r="BB156" s="21" t="s">
        <v>595</v>
      </c>
      <c r="BC156" s="7" t="s">
        <v>1921</v>
      </c>
      <c r="BE156" s="56">
        <f>AY156+AZ156</f>
        <v>0</v>
      </c>
      <c r="BF156" s="56">
        <f>H156/(100-BG156)*100</f>
        <v>0</v>
      </c>
      <c r="BG156" s="56">
        <v>0</v>
      </c>
      <c r="BH156" s="56">
        <f>M156</f>
        <v>0.44351999999999997</v>
      </c>
      <c r="BJ156" s="80">
        <f>G156*AQ156</f>
        <v>0</v>
      </c>
      <c r="BK156" s="80">
        <f>G156*AR156</f>
        <v>0</v>
      </c>
      <c r="BL156" s="80">
        <f>G156*H156</f>
        <v>0</v>
      </c>
      <c r="BM156" s="80"/>
      <c r="BN156" s="56">
        <v>771</v>
      </c>
    </row>
    <row r="157" spans="1:66" ht="15" customHeight="1">
      <c r="A157" s="36"/>
      <c r="D157" s="45" t="s">
        <v>1632</v>
      </c>
      <c r="E157" s="104" t="s">
        <v>1597</v>
      </c>
      <c r="G157" s="13">
        <v>21</v>
      </c>
      <c r="N157" s="19"/>
      <c r="P157" s="592"/>
      <c r="Q157" s="592"/>
      <c r="R157" s="592"/>
      <c r="S157" s="592"/>
      <c r="T157" s="592"/>
      <c r="U157" s="592"/>
      <c r="V157" s="592"/>
      <c r="W157" s="592"/>
      <c r="X157" s="592"/>
    </row>
    <row r="158" spans="1:66" ht="15" customHeight="1">
      <c r="A158" s="36"/>
      <c r="D158" s="45" t="s">
        <v>1229</v>
      </c>
      <c r="E158" s="104" t="s">
        <v>1597</v>
      </c>
      <c r="G158" s="13">
        <v>2.1</v>
      </c>
      <c r="N158" s="19"/>
      <c r="P158" s="592"/>
      <c r="Q158" s="592"/>
      <c r="R158" s="592"/>
      <c r="S158" s="592"/>
      <c r="T158" s="592"/>
      <c r="U158" s="592"/>
      <c r="V158" s="592"/>
      <c r="W158" s="592"/>
      <c r="X158" s="592"/>
    </row>
    <row r="159" spans="1:66" ht="15" customHeight="1">
      <c r="A159" s="32" t="s">
        <v>1597</v>
      </c>
      <c r="B159" s="26" t="s">
        <v>1610</v>
      </c>
      <c r="C159" s="512" t="s">
        <v>1990</v>
      </c>
      <c r="D159" s="709" t="s">
        <v>2124</v>
      </c>
      <c r="E159" s="709"/>
      <c r="F159" s="46" t="s">
        <v>2144</v>
      </c>
      <c r="G159" s="46" t="s">
        <v>2144</v>
      </c>
      <c r="H159" s="46" t="s">
        <v>2144</v>
      </c>
      <c r="I159" s="17">
        <f>SUM(I160:I160)</f>
        <v>0</v>
      </c>
      <c r="J159" s="17">
        <f>SUM(J160:J160)</f>
        <v>0</v>
      </c>
      <c r="K159" s="515">
        <f>SUM(K160:K160)</f>
        <v>0</v>
      </c>
      <c r="L159" s="7" t="s">
        <v>1597</v>
      </c>
      <c r="M159" s="17">
        <f>SUM(M160:M160)</f>
        <v>0.45192000000000004</v>
      </c>
      <c r="N159" s="20" t="s">
        <v>1597</v>
      </c>
      <c r="P159" s="592">
        <f>K159</f>
        <v>0</v>
      </c>
      <c r="Q159" s="592"/>
      <c r="R159" s="592"/>
      <c r="S159" s="592"/>
      <c r="T159" s="592"/>
      <c r="U159" s="592"/>
      <c r="V159" s="592"/>
      <c r="W159" s="592"/>
      <c r="X159" s="592"/>
      <c r="AK159" s="7" t="s">
        <v>1610</v>
      </c>
      <c r="AU159" s="17">
        <f>SUM(AL160:AL160)</f>
        <v>0</v>
      </c>
      <c r="AV159" s="17">
        <f>SUM(AM160:AM160)</f>
        <v>0</v>
      </c>
      <c r="AW159" s="17">
        <f>SUM(AN160:AN160)</f>
        <v>0</v>
      </c>
    </row>
    <row r="160" spans="1:66" ht="15" customHeight="1">
      <c r="A160" s="24" t="s">
        <v>1517</v>
      </c>
      <c r="B160" s="12" t="s">
        <v>1610</v>
      </c>
      <c r="C160" s="12" t="s">
        <v>2303</v>
      </c>
      <c r="D160" s="630" t="s">
        <v>2674</v>
      </c>
      <c r="E160" s="630"/>
      <c r="F160" s="12" t="s">
        <v>2274</v>
      </c>
      <c r="G160" s="56">
        <v>21</v>
      </c>
      <c r="H160" s="625"/>
      <c r="I160" s="56">
        <f>G160*AQ160</f>
        <v>0</v>
      </c>
      <c r="J160" s="56">
        <f>G160*AR160</f>
        <v>0</v>
      </c>
      <c r="K160" s="56">
        <f>G160*H160</f>
        <v>0</v>
      </c>
      <c r="L160" s="56">
        <v>2.1520000000000001E-2</v>
      </c>
      <c r="M160" s="56">
        <f>G160*L160</f>
        <v>0.45192000000000004</v>
      </c>
      <c r="N160" s="31" t="s">
        <v>1579</v>
      </c>
      <c r="P160" s="592"/>
      <c r="Q160" s="592"/>
      <c r="R160" s="592"/>
      <c r="S160" s="592"/>
      <c r="T160" s="592"/>
      <c r="U160" s="592"/>
      <c r="V160" s="592"/>
      <c r="W160" s="592"/>
      <c r="X160" s="592"/>
      <c r="AB160" s="56">
        <f>IF(AS160="5",BL160,0)</f>
        <v>0</v>
      </c>
      <c r="AD160" s="56">
        <f>IF(AS160="1",BJ160,0)</f>
        <v>0</v>
      </c>
      <c r="AE160" s="56">
        <f>IF(AS160="1",BK160,0)</f>
        <v>0</v>
      </c>
      <c r="AF160" s="56">
        <f>IF(AS160="7",BJ160,0)</f>
        <v>0</v>
      </c>
      <c r="AG160" s="56">
        <f>IF(AS160="7",BK160,0)</f>
        <v>0</v>
      </c>
      <c r="AH160" s="56">
        <f>IF(AS160="2",BJ160,0)</f>
        <v>0</v>
      </c>
      <c r="AI160" s="56">
        <f>IF(AS160="2",BK160,0)</f>
        <v>0</v>
      </c>
      <c r="AJ160" s="56">
        <f>IF(AS160="0",BL160,0)</f>
        <v>0</v>
      </c>
      <c r="AK160" s="7" t="s">
        <v>1610</v>
      </c>
      <c r="AL160" s="56">
        <f>IF(AP160=0,K160,0)</f>
        <v>0</v>
      </c>
      <c r="AM160" s="56">
        <f>IF(AP160=15,K160,0)</f>
        <v>0</v>
      </c>
      <c r="AN160" s="56">
        <f>IF(AP160=21,K160,0)</f>
        <v>0</v>
      </c>
      <c r="AP160" s="56">
        <v>21</v>
      </c>
      <c r="AQ160" s="88">
        <f>H160*0.588585365853659</f>
        <v>0</v>
      </c>
      <c r="AR160" s="88">
        <f>H160*(1-0.588585365853659)</f>
        <v>0</v>
      </c>
      <c r="AS160" s="21" t="s">
        <v>2311</v>
      </c>
      <c r="AX160" s="56">
        <f>AY160+AZ160</f>
        <v>0</v>
      </c>
      <c r="AY160" s="56">
        <f>G160*AQ160</f>
        <v>0</v>
      </c>
      <c r="AZ160" s="56">
        <f>G160*AR160</f>
        <v>0</v>
      </c>
      <c r="BA160" s="21" t="s">
        <v>715</v>
      </c>
      <c r="BB160" s="21" t="s">
        <v>595</v>
      </c>
      <c r="BC160" s="7" t="s">
        <v>1921</v>
      </c>
      <c r="BE160" s="56">
        <f>AY160+AZ160</f>
        <v>0</v>
      </c>
      <c r="BF160" s="56">
        <f>H160/(100-BG160)*100</f>
        <v>0</v>
      </c>
      <c r="BG160" s="56">
        <v>0</v>
      </c>
      <c r="BH160" s="56">
        <f>M160</f>
        <v>0.45192000000000004</v>
      </c>
      <c r="BJ160" s="56">
        <f>G160*AQ160</f>
        <v>0</v>
      </c>
      <c r="BK160" s="56">
        <f>G160*AR160</f>
        <v>0</v>
      </c>
      <c r="BL160" s="56">
        <f>G160*H160</f>
        <v>0</v>
      </c>
      <c r="BM160" s="56"/>
      <c r="BN160" s="56">
        <v>777</v>
      </c>
    </row>
    <row r="161" spans="1:68" ht="15" customHeight="1">
      <c r="A161" s="36"/>
      <c r="D161" s="45" t="s">
        <v>1105</v>
      </c>
      <c r="E161" s="104" t="s">
        <v>2313</v>
      </c>
      <c r="G161" s="13">
        <v>21</v>
      </c>
      <c r="N161" s="19"/>
      <c r="P161" s="592"/>
      <c r="Q161" s="592"/>
      <c r="R161" s="592"/>
      <c r="S161" s="592"/>
      <c r="T161" s="592"/>
      <c r="U161" s="592"/>
      <c r="V161" s="592"/>
      <c r="W161" s="592"/>
      <c r="X161" s="592"/>
    </row>
    <row r="162" spans="1:68" ht="15" customHeight="1">
      <c r="A162" s="32" t="s">
        <v>1597</v>
      </c>
      <c r="B162" s="26" t="s">
        <v>1610</v>
      </c>
      <c r="C162" s="512" t="s">
        <v>1288</v>
      </c>
      <c r="D162" s="709" t="s">
        <v>1720</v>
      </c>
      <c r="E162" s="709"/>
      <c r="F162" s="46" t="s">
        <v>2144</v>
      </c>
      <c r="G162" s="46" t="s">
        <v>2144</v>
      </c>
      <c r="H162" s="46" t="s">
        <v>2144</v>
      </c>
      <c r="I162" s="17">
        <f>SUM(I163:I165)</f>
        <v>0</v>
      </c>
      <c r="J162" s="17">
        <f>SUM(J163:J165)</f>
        <v>0</v>
      </c>
      <c r="K162" s="515">
        <f>SUM(K163:K165)</f>
        <v>0</v>
      </c>
      <c r="L162" s="7" t="s">
        <v>1597</v>
      </c>
      <c r="M162" s="17">
        <f>SUM(M163:M165)</f>
        <v>7.1946000000000003</v>
      </c>
      <c r="N162" s="20" t="s">
        <v>1597</v>
      </c>
      <c r="P162" s="592">
        <f>K162</f>
        <v>0</v>
      </c>
      <c r="Q162" s="592"/>
      <c r="R162" s="592"/>
      <c r="S162" s="592"/>
      <c r="T162" s="592"/>
      <c r="U162" s="592"/>
      <c r="V162" s="592"/>
      <c r="W162" s="592"/>
      <c r="X162" s="592"/>
      <c r="AK162" s="7" t="s">
        <v>1610</v>
      </c>
      <c r="AU162" s="17">
        <f>SUM(AL163:AL165)</f>
        <v>0</v>
      </c>
      <c r="AV162" s="17">
        <f>SUM(AM163:AM165)</f>
        <v>0</v>
      </c>
      <c r="AW162" s="17">
        <f>SUM(AN163:AN165)</f>
        <v>0</v>
      </c>
    </row>
    <row r="163" spans="1:68" ht="15" customHeight="1">
      <c r="A163" s="24" t="s">
        <v>1462</v>
      </c>
      <c r="B163" s="12" t="s">
        <v>1610</v>
      </c>
      <c r="C163" s="12" t="s">
        <v>948</v>
      </c>
      <c r="D163" s="630" t="s">
        <v>593</v>
      </c>
      <c r="E163" s="630"/>
      <c r="F163" s="12" t="s">
        <v>2236</v>
      </c>
      <c r="G163" s="56">
        <v>3.15</v>
      </c>
      <c r="H163" s="625"/>
      <c r="I163" s="56">
        <f>G163*AQ163</f>
        <v>0</v>
      </c>
      <c r="J163" s="56">
        <f>G163*AR163</f>
        <v>0</v>
      </c>
      <c r="K163" s="56">
        <f>G163*H163</f>
        <v>0</v>
      </c>
      <c r="L163" s="56">
        <v>2.2000000000000002</v>
      </c>
      <c r="M163" s="56">
        <f>G163*L163</f>
        <v>6.9300000000000006</v>
      </c>
      <c r="N163" s="31" t="s">
        <v>1579</v>
      </c>
      <c r="P163" s="592"/>
      <c r="Q163" s="592"/>
      <c r="R163" s="592"/>
      <c r="S163" s="592"/>
      <c r="T163" s="592"/>
      <c r="U163" s="592"/>
      <c r="V163" s="592"/>
      <c r="W163" s="592"/>
      <c r="X163" s="592"/>
      <c r="AB163" s="56">
        <f>IF(AS163="5",BL163,0)</f>
        <v>0</v>
      </c>
      <c r="AD163" s="56">
        <f>IF(AS163="1",BJ163,0)</f>
        <v>0</v>
      </c>
      <c r="AE163" s="56">
        <f>IF(AS163="1",BK163,0)</f>
        <v>0</v>
      </c>
      <c r="AF163" s="56">
        <f>IF(AS163="7",BJ163,0)</f>
        <v>0</v>
      </c>
      <c r="AG163" s="56">
        <f>IF(AS163="7",BK163,0)</f>
        <v>0</v>
      </c>
      <c r="AH163" s="56">
        <f>IF(AS163="2",BJ163,0)</f>
        <v>0</v>
      </c>
      <c r="AI163" s="56">
        <f>IF(AS163="2",BK163,0)</f>
        <v>0</v>
      </c>
      <c r="AJ163" s="56">
        <f>IF(AS163="0",BL163,0)</f>
        <v>0</v>
      </c>
      <c r="AK163" s="7" t="s">
        <v>1610</v>
      </c>
      <c r="AL163" s="56">
        <f>IF(AP163=0,K163,0)</f>
        <v>0</v>
      </c>
      <c r="AM163" s="56">
        <f>IF(AP163=15,K163,0)</f>
        <v>0</v>
      </c>
      <c r="AN163" s="56">
        <f>IF(AP163=21,K163,0)</f>
        <v>0</v>
      </c>
      <c r="AP163" s="56">
        <v>21</v>
      </c>
      <c r="AQ163" s="88">
        <f>H163*0</f>
        <v>0</v>
      </c>
      <c r="AR163" s="88">
        <f>H163*(1-0)</f>
        <v>0</v>
      </c>
      <c r="AS163" s="21" t="s">
        <v>2297</v>
      </c>
      <c r="AX163" s="56">
        <f>AY163+AZ163</f>
        <v>0</v>
      </c>
      <c r="AY163" s="56">
        <f>G163*AQ163</f>
        <v>0</v>
      </c>
      <c r="AZ163" s="56">
        <f>G163*AR163</f>
        <v>0</v>
      </c>
      <c r="BA163" s="21" t="s">
        <v>2050</v>
      </c>
      <c r="BB163" s="21" t="s">
        <v>996</v>
      </c>
      <c r="BC163" s="7" t="s">
        <v>1921</v>
      </c>
      <c r="BE163" s="56">
        <f>AY163+AZ163</f>
        <v>0</v>
      </c>
      <c r="BF163" s="56">
        <f>H163/(100-BG163)*100</f>
        <v>0</v>
      </c>
      <c r="BG163" s="56">
        <v>0</v>
      </c>
      <c r="BH163" s="56">
        <f>M163</f>
        <v>6.9300000000000006</v>
      </c>
      <c r="BJ163" s="56">
        <f>G163*AQ163</f>
        <v>0</v>
      </c>
      <c r="BK163" s="56">
        <f>G163*AR163</f>
        <v>0</v>
      </c>
      <c r="BL163" s="56">
        <f>G163*H163</f>
        <v>0</v>
      </c>
      <c r="BM163" s="56"/>
      <c r="BN163" s="56">
        <v>96</v>
      </c>
    </row>
    <row r="164" spans="1:68" ht="15" customHeight="1">
      <c r="A164" s="36"/>
      <c r="D164" s="45" t="s">
        <v>1623</v>
      </c>
      <c r="E164" s="104" t="s">
        <v>2279</v>
      </c>
      <c r="G164" s="13">
        <v>3.1500000000000004</v>
      </c>
      <c r="N164" s="19"/>
      <c r="P164" s="592"/>
      <c r="Q164" s="592"/>
      <c r="R164" s="592"/>
      <c r="S164" s="592"/>
      <c r="T164" s="592"/>
      <c r="U164" s="592"/>
      <c r="V164" s="592"/>
      <c r="W164" s="592"/>
      <c r="X164" s="592"/>
    </row>
    <row r="165" spans="1:68" ht="15" customHeight="1">
      <c r="A165" s="24" t="s">
        <v>2195</v>
      </c>
      <c r="B165" s="12" t="s">
        <v>1610</v>
      </c>
      <c r="C165" s="12" t="s">
        <v>112</v>
      </c>
      <c r="D165" s="630" t="s">
        <v>539</v>
      </c>
      <c r="E165" s="630"/>
      <c r="F165" s="12" t="s">
        <v>2274</v>
      </c>
      <c r="G165" s="56">
        <v>21</v>
      </c>
      <c r="H165" s="625"/>
      <c r="I165" s="56">
        <f>G165*AQ165</f>
        <v>0</v>
      </c>
      <c r="J165" s="56">
        <f>G165*AR165</f>
        <v>0</v>
      </c>
      <c r="K165" s="56">
        <f>G165*H165</f>
        <v>0</v>
      </c>
      <c r="L165" s="56">
        <v>1.26E-2</v>
      </c>
      <c r="M165" s="56">
        <f>G165*L165</f>
        <v>0.2646</v>
      </c>
      <c r="N165" s="31" t="s">
        <v>1579</v>
      </c>
      <c r="P165" s="592"/>
      <c r="Q165" s="592"/>
      <c r="R165" s="592"/>
      <c r="S165" s="592"/>
      <c r="T165" s="592"/>
      <c r="U165" s="592"/>
      <c r="V165" s="592"/>
      <c r="W165" s="592"/>
      <c r="X165" s="592"/>
      <c r="AB165" s="56">
        <f>IF(AS165="5",BL165,0)</f>
        <v>0</v>
      </c>
      <c r="AD165" s="56">
        <f>IF(AS165="1",BJ165,0)</f>
        <v>0</v>
      </c>
      <c r="AE165" s="56">
        <f>IF(AS165="1",BK165,0)</f>
        <v>0</v>
      </c>
      <c r="AF165" s="56">
        <f>IF(AS165="7",BJ165,0)</f>
        <v>0</v>
      </c>
      <c r="AG165" s="56">
        <f>IF(AS165="7",BK165,0)</f>
        <v>0</v>
      </c>
      <c r="AH165" s="56">
        <f>IF(AS165="2",BJ165,0)</f>
        <v>0</v>
      </c>
      <c r="AI165" s="56">
        <f>IF(AS165="2",BK165,0)</f>
        <v>0</v>
      </c>
      <c r="AJ165" s="56">
        <f>IF(AS165="0",BL165,0)</f>
        <v>0</v>
      </c>
      <c r="AK165" s="7" t="s">
        <v>1610</v>
      </c>
      <c r="AL165" s="56">
        <f>IF(AP165=0,K165,0)</f>
        <v>0</v>
      </c>
      <c r="AM165" s="56">
        <f>IF(AP165=15,K165,0)</f>
        <v>0</v>
      </c>
      <c r="AN165" s="56">
        <f>IF(AP165=21,K165,0)</f>
        <v>0</v>
      </c>
      <c r="AP165" s="56">
        <v>21</v>
      </c>
      <c r="AQ165" s="88">
        <f>H165*0</f>
        <v>0</v>
      </c>
      <c r="AR165" s="88">
        <f>H165*(1-0)</f>
        <v>0</v>
      </c>
      <c r="AS165" s="21" t="s">
        <v>2297</v>
      </c>
      <c r="AX165" s="56">
        <f>AY165+AZ165</f>
        <v>0</v>
      </c>
      <c r="AY165" s="56">
        <f>G165*AQ165</f>
        <v>0</v>
      </c>
      <c r="AZ165" s="56">
        <f>G165*AR165</f>
        <v>0</v>
      </c>
      <c r="BA165" s="21" t="s">
        <v>2050</v>
      </c>
      <c r="BB165" s="21" t="s">
        <v>996</v>
      </c>
      <c r="BC165" s="7" t="s">
        <v>1921</v>
      </c>
      <c r="BE165" s="56">
        <f>AY165+AZ165</f>
        <v>0</v>
      </c>
      <c r="BF165" s="56">
        <f>H165/(100-BG165)*100</f>
        <v>0</v>
      </c>
      <c r="BG165" s="56">
        <v>0</v>
      </c>
      <c r="BH165" s="56">
        <f>M165</f>
        <v>0.2646</v>
      </c>
      <c r="BJ165" s="56">
        <f>G165*AQ165</f>
        <v>0</v>
      </c>
      <c r="BK165" s="56">
        <f>G165*AR165</f>
        <v>0</v>
      </c>
      <c r="BL165" s="56">
        <f>G165*H165</f>
        <v>0</v>
      </c>
      <c r="BM165" s="56"/>
      <c r="BN165" s="56">
        <v>96</v>
      </c>
    </row>
    <row r="166" spans="1:68" ht="15" customHeight="1">
      <c r="A166" s="36"/>
      <c r="D166" s="45" t="s">
        <v>1632</v>
      </c>
      <c r="E166" s="104" t="s">
        <v>1148</v>
      </c>
      <c r="G166" s="13">
        <v>21</v>
      </c>
      <c r="N166" s="19"/>
      <c r="P166" s="592"/>
      <c r="Q166" s="592"/>
      <c r="R166" s="592"/>
      <c r="S166" s="592"/>
      <c r="T166" s="592"/>
      <c r="U166" s="592"/>
      <c r="V166" s="592"/>
      <c r="W166" s="592"/>
      <c r="X166" s="592"/>
    </row>
    <row r="167" spans="1:68" ht="15" customHeight="1">
      <c r="A167" s="32" t="s">
        <v>1597</v>
      </c>
      <c r="B167" s="26" t="s">
        <v>1610</v>
      </c>
      <c r="C167" s="529" t="s">
        <v>259</v>
      </c>
      <c r="D167" s="709" t="s">
        <v>2580</v>
      </c>
      <c r="E167" s="709"/>
      <c r="F167" s="12" t="s">
        <v>2144</v>
      </c>
      <c r="G167" s="12" t="s">
        <v>2144</v>
      </c>
      <c r="H167" s="12" t="s">
        <v>2144</v>
      </c>
      <c r="I167" s="14">
        <f>SUM(I168:I168)</f>
        <v>0</v>
      </c>
      <c r="J167" s="14">
        <f>SUM(J168:J168)</f>
        <v>0</v>
      </c>
      <c r="K167" s="557">
        <f>SUM(K168:K168)</f>
        <v>0</v>
      </c>
      <c r="L167" s="7" t="s">
        <v>1597</v>
      </c>
      <c r="M167" s="17">
        <f>SUM(M168:M168)</f>
        <v>3.036</v>
      </c>
      <c r="N167" s="20" t="s">
        <v>1597</v>
      </c>
      <c r="P167" s="592"/>
      <c r="Q167" s="592">
        <f>K167</f>
        <v>0</v>
      </c>
      <c r="R167" s="592"/>
      <c r="S167" s="592"/>
      <c r="T167" s="592"/>
      <c r="U167" s="592"/>
      <c r="V167" s="592"/>
      <c r="W167" s="592"/>
      <c r="X167" s="592"/>
      <c r="AK167" s="7" t="s">
        <v>1610</v>
      </c>
      <c r="AU167" s="17">
        <f>SUM(AL168:AL168)</f>
        <v>0</v>
      </c>
      <c r="AV167" s="17">
        <f>SUM(AM168:AM168)</f>
        <v>0</v>
      </c>
      <c r="AW167" s="17">
        <f>SUM(AN168:AN168)</f>
        <v>0</v>
      </c>
    </row>
    <row r="168" spans="1:68" ht="15" customHeight="1">
      <c r="A168" s="24" t="s">
        <v>1352</v>
      </c>
      <c r="B168" s="507" t="s">
        <v>1610</v>
      </c>
      <c r="C168" s="527" t="s">
        <v>1819</v>
      </c>
      <c r="D168" s="715" t="s">
        <v>171</v>
      </c>
      <c r="E168" s="715"/>
      <c r="F168" s="12" t="s">
        <v>2274</v>
      </c>
      <c r="G168" s="56">
        <v>66</v>
      </c>
      <c r="H168" s="625"/>
      <c r="I168" s="56">
        <f>G168*AQ168</f>
        <v>0</v>
      </c>
      <c r="J168" s="56">
        <f>G168*AR168</f>
        <v>0</v>
      </c>
      <c r="K168" s="56">
        <f>G168*H168</f>
        <v>0</v>
      </c>
      <c r="L168" s="56">
        <v>4.5999999999999999E-2</v>
      </c>
      <c r="M168" s="56">
        <f>G168*L168</f>
        <v>3.036</v>
      </c>
      <c r="N168" s="31" t="s">
        <v>1579</v>
      </c>
      <c r="P168" s="592"/>
      <c r="Q168" s="592"/>
      <c r="R168" s="592"/>
      <c r="S168" s="592"/>
      <c r="T168" s="592"/>
      <c r="U168" s="592"/>
      <c r="V168" s="592"/>
      <c r="W168" s="592"/>
      <c r="X168" s="592"/>
      <c r="AB168" s="56">
        <f>IF(AS168="5",BL168,0)</f>
        <v>0</v>
      </c>
      <c r="AD168" s="56">
        <f>IF(AS168="1",BJ168,0)</f>
        <v>0</v>
      </c>
      <c r="AE168" s="56">
        <f>IF(AS168="1",BK168,0)</f>
        <v>0</v>
      </c>
      <c r="AF168" s="56">
        <f>IF(AS168="7",BJ168,0)</f>
        <v>0</v>
      </c>
      <c r="AG168" s="56">
        <f>IF(AS168="7",BK168,0)</f>
        <v>0</v>
      </c>
      <c r="AH168" s="56">
        <f>IF(AS168="2",BJ168,0)</f>
        <v>0</v>
      </c>
      <c r="AI168" s="56">
        <f>IF(AS168="2",BK168,0)</f>
        <v>0</v>
      </c>
      <c r="AJ168" s="56">
        <f>IF(AS168="0",BL168,0)</f>
        <v>0</v>
      </c>
      <c r="AK168" s="7" t="s">
        <v>1610</v>
      </c>
      <c r="AL168" s="56">
        <f>IF(AP168=0,K168,0)</f>
        <v>0</v>
      </c>
      <c r="AM168" s="56">
        <f>IF(AP168=15,K168,0)</f>
        <v>0</v>
      </c>
      <c r="AN168" s="56">
        <f>IF(AP168=21,K168,0)</f>
        <v>0</v>
      </c>
      <c r="AP168" s="56">
        <v>21</v>
      </c>
      <c r="AQ168" s="88">
        <f>H168*0</f>
        <v>0</v>
      </c>
      <c r="AR168" s="88">
        <f>H168*(1-0)</f>
        <v>0</v>
      </c>
      <c r="AS168" s="21" t="s">
        <v>2297</v>
      </c>
      <c r="AX168" s="56">
        <f>AY168+AZ168</f>
        <v>0</v>
      </c>
      <c r="AY168" s="56">
        <f>G168*AQ168</f>
        <v>0</v>
      </c>
      <c r="AZ168" s="56">
        <f>G168*AR168</f>
        <v>0</v>
      </c>
      <c r="BA168" s="21" t="s">
        <v>725</v>
      </c>
      <c r="BB168" s="21" t="s">
        <v>996</v>
      </c>
      <c r="BC168" s="7" t="s">
        <v>1921</v>
      </c>
      <c r="BE168" s="56">
        <f>AY168+AZ168</f>
        <v>0</v>
      </c>
      <c r="BF168" s="56">
        <f>H168/(100-BG168)*100</f>
        <v>0</v>
      </c>
      <c r="BG168" s="56">
        <v>0</v>
      </c>
      <c r="BH168" s="56">
        <f>M168</f>
        <v>3.036</v>
      </c>
      <c r="BJ168" s="56">
        <f>G168*AQ168</f>
        <v>0</v>
      </c>
      <c r="BK168" s="56">
        <f>G168*AR168</f>
        <v>0</v>
      </c>
      <c r="BL168" s="56">
        <f>G168*H168</f>
        <v>0</v>
      </c>
      <c r="BM168" s="56"/>
      <c r="BN168" s="56">
        <v>97</v>
      </c>
    </row>
    <row r="169" spans="1:68" ht="15" customHeight="1">
      <c r="A169" s="36"/>
      <c r="D169" s="45" t="s">
        <v>1318</v>
      </c>
      <c r="E169" s="104" t="s">
        <v>1885</v>
      </c>
      <c r="G169" s="13">
        <v>45.000000000000007</v>
      </c>
      <c r="N169" s="19"/>
      <c r="P169" s="592"/>
      <c r="Q169" s="592"/>
      <c r="R169" s="592"/>
      <c r="S169" s="592"/>
      <c r="T169" s="592"/>
      <c r="U169" s="592"/>
      <c r="V169" s="592"/>
      <c r="W169" s="592"/>
      <c r="X169" s="592"/>
    </row>
    <row r="170" spans="1:68" ht="15" customHeight="1">
      <c r="A170" s="36"/>
      <c r="D170" s="45" t="s">
        <v>1632</v>
      </c>
      <c r="E170" s="104" t="s">
        <v>2435</v>
      </c>
      <c r="G170" s="13">
        <v>21</v>
      </c>
      <c r="N170" s="19"/>
      <c r="P170" s="592"/>
      <c r="Q170" s="592"/>
      <c r="R170" s="592"/>
      <c r="S170" s="592"/>
      <c r="T170" s="592"/>
      <c r="U170" s="592"/>
      <c r="V170" s="592"/>
      <c r="W170" s="592"/>
      <c r="X170" s="592"/>
    </row>
    <row r="171" spans="1:68" ht="15" customHeight="1">
      <c r="A171" s="32" t="s">
        <v>1597</v>
      </c>
      <c r="B171" s="26" t="s">
        <v>1610</v>
      </c>
      <c r="C171" s="529" t="s">
        <v>1494</v>
      </c>
      <c r="D171" s="709" t="s">
        <v>1414</v>
      </c>
      <c r="E171" s="709"/>
      <c r="F171" s="46" t="s">
        <v>2144</v>
      </c>
      <c r="G171" s="46" t="s">
        <v>2144</v>
      </c>
      <c r="H171" s="46" t="s">
        <v>2144</v>
      </c>
      <c r="I171" s="17">
        <f>SUM(I172:I172)</f>
        <v>0</v>
      </c>
      <c r="J171" s="17">
        <f>SUM(J172:J172)</f>
        <v>0</v>
      </c>
      <c r="K171" s="530">
        <f>SUM(K172:K172)</f>
        <v>0</v>
      </c>
      <c r="L171" s="7" t="s">
        <v>1597</v>
      </c>
      <c r="M171" s="17">
        <f>SUM(M172:M172)</f>
        <v>0</v>
      </c>
      <c r="N171" s="20" t="s">
        <v>1597</v>
      </c>
      <c r="P171" s="592"/>
      <c r="Q171" s="592">
        <f>K171</f>
        <v>0</v>
      </c>
      <c r="R171" s="592"/>
      <c r="S171" s="592"/>
      <c r="T171" s="592"/>
      <c r="U171" s="592"/>
      <c r="V171" s="592"/>
      <c r="W171" s="592"/>
      <c r="X171" s="592"/>
      <c r="AK171" s="7" t="s">
        <v>1610</v>
      </c>
      <c r="AU171" s="17">
        <f>SUM(AL172:AL172)</f>
        <v>0</v>
      </c>
      <c r="AV171" s="17">
        <f>SUM(AM172:AM172)</f>
        <v>0</v>
      </c>
      <c r="AW171" s="17">
        <f>SUM(AN172:AN172)</f>
        <v>0</v>
      </c>
    </row>
    <row r="172" spans="1:68" ht="15" customHeight="1">
      <c r="A172" s="24" t="s">
        <v>1053</v>
      </c>
      <c r="B172" s="12" t="s">
        <v>1610</v>
      </c>
      <c r="C172" s="12" t="s">
        <v>607</v>
      </c>
      <c r="D172" s="630" t="s">
        <v>429</v>
      </c>
      <c r="E172" s="630"/>
      <c r="F172" s="12" t="s">
        <v>1074</v>
      </c>
      <c r="G172" s="56">
        <v>16.87</v>
      </c>
      <c r="H172" s="625"/>
      <c r="I172" s="56">
        <f>G172*AQ172</f>
        <v>0</v>
      </c>
      <c r="J172" s="56">
        <f>G172*AR172</f>
        <v>0</v>
      </c>
      <c r="K172" s="56">
        <f>G172*H172</f>
        <v>0</v>
      </c>
      <c r="L172" s="56">
        <v>0</v>
      </c>
      <c r="M172" s="56">
        <f>G172*L172</f>
        <v>0</v>
      </c>
      <c r="N172" s="31" t="s">
        <v>1579</v>
      </c>
      <c r="P172" s="592"/>
      <c r="Q172" s="592"/>
      <c r="R172" s="592"/>
      <c r="S172" s="592"/>
      <c r="T172" s="592"/>
      <c r="U172" s="592"/>
      <c r="V172" s="592"/>
      <c r="W172" s="592"/>
      <c r="X172" s="592"/>
      <c r="AB172" s="56">
        <f>IF(AS172="5",BL172,0)</f>
        <v>0</v>
      </c>
      <c r="AD172" s="56">
        <f>IF(AS172="1",BJ172,0)</f>
        <v>0</v>
      </c>
      <c r="AE172" s="56">
        <f>IF(AS172="1",BK172,0)</f>
        <v>0</v>
      </c>
      <c r="AF172" s="56">
        <f>IF(AS172="7",BJ172,0)</f>
        <v>0</v>
      </c>
      <c r="AG172" s="56">
        <f>IF(AS172="7",BK172,0)</f>
        <v>0</v>
      </c>
      <c r="AH172" s="56">
        <f>IF(AS172="2",BJ172,0)</f>
        <v>0</v>
      </c>
      <c r="AI172" s="56">
        <f>IF(AS172="2",BK172,0)</f>
        <v>0</v>
      </c>
      <c r="AJ172" s="56">
        <f>IF(AS172="0",BL172,0)</f>
        <v>0</v>
      </c>
      <c r="AK172" s="7" t="s">
        <v>1610</v>
      </c>
      <c r="AL172" s="56">
        <f>IF(AP172=0,K172,0)</f>
        <v>0</v>
      </c>
      <c r="AM172" s="56">
        <f>IF(AP172=15,K172,0)</f>
        <v>0</v>
      </c>
      <c r="AN172" s="56">
        <f>IF(AP172=21,K172,0)</f>
        <v>0</v>
      </c>
      <c r="AP172" s="56">
        <v>21</v>
      </c>
      <c r="AQ172" s="88">
        <f>H172*0</f>
        <v>0</v>
      </c>
      <c r="AR172" s="88">
        <f>H172*(1-0)</f>
        <v>0</v>
      </c>
      <c r="AS172" s="21" t="s">
        <v>1227</v>
      </c>
      <c r="AX172" s="56">
        <f>AY172+AZ172</f>
        <v>0</v>
      </c>
      <c r="AY172" s="56">
        <f>G172*AQ172</f>
        <v>0</v>
      </c>
      <c r="AZ172" s="56">
        <f>G172*AR172</f>
        <v>0</v>
      </c>
      <c r="BA172" s="21" t="s">
        <v>2353</v>
      </c>
      <c r="BB172" s="21" t="s">
        <v>996</v>
      </c>
      <c r="BC172" s="7" t="s">
        <v>1921</v>
      </c>
      <c r="BE172" s="56">
        <f>AY172+AZ172</f>
        <v>0</v>
      </c>
      <c r="BF172" s="56">
        <f>H172/(100-BG172)*100</f>
        <v>0</v>
      </c>
      <c r="BG172" s="56">
        <v>0</v>
      </c>
      <c r="BH172" s="56">
        <f>M172</f>
        <v>0</v>
      </c>
      <c r="BJ172" s="56">
        <f>G172*AQ172</f>
        <v>0</v>
      </c>
      <c r="BK172" s="56">
        <f>G172*AR172</f>
        <v>0</v>
      </c>
      <c r="BL172" s="56">
        <f>G172*H172</f>
        <v>0</v>
      </c>
      <c r="BM172" s="56"/>
      <c r="BN172" s="56"/>
    </row>
    <row r="173" spans="1:68" ht="15" customHeight="1">
      <c r="A173" s="36"/>
      <c r="D173" s="45" t="s">
        <v>1775</v>
      </c>
      <c r="E173" s="104" t="s">
        <v>1597</v>
      </c>
      <c r="G173" s="13">
        <v>16.87</v>
      </c>
      <c r="N173" s="19"/>
      <c r="P173" s="592"/>
      <c r="Q173" s="592"/>
      <c r="R173" s="592"/>
      <c r="S173" s="592"/>
      <c r="T173" s="592"/>
      <c r="U173" s="592"/>
      <c r="V173" s="592"/>
      <c r="W173" s="592"/>
      <c r="X173" s="592"/>
    </row>
    <row r="174" spans="1:68" ht="15" customHeight="1">
      <c r="A174" s="32" t="s">
        <v>1597</v>
      </c>
      <c r="B174" s="26" t="s">
        <v>1610</v>
      </c>
      <c r="C174" s="553" t="s">
        <v>765</v>
      </c>
      <c r="D174" s="709" t="s">
        <v>985</v>
      </c>
      <c r="E174" s="709"/>
      <c r="F174" s="46" t="s">
        <v>2144</v>
      </c>
      <c r="G174" s="46" t="s">
        <v>2144</v>
      </c>
      <c r="H174" s="46" t="s">
        <v>2144</v>
      </c>
      <c r="I174" s="17">
        <f>SUM(I175:I181)</f>
        <v>0</v>
      </c>
      <c r="J174" s="17">
        <f>SUM(J175:J181)</f>
        <v>0</v>
      </c>
      <c r="K174" s="554">
        <f>SUM(K175:K181)</f>
        <v>0</v>
      </c>
      <c r="L174" s="7" t="s">
        <v>1597</v>
      </c>
      <c r="M174" s="17">
        <f>SUM(M175:M181)</f>
        <v>0</v>
      </c>
      <c r="N174" s="20" t="s">
        <v>1597</v>
      </c>
      <c r="P174" s="592"/>
      <c r="Q174" s="592"/>
      <c r="R174" s="592" t="e">
        <f>K174*(SUM(P107:P171)/(K106-K174))</f>
        <v>#DIV/0!</v>
      </c>
      <c r="S174" s="592" t="e">
        <f>K174*(SUM(Q107:Q171)/(K106-K174))</f>
        <v>#DIV/0!</v>
      </c>
      <c r="T174" s="592"/>
      <c r="U174" s="592"/>
      <c r="V174" s="592"/>
      <c r="W174" s="592"/>
      <c r="X174" s="592"/>
      <c r="AK174" s="7" t="s">
        <v>1610</v>
      </c>
      <c r="AU174" s="17">
        <f>SUM(AL175:AL181)</f>
        <v>0</v>
      </c>
      <c r="AV174" s="17">
        <f>SUM(AM175:AM181)</f>
        <v>0</v>
      </c>
      <c r="AW174" s="17">
        <f>SUM(AN175:AN181)</f>
        <v>0</v>
      </c>
      <c r="BP174" s="592" t="e">
        <f>SUM(P174:X174)</f>
        <v>#DIV/0!</v>
      </c>
    </row>
    <row r="175" spans="1:68" ht="15" customHeight="1">
      <c r="A175" s="24" t="s">
        <v>269</v>
      </c>
      <c r="B175" s="12" t="s">
        <v>1610</v>
      </c>
      <c r="C175" s="12" t="s">
        <v>2354</v>
      </c>
      <c r="D175" s="630" t="s">
        <v>599</v>
      </c>
      <c r="E175" s="630"/>
      <c r="F175" s="12" t="s">
        <v>1074</v>
      </c>
      <c r="G175" s="56">
        <v>10.23</v>
      </c>
      <c r="H175" s="625"/>
      <c r="I175" s="56">
        <f>G175*AQ175</f>
        <v>0</v>
      </c>
      <c r="J175" s="56">
        <f>G175*AR175</f>
        <v>0</v>
      </c>
      <c r="K175" s="56">
        <f>G175*H175</f>
        <v>0</v>
      </c>
      <c r="L175" s="56">
        <v>0</v>
      </c>
      <c r="M175" s="56">
        <f>G175*L175</f>
        <v>0</v>
      </c>
      <c r="N175" s="31" t="s">
        <v>1579</v>
      </c>
      <c r="P175" s="592"/>
      <c r="Q175" s="592"/>
      <c r="R175" s="592"/>
      <c r="S175" s="592"/>
      <c r="T175" s="592"/>
      <c r="U175" s="592"/>
      <c r="V175" s="592"/>
      <c r="W175" s="592"/>
      <c r="X175" s="592"/>
      <c r="AB175" s="56">
        <f>IF(AS175="5",BL175,0)</f>
        <v>0</v>
      </c>
      <c r="AD175" s="56">
        <f>IF(AS175="1",BJ175,0)</f>
        <v>0</v>
      </c>
      <c r="AE175" s="56">
        <f>IF(AS175="1",BK175,0)</f>
        <v>0</v>
      </c>
      <c r="AF175" s="56">
        <f>IF(AS175="7",BJ175,0)</f>
        <v>0</v>
      </c>
      <c r="AG175" s="56">
        <f>IF(AS175="7",BK175,0)</f>
        <v>0</v>
      </c>
      <c r="AH175" s="56">
        <f>IF(AS175="2",BJ175,0)</f>
        <v>0</v>
      </c>
      <c r="AI175" s="56">
        <f>IF(AS175="2",BK175,0)</f>
        <v>0</v>
      </c>
      <c r="AJ175" s="56">
        <f>IF(AS175="0",BL175,0)</f>
        <v>0</v>
      </c>
      <c r="AK175" s="7" t="s">
        <v>1610</v>
      </c>
      <c r="AL175" s="56">
        <f>IF(AP175=0,K175,0)</f>
        <v>0</v>
      </c>
      <c r="AM175" s="56">
        <f>IF(AP175=15,K175,0)</f>
        <v>0</v>
      </c>
      <c r="AN175" s="56">
        <f>IF(AP175=21,K175,0)</f>
        <v>0</v>
      </c>
      <c r="AP175" s="56">
        <v>21</v>
      </c>
      <c r="AQ175" s="88">
        <f>H175*0</f>
        <v>0</v>
      </c>
      <c r="AR175" s="88">
        <f>H175*(1-0)</f>
        <v>0</v>
      </c>
      <c r="AS175" s="21" t="s">
        <v>1227</v>
      </c>
      <c r="AX175" s="56">
        <f>AY175+AZ175</f>
        <v>0</v>
      </c>
      <c r="AY175" s="56">
        <f>G175*AQ175</f>
        <v>0</v>
      </c>
      <c r="AZ175" s="56">
        <f>G175*AR175</f>
        <v>0</v>
      </c>
      <c r="BA175" s="21" t="s">
        <v>942</v>
      </c>
      <c r="BB175" s="21" t="s">
        <v>996</v>
      </c>
      <c r="BC175" s="7" t="s">
        <v>1921</v>
      </c>
      <c r="BE175" s="56">
        <f>AY175+AZ175</f>
        <v>0</v>
      </c>
      <c r="BF175" s="56">
        <f>H175/(100-BG175)*100</f>
        <v>0</v>
      </c>
      <c r="BG175" s="56">
        <v>0</v>
      </c>
      <c r="BH175" s="56">
        <f>M175</f>
        <v>0</v>
      </c>
      <c r="BJ175" s="56">
        <f>G175*AQ175</f>
        <v>0</v>
      </c>
      <c r="BK175" s="56">
        <f>G175*AR175</f>
        <v>0</v>
      </c>
      <c r="BL175" s="56">
        <f>G175*H175</f>
        <v>0</v>
      </c>
      <c r="BM175" s="56"/>
      <c r="BN175" s="56"/>
    </row>
    <row r="176" spans="1:68" ht="15" customHeight="1">
      <c r="A176" s="36"/>
      <c r="D176" s="45" t="s">
        <v>2317</v>
      </c>
      <c r="E176" s="104" t="s">
        <v>1597</v>
      </c>
      <c r="G176" s="13">
        <v>10.23</v>
      </c>
      <c r="N176" s="19"/>
      <c r="P176" s="592"/>
      <c r="Q176" s="592"/>
      <c r="R176" s="592"/>
      <c r="S176" s="592"/>
      <c r="T176" s="592"/>
      <c r="U176" s="592"/>
      <c r="V176" s="592"/>
      <c r="W176" s="592"/>
      <c r="X176" s="592"/>
    </row>
    <row r="177" spans="1:66" ht="15" customHeight="1">
      <c r="A177" s="24" t="s">
        <v>1676</v>
      </c>
      <c r="B177" s="12" t="s">
        <v>1610</v>
      </c>
      <c r="C177" s="12" t="s">
        <v>625</v>
      </c>
      <c r="D177" s="630" t="s">
        <v>1711</v>
      </c>
      <c r="E177" s="630"/>
      <c r="F177" s="12" t="s">
        <v>1074</v>
      </c>
      <c r="G177" s="56">
        <v>10.23</v>
      </c>
      <c r="H177" s="625"/>
      <c r="I177" s="56">
        <f>G177*AQ177</f>
        <v>0</v>
      </c>
      <c r="J177" s="56">
        <f>G177*AR177</f>
        <v>0</v>
      </c>
      <c r="K177" s="56">
        <f>G177*H177</f>
        <v>0</v>
      </c>
      <c r="L177" s="56">
        <v>0</v>
      </c>
      <c r="M177" s="56">
        <f>G177*L177</f>
        <v>0</v>
      </c>
      <c r="N177" s="31" t="s">
        <v>1579</v>
      </c>
      <c r="P177" s="592"/>
      <c r="Q177" s="592"/>
      <c r="R177" s="592"/>
      <c r="S177" s="592"/>
      <c r="T177" s="592"/>
      <c r="U177" s="592"/>
      <c r="V177" s="592"/>
      <c r="W177" s="592"/>
      <c r="X177" s="592"/>
      <c r="AB177" s="56">
        <f>IF(AS177="5",BL177,0)</f>
        <v>0</v>
      </c>
      <c r="AD177" s="56">
        <f>IF(AS177="1",BJ177,0)</f>
        <v>0</v>
      </c>
      <c r="AE177" s="56">
        <f>IF(AS177="1",BK177,0)</f>
        <v>0</v>
      </c>
      <c r="AF177" s="56">
        <f>IF(AS177="7",BJ177,0)</f>
        <v>0</v>
      </c>
      <c r="AG177" s="56">
        <f>IF(AS177="7",BK177,0)</f>
        <v>0</v>
      </c>
      <c r="AH177" s="56">
        <f>IF(AS177="2",BJ177,0)</f>
        <v>0</v>
      </c>
      <c r="AI177" s="56">
        <f>IF(AS177="2",BK177,0)</f>
        <v>0</v>
      </c>
      <c r="AJ177" s="56">
        <f>IF(AS177="0",BL177,0)</f>
        <v>0</v>
      </c>
      <c r="AK177" s="7" t="s">
        <v>1610</v>
      </c>
      <c r="AL177" s="56">
        <f>IF(AP177=0,K177,0)</f>
        <v>0</v>
      </c>
      <c r="AM177" s="56">
        <f>IF(AP177=15,K177,0)</f>
        <v>0</v>
      </c>
      <c r="AN177" s="56">
        <f>IF(AP177=21,K177,0)</f>
        <v>0</v>
      </c>
      <c r="AP177" s="56">
        <v>21</v>
      </c>
      <c r="AQ177" s="88">
        <f>H177*0</f>
        <v>0</v>
      </c>
      <c r="AR177" s="88">
        <f>H177*(1-0)</f>
        <v>0</v>
      </c>
      <c r="AS177" s="21" t="s">
        <v>1227</v>
      </c>
      <c r="AX177" s="56">
        <f>AY177+AZ177</f>
        <v>0</v>
      </c>
      <c r="AY177" s="56">
        <f>G177*AQ177</f>
        <v>0</v>
      </c>
      <c r="AZ177" s="56">
        <f>G177*AR177</f>
        <v>0</v>
      </c>
      <c r="BA177" s="21" t="s">
        <v>942</v>
      </c>
      <c r="BB177" s="21" t="s">
        <v>996</v>
      </c>
      <c r="BC177" s="7" t="s">
        <v>1921</v>
      </c>
      <c r="BE177" s="56">
        <f>AY177+AZ177</f>
        <v>0</v>
      </c>
      <c r="BF177" s="56">
        <f>H177/(100-BG177)*100</f>
        <v>0</v>
      </c>
      <c r="BG177" s="56">
        <v>0</v>
      </c>
      <c r="BH177" s="56">
        <f>M177</f>
        <v>0</v>
      </c>
      <c r="BJ177" s="56">
        <f>G177*AQ177</f>
        <v>0</v>
      </c>
      <c r="BK177" s="56">
        <f>G177*AR177</f>
        <v>0</v>
      </c>
      <c r="BL177" s="56">
        <f>G177*H177</f>
        <v>0</v>
      </c>
      <c r="BM177" s="56"/>
      <c r="BN177" s="56"/>
    </row>
    <row r="178" spans="1:66" ht="15" customHeight="1">
      <c r="A178" s="36"/>
      <c r="D178" s="45" t="s">
        <v>450</v>
      </c>
      <c r="E178" s="104" t="s">
        <v>1182</v>
      </c>
      <c r="G178" s="13">
        <v>10.23</v>
      </c>
      <c r="N178" s="19"/>
      <c r="P178" s="592"/>
      <c r="Q178" s="592"/>
      <c r="R178" s="592"/>
      <c r="S178" s="592"/>
      <c r="T178" s="592"/>
      <c r="U178" s="592"/>
      <c r="V178" s="592"/>
      <c r="W178" s="592"/>
      <c r="X178" s="592"/>
    </row>
    <row r="179" spans="1:66" ht="15" customHeight="1">
      <c r="A179" s="24" t="s">
        <v>2593</v>
      </c>
      <c r="B179" s="12" t="s">
        <v>1610</v>
      </c>
      <c r="C179" s="12" t="s">
        <v>341</v>
      </c>
      <c r="D179" s="630" t="s">
        <v>1016</v>
      </c>
      <c r="E179" s="630"/>
      <c r="F179" s="12" t="s">
        <v>1074</v>
      </c>
      <c r="G179" s="56">
        <v>153.44999999999999</v>
      </c>
      <c r="H179" s="625"/>
      <c r="I179" s="56">
        <f>G179*AQ179</f>
        <v>0</v>
      </c>
      <c r="J179" s="56">
        <f>G179*AR179</f>
        <v>0</v>
      </c>
      <c r="K179" s="56">
        <f>G179*H179</f>
        <v>0</v>
      </c>
      <c r="L179" s="56">
        <v>0</v>
      </c>
      <c r="M179" s="56">
        <f>G179*L179</f>
        <v>0</v>
      </c>
      <c r="N179" s="31" t="s">
        <v>1579</v>
      </c>
      <c r="P179" s="592"/>
      <c r="Q179" s="592"/>
      <c r="R179" s="592"/>
      <c r="S179" s="592"/>
      <c r="T179" s="592"/>
      <c r="U179" s="592"/>
      <c r="V179" s="592"/>
      <c r="W179" s="592"/>
      <c r="X179" s="592"/>
      <c r="AB179" s="56">
        <f>IF(AS179="5",BL179,0)</f>
        <v>0</v>
      </c>
      <c r="AD179" s="56">
        <f>IF(AS179="1",BJ179,0)</f>
        <v>0</v>
      </c>
      <c r="AE179" s="56">
        <f>IF(AS179="1",BK179,0)</f>
        <v>0</v>
      </c>
      <c r="AF179" s="56">
        <f>IF(AS179="7",BJ179,0)</f>
        <v>0</v>
      </c>
      <c r="AG179" s="56">
        <f>IF(AS179="7",BK179,0)</f>
        <v>0</v>
      </c>
      <c r="AH179" s="56">
        <f>IF(AS179="2",BJ179,0)</f>
        <v>0</v>
      </c>
      <c r="AI179" s="56">
        <f>IF(AS179="2",BK179,0)</f>
        <v>0</v>
      </c>
      <c r="AJ179" s="56">
        <f>IF(AS179="0",BL179,0)</f>
        <v>0</v>
      </c>
      <c r="AK179" s="7" t="s">
        <v>1610</v>
      </c>
      <c r="AL179" s="56">
        <f>IF(AP179=0,K179,0)</f>
        <v>0</v>
      </c>
      <c r="AM179" s="56">
        <f>IF(AP179=15,K179,0)</f>
        <v>0</v>
      </c>
      <c r="AN179" s="56">
        <f>IF(AP179=21,K179,0)</f>
        <v>0</v>
      </c>
      <c r="AP179" s="56">
        <v>21</v>
      </c>
      <c r="AQ179" s="88">
        <f>H179*0</f>
        <v>0</v>
      </c>
      <c r="AR179" s="88">
        <f>H179*(1-0)</f>
        <v>0</v>
      </c>
      <c r="AS179" s="21" t="s">
        <v>1227</v>
      </c>
      <c r="AX179" s="56">
        <f>AY179+AZ179</f>
        <v>0</v>
      </c>
      <c r="AY179" s="56">
        <f>G179*AQ179</f>
        <v>0</v>
      </c>
      <c r="AZ179" s="56">
        <f>G179*AR179</f>
        <v>0</v>
      </c>
      <c r="BA179" s="21" t="s">
        <v>942</v>
      </c>
      <c r="BB179" s="21" t="s">
        <v>996</v>
      </c>
      <c r="BC179" s="7" t="s">
        <v>1921</v>
      </c>
      <c r="BE179" s="56">
        <f>AY179+AZ179</f>
        <v>0</v>
      </c>
      <c r="BF179" s="56">
        <f>H179/(100-BG179)*100</f>
        <v>0</v>
      </c>
      <c r="BG179" s="56">
        <v>0</v>
      </c>
      <c r="BH179" s="56">
        <f>M179</f>
        <v>0</v>
      </c>
      <c r="BJ179" s="56">
        <f>G179*AQ179</f>
        <v>0</v>
      </c>
      <c r="BK179" s="56">
        <f>G179*AR179</f>
        <v>0</v>
      </c>
      <c r="BL179" s="56">
        <f>G179*H179</f>
        <v>0</v>
      </c>
      <c r="BM179" s="56"/>
      <c r="BN179" s="56"/>
    </row>
    <row r="180" spans="1:66" ht="15" customHeight="1">
      <c r="A180" s="36"/>
      <c r="D180" s="45" t="s">
        <v>1872</v>
      </c>
      <c r="E180" s="104" t="s">
        <v>1597</v>
      </c>
      <c r="G180" s="13">
        <v>153.45000000000002</v>
      </c>
      <c r="N180" s="19"/>
      <c r="P180" s="592"/>
      <c r="Q180" s="592"/>
      <c r="R180" s="592"/>
      <c r="S180" s="592"/>
      <c r="T180" s="592"/>
      <c r="U180" s="592"/>
      <c r="V180" s="592"/>
      <c r="W180" s="592"/>
      <c r="X180" s="592"/>
    </row>
    <row r="181" spans="1:66" ht="15" customHeight="1">
      <c r="A181" s="24" t="s">
        <v>525</v>
      </c>
      <c r="B181" s="12" t="s">
        <v>1610</v>
      </c>
      <c r="C181" s="12" t="s">
        <v>783</v>
      </c>
      <c r="D181" s="630" t="s">
        <v>1870</v>
      </c>
      <c r="E181" s="630"/>
      <c r="F181" s="12" t="s">
        <v>1074</v>
      </c>
      <c r="G181" s="56">
        <v>10.23</v>
      </c>
      <c r="H181" s="625"/>
      <c r="I181" s="56">
        <f>G181*AQ181</f>
        <v>0</v>
      </c>
      <c r="J181" s="56">
        <f>G181*AR181</f>
        <v>0</v>
      </c>
      <c r="K181" s="56">
        <f>G181*H181</f>
        <v>0</v>
      </c>
      <c r="L181" s="56">
        <v>0</v>
      </c>
      <c r="M181" s="56">
        <f>G181*L181</f>
        <v>0</v>
      </c>
      <c r="N181" s="31" t="s">
        <v>1579</v>
      </c>
      <c r="P181" s="592"/>
      <c r="Q181" s="592"/>
      <c r="R181" s="592"/>
      <c r="S181" s="592"/>
      <c r="T181" s="592"/>
      <c r="U181" s="592"/>
      <c r="V181" s="592"/>
      <c r="W181" s="592"/>
      <c r="X181" s="592"/>
      <c r="AB181" s="56">
        <f>IF(AS181="5",BL181,0)</f>
        <v>0</v>
      </c>
      <c r="AD181" s="56">
        <f>IF(AS181="1",BJ181,0)</f>
        <v>0</v>
      </c>
      <c r="AE181" s="56">
        <f>IF(AS181="1",BK181,0)</f>
        <v>0</v>
      </c>
      <c r="AF181" s="56">
        <f>IF(AS181="7",BJ181,0)</f>
        <v>0</v>
      </c>
      <c r="AG181" s="56">
        <f>IF(AS181="7",BK181,0)</f>
        <v>0</v>
      </c>
      <c r="AH181" s="56">
        <f>IF(AS181="2",BJ181,0)</f>
        <v>0</v>
      </c>
      <c r="AI181" s="56">
        <f>IF(AS181="2",BK181,0)</f>
        <v>0</v>
      </c>
      <c r="AJ181" s="56">
        <f>IF(AS181="0",BL181,0)</f>
        <v>0</v>
      </c>
      <c r="AK181" s="7" t="s">
        <v>1610</v>
      </c>
      <c r="AL181" s="56">
        <f>IF(AP181=0,K181,0)</f>
        <v>0</v>
      </c>
      <c r="AM181" s="56">
        <f>IF(AP181=15,K181,0)</f>
        <v>0</v>
      </c>
      <c r="AN181" s="56">
        <f>IF(AP181=21,K181,0)</f>
        <v>0</v>
      </c>
      <c r="AP181" s="56">
        <v>21</v>
      </c>
      <c r="AQ181" s="88">
        <f>H181*0</f>
        <v>0</v>
      </c>
      <c r="AR181" s="88">
        <f>H181*(1-0)</f>
        <v>0</v>
      </c>
      <c r="AS181" s="21" t="s">
        <v>1227</v>
      </c>
      <c r="AX181" s="56">
        <f>AY181+AZ181</f>
        <v>0</v>
      </c>
      <c r="AY181" s="56">
        <f>G181*AQ181</f>
        <v>0</v>
      </c>
      <c r="AZ181" s="56">
        <f>G181*AR181</f>
        <v>0</v>
      </c>
      <c r="BA181" s="21" t="s">
        <v>942</v>
      </c>
      <c r="BB181" s="21" t="s">
        <v>996</v>
      </c>
      <c r="BC181" s="7" t="s">
        <v>1921</v>
      </c>
      <c r="BE181" s="56">
        <f>AY181+AZ181</f>
        <v>0</v>
      </c>
      <c r="BF181" s="56">
        <f>H181/(100-BG181)*100</f>
        <v>0</v>
      </c>
      <c r="BG181" s="56">
        <v>0</v>
      </c>
      <c r="BH181" s="56">
        <f>M181</f>
        <v>0</v>
      </c>
      <c r="BJ181" s="56">
        <f>G181*AQ181</f>
        <v>0</v>
      </c>
      <c r="BK181" s="56">
        <f>G181*AR181</f>
        <v>0</v>
      </c>
      <c r="BL181" s="56">
        <f>G181*H181</f>
        <v>0</v>
      </c>
      <c r="BM181" s="56"/>
      <c r="BN181" s="56"/>
    </row>
    <row r="182" spans="1:66" ht="15" customHeight="1">
      <c r="A182" s="36"/>
      <c r="D182" s="45" t="s">
        <v>450</v>
      </c>
      <c r="E182" s="104" t="s">
        <v>1597</v>
      </c>
      <c r="G182" s="13">
        <v>10.23</v>
      </c>
      <c r="N182" s="19"/>
      <c r="P182" s="592"/>
      <c r="Q182" s="592"/>
      <c r="R182" s="592"/>
      <c r="S182" s="592"/>
      <c r="T182" s="592"/>
      <c r="U182" s="592"/>
      <c r="V182" s="592"/>
      <c r="W182" s="592"/>
      <c r="X182" s="592"/>
    </row>
    <row r="183" spans="1:66" ht="15" customHeight="1">
      <c r="A183" s="67" t="s">
        <v>1597</v>
      </c>
      <c r="B183" s="65" t="s">
        <v>1746</v>
      </c>
      <c r="C183" s="511" t="s">
        <v>1597</v>
      </c>
      <c r="D183" s="708" t="s">
        <v>1420</v>
      </c>
      <c r="E183" s="708"/>
      <c r="F183" s="78" t="s">
        <v>2144</v>
      </c>
      <c r="G183" s="78" t="s">
        <v>2144</v>
      </c>
      <c r="H183" s="78" t="s">
        <v>2144</v>
      </c>
      <c r="I183" s="11">
        <f>I184+I192+I195+I202+I205+I228+I233+I245+I267+I294+I312+I316+I319+I333+I336+I414+I448+I479+I503+I514+I553+I609+I639+I645+I654+I665+I668+I673+I684+I687+I690+I693+I696+I699+I702+I705+I708+I711+I714+I717+I720+I723</f>
        <v>0</v>
      </c>
      <c r="J183" s="11">
        <f>J184+J192+J195+J202+J205+J228+J233+J245+J267+J294+J312+J316+J319+J333+J336+J414+J448+J479+J503+J514+J553+J609+J639+J645+J654+J665+J668+J673+J684+J687+J690+J693+J696+J699+J702+J705+J708+J711+J714+J717+J720+J723</f>
        <v>0</v>
      </c>
      <c r="K183" s="516">
        <f>K184+K192+K195+K202+K205+K228+K233+K245+K267+K294+K312+K316+K319+K333+K336+K414+K448+K479+K503+K514+K553+K609+K639+K645+K654+K665+K668+K673+K684+K687+K690+K693+K696+K699+K702+K705+K708+K711+K714+K717+K720+K723</f>
        <v>0</v>
      </c>
      <c r="L183" s="44" t="s">
        <v>1597</v>
      </c>
      <c r="M183" s="11">
        <f>M184+M192+M195+M202+M205+M228+M233+M245+M267+M294+M312+M316+M319+M333+M336+M414+M448+M479+M503+M514+M553+M609+M639+M645+M654+M665+M668+M673+M684+M687+M690+M693+M696+M699+M702+M705+M708+M711+M714+M717+M720+M723</f>
        <v>961.56724929999996</v>
      </c>
      <c r="N183" s="5" t="s">
        <v>1597</v>
      </c>
      <c r="P183" s="592"/>
      <c r="Q183" s="592"/>
      <c r="R183" s="592"/>
      <c r="S183" s="592"/>
      <c r="T183" s="592"/>
      <c r="U183" s="592"/>
      <c r="V183" s="592"/>
      <c r="W183" s="592"/>
      <c r="X183" s="592"/>
    </row>
    <row r="184" spans="1:66" ht="15" customHeight="1">
      <c r="A184" s="32" t="s">
        <v>1597</v>
      </c>
      <c r="B184" s="26" t="s">
        <v>1746</v>
      </c>
      <c r="C184" s="512" t="s">
        <v>668</v>
      </c>
      <c r="D184" s="709" t="s">
        <v>16</v>
      </c>
      <c r="E184" s="709"/>
      <c r="F184" s="46" t="s">
        <v>2144</v>
      </c>
      <c r="G184" s="46" t="s">
        <v>2144</v>
      </c>
      <c r="H184" s="46" t="s">
        <v>2144</v>
      </c>
      <c r="I184" s="17">
        <f>SUM(I185:I188)</f>
        <v>0</v>
      </c>
      <c r="J184" s="17">
        <f>SUM(J185:J188)</f>
        <v>0</v>
      </c>
      <c r="K184" s="515">
        <f>SUM(K185:K188)</f>
        <v>0</v>
      </c>
      <c r="L184" s="7" t="s">
        <v>1597</v>
      </c>
      <c r="M184" s="17">
        <f>SUM(M185:M188)</f>
        <v>0</v>
      </c>
      <c r="N184" s="20" t="s">
        <v>1597</v>
      </c>
      <c r="P184" s="592">
        <f>K184</f>
        <v>0</v>
      </c>
      <c r="Q184" s="592"/>
      <c r="R184" s="592"/>
      <c r="S184" s="592"/>
      <c r="T184" s="592"/>
      <c r="U184" s="592"/>
      <c r="V184" s="592"/>
      <c r="W184" s="592"/>
      <c r="X184" s="592"/>
      <c r="AK184" s="7" t="s">
        <v>1746</v>
      </c>
      <c r="AU184" s="17">
        <f>SUM(AL185:AL188)</f>
        <v>0</v>
      </c>
      <c r="AV184" s="17">
        <f>SUM(AM185:AM188)</f>
        <v>0</v>
      </c>
      <c r="AW184" s="17">
        <f>SUM(AN185:AN188)</f>
        <v>0</v>
      </c>
    </row>
    <row r="185" spans="1:66" ht="15" customHeight="1">
      <c r="A185" s="24" t="s">
        <v>1135</v>
      </c>
      <c r="B185" s="12" t="s">
        <v>1746</v>
      </c>
      <c r="C185" s="12" t="s">
        <v>1224</v>
      </c>
      <c r="D185" s="630" t="s">
        <v>278</v>
      </c>
      <c r="E185" s="630"/>
      <c r="F185" s="12" t="s">
        <v>2236</v>
      </c>
      <c r="G185" s="56">
        <v>365</v>
      </c>
      <c r="H185" s="625"/>
      <c r="I185" s="56">
        <f>G185*AQ185</f>
        <v>0</v>
      </c>
      <c r="J185" s="56">
        <f>G185*AR185</f>
        <v>0</v>
      </c>
      <c r="K185" s="56">
        <f>G185*H185</f>
        <v>0</v>
      </c>
      <c r="L185" s="56">
        <v>0</v>
      </c>
      <c r="M185" s="56">
        <f>G185*L185</f>
        <v>0</v>
      </c>
      <c r="N185" s="31" t="s">
        <v>1579</v>
      </c>
      <c r="P185" s="592"/>
      <c r="Q185" s="592"/>
      <c r="R185" s="592"/>
      <c r="S185" s="592"/>
      <c r="T185" s="592"/>
      <c r="U185" s="592"/>
      <c r="V185" s="592"/>
      <c r="W185" s="592"/>
      <c r="X185" s="592"/>
      <c r="AB185" s="56">
        <f>IF(AS185="5",BL185,0)</f>
        <v>0</v>
      </c>
      <c r="AD185" s="56">
        <f>IF(AS185="1",BJ185,0)</f>
        <v>0</v>
      </c>
      <c r="AE185" s="56">
        <f>IF(AS185="1",BK185,0)</f>
        <v>0</v>
      </c>
      <c r="AF185" s="56">
        <f>IF(AS185="7",BJ185,0)</f>
        <v>0</v>
      </c>
      <c r="AG185" s="56">
        <f>IF(AS185="7",BK185,0)</f>
        <v>0</v>
      </c>
      <c r="AH185" s="56">
        <f>IF(AS185="2",BJ185,0)</f>
        <v>0</v>
      </c>
      <c r="AI185" s="56">
        <f>IF(AS185="2",BK185,0)</f>
        <v>0</v>
      </c>
      <c r="AJ185" s="56">
        <f>IF(AS185="0",BL185,0)</f>
        <v>0</v>
      </c>
      <c r="AK185" s="7" t="s">
        <v>1746</v>
      </c>
      <c r="AL185" s="56">
        <f>IF(AP185=0,K185,0)</f>
        <v>0</v>
      </c>
      <c r="AM185" s="56">
        <f>IF(AP185=15,K185,0)</f>
        <v>0</v>
      </c>
      <c r="AN185" s="56">
        <f>IF(AP185=21,K185,0)</f>
        <v>0</v>
      </c>
      <c r="AP185" s="56">
        <v>21</v>
      </c>
      <c r="AQ185" s="88">
        <f>H185*0</f>
        <v>0</v>
      </c>
      <c r="AR185" s="88">
        <f>H185*(1-0)</f>
        <v>0</v>
      </c>
      <c r="AS185" s="21" t="s">
        <v>2297</v>
      </c>
      <c r="AX185" s="56">
        <f>AY185+AZ185</f>
        <v>0</v>
      </c>
      <c r="AY185" s="56">
        <f>G185*AQ185</f>
        <v>0</v>
      </c>
      <c r="AZ185" s="56">
        <f>G185*AR185</f>
        <v>0</v>
      </c>
      <c r="BA185" s="21" t="s">
        <v>2092</v>
      </c>
      <c r="BB185" s="21" t="s">
        <v>1888</v>
      </c>
      <c r="BC185" s="7" t="s">
        <v>1747</v>
      </c>
      <c r="BE185" s="56">
        <f>AY185+AZ185</f>
        <v>0</v>
      </c>
      <c r="BF185" s="56">
        <f>H185/(100-BG185)*100</f>
        <v>0</v>
      </c>
      <c r="BG185" s="56">
        <v>0</v>
      </c>
      <c r="BH185" s="56">
        <f>M185</f>
        <v>0</v>
      </c>
      <c r="BJ185" s="56">
        <f>G185*AQ185</f>
        <v>0</v>
      </c>
      <c r="BK185" s="56">
        <f>G185*AR185</f>
        <v>0</v>
      </c>
      <c r="BL185" s="56">
        <f>G185*H185</f>
        <v>0</v>
      </c>
      <c r="BM185" s="56"/>
      <c r="BN185" s="56">
        <v>13</v>
      </c>
    </row>
    <row r="186" spans="1:66" ht="15" customHeight="1">
      <c r="A186" s="36"/>
      <c r="D186" s="45" t="s">
        <v>2461</v>
      </c>
      <c r="E186" s="104" t="s">
        <v>1184</v>
      </c>
      <c r="G186" s="13">
        <v>80.580000000000013</v>
      </c>
      <c r="N186" s="19"/>
      <c r="P186" s="592"/>
      <c r="Q186" s="592"/>
      <c r="R186" s="592"/>
      <c r="S186" s="592"/>
      <c r="T186" s="592"/>
      <c r="U186" s="592"/>
      <c r="V186" s="592"/>
      <c r="W186" s="592"/>
      <c r="X186" s="592"/>
    </row>
    <row r="187" spans="1:66" ht="15" customHeight="1">
      <c r="A187" s="36"/>
      <c r="D187" s="45" t="s">
        <v>2371</v>
      </c>
      <c r="E187" s="104" t="s">
        <v>1793</v>
      </c>
      <c r="G187" s="13">
        <v>284.42</v>
      </c>
      <c r="N187" s="19"/>
      <c r="P187" s="592"/>
      <c r="Q187" s="592"/>
      <c r="R187" s="592"/>
      <c r="S187" s="592"/>
      <c r="T187" s="592"/>
      <c r="U187" s="592"/>
      <c r="V187" s="592"/>
      <c r="W187" s="592"/>
      <c r="X187" s="592"/>
    </row>
    <row r="188" spans="1:66" ht="15" customHeight="1">
      <c r="A188" s="24" t="s">
        <v>2577</v>
      </c>
      <c r="B188" s="12" t="s">
        <v>1746</v>
      </c>
      <c r="C188" s="12" t="s">
        <v>1979</v>
      </c>
      <c r="D188" s="630" t="s">
        <v>1175</v>
      </c>
      <c r="E188" s="630"/>
      <c r="F188" s="12" t="s">
        <v>2236</v>
      </c>
      <c r="G188" s="56">
        <v>16.53</v>
      </c>
      <c r="H188" s="625"/>
      <c r="I188" s="56">
        <f>G188*AQ188</f>
        <v>0</v>
      </c>
      <c r="J188" s="56">
        <f>G188*AR188</f>
        <v>0</v>
      </c>
      <c r="K188" s="56">
        <f>G188*H188</f>
        <v>0</v>
      </c>
      <c r="L188" s="56">
        <v>0</v>
      </c>
      <c r="M188" s="56">
        <f>G188*L188</f>
        <v>0</v>
      </c>
      <c r="N188" s="31" t="s">
        <v>1579</v>
      </c>
      <c r="P188" s="592"/>
      <c r="Q188" s="592"/>
      <c r="R188" s="592"/>
      <c r="S188" s="592"/>
      <c r="T188" s="592"/>
      <c r="U188" s="592"/>
      <c r="V188" s="592"/>
      <c r="W188" s="592"/>
      <c r="X188" s="592"/>
      <c r="AB188" s="56">
        <f>IF(AS188="5",BL188,0)</f>
        <v>0</v>
      </c>
      <c r="AD188" s="56">
        <f>IF(AS188="1",BJ188,0)</f>
        <v>0</v>
      </c>
      <c r="AE188" s="56">
        <f>IF(AS188="1",BK188,0)</f>
        <v>0</v>
      </c>
      <c r="AF188" s="56">
        <f>IF(AS188="7",BJ188,0)</f>
        <v>0</v>
      </c>
      <c r="AG188" s="56">
        <f>IF(AS188="7",BK188,0)</f>
        <v>0</v>
      </c>
      <c r="AH188" s="56">
        <f>IF(AS188="2",BJ188,0)</f>
        <v>0</v>
      </c>
      <c r="AI188" s="56">
        <f>IF(AS188="2",BK188,0)</f>
        <v>0</v>
      </c>
      <c r="AJ188" s="56">
        <f>IF(AS188="0",BL188,0)</f>
        <v>0</v>
      </c>
      <c r="AK188" s="7" t="s">
        <v>1746</v>
      </c>
      <c r="AL188" s="56">
        <f>IF(AP188=0,K188,0)</f>
        <v>0</v>
      </c>
      <c r="AM188" s="56">
        <f>IF(AP188=15,K188,0)</f>
        <v>0</v>
      </c>
      <c r="AN188" s="56">
        <f>IF(AP188=21,K188,0)</f>
        <v>0</v>
      </c>
      <c r="AP188" s="56">
        <v>21</v>
      </c>
      <c r="AQ188" s="88">
        <f>H188*0</f>
        <v>0</v>
      </c>
      <c r="AR188" s="88">
        <f>H188*(1-0)</f>
        <v>0</v>
      </c>
      <c r="AS188" s="21" t="s">
        <v>2297</v>
      </c>
      <c r="AX188" s="56">
        <f>AY188+AZ188</f>
        <v>0</v>
      </c>
      <c r="AY188" s="56">
        <f>G188*AQ188</f>
        <v>0</v>
      </c>
      <c r="AZ188" s="56">
        <f>G188*AR188</f>
        <v>0</v>
      </c>
      <c r="BA188" s="21" t="s">
        <v>2092</v>
      </c>
      <c r="BB188" s="21" t="s">
        <v>1888</v>
      </c>
      <c r="BC188" s="7" t="s">
        <v>1747</v>
      </c>
      <c r="BE188" s="56">
        <f>AY188+AZ188</f>
        <v>0</v>
      </c>
      <c r="BF188" s="56">
        <f>H188/(100-BG188)*100</f>
        <v>0</v>
      </c>
      <c r="BG188" s="56">
        <v>0</v>
      </c>
      <c r="BH188" s="56">
        <f>M188</f>
        <v>0</v>
      </c>
      <c r="BJ188" s="56">
        <f>G188*AQ188</f>
        <v>0</v>
      </c>
      <c r="BK188" s="56">
        <f>G188*AR188</f>
        <v>0</v>
      </c>
      <c r="BL188" s="56">
        <f>G188*H188</f>
        <v>0</v>
      </c>
      <c r="BM188" s="56"/>
      <c r="BN188" s="56">
        <v>13</v>
      </c>
    </row>
    <row r="189" spans="1:66" ht="15" customHeight="1">
      <c r="A189" s="36"/>
      <c r="D189" s="45" t="s">
        <v>1593</v>
      </c>
      <c r="E189" s="104" t="s">
        <v>1042</v>
      </c>
      <c r="G189" s="13">
        <v>6.3500000000000005</v>
      </c>
      <c r="N189" s="19"/>
      <c r="P189" s="592"/>
      <c r="Q189" s="592"/>
      <c r="R189" s="592"/>
      <c r="S189" s="592"/>
      <c r="T189" s="592"/>
      <c r="U189" s="592"/>
      <c r="V189" s="592"/>
      <c r="W189" s="592"/>
      <c r="X189" s="592"/>
    </row>
    <row r="190" spans="1:66" ht="15" customHeight="1">
      <c r="A190" s="36"/>
      <c r="D190" s="45" t="s">
        <v>203</v>
      </c>
      <c r="E190" s="104" t="s">
        <v>87</v>
      </c>
      <c r="G190" s="13">
        <v>4.58</v>
      </c>
      <c r="N190" s="19"/>
      <c r="P190" s="592"/>
      <c r="Q190" s="592"/>
      <c r="R190" s="592"/>
      <c r="S190" s="592"/>
      <c r="T190" s="592"/>
      <c r="U190" s="592"/>
      <c r="V190" s="592"/>
      <c r="W190" s="592"/>
      <c r="X190" s="592"/>
    </row>
    <row r="191" spans="1:66" ht="15" customHeight="1">
      <c r="A191" s="36"/>
      <c r="D191" s="45" t="s">
        <v>184</v>
      </c>
      <c r="E191" s="104" t="s">
        <v>1841</v>
      </c>
      <c r="G191" s="13">
        <v>5.6000000000000005</v>
      </c>
      <c r="N191" s="19"/>
      <c r="P191" s="592"/>
      <c r="Q191" s="592"/>
      <c r="R191" s="592"/>
      <c r="S191" s="592"/>
      <c r="T191" s="592"/>
      <c r="U191" s="592"/>
      <c r="V191" s="592"/>
      <c r="W191" s="592"/>
      <c r="X191" s="592"/>
    </row>
    <row r="192" spans="1:66" ht="15" customHeight="1">
      <c r="A192" s="32" t="s">
        <v>1597</v>
      </c>
      <c r="B192" s="26" t="s">
        <v>1746</v>
      </c>
      <c r="C192" s="512" t="s">
        <v>213</v>
      </c>
      <c r="D192" s="709" t="s">
        <v>1935</v>
      </c>
      <c r="E192" s="709"/>
      <c r="F192" s="46" t="s">
        <v>2144</v>
      </c>
      <c r="G192" s="46" t="s">
        <v>2144</v>
      </c>
      <c r="H192" s="46" t="s">
        <v>2144</v>
      </c>
      <c r="I192" s="17">
        <f>SUM(I193:I193)</f>
        <v>0</v>
      </c>
      <c r="J192" s="17">
        <f>SUM(J193:J193)</f>
        <v>0</v>
      </c>
      <c r="K192" s="515">
        <f>SUM(K193:K193)</f>
        <v>0</v>
      </c>
      <c r="L192" s="7" t="s">
        <v>1597</v>
      </c>
      <c r="M192" s="17">
        <f>SUM(M193:M193)</f>
        <v>0</v>
      </c>
      <c r="N192" s="20" t="s">
        <v>1597</v>
      </c>
      <c r="P192" s="592">
        <f>K192</f>
        <v>0</v>
      </c>
      <c r="Q192" s="592"/>
      <c r="R192" s="592"/>
      <c r="S192" s="592"/>
      <c r="T192" s="592"/>
      <c r="U192" s="592"/>
      <c r="V192" s="592"/>
      <c r="W192" s="592"/>
      <c r="X192" s="592"/>
      <c r="AK192" s="7" t="s">
        <v>1746</v>
      </c>
      <c r="AU192" s="17">
        <f>SUM(AL193:AL193)</f>
        <v>0</v>
      </c>
      <c r="AV192" s="17">
        <f>SUM(AM193:AM193)</f>
        <v>0</v>
      </c>
      <c r="AW192" s="17">
        <f>SUM(AN193:AN193)</f>
        <v>0</v>
      </c>
    </row>
    <row r="193" spans="1:66" ht="15" customHeight="1">
      <c r="A193" s="24" t="s">
        <v>2429</v>
      </c>
      <c r="B193" s="12" t="s">
        <v>1746</v>
      </c>
      <c r="C193" s="12" t="s">
        <v>24</v>
      </c>
      <c r="D193" s="630" t="s">
        <v>1946</v>
      </c>
      <c r="E193" s="630"/>
      <c r="F193" s="12" t="s">
        <v>2236</v>
      </c>
      <c r="G193" s="56">
        <v>381.5</v>
      </c>
      <c r="H193" s="625"/>
      <c r="I193" s="56">
        <f>G193*AQ193</f>
        <v>0</v>
      </c>
      <c r="J193" s="56">
        <f>G193*AR193</f>
        <v>0</v>
      </c>
      <c r="K193" s="56">
        <f>G193*H193</f>
        <v>0</v>
      </c>
      <c r="L193" s="56">
        <v>0</v>
      </c>
      <c r="M193" s="56">
        <f>G193*L193</f>
        <v>0</v>
      </c>
      <c r="N193" s="31" t="s">
        <v>1579</v>
      </c>
      <c r="P193" s="592"/>
      <c r="Q193" s="592"/>
      <c r="R193" s="592"/>
      <c r="S193" s="592"/>
      <c r="T193" s="592"/>
      <c r="U193" s="592"/>
      <c r="V193" s="592"/>
      <c r="W193" s="592"/>
      <c r="X193" s="592"/>
      <c r="AB193" s="56">
        <f>IF(AS193="5",BL193,0)</f>
        <v>0</v>
      </c>
      <c r="AD193" s="56">
        <f>IF(AS193="1",BJ193,0)</f>
        <v>0</v>
      </c>
      <c r="AE193" s="56">
        <f>IF(AS193="1",BK193,0)</f>
        <v>0</v>
      </c>
      <c r="AF193" s="56">
        <f>IF(AS193="7",BJ193,0)</f>
        <v>0</v>
      </c>
      <c r="AG193" s="56">
        <f>IF(AS193="7",BK193,0)</f>
        <v>0</v>
      </c>
      <c r="AH193" s="56">
        <f>IF(AS193="2",BJ193,0)</f>
        <v>0</v>
      </c>
      <c r="AI193" s="56">
        <f>IF(AS193="2",BK193,0)</f>
        <v>0</v>
      </c>
      <c r="AJ193" s="56">
        <f>IF(AS193="0",BL193,0)</f>
        <v>0</v>
      </c>
      <c r="AK193" s="7" t="s">
        <v>1746</v>
      </c>
      <c r="AL193" s="56">
        <f>IF(AP193=0,K193,0)</f>
        <v>0</v>
      </c>
      <c r="AM193" s="56">
        <f>IF(AP193=15,K193,0)</f>
        <v>0</v>
      </c>
      <c r="AN193" s="56">
        <f>IF(AP193=21,K193,0)</f>
        <v>0</v>
      </c>
      <c r="AP193" s="56">
        <v>21</v>
      </c>
      <c r="AQ193" s="88">
        <f>H193*0</f>
        <v>0</v>
      </c>
      <c r="AR193" s="88">
        <f>H193*(1-0)</f>
        <v>0</v>
      </c>
      <c r="AS193" s="21" t="s">
        <v>2297</v>
      </c>
      <c r="AX193" s="56">
        <f>AY193+AZ193</f>
        <v>0</v>
      </c>
      <c r="AY193" s="56">
        <f>G193*AQ193</f>
        <v>0</v>
      </c>
      <c r="AZ193" s="56">
        <f>G193*AR193</f>
        <v>0</v>
      </c>
      <c r="BA193" s="21" t="s">
        <v>2150</v>
      </c>
      <c r="BB193" s="21" t="s">
        <v>1888</v>
      </c>
      <c r="BC193" s="7" t="s">
        <v>1747</v>
      </c>
      <c r="BE193" s="56">
        <f>AY193+AZ193</f>
        <v>0</v>
      </c>
      <c r="BF193" s="56">
        <f>H193/(100-BG193)*100</f>
        <v>0</v>
      </c>
      <c r="BG193" s="56">
        <v>0</v>
      </c>
      <c r="BH193" s="56">
        <f>M193</f>
        <v>0</v>
      </c>
      <c r="BJ193" s="56">
        <f>G193*AQ193</f>
        <v>0</v>
      </c>
      <c r="BK193" s="56">
        <f>G193*AR193</f>
        <v>0</v>
      </c>
      <c r="BL193" s="56">
        <f>G193*H193</f>
        <v>0</v>
      </c>
      <c r="BM193" s="56"/>
      <c r="BN193" s="56">
        <v>16</v>
      </c>
    </row>
    <row r="194" spans="1:66" ht="15" customHeight="1">
      <c r="A194" s="36"/>
      <c r="D194" s="45" t="s">
        <v>2300</v>
      </c>
      <c r="E194" s="104" t="s">
        <v>1597</v>
      </c>
      <c r="G194" s="13">
        <v>381.50000000000006</v>
      </c>
      <c r="N194" s="19"/>
      <c r="P194" s="592"/>
      <c r="Q194" s="592"/>
      <c r="R194" s="592"/>
      <c r="S194" s="592"/>
      <c r="T194" s="592"/>
      <c r="U194" s="592"/>
      <c r="V194" s="592"/>
      <c r="W194" s="592"/>
      <c r="X194" s="592"/>
    </row>
    <row r="195" spans="1:66" ht="15" customHeight="1">
      <c r="A195" s="32" t="s">
        <v>1597</v>
      </c>
      <c r="B195" s="26" t="s">
        <v>1746</v>
      </c>
      <c r="C195" s="512" t="s">
        <v>1605</v>
      </c>
      <c r="D195" s="709" t="s">
        <v>300</v>
      </c>
      <c r="E195" s="709"/>
      <c r="F195" s="46" t="s">
        <v>2144</v>
      </c>
      <c r="G195" s="46" t="s">
        <v>2144</v>
      </c>
      <c r="H195" s="46" t="s">
        <v>2144</v>
      </c>
      <c r="I195" s="17">
        <f>SUM(I196:I199)</f>
        <v>0</v>
      </c>
      <c r="J195" s="17">
        <f>SUM(J196:J199)</f>
        <v>0</v>
      </c>
      <c r="K195" s="515">
        <f>SUM(K196:K199)</f>
        <v>0</v>
      </c>
      <c r="L195" s="7" t="s">
        <v>1597</v>
      </c>
      <c r="M195" s="17">
        <f>SUM(M196:M199)</f>
        <v>164.16</v>
      </c>
      <c r="N195" s="20" t="s">
        <v>1597</v>
      </c>
      <c r="P195" s="592">
        <f>K195</f>
        <v>0</v>
      </c>
      <c r="Q195" s="592"/>
      <c r="R195" s="592"/>
      <c r="S195" s="592"/>
      <c r="T195" s="592"/>
      <c r="U195" s="592"/>
      <c r="V195" s="592"/>
      <c r="W195" s="592"/>
      <c r="X195" s="592"/>
      <c r="AK195" s="7" t="s">
        <v>1746</v>
      </c>
      <c r="AU195" s="17">
        <f>SUM(AL196:AL199)</f>
        <v>0</v>
      </c>
      <c r="AV195" s="17">
        <f>SUM(AM196:AM199)</f>
        <v>0</v>
      </c>
      <c r="AW195" s="17">
        <f>SUM(AN196:AN199)</f>
        <v>0</v>
      </c>
    </row>
    <row r="196" spans="1:66" ht="15" customHeight="1">
      <c r="A196" s="24" t="s">
        <v>33</v>
      </c>
      <c r="B196" s="12" t="s">
        <v>1746</v>
      </c>
      <c r="C196" s="12" t="s">
        <v>1170</v>
      </c>
      <c r="D196" s="630" t="s">
        <v>457</v>
      </c>
      <c r="E196" s="630"/>
      <c r="F196" s="12" t="s">
        <v>2236</v>
      </c>
      <c r="G196" s="56">
        <v>79.8</v>
      </c>
      <c r="H196" s="625"/>
      <c r="I196" s="56">
        <f>G196*AQ196</f>
        <v>0</v>
      </c>
      <c r="J196" s="56">
        <f>G196*AR196</f>
        <v>0</v>
      </c>
      <c r="K196" s="56">
        <f>G196*H196</f>
        <v>0</v>
      </c>
      <c r="L196" s="56">
        <v>0</v>
      </c>
      <c r="M196" s="56">
        <f>G196*L196</f>
        <v>0</v>
      </c>
      <c r="N196" s="31" t="s">
        <v>1579</v>
      </c>
      <c r="P196" s="592"/>
      <c r="Q196" s="592"/>
      <c r="R196" s="592"/>
      <c r="S196" s="592"/>
      <c r="T196" s="592"/>
      <c r="U196" s="592"/>
      <c r="V196" s="592"/>
      <c r="W196" s="592"/>
      <c r="X196" s="592"/>
      <c r="AB196" s="56">
        <f>IF(AS196="5",BL196,0)</f>
        <v>0</v>
      </c>
      <c r="AD196" s="56">
        <f>IF(AS196="1",BJ196,0)</f>
        <v>0</v>
      </c>
      <c r="AE196" s="56">
        <f>IF(AS196="1",BK196,0)</f>
        <v>0</v>
      </c>
      <c r="AF196" s="56">
        <f>IF(AS196="7",BJ196,0)</f>
        <v>0</v>
      </c>
      <c r="AG196" s="56">
        <f>IF(AS196="7",BK196,0)</f>
        <v>0</v>
      </c>
      <c r="AH196" s="56">
        <f>IF(AS196="2",BJ196,0)</f>
        <v>0</v>
      </c>
      <c r="AI196" s="56">
        <f>IF(AS196="2",BK196,0)</f>
        <v>0</v>
      </c>
      <c r="AJ196" s="56">
        <f>IF(AS196="0",BL196,0)</f>
        <v>0</v>
      </c>
      <c r="AK196" s="7" t="s">
        <v>1746</v>
      </c>
      <c r="AL196" s="56">
        <f>IF(AP196=0,K196,0)</f>
        <v>0</v>
      </c>
      <c r="AM196" s="56">
        <f>IF(AP196=15,K196,0)</f>
        <v>0</v>
      </c>
      <c r="AN196" s="56">
        <f>IF(AP196=21,K196,0)</f>
        <v>0</v>
      </c>
      <c r="AP196" s="56">
        <v>21</v>
      </c>
      <c r="AQ196" s="88">
        <f>H196*0</f>
        <v>0</v>
      </c>
      <c r="AR196" s="88">
        <f>H196*(1-0)</f>
        <v>0</v>
      </c>
      <c r="AS196" s="21" t="s">
        <v>2297</v>
      </c>
      <c r="AX196" s="56">
        <f>AY196+AZ196</f>
        <v>0</v>
      </c>
      <c r="AY196" s="56">
        <f>G196*AQ196</f>
        <v>0</v>
      </c>
      <c r="AZ196" s="56">
        <f>G196*AR196</f>
        <v>0</v>
      </c>
      <c r="BA196" s="21" t="s">
        <v>470</v>
      </c>
      <c r="BB196" s="21" t="s">
        <v>1888</v>
      </c>
      <c r="BC196" s="7" t="s">
        <v>1747</v>
      </c>
      <c r="BE196" s="56">
        <f>AY196+AZ196</f>
        <v>0</v>
      </c>
      <c r="BF196" s="56">
        <f>H196/(100-BG196)*100</f>
        <v>0</v>
      </c>
      <c r="BG196" s="56">
        <v>0</v>
      </c>
      <c r="BH196" s="56">
        <f>M196</f>
        <v>0</v>
      </c>
      <c r="BJ196" s="56">
        <f>G196*AQ196</f>
        <v>0</v>
      </c>
      <c r="BK196" s="56">
        <f>G196*AR196</f>
        <v>0</v>
      </c>
      <c r="BL196" s="56">
        <f>G196*H196</f>
        <v>0</v>
      </c>
      <c r="BM196" s="56"/>
      <c r="BN196" s="56">
        <v>17</v>
      </c>
    </row>
    <row r="197" spans="1:66" ht="15" customHeight="1">
      <c r="A197" s="36"/>
      <c r="D197" s="45" t="s">
        <v>572</v>
      </c>
      <c r="E197" s="104" t="s">
        <v>2283</v>
      </c>
      <c r="G197" s="13">
        <v>35.550000000000004</v>
      </c>
      <c r="N197" s="19"/>
      <c r="P197" s="592"/>
      <c r="Q197" s="592"/>
      <c r="R197" s="592"/>
      <c r="S197" s="592"/>
      <c r="T197" s="592"/>
      <c r="U197" s="592"/>
      <c r="V197" s="592"/>
      <c r="W197" s="592"/>
      <c r="X197" s="592"/>
    </row>
    <row r="198" spans="1:66" ht="15" customHeight="1">
      <c r="A198" s="36"/>
      <c r="D198" s="45" t="s">
        <v>1315</v>
      </c>
      <c r="E198" s="104" t="s">
        <v>1009</v>
      </c>
      <c r="G198" s="13">
        <v>44.250000000000007</v>
      </c>
      <c r="N198" s="19"/>
      <c r="P198" s="592"/>
      <c r="Q198" s="592"/>
      <c r="R198" s="592"/>
      <c r="S198" s="592"/>
      <c r="T198" s="592"/>
      <c r="U198" s="592"/>
      <c r="V198" s="592"/>
      <c r="W198" s="592"/>
      <c r="X198" s="592"/>
    </row>
    <row r="199" spans="1:66" ht="15" customHeight="1">
      <c r="A199" s="8" t="s">
        <v>403</v>
      </c>
      <c r="B199" s="75" t="s">
        <v>1746</v>
      </c>
      <c r="C199" s="75" t="s">
        <v>886</v>
      </c>
      <c r="D199" s="710" t="s">
        <v>901</v>
      </c>
      <c r="E199" s="710"/>
      <c r="F199" s="75" t="s">
        <v>1074</v>
      </c>
      <c r="G199" s="80">
        <v>164.16</v>
      </c>
      <c r="H199" s="626"/>
      <c r="I199" s="80">
        <f>G199*AQ199</f>
        <v>0</v>
      </c>
      <c r="J199" s="80">
        <f>G199*AR199</f>
        <v>0</v>
      </c>
      <c r="K199" s="80">
        <f>G199*H199</f>
        <v>0</v>
      </c>
      <c r="L199" s="80">
        <v>1</v>
      </c>
      <c r="M199" s="80">
        <f>G199*L199</f>
        <v>164.16</v>
      </c>
      <c r="N199" s="38" t="s">
        <v>1579</v>
      </c>
      <c r="P199" s="592"/>
      <c r="Q199" s="592"/>
      <c r="R199" s="592"/>
      <c r="S199" s="592"/>
      <c r="T199" s="592"/>
      <c r="U199" s="592"/>
      <c r="V199" s="592"/>
      <c r="W199" s="592"/>
      <c r="X199" s="592"/>
      <c r="AB199" s="56">
        <f>IF(AS199="5",BL199,0)</f>
        <v>0</v>
      </c>
      <c r="AD199" s="56">
        <f>IF(AS199="1",BJ199,0)</f>
        <v>0</v>
      </c>
      <c r="AE199" s="56">
        <f>IF(AS199="1",BK199,0)</f>
        <v>0</v>
      </c>
      <c r="AF199" s="56">
        <f>IF(AS199="7",BJ199,0)</f>
        <v>0</v>
      </c>
      <c r="AG199" s="56">
        <f>IF(AS199="7",BK199,0)</f>
        <v>0</v>
      </c>
      <c r="AH199" s="56">
        <f>IF(AS199="2",BJ199,0)</f>
        <v>0</v>
      </c>
      <c r="AI199" s="56">
        <f>IF(AS199="2",BK199,0)</f>
        <v>0</v>
      </c>
      <c r="AJ199" s="56">
        <f>IF(AS199="0",BL199,0)</f>
        <v>0</v>
      </c>
      <c r="AK199" s="7" t="s">
        <v>1746</v>
      </c>
      <c r="AL199" s="80">
        <f>IF(AP199=0,K199,0)</f>
        <v>0</v>
      </c>
      <c r="AM199" s="80">
        <f>IF(AP199=15,K199,0)</f>
        <v>0</v>
      </c>
      <c r="AN199" s="80">
        <f>IF(AP199=21,K199,0)</f>
        <v>0</v>
      </c>
      <c r="AP199" s="56">
        <v>21</v>
      </c>
      <c r="AQ199" s="88">
        <f>H199*1</f>
        <v>0</v>
      </c>
      <c r="AR199" s="88">
        <f>H199*(1-1)</f>
        <v>0</v>
      </c>
      <c r="AS199" s="64" t="s">
        <v>2297</v>
      </c>
      <c r="AX199" s="56">
        <f>AY199+AZ199</f>
        <v>0</v>
      </c>
      <c r="AY199" s="56">
        <f>G199*AQ199</f>
        <v>0</v>
      </c>
      <c r="AZ199" s="56">
        <f>G199*AR199</f>
        <v>0</v>
      </c>
      <c r="BA199" s="21" t="s">
        <v>470</v>
      </c>
      <c r="BB199" s="21" t="s">
        <v>1888</v>
      </c>
      <c r="BC199" s="7" t="s">
        <v>1747</v>
      </c>
      <c r="BE199" s="56">
        <f>AY199+AZ199</f>
        <v>0</v>
      </c>
      <c r="BF199" s="56">
        <f>H199/(100-BG199)*100</f>
        <v>0</v>
      </c>
      <c r="BG199" s="56">
        <v>0</v>
      </c>
      <c r="BH199" s="56">
        <f>M199</f>
        <v>164.16</v>
      </c>
      <c r="BJ199" s="80">
        <f>G199*AQ199</f>
        <v>0</v>
      </c>
      <c r="BK199" s="80">
        <f>G199*AR199</f>
        <v>0</v>
      </c>
      <c r="BL199" s="80">
        <f>G199*H199</f>
        <v>0</v>
      </c>
      <c r="BM199" s="80"/>
      <c r="BN199" s="56">
        <v>17</v>
      </c>
    </row>
    <row r="200" spans="1:66" ht="15" customHeight="1">
      <c r="A200" s="36"/>
      <c r="D200" s="45" t="s">
        <v>1892</v>
      </c>
      <c r="E200" s="104" t="s">
        <v>1597</v>
      </c>
      <c r="G200" s="13">
        <v>152</v>
      </c>
      <c r="N200" s="19"/>
      <c r="P200" s="592"/>
      <c r="Q200" s="592"/>
      <c r="R200" s="592"/>
      <c r="S200" s="592"/>
      <c r="T200" s="592"/>
      <c r="U200" s="592"/>
      <c r="V200" s="592"/>
      <c r="W200" s="592"/>
      <c r="X200" s="592"/>
    </row>
    <row r="201" spans="1:66" ht="15" customHeight="1">
      <c r="A201" s="36"/>
      <c r="D201" s="45" t="s">
        <v>2597</v>
      </c>
      <c r="E201" s="104" t="s">
        <v>1597</v>
      </c>
      <c r="G201" s="13">
        <v>12.16</v>
      </c>
      <c r="N201" s="19"/>
      <c r="P201" s="592"/>
      <c r="Q201" s="592"/>
      <c r="R201" s="592"/>
      <c r="S201" s="592"/>
      <c r="T201" s="592"/>
      <c r="U201" s="592"/>
      <c r="V201" s="592"/>
      <c r="W201" s="592"/>
      <c r="X201" s="592"/>
    </row>
    <row r="202" spans="1:66" ht="15" customHeight="1">
      <c r="A202" s="32" t="s">
        <v>1597</v>
      </c>
      <c r="B202" s="26" t="s">
        <v>1746</v>
      </c>
      <c r="C202" s="512" t="s">
        <v>1466</v>
      </c>
      <c r="D202" s="709" t="s">
        <v>809</v>
      </c>
      <c r="E202" s="709"/>
      <c r="F202" s="46" t="s">
        <v>2144</v>
      </c>
      <c r="G202" s="46" t="s">
        <v>2144</v>
      </c>
      <c r="H202" s="46" t="s">
        <v>2144</v>
      </c>
      <c r="I202" s="17">
        <f>SUM(I203:I203)</f>
        <v>0</v>
      </c>
      <c r="J202" s="17">
        <f>SUM(J203:J203)</f>
        <v>0</v>
      </c>
      <c r="K202" s="515">
        <f>SUM(K203:K203)</f>
        <v>0</v>
      </c>
      <c r="L202" s="7" t="s">
        <v>1597</v>
      </c>
      <c r="M202" s="17">
        <f>SUM(M203:M203)</f>
        <v>0</v>
      </c>
      <c r="N202" s="20" t="s">
        <v>1597</v>
      </c>
      <c r="P202" s="592">
        <f>K202</f>
        <v>0</v>
      </c>
      <c r="Q202" s="592"/>
      <c r="R202" s="592"/>
      <c r="S202" s="592"/>
      <c r="T202" s="592"/>
      <c r="U202" s="592"/>
      <c r="V202" s="592"/>
      <c r="W202" s="592"/>
      <c r="X202" s="592"/>
      <c r="AK202" s="7" t="s">
        <v>1746</v>
      </c>
      <c r="AU202" s="17">
        <f>SUM(AL203:AL203)</f>
        <v>0</v>
      </c>
      <c r="AV202" s="17">
        <f>SUM(AM203:AM203)</f>
        <v>0</v>
      </c>
      <c r="AW202" s="17">
        <f>SUM(AN203:AN203)</f>
        <v>0</v>
      </c>
    </row>
    <row r="203" spans="1:66" ht="15" customHeight="1">
      <c r="A203" s="24" t="s">
        <v>486</v>
      </c>
      <c r="B203" s="12" t="s">
        <v>1746</v>
      </c>
      <c r="C203" s="12" t="s">
        <v>1572</v>
      </c>
      <c r="D203" s="630" t="s">
        <v>2520</v>
      </c>
      <c r="E203" s="630"/>
      <c r="F203" s="12" t="s">
        <v>2236</v>
      </c>
      <c r="G203" s="56">
        <v>382</v>
      </c>
      <c r="H203" s="625"/>
      <c r="I203" s="56">
        <f>G203*AQ203</f>
        <v>0</v>
      </c>
      <c r="J203" s="56">
        <f>G203*AR203</f>
        <v>0</v>
      </c>
      <c r="K203" s="56">
        <f>G203*H203</f>
        <v>0</v>
      </c>
      <c r="L203" s="56">
        <v>0</v>
      </c>
      <c r="M203" s="56">
        <f>G203*L203</f>
        <v>0</v>
      </c>
      <c r="N203" s="31" t="s">
        <v>1579</v>
      </c>
      <c r="P203" s="592"/>
      <c r="Q203" s="592"/>
      <c r="R203" s="592"/>
      <c r="S203" s="592"/>
      <c r="T203" s="592"/>
      <c r="U203" s="592"/>
      <c r="V203" s="592"/>
      <c r="W203" s="592"/>
      <c r="X203" s="592"/>
      <c r="AB203" s="56">
        <f>IF(AS203="5",BL203,0)</f>
        <v>0</v>
      </c>
      <c r="AD203" s="56">
        <f>IF(AS203="1",BJ203,0)</f>
        <v>0</v>
      </c>
      <c r="AE203" s="56">
        <f>IF(AS203="1",BK203,0)</f>
        <v>0</v>
      </c>
      <c r="AF203" s="56">
        <f>IF(AS203="7",BJ203,0)</f>
        <v>0</v>
      </c>
      <c r="AG203" s="56">
        <f>IF(AS203="7",BK203,0)</f>
        <v>0</v>
      </c>
      <c r="AH203" s="56">
        <f>IF(AS203="2",BJ203,0)</f>
        <v>0</v>
      </c>
      <c r="AI203" s="56">
        <f>IF(AS203="2",BK203,0)</f>
        <v>0</v>
      </c>
      <c r="AJ203" s="56">
        <f>IF(AS203="0",BL203,0)</f>
        <v>0</v>
      </c>
      <c r="AK203" s="7" t="s">
        <v>1746</v>
      </c>
      <c r="AL203" s="56">
        <f>IF(AP203=0,K203,0)</f>
        <v>0</v>
      </c>
      <c r="AM203" s="56">
        <f>IF(AP203=15,K203,0)</f>
        <v>0</v>
      </c>
      <c r="AN203" s="56">
        <f>IF(AP203=21,K203,0)</f>
        <v>0</v>
      </c>
      <c r="AP203" s="56">
        <v>21</v>
      </c>
      <c r="AQ203" s="88">
        <f>H203*0</f>
        <v>0</v>
      </c>
      <c r="AR203" s="88">
        <f>H203*(1-0)</f>
        <v>0</v>
      </c>
      <c r="AS203" s="21" t="s">
        <v>2297</v>
      </c>
      <c r="AX203" s="56">
        <f>AY203+AZ203</f>
        <v>0</v>
      </c>
      <c r="AY203" s="56">
        <f>G203*AQ203</f>
        <v>0</v>
      </c>
      <c r="AZ203" s="56">
        <f>G203*AR203</f>
        <v>0</v>
      </c>
      <c r="BA203" s="21" t="s">
        <v>1808</v>
      </c>
      <c r="BB203" s="21" t="s">
        <v>1888</v>
      </c>
      <c r="BC203" s="7" t="s">
        <v>1747</v>
      </c>
      <c r="BE203" s="56">
        <f>AY203+AZ203</f>
        <v>0</v>
      </c>
      <c r="BF203" s="56">
        <f>H203/(100-BG203)*100</f>
        <v>0</v>
      </c>
      <c r="BG203" s="56">
        <v>0</v>
      </c>
      <c r="BH203" s="56">
        <f>M203</f>
        <v>0</v>
      </c>
      <c r="BJ203" s="56">
        <f>G203*AQ203</f>
        <v>0</v>
      </c>
      <c r="BK203" s="56">
        <f>G203*AR203</f>
        <v>0</v>
      </c>
      <c r="BL203" s="56">
        <f>G203*H203</f>
        <v>0</v>
      </c>
      <c r="BM203" s="56"/>
      <c r="BN203" s="56">
        <v>19</v>
      </c>
    </row>
    <row r="204" spans="1:66" ht="15" customHeight="1">
      <c r="A204" s="36"/>
      <c r="D204" s="45" t="s">
        <v>476</v>
      </c>
      <c r="E204" s="104" t="s">
        <v>2201</v>
      </c>
      <c r="G204" s="13">
        <v>382.00000000000006</v>
      </c>
      <c r="N204" s="19"/>
      <c r="P204" s="592"/>
      <c r="Q204" s="592"/>
      <c r="R204" s="592"/>
      <c r="S204" s="592"/>
      <c r="T204" s="592"/>
      <c r="U204" s="592"/>
      <c r="V204" s="592"/>
      <c r="W204" s="592"/>
      <c r="X204" s="592"/>
    </row>
    <row r="205" spans="1:66" ht="15" customHeight="1">
      <c r="A205" s="32" t="s">
        <v>1597</v>
      </c>
      <c r="B205" s="26" t="s">
        <v>1746</v>
      </c>
      <c r="C205" s="512" t="s">
        <v>2267</v>
      </c>
      <c r="D205" s="709" t="s">
        <v>1904</v>
      </c>
      <c r="E205" s="709"/>
      <c r="F205" s="46" t="s">
        <v>2144</v>
      </c>
      <c r="G205" s="46" t="s">
        <v>2144</v>
      </c>
      <c r="H205" s="46" t="s">
        <v>2144</v>
      </c>
      <c r="I205" s="17">
        <f>SUM(I206:I226)</f>
        <v>0</v>
      </c>
      <c r="J205" s="17">
        <f>SUM(J206:J226)</f>
        <v>0</v>
      </c>
      <c r="K205" s="515">
        <f>SUM(K206:K226)</f>
        <v>0</v>
      </c>
      <c r="L205" s="7" t="s">
        <v>1597</v>
      </c>
      <c r="M205" s="17">
        <f>SUM(M206:M226)</f>
        <v>172.1471138</v>
      </c>
      <c r="N205" s="20" t="s">
        <v>1597</v>
      </c>
      <c r="P205" s="592">
        <f>K205</f>
        <v>0</v>
      </c>
      <c r="Q205" s="592"/>
      <c r="R205" s="592"/>
      <c r="S205" s="592"/>
      <c r="T205" s="592"/>
      <c r="U205" s="592"/>
      <c r="V205" s="592"/>
      <c r="W205" s="592"/>
      <c r="X205" s="592"/>
      <c r="AK205" s="7" t="s">
        <v>1746</v>
      </c>
      <c r="AU205" s="17">
        <f>SUM(AL206:AL226)</f>
        <v>0</v>
      </c>
      <c r="AV205" s="17">
        <f>SUM(AM206:AM226)</f>
        <v>0</v>
      </c>
      <c r="AW205" s="17">
        <f>SUM(AN206:AN226)</f>
        <v>0</v>
      </c>
    </row>
    <row r="206" spans="1:66" ht="15" customHeight="1">
      <c r="A206" s="24" t="s">
        <v>1825</v>
      </c>
      <c r="B206" s="12" t="s">
        <v>1746</v>
      </c>
      <c r="C206" s="12" t="s">
        <v>456</v>
      </c>
      <c r="D206" s="630" t="s">
        <v>2109</v>
      </c>
      <c r="E206" s="630"/>
      <c r="F206" s="12" t="s">
        <v>2236</v>
      </c>
      <c r="G206" s="56">
        <v>9.7799999999999994</v>
      </c>
      <c r="H206" s="625"/>
      <c r="I206" s="56">
        <f>G206*AQ206</f>
        <v>0</v>
      </c>
      <c r="J206" s="56">
        <f>G206*AR206</f>
        <v>0</v>
      </c>
      <c r="K206" s="56">
        <f>G206*H206</f>
        <v>0</v>
      </c>
      <c r="L206" s="56">
        <v>2.5249999999999999</v>
      </c>
      <c r="M206" s="56">
        <f>G206*L206</f>
        <v>24.694499999999998</v>
      </c>
      <c r="N206" s="31" t="s">
        <v>1579</v>
      </c>
      <c r="P206" s="592"/>
      <c r="Q206" s="592"/>
      <c r="R206" s="592"/>
      <c r="S206" s="592"/>
      <c r="T206" s="592"/>
      <c r="U206" s="592"/>
      <c r="V206" s="592"/>
      <c r="W206" s="592"/>
      <c r="X206" s="592"/>
      <c r="AB206" s="56">
        <f>IF(AS206="5",BL206,0)</f>
        <v>0</v>
      </c>
      <c r="AD206" s="56">
        <f>IF(AS206="1",BJ206,0)</f>
        <v>0</v>
      </c>
      <c r="AE206" s="56">
        <f>IF(AS206="1",BK206,0)</f>
        <v>0</v>
      </c>
      <c r="AF206" s="56">
        <f>IF(AS206="7",BJ206,0)</f>
        <v>0</v>
      </c>
      <c r="AG206" s="56">
        <f>IF(AS206="7",BK206,0)</f>
        <v>0</v>
      </c>
      <c r="AH206" s="56">
        <f>IF(AS206="2",BJ206,0)</f>
        <v>0</v>
      </c>
      <c r="AI206" s="56">
        <f>IF(AS206="2",BK206,0)</f>
        <v>0</v>
      </c>
      <c r="AJ206" s="56">
        <f>IF(AS206="0",BL206,0)</f>
        <v>0</v>
      </c>
      <c r="AK206" s="7" t="s">
        <v>1746</v>
      </c>
      <c r="AL206" s="56">
        <f>IF(AP206=0,K206,0)</f>
        <v>0</v>
      </c>
      <c r="AM206" s="56">
        <f>IF(AP206=15,K206,0)</f>
        <v>0</v>
      </c>
      <c r="AN206" s="56">
        <f>IF(AP206=21,K206,0)</f>
        <v>0</v>
      </c>
      <c r="AP206" s="56">
        <v>21</v>
      </c>
      <c r="AQ206" s="88">
        <f>H206*0.906171761280931</f>
        <v>0</v>
      </c>
      <c r="AR206" s="88">
        <f>H206*(1-0.906171761280931)</f>
        <v>0</v>
      </c>
      <c r="AS206" s="21" t="s">
        <v>2297</v>
      </c>
      <c r="AX206" s="56">
        <f>AY206+AZ206</f>
        <v>0</v>
      </c>
      <c r="AY206" s="56">
        <f>G206*AQ206</f>
        <v>0</v>
      </c>
      <c r="AZ206" s="56">
        <f>G206*AR206</f>
        <v>0</v>
      </c>
      <c r="BA206" s="21" t="s">
        <v>1588</v>
      </c>
      <c r="BB206" s="21" t="s">
        <v>215</v>
      </c>
      <c r="BC206" s="7" t="s">
        <v>1747</v>
      </c>
      <c r="BE206" s="56">
        <f>AY206+AZ206</f>
        <v>0</v>
      </c>
      <c r="BF206" s="56">
        <f>H206/(100-BG206)*100</f>
        <v>0</v>
      </c>
      <c r="BG206" s="56">
        <v>0</v>
      </c>
      <c r="BH206" s="56">
        <f>M206</f>
        <v>24.694499999999998</v>
      </c>
      <c r="BJ206" s="56">
        <f>G206*AQ206</f>
        <v>0</v>
      </c>
      <c r="BK206" s="56">
        <f>G206*AR206</f>
        <v>0</v>
      </c>
      <c r="BL206" s="56">
        <f>G206*H206</f>
        <v>0</v>
      </c>
      <c r="BM206" s="56"/>
      <c r="BN206" s="56">
        <v>27</v>
      </c>
    </row>
    <row r="207" spans="1:66" ht="15" customHeight="1">
      <c r="A207" s="36"/>
      <c r="D207" s="45" t="s">
        <v>1593</v>
      </c>
      <c r="E207" s="104" t="s">
        <v>93</v>
      </c>
      <c r="G207" s="13">
        <v>6.3500000000000005</v>
      </c>
      <c r="N207" s="19"/>
      <c r="P207" s="592"/>
      <c r="Q207" s="592"/>
      <c r="R207" s="592"/>
      <c r="S207" s="592"/>
      <c r="T207" s="592"/>
      <c r="U207" s="592"/>
      <c r="V207" s="592"/>
      <c r="W207" s="592"/>
      <c r="X207" s="592"/>
    </row>
    <row r="208" spans="1:66" ht="15" customHeight="1">
      <c r="A208" s="36"/>
      <c r="D208" s="45" t="s">
        <v>1368</v>
      </c>
      <c r="E208" s="104" t="s">
        <v>1461</v>
      </c>
      <c r="G208" s="13">
        <v>3.43</v>
      </c>
      <c r="N208" s="19"/>
      <c r="P208" s="592"/>
      <c r="Q208" s="592"/>
      <c r="R208" s="592"/>
      <c r="S208" s="592"/>
      <c r="T208" s="592"/>
      <c r="U208" s="592"/>
      <c r="V208" s="592"/>
      <c r="W208" s="592"/>
      <c r="X208" s="592"/>
    </row>
    <row r="209" spans="1:66" ht="15" customHeight="1">
      <c r="A209" s="24" t="s">
        <v>211</v>
      </c>
      <c r="B209" s="12" t="s">
        <v>1746</v>
      </c>
      <c r="C209" s="12" t="s">
        <v>784</v>
      </c>
      <c r="D209" s="630" t="s">
        <v>2282</v>
      </c>
      <c r="E209" s="630"/>
      <c r="F209" s="12" t="s">
        <v>2274</v>
      </c>
      <c r="G209" s="56">
        <v>25.4</v>
      </c>
      <c r="H209" s="625"/>
      <c r="I209" s="56">
        <f>G209*AQ209</f>
        <v>0</v>
      </c>
      <c r="J209" s="56">
        <f>G209*AR209</f>
        <v>0</v>
      </c>
      <c r="K209" s="56">
        <f>G209*H209</f>
        <v>0</v>
      </c>
      <c r="L209" s="56">
        <v>3.9199999999999999E-2</v>
      </c>
      <c r="M209" s="56">
        <f>G209*L209</f>
        <v>0.9956799999999999</v>
      </c>
      <c r="N209" s="31" t="s">
        <v>1579</v>
      </c>
      <c r="P209" s="592"/>
      <c r="Q209" s="592"/>
      <c r="R209" s="592"/>
      <c r="S209" s="592"/>
      <c r="T209" s="592"/>
      <c r="U209" s="592"/>
      <c r="V209" s="592"/>
      <c r="W209" s="592"/>
      <c r="X209" s="592"/>
      <c r="AB209" s="56">
        <f>IF(AS209="5",BL209,0)</f>
        <v>0</v>
      </c>
      <c r="AD209" s="56">
        <f>IF(AS209="1",BJ209,0)</f>
        <v>0</v>
      </c>
      <c r="AE209" s="56">
        <f>IF(AS209="1",BK209,0)</f>
        <v>0</v>
      </c>
      <c r="AF209" s="56">
        <f>IF(AS209="7",BJ209,0)</f>
        <v>0</v>
      </c>
      <c r="AG209" s="56">
        <f>IF(AS209="7",BK209,0)</f>
        <v>0</v>
      </c>
      <c r="AH209" s="56">
        <f>IF(AS209="2",BJ209,0)</f>
        <v>0</v>
      </c>
      <c r="AI209" s="56">
        <f>IF(AS209="2",BK209,0)</f>
        <v>0</v>
      </c>
      <c r="AJ209" s="56">
        <f>IF(AS209="0",BL209,0)</f>
        <v>0</v>
      </c>
      <c r="AK209" s="7" t="s">
        <v>1746</v>
      </c>
      <c r="AL209" s="56">
        <f>IF(AP209=0,K209,0)</f>
        <v>0</v>
      </c>
      <c r="AM209" s="56">
        <f>IF(AP209=15,K209,0)</f>
        <v>0</v>
      </c>
      <c r="AN209" s="56">
        <f>IF(AP209=21,K209,0)</f>
        <v>0</v>
      </c>
      <c r="AP209" s="56">
        <v>21</v>
      </c>
      <c r="AQ209" s="88">
        <f>H209*0.34627808988764</f>
        <v>0</v>
      </c>
      <c r="AR209" s="88">
        <f>H209*(1-0.34627808988764)</f>
        <v>0</v>
      </c>
      <c r="AS209" s="21" t="s">
        <v>2297</v>
      </c>
      <c r="AX209" s="56">
        <f>AY209+AZ209</f>
        <v>0</v>
      </c>
      <c r="AY209" s="56">
        <f>G209*AQ209</f>
        <v>0</v>
      </c>
      <c r="AZ209" s="56">
        <f>G209*AR209</f>
        <v>0</v>
      </c>
      <c r="BA209" s="21" t="s">
        <v>1588</v>
      </c>
      <c r="BB209" s="21" t="s">
        <v>215</v>
      </c>
      <c r="BC209" s="7" t="s">
        <v>1747</v>
      </c>
      <c r="BE209" s="56">
        <f>AY209+AZ209</f>
        <v>0</v>
      </c>
      <c r="BF209" s="56">
        <f>H209/(100-BG209)*100</f>
        <v>0</v>
      </c>
      <c r="BG209" s="56">
        <v>0</v>
      </c>
      <c r="BH209" s="56">
        <f>M209</f>
        <v>0.9956799999999999</v>
      </c>
      <c r="BJ209" s="56">
        <f>G209*AQ209</f>
        <v>0</v>
      </c>
      <c r="BK209" s="56">
        <f>G209*AR209</f>
        <v>0</v>
      </c>
      <c r="BL209" s="56">
        <f>G209*H209</f>
        <v>0</v>
      </c>
      <c r="BM209" s="56"/>
      <c r="BN209" s="56">
        <v>27</v>
      </c>
    </row>
    <row r="210" spans="1:66" ht="15" customHeight="1">
      <c r="A210" s="36"/>
      <c r="D210" s="45" t="s">
        <v>141</v>
      </c>
      <c r="E210" s="104" t="s">
        <v>1597</v>
      </c>
      <c r="G210" s="13">
        <v>25.400000000000002</v>
      </c>
      <c r="N210" s="19"/>
      <c r="P210" s="592"/>
      <c r="Q210" s="592"/>
      <c r="R210" s="592"/>
      <c r="S210" s="592"/>
      <c r="T210" s="592"/>
      <c r="U210" s="592"/>
      <c r="V210" s="592"/>
      <c r="W210" s="592"/>
      <c r="X210" s="592"/>
    </row>
    <row r="211" spans="1:66" ht="15" customHeight="1">
      <c r="A211" s="36"/>
      <c r="D211" s="45" t="s">
        <v>465</v>
      </c>
      <c r="E211" s="104" t="s">
        <v>1597</v>
      </c>
      <c r="G211" s="13">
        <v>0</v>
      </c>
      <c r="N211" s="19"/>
      <c r="P211" s="592"/>
      <c r="Q211" s="592"/>
      <c r="R211" s="592"/>
      <c r="S211" s="592"/>
      <c r="T211" s="592"/>
      <c r="U211" s="592"/>
      <c r="V211" s="592"/>
      <c r="W211" s="592"/>
      <c r="X211" s="592"/>
    </row>
    <row r="212" spans="1:66" ht="15" customHeight="1">
      <c r="A212" s="24" t="s">
        <v>1802</v>
      </c>
      <c r="B212" s="12" t="s">
        <v>1746</v>
      </c>
      <c r="C212" s="12" t="s">
        <v>2546</v>
      </c>
      <c r="D212" s="630" t="s">
        <v>1616</v>
      </c>
      <c r="E212" s="630"/>
      <c r="F212" s="12" t="s">
        <v>2274</v>
      </c>
      <c r="G212" s="56">
        <v>25.4</v>
      </c>
      <c r="H212" s="625"/>
      <c r="I212" s="56">
        <f>G212*AQ212</f>
        <v>0</v>
      </c>
      <c r="J212" s="56">
        <f>G212*AR212</f>
        <v>0</v>
      </c>
      <c r="K212" s="56">
        <f>G212*H212</f>
        <v>0</v>
      </c>
      <c r="L212" s="56">
        <v>0</v>
      </c>
      <c r="M212" s="56">
        <f>G212*L212</f>
        <v>0</v>
      </c>
      <c r="N212" s="31" t="s">
        <v>1579</v>
      </c>
      <c r="P212" s="592"/>
      <c r="Q212" s="592"/>
      <c r="R212" s="592"/>
      <c r="S212" s="592"/>
      <c r="T212" s="592"/>
      <c r="U212" s="592"/>
      <c r="V212" s="592"/>
      <c r="W212" s="592"/>
      <c r="X212" s="592"/>
      <c r="AB212" s="56">
        <f>IF(AS212="5",BL212,0)</f>
        <v>0</v>
      </c>
      <c r="AD212" s="56">
        <f>IF(AS212="1",BJ212,0)</f>
        <v>0</v>
      </c>
      <c r="AE212" s="56">
        <f>IF(AS212="1",BK212,0)</f>
        <v>0</v>
      </c>
      <c r="AF212" s="56">
        <f>IF(AS212="7",BJ212,0)</f>
        <v>0</v>
      </c>
      <c r="AG212" s="56">
        <f>IF(AS212="7",BK212,0)</f>
        <v>0</v>
      </c>
      <c r="AH212" s="56">
        <f>IF(AS212="2",BJ212,0)</f>
        <v>0</v>
      </c>
      <c r="AI212" s="56">
        <f>IF(AS212="2",BK212,0)</f>
        <v>0</v>
      </c>
      <c r="AJ212" s="56">
        <f>IF(AS212="0",BL212,0)</f>
        <v>0</v>
      </c>
      <c r="AK212" s="7" t="s">
        <v>1746</v>
      </c>
      <c r="AL212" s="56">
        <f>IF(AP212=0,K212,0)</f>
        <v>0</v>
      </c>
      <c r="AM212" s="56">
        <f>IF(AP212=15,K212,0)</f>
        <v>0</v>
      </c>
      <c r="AN212" s="56">
        <f>IF(AP212=21,K212,0)</f>
        <v>0</v>
      </c>
      <c r="AP212" s="56">
        <v>21</v>
      </c>
      <c r="AQ212" s="88">
        <f>H212*0</f>
        <v>0</v>
      </c>
      <c r="AR212" s="88">
        <f>H212*(1-0)</f>
        <v>0</v>
      </c>
      <c r="AS212" s="21" t="s">
        <v>2297</v>
      </c>
      <c r="AX212" s="56">
        <f>AY212+AZ212</f>
        <v>0</v>
      </c>
      <c r="AY212" s="56">
        <f>G212*AQ212</f>
        <v>0</v>
      </c>
      <c r="AZ212" s="56">
        <f>G212*AR212</f>
        <v>0</v>
      </c>
      <c r="BA212" s="21" t="s">
        <v>1588</v>
      </c>
      <c r="BB212" s="21" t="s">
        <v>215</v>
      </c>
      <c r="BC212" s="7" t="s">
        <v>1747</v>
      </c>
      <c r="BE212" s="56">
        <f>AY212+AZ212</f>
        <v>0</v>
      </c>
      <c r="BF212" s="56">
        <f>H212/(100-BG212)*100</f>
        <v>0</v>
      </c>
      <c r="BG212" s="56">
        <v>0</v>
      </c>
      <c r="BH212" s="56">
        <f>M212</f>
        <v>0</v>
      </c>
      <c r="BJ212" s="56">
        <f>G212*AQ212</f>
        <v>0</v>
      </c>
      <c r="BK212" s="56">
        <f>G212*AR212</f>
        <v>0</v>
      </c>
      <c r="BL212" s="56">
        <f>G212*H212</f>
        <v>0</v>
      </c>
      <c r="BM212" s="56"/>
      <c r="BN212" s="56">
        <v>27</v>
      </c>
    </row>
    <row r="213" spans="1:66" ht="15" customHeight="1">
      <c r="A213" s="36"/>
      <c r="D213" s="45" t="s">
        <v>2258</v>
      </c>
      <c r="E213" s="104" t="s">
        <v>1597</v>
      </c>
      <c r="G213" s="13">
        <v>25.400000000000002</v>
      </c>
      <c r="N213" s="19"/>
      <c r="P213" s="592"/>
      <c r="Q213" s="592"/>
      <c r="R213" s="592"/>
      <c r="S213" s="592"/>
      <c r="T213" s="592"/>
      <c r="U213" s="592"/>
      <c r="V213" s="592"/>
      <c r="W213" s="592"/>
      <c r="X213" s="592"/>
    </row>
    <row r="214" spans="1:66" ht="15" customHeight="1">
      <c r="A214" s="24" t="s">
        <v>1430</v>
      </c>
      <c r="B214" s="12" t="s">
        <v>1746</v>
      </c>
      <c r="C214" s="12" t="s">
        <v>851</v>
      </c>
      <c r="D214" s="630" t="s">
        <v>69</v>
      </c>
      <c r="E214" s="630"/>
      <c r="F214" s="12" t="s">
        <v>564</v>
      </c>
      <c r="G214" s="56">
        <v>10</v>
      </c>
      <c r="H214" s="625"/>
      <c r="I214" s="56">
        <f>G214*AQ214</f>
        <v>0</v>
      </c>
      <c r="J214" s="56">
        <f>G214*AR214</f>
        <v>0</v>
      </c>
      <c r="K214" s="56">
        <f>G214*H214</f>
        <v>0</v>
      </c>
      <c r="L214" s="56">
        <v>3.0899999999999999E-3</v>
      </c>
      <c r="M214" s="56">
        <f>G214*L214</f>
        <v>3.0899999999999997E-2</v>
      </c>
      <c r="N214" s="31" t="s">
        <v>1579</v>
      </c>
      <c r="P214" s="592"/>
      <c r="Q214" s="592"/>
      <c r="R214" s="592"/>
      <c r="S214" s="592"/>
      <c r="T214" s="592"/>
      <c r="U214" s="592"/>
      <c r="V214" s="592"/>
      <c r="W214" s="592"/>
      <c r="X214" s="592"/>
      <c r="AB214" s="56">
        <f>IF(AS214="5",BL214,0)</f>
        <v>0</v>
      </c>
      <c r="AD214" s="56">
        <f>IF(AS214="1",BJ214,0)</f>
        <v>0</v>
      </c>
      <c r="AE214" s="56">
        <f>IF(AS214="1",BK214,0)</f>
        <v>0</v>
      </c>
      <c r="AF214" s="56">
        <f>IF(AS214="7",BJ214,0)</f>
        <v>0</v>
      </c>
      <c r="AG214" s="56">
        <f>IF(AS214="7",BK214,0)</f>
        <v>0</v>
      </c>
      <c r="AH214" s="56">
        <f>IF(AS214="2",BJ214,0)</f>
        <v>0</v>
      </c>
      <c r="AI214" s="56">
        <f>IF(AS214="2",BK214,0)</f>
        <v>0</v>
      </c>
      <c r="AJ214" s="56">
        <f>IF(AS214="0",BL214,0)</f>
        <v>0</v>
      </c>
      <c r="AK214" s="7" t="s">
        <v>1746</v>
      </c>
      <c r="AL214" s="56">
        <f>IF(AP214=0,K214,0)</f>
        <v>0</v>
      </c>
      <c r="AM214" s="56">
        <f>IF(AP214=15,K214,0)</f>
        <v>0</v>
      </c>
      <c r="AN214" s="56">
        <f>IF(AP214=21,K214,0)</f>
        <v>0</v>
      </c>
      <c r="AP214" s="56">
        <v>21</v>
      </c>
      <c r="AQ214" s="88">
        <f>H214*0.12376582278481</f>
        <v>0</v>
      </c>
      <c r="AR214" s="88">
        <f>H214*(1-0.12376582278481)</f>
        <v>0</v>
      </c>
      <c r="AS214" s="21" t="s">
        <v>2297</v>
      </c>
      <c r="AX214" s="56">
        <f>AY214+AZ214</f>
        <v>0</v>
      </c>
      <c r="AY214" s="56">
        <f>G214*AQ214</f>
        <v>0</v>
      </c>
      <c r="AZ214" s="56">
        <f>G214*AR214</f>
        <v>0</v>
      </c>
      <c r="BA214" s="21" t="s">
        <v>1588</v>
      </c>
      <c r="BB214" s="21" t="s">
        <v>215</v>
      </c>
      <c r="BC214" s="7" t="s">
        <v>1747</v>
      </c>
      <c r="BE214" s="56">
        <f>AY214+AZ214</f>
        <v>0</v>
      </c>
      <c r="BF214" s="56">
        <f>H214/(100-BG214)*100</f>
        <v>0</v>
      </c>
      <c r="BG214" s="56">
        <v>0</v>
      </c>
      <c r="BH214" s="56">
        <f>M214</f>
        <v>3.0899999999999997E-2</v>
      </c>
      <c r="BJ214" s="56">
        <f>G214*AQ214</f>
        <v>0</v>
      </c>
      <c r="BK214" s="56">
        <f>G214*AR214</f>
        <v>0</v>
      </c>
      <c r="BL214" s="56">
        <f>G214*H214</f>
        <v>0</v>
      </c>
      <c r="BM214" s="56"/>
      <c r="BN214" s="56">
        <v>27</v>
      </c>
    </row>
    <row r="215" spans="1:66" ht="15" customHeight="1">
      <c r="A215" s="36"/>
      <c r="D215" s="45" t="s">
        <v>1346</v>
      </c>
      <c r="E215" s="104" t="s">
        <v>1597</v>
      </c>
      <c r="G215" s="13">
        <v>10</v>
      </c>
      <c r="N215" s="19"/>
      <c r="P215" s="592"/>
      <c r="Q215" s="592"/>
      <c r="R215" s="592"/>
      <c r="S215" s="592"/>
      <c r="T215" s="592"/>
      <c r="U215" s="592"/>
      <c r="V215" s="592"/>
      <c r="W215" s="592"/>
      <c r="X215" s="592"/>
    </row>
    <row r="216" spans="1:66" ht="15" customHeight="1">
      <c r="A216" s="24" t="s">
        <v>2334</v>
      </c>
      <c r="B216" s="12" t="s">
        <v>1746</v>
      </c>
      <c r="C216" s="12" t="s">
        <v>1957</v>
      </c>
      <c r="D216" s="630" t="s">
        <v>579</v>
      </c>
      <c r="E216" s="630"/>
      <c r="F216" s="12" t="s">
        <v>1074</v>
      </c>
      <c r="G216" s="56">
        <v>1.25</v>
      </c>
      <c r="H216" s="625"/>
      <c r="I216" s="56">
        <f>G216*AQ216</f>
        <v>0</v>
      </c>
      <c r="J216" s="56">
        <f>G216*AR216</f>
        <v>0</v>
      </c>
      <c r="K216" s="56">
        <f>G216*H216</f>
        <v>0</v>
      </c>
      <c r="L216" s="56">
        <v>1.0217400000000001</v>
      </c>
      <c r="M216" s="56">
        <f>G216*L216</f>
        <v>1.2771750000000002</v>
      </c>
      <c r="N216" s="31" t="s">
        <v>1579</v>
      </c>
      <c r="P216" s="592"/>
      <c r="Q216" s="592"/>
      <c r="R216" s="592"/>
      <c r="S216" s="592"/>
      <c r="T216" s="592"/>
      <c r="U216" s="592"/>
      <c r="V216" s="592"/>
      <c r="W216" s="592"/>
      <c r="X216" s="592"/>
      <c r="AB216" s="56">
        <f>IF(AS216="5",BL216,0)</f>
        <v>0</v>
      </c>
      <c r="AD216" s="56">
        <f>IF(AS216="1",BJ216,0)</f>
        <v>0</v>
      </c>
      <c r="AE216" s="56">
        <f>IF(AS216="1",BK216,0)</f>
        <v>0</v>
      </c>
      <c r="AF216" s="56">
        <f>IF(AS216="7",BJ216,0)</f>
        <v>0</v>
      </c>
      <c r="AG216" s="56">
        <f>IF(AS216="7",BK216,0)</f>
        <v>0</v>
      </c>
      <c r="AH216" s="56">
        <f>IF(AS216="2",BJ216,0)</f>
        <v>0</v>
      </c>
      <c r="AI216" s="56">
        <f>IF(AS216="2",BK216,0)</f>
        <v>0</v>
      </c>
      <c r="AJ216" s="56">
        <f>IF(AS216="0",BL216,0)</f>
        <v>0</v>
      </c>
      <c r="AK216" s="7" t="s">
        <v>1746</v>
      </c>
      <c r="AL216" s="56">
        <f>IF(AP216=0,K216,0)</f>
        <v>0</v>
      </c>
      <c r="AM216" s="56">
        <f>IF(AP216=15,K216,0)</f>
        <v>0</v>
      </c>
      <c r="AN216" s="56">
        <f>IF(AP216=21,K216,0)</f>
        <v>0</v>
      </c>
      <c r="AP216" s="56">
        <v>21</v>
      </c>
      <c r="AQ216" s="88">
        <f>H216*0.761332970620239</f>
        <v>0</v>
      </c>
      <c r="AR216" s="88">
        <f>H216*(1-0.761332970620239)</f>
        <v>0</v>
      </c>
      <c r="AS216" s="21" t="s">
        <v>2297</v>
      </c>
      <c r="AX216" s="56">
        <f>AY216+AZ216</f>
        <v>0</v>
      </c>
      <c r="AY216" s="56">
        <f>G216*AQ216</f>
        <v>0</v>
      </c>
      <c r="AZ216" s="56">
        <f>G216*AR216</f>
        <v>0</v>
      </c>
      <c r="BA216" s="21" t="s">
        <v>1588</v>
      </c>
      <c r="BB216" s="21" t="s">
        <v>215</v>
      </c>
      <c r="BC216" s="7" t="s">
        <v>1747</v>
      </c>
      <c r="BE216" s="56">
        <f>AY216+AZ216</f>
        <v>0</v>
      </c>
      <c r="BF216" s="56">
        <f>H216/(100-BG216)*100</f>
        <v>0</v>
      </c>
      <c r="BG216" s="56">
        <v>0</v>
      </c>
      <c r="BH216" s="56">
        <f>M216</f>
        <v>1.2771750000000002</v>
      </c>
      <c r="BJ216" s="56">
        <f>G216*AQ216</f>
        <v>0</v>
      </c>
      <c r="BK216" s="56">
        <f>G216*AR216</f>
        <v>0</v>
      </c>
      <c r="BL216" s="56">
        <f>G216*H216</f>
        <v>0</v>
      </c>
      <c r="BM216" s="56"/>
      <c r="BN216" s="56">
        <v>27</v>
      </c>
    </row>
    <row r="217" spans="1:66" ht="15" customHeight="1">
      <c r="A217" s="36"/>
      <c r="D217" s="45" t="s">
        <v>122</v>
      </c>
      <c r="E217" s="104" t="s">
        <v>1597</v>
      </c>
      <c r="G217" s="13">
        <v>1.25</v>
      </c>
      <c r="N217" s="19"/>
      <c r="P217" s="592"/>
      <c r="Q217" s="592"/>
      <c r="R217" s="592"/>
      <c r="S217" s="592"/>
      <c r="T217" s="592"/>
      <c r="U217" s="592"/>
      <c r="V217" s="592"/>
      <c r="W217" s="592"/>
      <c r="X217" s="592"/>
    </row>
    <row r="218" spans="1:66" ht="15" customHeight="1">
      <c r="A218" s="24" t="s">
        <v>2132</v>
      </c>
      <c r="B218" s="12" t="s">
        <v>1746</v>
      </c>
      <c r="C218" s="12" t="s">
        <v>665</v>
      </c>
      <c r="D218" s="630" t="s">
        <v>1771</v>
      </c>
      <c r="E218" s="630"/>
      <c r="F218" s="12" t="s">
        <v>2236</v>
      </c>
      <c r="G218" s="56">
        <v>54.68</v>
      </c>
      <c r="H218" s="625"/>
      <c r="I218" s="56">
        <f>G218*AQ218</f>
        <v>0</v>
      </c>
      <c r="J218" s="56">
        <f>G218*AR218</f>
        <v>0</v>
      </c>
      <c r="K218" s="56">
        <f>G218*H218</f>
        <v>0</v>
      </c>
      <c r="L218" s="56">
        <v>2.5249999999999999</v>
      </c>
      <c r="M218" s="56">
        <f>G218*L218</f>
        <v>138.06700000000001</v>
      </c>
      <c r="N218" s="31" t="s">
        <v>1579</v>
      </c>
      <c r="P218" s="592"/>
      <c r="Q218" s="592"/>
      <c r="R218" s="592"/>
      <c r="S218" s="592"/>
      <c r="T218" s="592"/>
      <c r="U218" s="592"/>
      <c r="V218" s="592"/>
      <c r="W218" s="592"/>
      <c r="X218" s="592"/>
      <c r="AB218" s="56">
        <f>IF(AS218="5",BL218,0)</f>
        <v>0</v>
      </c>
      <c r="AD218" s="56">
        <f>IF(AS218="1",BJ218,0)</f>
        <v>0</v>
      </c>
      <c r="AE218" s="56">
        <f>IF(AS218="1",BK218,0)</f>
        <v>0</v>
      </c>
      <c r="AF218" s="56">
        <f>IF(AS218="7",BJ218,0)</f>
        <v>0</v>
      </c>
      <c r="AG218" s="56">
        <f>IF(AS218="7",BK218,0)</f>
        <v>0</v>
      </c>
      <c r="AH218" s="56">
        <f>IF(AS218="2",BJ218,0)</f>
        <v>0</v>
      </c>
      <c r="AI218" s="56">
        <f>IF(AS218="2",BK218,0)</f>
        <v>0</v>
      </c>
      <c r="AJ218" s="56">
        <f>IF(AS218="0",BL218,0)</f>
        <v>0</v>
      </c>
      <c r="AK218" s="7" t="s">
        <v>1746</v>
      </c>
      <c r="AL218" s="56">
        <f>IF(AP218=0,K218,0)</f>
        <v>0</v>
      </c>
      <c r="AM218" s="56">
        <f>IF(AP218=15,K218,0)</f>
        <v>0</v>
      </c>
      <c r="AN218" s="56">
        <f>IF(AP218=21,K218,0)</f>
        <v>0</v>
      </c>
      <c r="AP218" s="56">
        <v>21</v>
      </c>
      <c r="AQ218" s="88">
        <f>H218*0.926331052899683</f>
        <v>0</v>
      </c>
      <c r="AR218" s="88">
        <f>H218*(1-0.926331052899683)</f>
        <v>0</v>
      </c>
      <c r="AS218" s="21" t="s">
        <v>2297</v>
      </c>
      <c r="AX218" s="56">
        <f>AY218+AZ218</f>
        <v>0</v>
      </c>
      <c r="AY218" s="56">
        <f>G218*AQ218</f>
        <v>0</v>
      </c>
      <c r="AZ218" s="56">
        <f>G218*AR218</f>
        <v>0</v>
      </c>
      <c r="BA218" s="21" t="s">
        <v>1588</v>
      </c>
      <c r="BB218" s="21" t="s">
        <v>215</v>
      </c>
      <c r="BC218" s="7" t="s">
        <v>1747</v>
      </c>
      <c r="BE218" s="56">
        <f>AY218+AZ218</f>
        <v>0</v>
      </c>
      <c r="BF218" s="56">
        <f>H218/(100-BG218)*100</f>
        <v>0</v>
      </c>
      <c r="BG218" s="56">
        <v>0</v>
      </c>
      <c r="BH218" s="56">
        <f>M218</f>
        <v>138.06700000000001</v>
      </c>
      <c r="BJ218" s="56">
        <f>G218*AQ218</f>
        <v>0</v>
      </c>
      <c r="BK218" s="56">
        <f>G218*AR218</f>
        <v>0</v>
      </c>
      <c r="BL218" s="56">
        <f>G218*H218</f>
        <v>0</v>
      </c>
      <c r="BM218" s="56"/>
      <c r="BN218" s="56">
        <v>27</v>
      </c>
    </row>
    <row r="219" spans="1:66" ht="15" customHeight="1">
      <c r="A219" s="36"/>
      <c r="D219" s="45" t="s">
        <v>1390</v>
      </c>
      <c r="E219" s="104" t="s">
        <v>1524</v>
      </c>
      <c r="G219" s="13">
        <v>54.680000000000007</v>
      </c>
      <c r="N219" s="19"/>
      <c r="P219" s="592"/>
      <c r="Q219" s="592"/>
      <c r="R219" s="592"/>
      <c r="S219" s="592"/>
      <c r="T219" s="592"/>
      <c r="U219" s="592"/>
      <c r="V219" s="592"/>
      <c r="W219" s="592"/>
      <c r="X219" s="592"/>
    </row>
    <row r="220" spans="1:66" ht="15" customHeight="1">
      <c r="A220" s="24" t="s">
        <v>1536</v>
      </c>
      <c r="B220" s="12" t="s">
        <v>1746</v>
      </c>
      <c r="C220" s="12" t="s">
        <v>2116</v>
      </c>
      <c r="D220" s="630" t="s">
        <v>2016</v>
      </c>
      <c r="E220" s="630"/>
      <c r="F220" s="12" t="s">
        <v>2274</v>
      </c>
      <c r="G220" s="56">
        <v>18.54</v>
      </c>
      <c r="H220" s="625"/>
      <c r="I220" s="56">
        <f>G220*AQ220</f>
        <v>0</v>
      </c>
      <c r="J220" s="56">
        <f>G220*AR220</f>
        <v>0</v>
      </c>
      <c r="K220" s="56">
        <f>G220*H220</f>
        <v>0</v>
      </c>
      <c r="L220" s="56">
        <v>3.9199999999999999E-2</v>
      </c>
      <c r="M220" s="56">
        <f>G220*L220</f>
        <v>0.72676799999999997</v>
      </c>
      <c r="N220" s="31" t="s">
        <v>1579</v>
      </c>
      <c r="P220" s="592"/>
      <c r="Q220" s="592"/>
      <c r="R220" s="592"/>
      <c r="S220" s="592"/>
      <c r="T220" s="592"/>
      <c r="U220" s="592"/>
      <c r="V220" s="592"/>
      <c r="W220" s="592"/>
      <c r="X220" s="592"/>
      <c r="AB220" s="56">
        <f>IF(AS220="5",BL220,0)</f>
        <v>0</v>
      </c>
      <c r="AD220" s="56">
        <f>IF(AS220="1",BJ220,0)</f>
        <v>0</v>
      </c>
      <c r="AE220" s="56">
        <f>IF(AS220="1",BK220,0)</f>
        <v>0</v>
      </c>
      <c r="AF220" s="56">
        <f>IF(AS220="7",BJ220,0)</f>
        <v>0</v>
      </c>
      <c r="AG220" s="56">
        <f>IF(AS220="7",BK220,0)</f>
        <v>0</v>
      </c>
      <c r="AH220" s="56">
        <f>IF(AS220="2",BJ220,0)</f>
        <v>0</v>
      </c>
      <c r="AI220" s="56">
        <f>IF(AS220="2",BK220,0)</f>
        <v>0</v>
      </c>
      <c r="AJ220" s="56">
        <f>IF(AS220="0",BL220,0)</f>
        <v>0</v>
      </c>
      <c r="AK220" s="7" t="s">
        <v>1746</v>
      </c>
      <c r="AL220" s="56">
        <f>IF(AP220=0,K220,0)</f>
        <v>0</v>
      </c>
      <c r="AM220" s="56">
        <f>IF(AP220=15,K220,0)</f>
        <v>0</v>
      </c>
      <c r="AN220" s="56">
        <f>IF(AP220=21,K220,0)</f>
        <v>0</v>
      </c>
      <c r="AP220" s="56">
        <v>21</v>
      </c>
      <c r="AQ220" s="88">
        <f>H220*0.256722338204593</f>
        <v>0</v>
      </c>
      <c r="AR220" s="88">
        <f>H220*(1-0.256722338204593)</f>
        <v>0</v>
      </c>
      <c r="AS220" s="21" t="s">
        <v>2297</v>
      </c>
      <c r="AX220" s="56">
        <f>AY220+AZ220</f>
        <v>0</v>
      </c>
      <c r="AY220" s="56">
        <f>G220*AQ220</f>
        <v>0</v>
      </c>
      <c r="AZ220" s="56">
        <f>G220*AR220</f>
        <v>0</v>
      </c>
      <c r="BA220" s="21" t="s">
        <v>1588</v>
      </c>
      <c r="BB220" s="21" t="s">
        <v>215</v>
      </c>
      <c r="BC220" s="7" t="s">
        <v>1747</v>
      </c>
      <c r="BE220" s="56">
        <f>AY220+AZ220</f>
        <v>0</v>
      </c>
      <c r="BF220" s="56">
        <f>H220/(100-BG220)*100</f>
        <v>0</v>
      </c>
      <c r="BG220" s="56">
        <v>0</v>
      </c>
      <c r="BH220" s="56">
        <f>M220</f>
        <v>0.72676799999999997</v>
      </c>
      <c r="BJ220" s="56">
        <f>G220*AQ220</f>
        <v>0</v>
      </c>
      <c r="BK220" s="56">
        <f>G220*AR220</f>
        <v>0</v>
      </c>
      <c r="BL220" s="56">
        <f>G220*H220</f>
        <v>0</v>
      </c>
      <c r="BM220" s="56"/>
      <c r="BN220" s="56">
        <v>27</v>
      </c>
    </row>
    <row r="221" spans="1:66" ht="15" customHeight="1">
      <c r="A221" s="36"/>
      <c r="D221" s="45" t="s">
        <v>2506</v>
      </c>
      <c r="E221" s="104" t="s">
        <v>1597</v>
      </c>
      <c r="G221" s="13">
        <v>18.540000000000003</v>
      </c>
      <c r="N221" s="19"/>
      <c r="P221" s="592"/>
      <c r="Q221" s="592"/>
      <c r="R221" s="592"/>
      <c r="S221" s="592"/>
      <c r="T221" s="592"/>
      <c r="U221" s="592"/>
      <c r="V221" s="592"/>
      <c r="W221" s="592"/>
      <c r="X221" s="592"/>
    </row>
    <row r="222" spans="1:66" ht="15" customHeight="1">
      <c r="A222" s="24" t="s">
        <v>1181</v>
      </c>
      <c r="B222" s="12" t="s">
        <v>1746</v>
      </c>
      <c r="C222" s="12" t="s">
        <v>339</v>
      </c>
      <c r="D222" s="630" t="s">
        <v>2108</v>
      </c>
      <c r="E222" s="630"/>
      <c r="F222" s="12" t="s">
        <v>1074</v>
      </c>
      <c r="G222" s="56">
        <v>6.29</v>
      </c>
      <c r="H222" s="625"/>
      <c r="I222" s="56">
        <f>G222*AQ222</f>
        <v>0</v>
      </c>
      <c r="J222" s="56">
        <f>G222*AR222</f>
        <v>0</v>
      </c>
      <c r="K222" s="56">
        <f>G222*H222</f>
        <v>0</v>
      </c>
      <c r="L222" s="56">
        <v>1.0085200000000001</v>
      </c>
      <c r="M222" s="56">
        <f>G222*L222</f>
        <v>6.3435908000000003</v>
      </c>
      <c r="N222" s="31" t="s">
        <v>1579</v>
      </c>
      <c r="P222" s="592"/>
      <c r="Q222" s="592"/>
      <c r="R222" s="592"/>
      <c r="S222" s="592"/>
      <c r="T222" s="592"/>
      <c r="U222" s="592"/>
      <c r="V222" s="592"/>
      <c r="W222" s="592"/>
      <c r="X222" s="592"/>
      <c r="AB222" s="56">
        <f>IF(AS222="5",BL222,0)</f>
        <v>0</v>
      </c>
      <c r="AD222" s="56">
        <f>IF(AS222="1",BJ222,0)</f>
        <v>0</v>
      </c>
      <c r="AE222" s="56">
        <f>IF(AS222="1",BK222,0)</f>
        <v>0</v>
      </c>
      <c r="AF222" s="56">
        <f>IF(AS222="7",BJ222,0)</f>
        <v>0</v>
      </c>
      <c r="AG222" s="56">
        <f>IF(AS222="7",BK222,0)</f>
        <v>0</v>
      </c>
      <c r="AH222" s="56">
        <f>IF(AS222="2",BJ222,0)</f>
        <v>0</v>
      </c>
      <c r="AI222" s="56">
        <f>IF(AS222="2",BK222,0)</f>
        <v>0</v>
      </c>
      <c r="AJ222" s="56">
        <f>IF(AS222="0",BL222,0)</f>
        <v>0</v>
      </c>
      <c r="AK222" s="7" t="s">
        <v>1746</v>
      </c>
      <c r="AL222" s="56">
        <f>IF(AP222=0,K222,0)</f>
        <v>0</v>
      </c>
      <c r="AM222" s="56">
        <f>IF(AP222=15,K222,0)</f>
        <v>0</v>
      </c>
      <c r="AN222" s="56">
        <f>IF(AP222=21,K222,0)</f>
        <v>0</v>
      </c>
      <c r="AP222" s="56">
        <v>21</v>
      </c>
      <c r="AQ222" s="88">
        <f>H222*0.762507088122605</f>
        <v>0</v>
      </c>
      <c r="AR222" s="88">
        <f>H222*(1-0.762507088122605)</f>
        <v>0</v>
      </c>
      <c r="AS222" s="21" t="s">
        <v>2297</v>
      </c>
      <c r="AX222" s="56">
        <f>AY222+AZ222</f>
        <v>0</v>
      </c>
      <c r="AY222" s="56">
        <f>G222*AQ222</f>
        <v>0</v>
      </c>
      <c r="AZ222" s="56">
        <f>G222*AR222</f>
        <v>0</v>
      </c>
      <c r="BA222" s="21" t="s">
        <v>1588</v>
      </c>
      <c r="BB222" s="21" t="s">
        <v>215</v>
      </c>
      <c r="BC222" s="7" t="s">
        <v>1747</v>
      </c>
      <c r="BE222" s="56">
        <f>AY222+AZ222</f>
        <v>0</v>
      </c>
      <c r="BF222" s="56">
        <f>H222/(100-BG222)*100</f>
        <v>0</v>
      </c>
      <c r="BG222" s="56">
        <v>0</v>
      </c>
      <c r="BH222" s="56">
        <f>M222</f>
        <v>6.3435908000000003</v>
      </c>
      <c r="BJ222" s="56">
        <f>G222*AQ222</f>
        <v>0</v>
      </c>
      <c r="BK222" s="56">
        <f>G222*AR222</f>
        <v>0</v>
      </c>
      <c r="BL222" s="56">
        <f>G222*H222</f>
        <v>0</v>
      </c>
      <c r="BM222" s="56"/>
      <c r="BN222" s="56">
        <v>27</v>
      </c>
    </row>
    <row r="223" spans="1:66" ht="15" customHeight="1">
      <c r="A223" s="36"/>
      <c r="D223" s="45" t="s">
        <v>2622</v>
      </c>
      <c r="E223" s="104" t="s">
        <v>1597</v>
      </c>
      <c r="G223" s="13">
        <v>6.2900000000000009</v>
      </c>
      <c r="N223" s="19"/>
      <c r="P223" s="592"/>
      <c r="Q223" s="592"/>
      <c r="R223" s="592"/>
      <c r="S223" s="592"/>
      <c r="T223" s="592"/>
      <c r="U223" s="592"/>
      <c r="V223" s="592"/>
      <c r="W223" s="592"/>
      <c r="X223" s="592"/>
    </row>
    <row r="224" spans="1:66" ht="15" customHeight="1">
      <c r="A224" s="24" t="s">
        <v>518</v>
      </c>
      <c r="B224" s="12" t="s">
        <v>1746</v>
      </c>
      <c r="C224" s="12" t="s">
        <v>634</v>
      </c>
      <c r="D224" s="630" t="s">
        <v>1674</v>
      </c>
      <c r="E224" s="630"/>
      <c r="F224" s="12" t="s">
        <v>2274</v>
      </c>
      <c r="G224" s="56">
        <v>18.54</v>
      </c>
      <c r="H224" s="625"/>
      <c r="I224" s="56">
        <f>G224*AQ224</f>
        <v>0</v>
      </c>
      <c r="J224" s="56">
        <f>G224*AR224</f>
        <v>0</v>
      </c>
      <c r="K224" s="56">
        <f>G224*H224</f>
        <v>0</v>
      </c>
      <c r="L224" s="56">
        <v>0</v>
      </c>
      <c r="M224" s="56">
        <f>G224*L224</f>
        <v>0</v>
      </c>
      <c r="N224" s="31" t="s">
        <v>1579</v>
      </c>
      <c r="P224" s="592"/>
      <c r="Q224" s="592"/>
      <c r="R224" s="592"/>
      <c r="S224" s="592"/>
      <c r="T224" s="592"/>
      <c r="U224" s="592"/>
      <c r="V224" s="592"/>
      <c r="W224" s="592"/>
      <c r="X224" s="592"/>
      <c r="AB224" s="56">
        <f>IF(AS224="5",BL224,0)</f>
        <v>0</v>
      </c>
      <c r="AD224" s="56">
        <f>IF(AS224="1",BJ224,0)</f>
        <v>0</v>
      </c>
      <c r="AE224" s="56">
        <f>IF(AS224="1",BK224,0)</f>
        <v>0</v>
      </c>
      <c r="AF224" s="56">
        <f>IF(AS224="7",BJ224,0)</f>
        <v>0</v>
      </c>
      <c r="AG224" s="56">
        <f>IF(AS224="7",BK224,0)</f>
        <v>0</v>
      </c>
      <c r="AH224" s="56">
        <f>IF(AS224="2",BJ224,0)</f>
        <v>0</v>
      </c>
      <c r="AI224" s="56">
        <f>IF(AS224="2",BK224,0)</f>
        <v>0</v>
      </c>
      <c r="AJ224" s="56">
        <f>IF(AS224="0",BL224,0)</f>
        <v>0</v>
      </c>
      <c r="AK224" s="7" t="s">
        <v>1746</v>
      </c>
      <c r="AL224" s="56">
        <f>IF(AP224=0,K224,0)</f>
        <v>0</v>
      </c>
      <c r="AM224" s="56">
        <f>IF(AP224=15,K224,0)</f>
        <v>0</v>
      </c>
      <c r="AN224" s="56">
        <f>IF(AP224=21,K224,0)</f>
        <v>0</v>
      </c>
      <c r="AP224" s="56">
        <v>21</v>
      </c>
      <c r="AQ224" s="88">
        <f>H224*0</f>
        <v>0</v>
      </c>
      <c r="AR224" s="88">
        <f>H224*(1-0)</f>
        <v>0</v>
      </c>
      <c r="AS224" s="21" t="s">
        <v>2297</v>
      </c>
      <c r="AX224" s="56">
        <f>AY224+AZ224</f>
        <v>0</v>
      </c>
      <c r="AY224" s="56">
        <f>G224*AQ224</f>
        <v>0</v>
      </c>
      <c r="AZ224" s="56">
        <f>G224*AR224</f>
        <v>0</v>
      </c>
      <c r="BA224" s="21" t="s">
        <v>1588</v>
      </c>
      <c r="BB224" s="21" t="s">
        <v>215</v>
      </c>
      <c r="BC224" s="7" t="s">
        <v>1747</v>
      </c>
      <c r="BE224" s="56">
        <f>AY224+AZ224</f>
        <v>0</v>
      </c>
      <c r="BF224" s="56">
        <f>H224/(100-BG224)*100</f>
        <v>0</v>
      </c>
      <c r="BG224" s="56">
        <v>0</v>
      </c>
      <c r="BH224" s="56">
        <f>M224</f>
        <v>0</v>
      </c>
      <c r="BJ224" s="56">
        <f>G224*AQ224</f>
        <v>0</v>
      </c>
      <c r="BK224" s="56">
        <f>G224*AR224</f>
        <v>0</v>
      </c>
      <c r="BL224" s="56">
        <f>G224*H224</f>
        <v>0</v>
      </c>
      <c r="BM224" s="56"/>
      <c r="BN224" s="56">
        <v>27</v>
      </c>
    </row>
    <row r="225" spans="1:66" ht="15" customHeight="1">
      <c r="A225" s="36"/>
      <c r="D225" s="45" t="s">
        <v>138</v>
      </c>
      <c r="E225" s="104" t="s">
        <v>1597</v>
      </c>
      <c r="G225" s="13">
        <v>18.540000000000003</v>
      </c>
      <c r="N225" s="19"/>
      <c r="P225" s="592"/>
      <c r="Q225" s="592"/>
      <c r="R225" s="592"/>
      <c r="S225" s="592"/>
      <c r="T225" s="592"/>
      <c r="U225" s="592"/>
      <c r="V225" s="592"/>
      <c r="W225" s="592"/>
      <c r="X225" s="592"/>
    </row>
    <row r="226" spans="1:66" ht="15" customHeight="1">
      <c r="A226" s="24" t="s">
        <v>206</v>
      </c>
      <c r="B226" s="12" t="s">
        <v>1746</v>
      </c>
      <c r="C226" s="12" t="s">
        <v>1671</v>
      </c>
      <c r="D226" s="630" t="s">
        <v>374</v>
      </c>
      <c r="E226" s="630"/>
      <c r="F226" s="12" t="s">
        <v>564</v>
      </c>
      <c r="G226" s="56">
        <v>10</v>
      </c>
      <c r="H226" s="625"/>
      <c r="I226" s="56">
        <f>G226*AQ226</f>
        <v>0</v>
      </c>
      <c r="J226" s="56">
        <f>G226*AR226</f>
        <v>0</v>
      </c>
      <c r="K226" s="56">
        <f>G226*H226</f>
        <v>0</v>
      </c>
      <c r="L226" s="56">
        <v>1.15E-3</v>
      </c>
      <c r="M226" s="56">
        <f>G226*L226</f>
        <v>1.15E-2</v>
      </c>
      <c r="N226" s="31" t="s">
        <v>1579</v>
      </c>
      <c r="P226" s="592"/>
      <c r="Q226" s="592"/>
      <c r="R226" s="592"/>
      <c r="S226" s="592"/>
      <c r="T226" s="592"/>
      <c r="U226" s="592"/>
      <c r="V226" s="592"/>
      <c r="W226" s="592"/>
      <c r="X226" s="592"/>
      <c r="AB226" s="56">
        <f>IF(AS226="5",BL226,0)</f>
        <v>0</v>
      </c>
      <c r="AD226" s="56">
        <f>IF(AS226="1",BJ226,0)</f>
        <v>0</v>
      </c>
      <c r="AE226" s="56">
        <f>IF(AS226="1",BK226,0)</f>
        <v>0</v>
      </c>
      <c r="AF226" s="56">
        <f>IF(AS226="7",BJ226,0)</f>
        <v>0</v>
      </c>
      <c r="AG226" s="56">
        <f>IF(AS226="7",BK226,0)</f>
        <v>0</v>
      </c>
      <c r="AH226" s="56">
        <f>IF(AS226="2",BJ226,0)</f>
        <v>0</v>
      </c>
      <c r="AI226" s="56">
        <f>IF(AS226="2",BK226,0)</f>
        <v>0</v>
      </c>
      <c r="AJ226" s="56">
        <f>IF(AS226="0",BL226,0)</f>
        <v>0</v>
      </c>
      <c r="AK226" s="7" t="s">
        <v>1746</v>
      </c>
      <c r="AL226" s="56">
        <f>IF(AP226=0,K226,0)</f>
        <v>0</v>
      </c>
      <c r="AM226" s="56">
        <f>IF(AP226=15,K226,0)</f>
        <v>0</v>
      </c>
      <c r="AN226" s="56">
        <f>IF(AP226=21,K226,0)</f>
        <v>0</v>
      </c>
      <c r="AP226" s="56">
        <v>21</v>
      </c>
      <c r="AQ226" s="88">
        <f>H226*0.0696179775280899</f>
        <v>0</v>
      </c>
      <c r="AR226" s="88">
        <f>H226*(1-0.0696179775280899)</f>
        <v>0</v>
      </c>
      <c r="AS226" s="21" t="s">
        <v>2297</v>
      </c>
      <c r="AX226" s="56">
        <f>AY226+AZ226</f>
        <v>0</v>
      </c>
      <c r="AY226" s="56">
        <f>G226*AQ226</f>
        <v>0</v>
      </c>
      <c r="AZ226" s="56">
        <f>G226*AR226</f>
        <v>0</v>
      </c>
      <c r="BA226" s="21" t="s">
        <v>1588</v>
      </c>
      <c r="BB226" s="21" t="s">
        <v>215</v>
      </c>
      <c r="BC226" s="7" t="s">
        <v>1747</v>
      </c>
      <c r="BE226" s="56">
        <f>AY226+AZ226</f>
        <v>0</v>
      </c>
      <c r="BF226" s="56">
        <f>H226/(100-BG226)*100</f>
        <v>0</v>
      </c>
      <c r="BG226" s="56">
        <v>0</v>
      </c>
      <c r="BH226" s="56">
        <f>M226</f>
        <v>1.15E-2</v>
      </c>
      <c r="BJ226" s="56">
        <f>G226*AQ226</f>
        <v>0</v>
      </c>
      <c r="BK226" s="56">
        <f>G226*AR226</f>
        <v>0</v>
      </c>
      <c r="BL226" s="56">
        <f>G226*H226</f>
        <v>0</v>
      </c>
      <c r="BM226" s="56"/>
      <c r="BN226" s="56">
        <v>27</v>
      </c>
    </row>
    <row r="227" spans="1:66" ht="15" customHeight="1">
      <c r="A227" s="36"/>
      <c r="D227" s="45" t="s">
        <v>1346</v>
      </c>
      <c r="E227" s="104" t="s">
        <v>1597</v>
      </c>
      <c r="G227" s="13">
        <v>10</v>
      </c>
      <c r="N227" s="19"/>
      <c r="P227" s="592"/>
      <c r="Q227" s="592"/>
      <c r="R227" s="592"/>
      <c r="S227" s="592"/>
      <c r="T227" s="592"/>
      <c r="U227" s="592"/>
      <c r="V227" s="592"/>
      <c r="W227" s="592"/>
      <c r="X227" s="592"/>
    </row>
    <row r="228" spans="1:66" ht="15" customHeight="1">
      <c r="A228" s="32" t="s">
        <v>1597</v>
      </c>
      <c r="B228" s="26" t="s">
        <v>1746</v>
      </c>
      <c r="C228" s="512" t="s">
        <v>2539</v>
      </c>
      <c r="D228" s="709" t="s">
        <v>1277</v>
      </c>
      <c r="E228" s="709"/>
      <c r="F228" s="46" t="s">
        <v>2144</v>
      </c>
      <c r="G228" s="46" t="s">
        <v>2144</v>
      </c>
      <c r="H228" s="46" t="s">
        <v>2144</v>
      </c>
      <c r="I228" s="17">
        <f>SUM(I229:I231)</f>
        <v>0</v>
      </c>
      <c r="J228" s="17">
        <f>SUM(J229:J231)</f>
        <v>0</v>
      </c>
      <c r="K228" s="515">
        <f>SUM(K229:K231)</f>
        <v>0</v>
      </c>
      <c r="L228" s="7" t="s">
        <v>1597</v>
      </c>
      <c r="M228" s="17">
        <f>SUM(M229:M231)</f>
        <v>0.39228499999999999</v>
      </c>
      <c r="N228" s="20" t="s">
        <v>1597</v>
      </c>
      <c r="P228" s="592">
        <f>K228</f>
        <v>0</v>
      </c>
      <c r="Q228" s="592"/>
      <c r="R228" s="592"/>
      <c r="S228" s="592"/>
      <c r="T228" s="592"/>
      <c r="U228" s="592"/>
      <c r="V228" s="592"/>
      <c r="W228" s="592"/>
      <c r="X228" s="592"/>
      <c r="AK228" s="7" t="s">
        <v>1746</v>
      </c>
      <c r="AU228" s="17">
        <f>SUM(AL229:AL231)</f>
        <v>0</v>
      </c>
      <c r="AV228" s="17">
        <f>SUM(AM229:AM231)</f>
        <v>0</v>
      </c>
      <c r="AW228" s="17">
        <f>SUM(AN229:AN231)</f>
        <v>0</v>
      </c>
    </row>
    <row r="229" spans="1:66" ht="15" customHeight="1">
      <c r="A229" s="24" t="s">
        <v>2272</v>
      </c>
      <c r="B229" s="12" t="s">
        <v>1746</v>
      </c>
      <c r="C229" s="12" t="s">
        <v>2314</v>
      </c>
      <c r="D229" s="630" t="s">
        <v>1667</v>
      </c>
      <c r="E229" s="630"/>
      <c r="F229" s="12" t="s">
        <v>1923</v>
      </c>
      <c r="G229" s="56">
        <v>64.5</v>
      </c>
      <c r="H229" s="625"/>
      <c r="I229" s="56">
        <f>G229*AQ229</f>
        <v>0</v>
      </c>
      <c r="J229" s="56">
        <f>G229*AR229</f>
        <v>0</v>
      </c>
      <c r="K229" s="56">
        <f>G229*H229</f>
        <v>0</v>
      </c>
      <c r="L229" s="56">
        <v>1.33E-3</v>
      </c>
      <c r="M229" s="56">
        <f>G229*L229</f>
        <v>8.5785E-2</v>
      </c>
      <c r="N229" s="31" t="s">
        <v>1579</v>
      </c>
      <c r="P229" s="592"/>
      <c r="Q229" s="592"/>
      <c r="R229" s="592"/>
      <c r="S229" s="592"/>
      <c r="T229" s="592"/>
      <c r="U229" s="592"/>
      <c r="V229" s="592"/>
      <c r="W229" s="592"/>
      <c r="X229" s="592"/>
      <c r="AB229" s="56">
        <f>IF(AS229="5",BL229,0)</f>
        <v>0</v>
      </c>
      <c r="AD229" s="56">
        <f>IF(AS229="1",BJ229,0)</f>
        <v>0</v>
      </c>
      <c r="AE229" s="56">
        <f>IF(AS229="1",BK229,0)</f>
        <v>0</v>
      </c>
      <c r="AF229" s="56">
        <f>IF(AS229="7",BJ229,0)</f>
        <v>0</v>
      </c>
      <c r="AG229" s="56">
        <f>IF(AS229="7",BK229,0)</f>
        <v>0</v>
      </c>
      <c r="AH229" s="56">
        <f>IF(AS229="2",BJ229,0)</f>
        <v>0</v>
      </c>
      <c r="AI229" s="56">
        <f>IF(AS229="2",BK229,0)</f>
        <v>0</v>
      </c>
      <c r="AJ229" s="56">
        <f>IF(AS229="0",BL229,0)</f>
        <v>0</v>
      </c>
      <c r="AK229" s="7" t="s">
        <v>1746</v>
      </c>
      <c r="AL229" s="56">
        <f>IF(AP229=0,K229,0)</f>
        <v>0</v>
      </c>
      <c r="AM229" s="56">
        <f>IF(AP229=15,K229,0)</f>
        <v>0</v>
      </c>
      <c r="AN229" s="56">
        <f>IF(AP229=21,K229,0)</f>
        <v>0</v>
      </c>
      <c r="AP229" s="56">
        <v>21</v>
      </c>
      <c r="AQ229" s="88">
        <f>H229*0.855837597330367</f>
        <v>0</v>
      </c>
      <c r="AR229" s="88">
        <f>H229*(1-0.855837597330367)</f>
        <v>0</v>
      </c>
      <c r="AS229" s="21" t="s">
        <v>2297</v>
      </c>
      <c r="AX229" s="56">
        <f>AY229+AZ229</f>
        <v>0</v>
      </c>
      <c r="AY229" s="56">
        <f>G229*AQ229</f>
        <v>0</v>
      </c>
      <c r="AZ229" s="56">
        <f>G229*AR229</f>
        <v>0</v>
      </c>
      <c r="BA229" s="21" t="s">
        <v>1061</v>
      </c>
      <c r="BB229" s="21" t="s">
        <v>215</v>
      </c>
      <c r="BC229" s="7" t="s">
        <v>1747</v>
      </c>
      <c r="BE229" s="56">
        <f>AY229+AZ229</f>
        <v>0</v>
      </c>
      <c r="BF229" s="56">
        <f>H229/(100-BG229)*100</f>
        <v>0</v>
      </c>
      <c r="BG229" s="56">
        <v>0</v>
      </c>
      <c r="BH229" s="56">
        <f>M229</f>
        <v>8.5785E-2</v>
      </c>
      <c r="BJ229" s="56">
        <f>G229*AQ229</f>
        <v>0</v>
      </c>
      <c r="BK229" s="56">
        <f>G229*AR229</f>
        <v>0</v>
      </c>
      <c r="BL229" s="56">
        <f>G229*H229</f>
        <v>0</v>
      </c>
      <c r="BM229" s="56"/>
      <c r="BN229" s="56">
        <v>28</v>
      </c>
    </row>
    <row r="230" spans="1:66" ht="15" customHeight="1">
      <c r="A230" s="36"/>
      <c r="D230" s="45" t="s">
        <v>1437</v>
      </c>
      <c r="E230" s="104" t="s">
        <v>1750</v>
      </c>
      <c r="G230" s="13">
        <v>64.5</v>
      </c>
      <c r="N230" s="19"/>
      <c r="P230" s="592"/>
      <c r="Q230" s="592"/>
      <c r="R230" s="592"/>
      <c r="S230" s="592"/>
      <c r="T230" s="592"/>
      <c r="U230" s="592"/>
      <c r="V230" s="592"/>
      <c r="W230" s="592"/>
      <c r="X230" s="592"/>
    </row>
    <row r="231" spans="1:66" ht="15" customHeight="1">
      <c r="A231" s="8" t="s">
        <v>408</v>
      </c>
      <c r="B231" s="75" t="s">
        <v>1746</v>
      </c>
      <c r="C231" s="75" t="s">
        <v>559</v>
      </c>
      <c r="D231" s="710" t="s">
        <v>1994</v>
      </c>
      <c r="E231" s="710"/>
      <c r="F231" s="75" t="s">
        <v>2182</v>
      </c>
      <c r="G231" s="80">
        <v>306.5</v>
      </c>
      <c r="H231" s="626"/>
      <c r="I231" s="80">
        <f>G231*AQ231</f>
        <v>0</v>
      </c>
      <c r="J231" s="80">
        <f>G231*AR231</f>
        <v>0</v>
      </c>
      <c r="K231" s="80">
        <f>G231*H231</f>
        <v>0</v>
      </c>
      <c r="L231" s="80">
        <v>1E-3</v>
      </c>
      <c r="M231" s="80">
        <f>G231*L231</f>
        <v>0.30649999999999999</v>
      </c>
      <c r="N231" s="38" t="s">
        <v>1579</v>
      </c>
      <c r="P231" s="592"/>
      <c r="Q231" s="592"/>
      <c r="R231" s="592"/>
      <c r="S231" s="592"/>
      <c r="T231" s="592"/>
      <c r="U231" s="592"/>
      <c r="V231" s="592"/>
      <c r="W231" s="592"/>
      <c r="X231" s="592"/>
      <c r="AB231" s="56">
        <f>IF(AS231="5",BL231,0)</f>
        <v>0</v>
      </c>
      <c r="AD231" s="56">
        <f>IF(AS231="1",BJ231,0)</f>
        <v>0</v>
      </c>
      <c r="AE231" s="56">
        <f>IF(AS231="1",BK231,0)</f>
        <v>0</v>
      </c>
      <c r="AF231" s="56">
        <f>IF(AS231="7",BJ231,0)</f>
        <v>0</v>
      </c>
      <c r="AG231" s="56">
        <f>IF(AS231="7",BK231,0)</f>
        <v>0</v>
      </c>
      <c r="AH231" s="56">
        <f>IF(AS231="2",BJ231,0)</f>
        <v>0</v>
      </c>
      <c r="AI231" s="56">
        <f>IF(AS231="2",BK231,0)</f>
        <v>0</v>
      </c>
      <c r="AJ231" s="56">
        <f>IF(AS231="0",BL231,0)</f>
        <v>0</v>
      </c>
      <c r="AK231" s="7" t="s">
        <v>1746</v>
      </c>
      <c r="AL231" s="80">
        <f>IF(AP231=0,K231,0)</f>
        <v>0</v>
      </c>
      <c r="AM231" s="80">
        <f>IF(AP231=15,K231,0)</f>
        <v>0</v>
      </c>
      <c r="AN231" s="80">
        <f>IF(AP231=21,K231,0)</f>
        <v>0</v>
      </c>
      <c r="AP231" s="56">
        <v>21</v>
      </c>
      <c r="AQ231" s="88">
        <f>H231*1</f>
        <v>0</v>
      </c>
      <c r="AR231" s="88">
        <f>H231*(1-1)</f>
        <v>0</v>
      </c>
      <c r="AS231" s="64" t="s">
        <v>2297</v>
      </c>
      <c r="AX231" s="56">
        <f>AY231+AZ231</f>
        <v>0</v>
      </c>
      <c r="AY231" s="56">
        <f>G231*AQ231</f>
        <v>0</v>
      </c>
      <c r="AZ231" s="56">
        <f>G231*AR231</f>
        <v>0</v>
      </c>
      <c r="BA231" s="21" t="s">
        <v>1061</v>
      </c>
      <c r="BB231" s="21" t="s">
        <v>215</v>
      </c>
      <c r="BC231" s="7" t="s">
        <v>1747</v>
      </c>
      <c r="BE231" s="56">
        <f>AY231+AZ231</f>
        <v>0</v>
      </c>
      <c r="BF231" s="56">
        <f>H231/(100-BG231)*100</f>
        <v>0</v>
      </c>
      <c r="BG231" s="56">
        <v>0</v>
      </c>
      <c r="BH231" s="56">
        <f>M231</f>
        <v>0.30649999999999999</v>
      </c>
      <c r="BJ231" s="80">
        <f>G231*AQ231</f>
        <v>0</v>
      </c>
      <c r="BK231" s="80">
        <f>G231*AR231</f>
        <v>0</v>
      </c>
      <c r="BL231" s="80">
        <f>G231*H231</f>
        <v>0</v>
      </c>
      <c r="BM231" s="80"/>
      <c r="BN231" s="56">
        <v>28</v>
      </c>
    </row>
    <row r="232" spans="1:66" ht="15" customHeight="1">
      <c r="A232" s="36"/>
      <c r="D232" s="45" t="s">
        <v>2395</v>
      </c>
      <c r="E232" s="104" t="s">
        <v>1606</v>
      </c>
      <c r="G232" s="13">
        <v>306.5</v>
      </c>
      <c r="N232" s="19"/>
      <c r="P232" s="592"/>
      <c r="Q232" s="592"/>
      <c r="R232" s="592"/>
      <c r="S232" s="592"/>
      <c r="T232" s="592"/>
      <c r="U232" s="592"/>
      <c r="V232" s="592"/>
      <c r="W232" s="592"/>
      <c r="X232" s="592"/>
    </row>
    <row r="233" spans="1:66" ht="15" customHeight="1">
      <c r="A233" s="32" t="s">
        <v>1597</v>
      </c>
      <c r="B233" s="26" t="s">
        <v>1746</v>
      </c>
      <c r="C233" s="553" t="s">
        <v>1378</v>
      </c>
      <c r="D233" s="709" t="s">
        <v>2229</v>
      </c>
      <c r="E233" s="709"/>
      <c r="F233" s="46" t="s">
        <v>2144</v>
      </c>
      <c r="G233" s="46" t="s">
        <v>2144</v>
      </c>
      <c r="H233" s="46" t="s">
        <v>2144</v>
      </c>
      <c r="I233" s="17">
        <f>SUM(I234:I243)</f>
        <v>0</v>
      </c>
      <c r="J233" s="17">
        <f>SUM(J234:J243)</f>
        <v>0</v>
      </c>
      <c r="K233" s="554">
        <f>SUM(K234:K243)</f>
        <v>0</v>
      </c>
      <c r="L233" s="7" t="s">
        <v>1597</v>
      </c>
      <c r="M233" s="17">
        <f>SUM(M234:M243)</f>
        <v>91.548135000000002</v>
      </c>
      <c r="N233" s="20" t="s">
        <v>1597</v>
      </c>
      <c r="P233" s="592"/>
      <c r="Q233" s="592"/>
      <c r="R233" s="592"/>
      <c r="S233" s="592"/>
      <c r="T233" s="592"/>
      <c r="U233" s="592"/>
      <c r="V233" s="592"/>
      <c r="W233" s="592"/>
      <c r="X233" s="592"/>
      <c r="AK233" s="7" t="s">
        <v>1746</v>
      </c>
      <c r="AU233" s="17">
        <f>SUM(AL234:AL243)</f>
        <v>0</v>
      </c>
      <c r="AV233" s="17">
        <f>SUM(AM234:AM243)</f>
        <v>0</v>
      </c>
      <c r="AW233" s="17">
        <f>SUM(AN234:AN243)</f>
        <v>0</v>
      </c>
    </row>
    <row r="234" spans="1:66" ht="15" customHeight="1">
      <c r="A234" s="24" t="s">
        <v>436</v>
      </c>
      <c r="B234" s="12" t="s">
        <v>1746</v>
      </c>
      <c r="C234" s="513" t="s">
        <v>1540</v>
      </c>
      <c r="D234" s="630" t="s">
        <v>2451</v>
      </c>
      <c r="E234" s="630"/>
      <c r="F234" s="12" t="s">
        <v>2236</v>
      </c>
      <c r="G234" s="56">
        <v>23.42</v>
      </c>
      <c r="H234" s="625"/>
      <c r="I234" s="56">
        <f>G234*AQ234</f>
        <v>0</v>
      </c>
      <c r="J234" s="56">
        <f>G234*AR234</f>
        <v>0</v>
      </c>
      <c r="K234" s="517">
        <f>G234*H234</f>
        <v>0</v>
      </c>
      <c r="L234" s="56">
        <v>1.3283400000000001</v>
      </c>
      <c r="M234" s="56">
        <f>G234*L234</f>
        <v>31.109722800000004</v>
      </c>
      <c r="N234" s="31" t="s">
        <v>1579</v>
      </c>
      <c r="P234" s="592">
        <f>K234</f>
        <v>0</v>
      </c>
      <c r="Q234" s="592"/>
      <c r="R234" s="592"/>
      <c r="S234" s="592"/>
      <c r="T234" s="592"/>
      <c r="U234" s="592"/>
      <c r="V234" s="592"/>
      <c r="W234" s="592"/>
      <c r="X234" s="592"/>
      <c r="AB234" s="56">
        <f>IF(AS234="5",BL234,0)</f>
        <v>0</v>
      </c>
      <c r="AD234" s="56">
        <f>IF(AS234="1",BJ234,0)</f>
        <v>0</v>
      </c>
      <c r="AE234" s="56">
        <f>IF(AS234="1",BK234,0)</f>
        <v>0</v>
      </c>
      <c r="AF234" s="56">
        <f>IF(AS234="7",BJ234,0)</f>
        <v>0</v>
      </c>
      <c r="AG234" s="56">
        <f>IF(AS234="7",BK234,0)</f>
        <v>0</v>
      </c>
      <c r="AH234" s="56">
        <f>IF(AS234="2",BJ234,0)</f>
        <v>0</v>
      </c>
      <c r="AI234" s="56">
        <f>IF(AS234="2",BK234,0)</f>
        <v>0</v>
      </c>
      <c r="AJ234" s="56">
        <f>IF(AS234="0",BL234,0)</f>
        <v>0</v>
      </c>
      <c r="AK234" s="7" t="s">
        <v>1746</v>
      </c>
      <c r="AL234" s="56">
        <f>IF(AP234=0,K234,0)</f>
        <v>0</v>
      </c>
      <c r="AM234" s="56">
        <f>IF(AP234=15,K234,0)</f>
        <v>0</v>
      </c>
      <c r="AN234" s="56">
        <f>IF(AP234=21,K234,0)</f>
        <v>0</v>
      </c>
      <c r="AP234" s="56">
        <v>21</v>
      </c>
      <c r="AQ234" s="88">
        <f>H234*0.768863945578231</f>
        <v>0</v>
      </c>
      <c r="AR234" s="88">
        <f>H234*(1-0.768863945578231)</f>
        <v>0</v>
      </c>
      <c r="AS234" s="21" t="s">
        <v>2297</v>
      </c>
      <c r="AX234" s="56">
        <f>AY234+AZ234</f>
        <v>0</v>
      </c>
      <c r="AY234" s="56">
        <f>G234*AQ234</f>
        <v>0</v>
      </c>
      <c r="AZ234" s="56">
        <f>G234*AR234</f>
        <v>0</v>
      </c>
      <c r="BA234" s="21" t="s">
        <v>1666</v>
      </c>
      <c r="BB234" s="21" t="s">
        <v>191</v>
      </c>
      <c r="BC234" s="7" t="s">
        <v>1747</v>
      </c>
      <c r="BE234" s="56">
        <f>AY234+AZ234</f>
        <v>0</v>
      </c>
      <c r="BF234" s="56">
        <f>H234/(100-BG234)*100</f>
        <v>0</v>
      </c>
      <c r="BG234" s="56">
        <v>0</v>
      </c>
      <c r="BH234" s="56">
        <f>M234</f>
        <v>31.109722800000004</v>
      </c>
      <c r="BJ234" s="56">
        <f>G234*AQ234</f>
        <v>0</v>
      </c>
      <c r="BK234" s="56">
        <f>G234*AR234</f>
        <v>0</v>
      </c>
      <c r="BL234" s="56">
        <f>G234*H234</f>
        <v>0</v>
      </c>
      <c r="BM234" s="56"/>
      <c r="BN234" s="56">
        <v>31</v>
      </c>
    </row>
    <row r="235" spans="1:66" ht="15" customHeight="1">
      <c r="A235" s="36"/>
      <c r="D235" s="45" t="s">
        <v>2529</v>
      </c>
      <c r="E235" s="525" t="s">
        <v>2202</v>
      </c>
      <c r="G235" s="13">
        <v>34.5</v>
      </c>
      <c r="N235" s="19"/>
      <c r="P235" s="592"/>
      <c r="Q235" s="592"/>
      <c r="R235" s="592"/>
      <c r="S235" s="592"/>
      <c r="T235" s="592"/>
      <c r="U235" s="592"/>
      <c r="V235" s="592"/>
      <c r="W235" s="592"/>
      <c r="X235" s="592"/>
    </row>
    <row r="236" spans="1:66" ht="15" customHeight="1">
      <c r="A236" s="36"/>
      <c r="D236" s="45" t="s">
        <v>1050</v>
      </c>
      <c r="E236" s="525" t="s">
        <v>2158</v>
      </c>
      <c r="G236" s="13">
        <v>-11.08</v>
      </c>
      <c r="N236" s="19"/>
      <c r="P236" s="592"/>
      <c r="Q236" s="592"/>
      <c r="R236" s="592"/>
      <c r="S236" s="592"/>
      <c r="T236" s="592"/>
      <c r="U236" s="592"/>
      <c r="V236" s="592"/>
      <c r="W236" s="592"/>
      <c r="X236" s="592"/>
    </row>
    <row r="237" spans="1:66" ht="15" customHeight="1">
      <c r="A237" s="24" t="s">
        <v>2359</v>
      </c>
      <c r="B237" s="12" t="s">
        <v>1746</v>
      </c>
      <c r="C237" s="527" t="s">
        <v>1540</v>
      </c>
      <c r="D237" s="630" t="s">
        <v>1744</v>
      </c>
      <c r="E237" s="630"/>
      <c r="F237" s="12" t="s">
        <v>2236</v>
      </c>
      <c r="G237" s="56">
        <v>19.28</v>
      </c>
      <c r="H237" s="625"/>
      <c r="I237" s="56">
        <f>G237*AQ237</f>
        <v>0</v>
      </c>
      <c r="J237" s="56">
        <f>G237*AR237</f>
        <v>0</v>
      </c>
      <c r="K237" s="528">
        <f>G237*H237</f>
        <v>0</v>
      </c>
      <c r="L237" s="56">
        <v>1.3283400000000001</v>
      </c>
      <c r="M237" s="56">
        <f>G237*L237</f>
        <v>25.610395200000003</v>
      </c>
      <c r="N237" s="31" t="s">
        <v>1579</v>
      </c>
      <c r="P237" s="592"/>
      <c r="Q237" s="592">
        <f>K237</f>
        <v>0</v>
      </c>
      <c r="R237" s="592"/>
      <c r="S237" s="592"/>
      <c r="T237" s="592"/>
      <c r="U237" s="592"/>
      <c r="V237" s="592"/>
      <c r="W237" s="592"/>
      <c r="X237" s="592"/>
      <c r="AB237" s="56">
        <f>IF(AS237="5",BL237,0)</f>
        <v>0</v>
      </c>
      <c r="AD237" s="56">
        <f>IF(AS237="1",BJ237,0)</f>
        <v>0</v>
      </c>
      <c r="AE237" s="56">
        <f>IF(AS237="1",BK237,0)</f>
        <v>0</v>
      </c>
      <c r="AF237" s="56">
        <f>IF(AS237="7",BJ237,0)</f>
        <v>0</v>
      </c>
      <c r="AG237" s="56">
        <f>IF(AS237="7",BK237,0)</f>
        <v>0</v>
      </c>
      <c r="AH237" s="56">
        <f>IF(AS237="2",BJ237,0)</f>
        <v>0</v>
      </c>
      <c r="AI237" s="56">
        <f>IF(AS237="2",BK237,0)</f>
        <v>0</v>
      </c>
      <c r="AJ237" s="56">
        <f>IF(AS237="0",BL237,0)</f>
        <v>0</v>
      </c>
      <c r="AK237" s="7" t="s">
        <v>1746</v>
      </c>
      <c r="AL237" s="56">
        <f>IF(AP237=0,K237,0)</f>
        <v>0</v>
      </c>
      <c r="AM237" s="56">
        <f>IF(AP237=15,K237,0)</f>
        <v>0</v>
      </c>
      <c r="AN237" s="56">
        <f>IF(AP237=21,K237,0)</f>
        <v>0</v>
      </c>
      <c r="AP237" s="56">
        <v>21</v>
      </c>
      <c r="AQ237" s="88">
        <f>H237*0.768863945578231</f>
        <v>0</v>
      </c>
      <c r="AR237" s="88">
        <f>H237*(1-0.768863945578231)</f>
        <v>0</v>
      </c>
      <c r="AS237" s="21" t="s">
        <v>2297</v>
      </c>
      <c r="AX237" s="56">
        <f>AY237+AZ237</f>
        <v>0</v>
      </c>
      <c r="AY237" s="56">
        <f>G237*AQ237</f>
        <v>0</v>
      </c>
      <c r="AZ237" s="56">
        <f>G237*AR237</f>
        <v>0</v>
      </c>
      <c r="BA237" s="21" t="s">
        <v>1666</v>
      </c>
      <c r="BB237" s="21" t="s">
        <v>191</v>
      </c>
      <c r="BC237" s="7" t="s">
        <v>1747</v>
      </c>
      <c r="BE237" s="56">
        <f>AY237+AZ237</f>
        <v>0</v>
      </c>
      <c r="BF237" s="56">
        <f>H237/(100-BG237)*100</f>
        <v>0</v>
      </c>
      <c r="BG237" s="56">
        <v>0</v>
      </c>
      <c r="BH237" s="56">
        <f>M237</f>
        <v>25.610395200000003</v>
      </c>
      <c r="BJ237" s="56">
        <f>G237*AQ237</f>
        <v>0</v>
      </c>
      <c r="BK237" s="56">
        <f>G237*AR237</f>
        <v>0</v>
      </c>
      <c r="BL237" s="56">
        <f>G237*H237</f>
        <v>0</v>
      </c>
      <c r="BM237" s="56"/>
      <c r="BN237" s="56">
        <v>31</v>
      </c>
    </row>
    <row r="238" spans="1:66" ht="15" customHeight="1">
      <c r="A238" s="36"/>
      <c r="D238" s="45" t="s">
        <v>778</v>
      </c>
      <c r="E238" s="526" t="s">
        <v>1978</v>
      </c>
      <c r="G238" s="13">
        <v>23.42</v>
      </c>
      <c r="N238" s="19"/>
      <c r="P238" s="592"/>
      <c r="Q238" s="592"/>
      <c r="R238" s="592"/>
      <c r="S238" s="592"/>
      <c r="T238" s="592"/>
      <c r="U238" s="592"/>
      <c r="V238" s="592"/>
      <c r="W238" s="592"/>
      <c r="X238" s="592"/>
    </row>
    <row r="239" spans="1:66" ht="15" customHeight="1">
      <c r="A239" s="36"/>
      <c r="D239" s="45" t="s">
        <v>2534</v>
      </c>
      <c r="E239" s="526" t="s">
        <v>2158</v>
      </c>
      <c r="G239" s="13">
        <v>-4.1400000000000006</v>
      </c>
      <c r="N239" s="19"/>
      <c r="P239" s="592"/>
      <c r="Q239" s="592"/>
      <c r="R239" s="592"/>
      <c r="S239" s="592"/>
      <c r="T239" s="592"/>
      <c r="U239" s="592"/>
      <c r="V239" s="592"/>
      <c r="W239" s="592"/>
      <c r="X239" s="592"/>
    </row>
    <row r="240" spans="1:66" ht="15" customHeight="1">
      <c r="A240" s="24" t="s">
        <v>1382</v>
      </c>
      <c r="B240" s="12" t="s">
        <v>1746</v>
      </c>
      <c r="C240" s="527" t="s">
        <v>1540</v>
      </c>
      <c r="D240" s="630" t="s">
        <v>2492</v>
      </c>
      <c r="E240" s="630"/>
      <c r="F240" s="12" t="s">
        <v>2236</v>
      </c>
      <c r="G240" s="56">
        <v>11.57</v>
      </c>
      <c r="H240" s="625"/>
      <c r="I240" s="56">
        <f>G240*AQ240</f>
        <v>0</v>
      </c>
      <c r="J240" s="56">
        <f>G240*AR240</f>
        <v>0</v>
      </c>
      <c r="K240" s="528">
        <f>G240*H240</f>
        <v>0</v>
      </c>
      <c r="L240" s="56">
        <v>1.3283400000000001</v>
      </c>
      <c r="M240" s="56">
        <f>G240*L240</f>
        <v>15.3688938</v>
      </c>
      <c r="N240" s="31" t="s">
        <v>1579</v>
      </c>
      <c r="P240" s="592"/>
      <c r="Q240" s="592">
        <f>K240</f>
        <v>0</v>
      </c>
      <c r="R240" s="592"/>
      <c r="S240" s="592"/>
      <c r="T240" s="592"/>
      <c r="U240" s="592"/>
      <c r="V240" s="592"/>
      <c r="W240" s="592"/>
      <c r="X240" s="592"/>
      <c r="AB240" s="56">
        <f>IF(AS240="5",BL240,0)</f>
        <v>0</v>
      </c>
      <c r="AD240" s="56">
        <f>IF(AS240="1",BJ240,0)</f>
        <v>0</v>
      </c>
      <c r="AE240" s="56">
        <f>IF(AS240="1",BK240,0)</f>
        <v>0</v>
      </c>
      <c r="AF240" s="56">
        <f>IF(AS240="7",BJ240,0)</f>
        <v>0</v>
      </c>
      <c r="AG240" s="56">
        <f>IF(AS240="7",BK240,0)</f>
        <v>0</v>
      </c>
      <c r="AH240" s="56">
        <f>IF(AS240="2",BJ240,0)</f>
        <v>0</v>
      </c>
      <c r="AI240" s="56">
        <f>IF(AS240="2",BK240,0)</f>
        <v>0</v>
      </c>
      <c r="AJ240" s="56">
        <f>IF(AS240="0",BL240,0)</f>
        <v>0</v>
      </c>
      <c r="AK240" s="7" t="s">
        <v>1746</v>
      </c>
      <c r="AL240" s="56">
        <f>IF(AP240=0,K240,0)</f>
        <v>0</v>
      </c>
      <c r="AM240" s="56">
        <f>IF(AP240=15,K240,0)</f>
        <v>0</v>
      </c>
      <c r="AN240" s="56">
        <f>IF(AP240=21,K240,0)</f>
        <v>0</v>
      </c>
      <c r="AP240" s="56">
        <v>21</v>
      </c>
      <c r="AQ240" s="88">
        <f>H240*0.768863945578231</f>
        <v>0</v>
      </c>
      <c r="AR240" s="88">
        <f>H240*(1-0.768863945578231)</f>
        <v>0</v>
      </c>
      <c r="AS240" s="21" t="s">
        <v>2297</v>
      </c>
      <c r="AX240" s="56">
        <f>AY240+AZ240</f>
        <v>0</v>
      </c>
      <c r="AY240" s="56">
        <f>G240*AQ240</f>
        <v>0</v>
      </c>
      <c r="AZ240" s="56">
        <f>G240*AR240</f>
        <v>0</v>
      </c>
      <c r="BA240" s="21" t="s">
        <v>1666</v>
      </c>
      <c r="BB240" s="21" t="s">
        <v>191</v>
      </c>
      <c r="BC240" s="7" t="s">
        <v>1747</v>
      </c>
      <c r="BE240" s="56">
        <f>AY240+AZ240</f>
        <v>0</v>
      </c>
      <c r="BF240" s="56">
        <f>H240/(100-BG240)*100</f>
        <v>0</v>
      </c>
      <c r="BG240" s="56">
        <v>0</v>
      </c>
      <c r="BH240" s="56">
        <f>M240</f>
        <v>15.3688938</v>
      </c>
      <c r="BJ240" s="56">
        <f>G240*AQ240</f>
        <v>0</v>
      </c>
      <c r="BK240" s="56">
        <f>G240*AR240</f>
        <v>0</v>
      </c>
      <c r="BL240" s="56">
        <f>G240*H240</f>
        <v>0</v>
      </c>
      <c r="BM240" s="56"/>
      <c r="BN240" s="56">
        <v>31</v>
      </c>
    </row>
    <row r="241" spans="1:66" ht="15" customHeight="1">
      <c r="A241" s="36"/>
      <c r="D241" s="45" t="s">
        <v>1724</v>
      </c>
      <c r="E241" s="520" t="s">
        <v>639</v>
      </c>
      <c r="G241" s="13">
        <v>12.770000000000001</v>
      </c>
      <c r="N241" s="19"/>
      <c r="P241" s="592"/>
      <c r="Q241" s="592"/>
      <c r="R241" s="592"/>
      <c r="S241" s="592"/>
      <c r="T241" s="592"/>
      <c r="U241" s="592"/>
      <c r="V241" s="592"/>
      <c r="W241" s="592"/>
      <c r="X241" s="592"/>
    </row>
    <row r="242" spans="1:66" ht="15" customHeight="1">
      <c r="A242" s="36"/>
      <c r="D242" s="45" t="s">
        <v>581</v>
      </c>
      <c r="E242" s="520" t="s">
        <v>1248</v>
      </c>
      <c r="G242" s="13">
        <v>-1.2000000000000002</v>
      </c>
      <c r="N242" s="19"/>
      <c r="P242" s="592"/>
      <c r="Q242" s="592"/>
      <c r="R242" s="592"/>
      <c r="S242" s="592"/>
      <c r="T242" s="592"/>
      <c r="U242" s="592"/>
      <c r="V242" s="592"/>
      <c r="W242" s="592"/>
      <c r="X242" s="592"/>
    </row>
    <row r="243" spans="1:66" ht="15" customHeight="1">
      <c r="A243" s="24" t="s">
        <v>1132</v>
      </c>
      <c r="B243" s="12" t="s">
        <v>1746</v>
      </c>
      <c r="C243" s="513" t="s">
        <v>2216</v>
      </c>
      <c r="D243" s="630" t="s">
        <v>1395</v>
      </c>
      <c r="E243" s="630"/>
      <c r="F243" s="12" t="s">
        <v>2236</v>
      </c>
      <c r="G243" s="56">
        <v>10.56</v>
      </c>
      <c r="H243" s="625"/>
      <c r="I243" s="56">
        <f>G243*AQ243</f>
        <v>0</v>
      </c>
      <c r="J243" s="56">
        <f>G243*AR243</f>
        <v>0</v>
      </c>
      <c r="K243" s="517">
        <f>G243*H243</f>
        <v>0</v>
      </c>
      <c r="L243" s="56">
        <v>1.8427199999999999</v>
      </c>
      <c r="M243" s="56">
        <f>G243*L243</f>
        <v>19.459123200000001</v>
      </c>
      <c r="N243" s="31" t="s">
        <v>1579</v>
      </c>
      <c r="P243" s="592">
        <f>K243</f>
        <v>0</v>
      </c>
      <c r="Q243" s="592"/>
      <c r="R243" s="592"/>
      <c r="S243" s="592"/>
      <c r="T243" s="592"/>
      <c r="U243" s="592"/>
      <c r="V243" s="592"/>
      <c r="W243" s="592"/>
      <c r="X243" s="592"/>
      <c r="AB243" s="56">
        <f>IF(AS243="5",BL243,0)</f>
        <v>0</v>
      </c>
      <c r="AD243" s="56">
        <f>IF(AS243="1",BJ243,0)</f>
        <v>0</v>
      </c>
      <c r="AE243" s="56">
        <f>IF(AS243="1",BK243,0)</f>
        <v>0</v>
      </c>
      <c r="AF243" s="56">
        <f>IF(AS243="7",BJ243,0)</f>
        <v>0</v>
      </c>
      <c r="AG243" s="56">
        <f>IF(AS243="7",BK243,0)</f>
        <v>0</v>
      </c>
      <c r="AH243" s="56">
        <f>IF(AS243="2",BJ243,0)</f>
        <v>0</v>
      </c>
      <c r="AI243" s="56">
        <f>IF(AS243="2",BK243,0)</f>
        <v>0</v>
      </c>
      <c r="AJ243" s="56">
        <f>IF(AS243="0",BL243,0)</f>
        <v>0</v>
      </c>
      <c r="AK243" s="7" t="s">
        <v>1746</v>
      </c>
      <c r="AL243" s="56">
        <f>IF(AP243=0,K243,0)</f>
        <v>0</v>
      </c>
      <c r="AM243" s="56">
        <f>IF(AP243=15,K243,0)</f>
        <v>0</v>
      </c>
      <c r="AN243" s="56">
        <f>IF(AP243=21,K243,0)</f>
        <v>0</v>
      </c>
      <c r="AP243" s="56">
        <v>21</v>
      </c>
      <c r="AQ243" s="88">
        <f>H243*0.696832666132906</f>
        <v>0</v>
      </c>
      <c r="AR243" s="88">
        <f>H243*(1-0.696832666132906)</f>
        <v>0</v>
      </c>
      <c r="AS243" s="21" t="s">
        <v>2297</v>
      </c>
      <c r="AX243" s="56">
        <f>AY243+AZ243</f>
        <v>0</v>
      </c>
      <c r="AY243" s="56">
        <f>G243*AQ243</f>
        <v>0</v>
      </c>
      <c r="AZ243" s="56">
        <f>G243*AR243</f>
        <v>0</v>
      </c>
      <c r="BA243" s="21" t="s">
        <v>1666</v>
      </c>
      <c r="BB243" s="21" t="s">
        <v>191</v>
      </c>
      <c r="BC243" s="7" t="s">
        <v>1747</v>
      </c>
      <c r="BE243" s="56">
        <f>AY243+AZ243</f>
        <v>0</v>
      </c>
      <c r="BF243" s="56">
        <f>H243/(100-BG243)*100</f>
        <v>0</v>
      </c>
      <c r="BG243" s="56">
        <v>0</v>
      </c>
      <c r="BH243" s="56">
        <f>M243</f>
        <v>19.459123200000001</v>
      </c>
      <c r="BJ243" s="56">
        <f>G243*AQ243</f>
        <v>0</v>
      </c>
      <c r="BK243" s="56">
        <f>G243*AR243</f>
        <v>0</v>
      </c>
      <c r="BL243" s="56">
        <f>G243*H243</f>
        <v>0</v>
      </c>
      <c r="BM243" s="56"/>
      <c r="BN243" s="56">
        <v>31</v>
      </c>
    </row>
    <row r="244" spans="1:66" ht="15" customHeight="1">
      <c r="A244" s="36"/>
      <c r="D244" s="45" t="s">
        <v>1810</v>
      </c>
      <c r="E244" s="525" t="s">
        <v>2133</v>
      </c>
      <c r="G244" s="13">
        <v>10.56</v>
      </c>
      <c r="N244" s="19"/>
      <c r="P244" s="592"/>
      <c r="Q244" s="592"/>
      <c r="R244" s="592"/>
      <c r="S244" s="592"/>
      <c r="T244" s="592"/>
      <c r="U244" s="592"/>
      <c r="V244" s="592"/>
      <c r="W244" s="592"/>
      <c r="X244" s="592"/>
    </row>
    <row r="245" spans="1:66" ht="15" customHeight="1">
      <c r="A245" s="32" t="s">
        <v>1597</v>
      </c>
      <c r="B245" s="26" t="s">
        <v>1746</v>
      </c>
      <c r="C245" s="529" t="s">
        <v>2591</v>
      </c>
      <c r="D245" s="721" t="s">
        <v>532</v>
      </c>
      <c r="E245" s="721"/>
      <c r="F245" s="538" t="s">
        <v>2144</v>
      </c>
      <c r="G245" s="538" t="s">
        <v>2144</v>
      </c>
      <c r="H245" s="538" t="s">
        <v>2144</v>
      </c>
      <c r="I245" s="539">
        <f>SUM(I246:I264)</f>
        <v>0</v>
      </c>
      <c r="J245" s="539">
        <f>SUM(J246:J264)</f>
        <v>0</v>
      </c>
      <c r="K245" s="530">
        <f>SUM(K246:K264)</f>
        <v>0</v>
      </c>
      <c r="L245" s="7" t="s">
        <v>1597</v>
      </c>
      <c r="M245" s="17">
        <f>SUM(M246:M264)</f>
        <v>13.7756402</v>
      </c>
      <c r="N245" s="20" t="s">
        <v>1597</v>
      </c>
      <c r="P245" s="592"/>
      <c r="Q245" s="592">
        <f>K245</f>
        <v>0</v>
      </c>
      <c r="R245" s="592"/>
      <c r="S245" s="592"/>
      <c r="T245" s="592"/>
      <c r="U245" s="592"/>
      <c r="V245" s="592"/>
      <c r="W245" s="592"/>
      <c r="X245" s="592"/>
      <c r="AK245" s="7" t="s">
        <v>1746</v>
      </c>
      <c r="AU245" s="17">
        <f>SUM(AL246:AL264)</f>
        <v>0</v>
      </c>
      <c r="AV245" s="17">
        <f>SUM(AM246:AM264)</f>
        <v>0</v>
      </c>
      <c r="AW245" s="17">
        <f>SUM(AN246:AN264)</f>
        <v>0</v>
      </c>
    </row>
    <row r="246" spans="1:66" ht="15" customHeight="1">
      <c r="A246" s="24" t="s">
        <v>1509</v>
      </c>
      <c r="B246" s="12" t="s">
        <v>1746</v>
      </c>
      <c r="C246" s="12" t="s">
        <v>918</v>
      </c>
      <c r="D246" s="630" t="s">
        <v>2014</v>
      </c>
      <c r="E246" s="630"/>
      <c r="F246" s="12" t="s">
        <v>2274</v>
      </c>
      <c r="G246" s="56">
        <v>478.7</v>
      </c>
      <c r="H246" s="625"/>
      <c r="I246" s="56">
        <f>G246*AQ246</f>
        <v>0</v>
      </c>
      <c r="J246" s="56">
        <f>G246*AR246</f>
        <v>0</v>
      </c>
      <c r="K246" s="56">
        <f>G246*H246</f>
        <v>0</v>
      </c>
      <c r="L246" s="56">
        <v>1.2149999999999999E-2</v>
      </c>
      <c r="M246" s="56">
        <f>G246*L246</f>
        <v>5.8162049999999992</v>
      </c>
      <c r="N246" s="31" t="s">
        <v>1579</v>
      </c>
      <c r="P246" s="592"/>
      <c r="Q246" s="592"/>
      <c r="R246" s="592"/>
      <c r="S246" s="592"/>
      <c r="T246" s="592"/>
      <c r="U246" s="592"/>
      <c r="V246" s="592"/>
      <c r="W246" s="592"/>
      <c r="X246" s="592"/>
      <c r="AB246" s="56">
        <f>IF(AS246="5",BL246,0)</f>
        <v>0</v>
      </c>
      <c r="AD246" s="56">
        <f>IF(AS246="1",BJ246,0)</f>
        <v>0</v>
      </c>
      <c r="AE246" s="56">
        <f>IF(AS246="1",BK246,0)</f>
        <v>0</v>
      </c>
      <c r="AF246" s="56">
        <f>IF(AS246="7",BJ246,0)</f>
        <v>0</v>
      </c>
      <c r="AG246" s="56">
        <f>IF(AS246="7",BK246,0)</f>
        <v>0</v>
      </c>
      <c r="AH246" s="56">
        <f>IF(AS246="2",BJ246,0)</f>
        <v>0</v>
      </c>
      <c r="AI246" s="56">
        <f>IF(AS246="2",BK246,0)</f>
        <v>0</v>
      </c>
      <c r="AJ246" s="56">
        <f>IF(AS246="0",BL246,0)</f>
        <v>0</v>
      </c>
      <c r="AK246" s="7" t="s">
        <v>1746</v>
      </c>
      <c r="AL246" s="56">
        <f>IF(AP246=0,K246,0)</f>
        <v>0</v>
      </c>
      <c r="AM246" s="56">
        <f>IF(AP246=15,K246,0)</f>
        <v>0</v>
      </c>
      <c r="AN246" s="56">
        <f>IF(AP246=21,K246,0)</f>
        <v>0</v>
      </c>
      <c r="AP246" s="56">
        <v>21</v>
      </c>
      <c r="AQ246" s="88">
        <f>H246*0.422757390585901</f>
        <v>0</v>
      </c>
      <c r="AR246" s="88">
        <f>H246*(1-0.422757390585901)</f>
        <v>0</v>
      </c>
      <c r="AS246" s="21" t="s">
        <v>2297</v>
      </c>
      <c r="AX246" s="56">
        <f>AY246+AZ246</f>
        <v>0</v>
      </c>
      <c r="AY246" s="56">
        <f>G246*AQ246</f>
        <v>0</v>
      </c>
      <c r="AZ246" s="56">
        <f>G246*AR246</f>
        <v>0</v>
      </c>
      <c r="BA246" s="21" t="s">
        <v>1639</v>
      </c>
      <c r="BB246" s="21" t="s">
        <v>191</v>
      </c>
      <c r="BC246" s="7" t="s">
        <v>1747</v>
      </c>
      <c r="BE246" s="56">
        <f>AY246+AZ246</f>
        <v>0</v>
      </c>
      <c r="BF246" s="56">
        <f>H246/(100-BG246)*100</f>
        <v>0</v>
      </c>
      <c r="BG246" s="56">
        <v>0</v>
      </c>
      <c r="BH246" s="56">
        <f>M246</f>
        <v>5.8162049999999992</v>
      </c>
      <c r="BJ246" s="56">
        <f>G246*AQ246</f>
        <v>0</v>
      </c>
      <c r="BK246" s="56">
        <f>G246*AR246</f>
        <v>0</v>
      </c>
      <c r="BL246" s="56">
        <f>G246*H246</f>
        <v>0</v>
      </c>
      <c r="BM246" s="56"/>
      <c r="BN246" s="56">
        <v>34</v>
      </c>
    </row>
    <row r="247" spans="1:66" ht="15" customHeight="1">
      <c r="A247" s="36"/>
      <c r="D247" s="45" t="s">
        <v>892</v>
      </c>
      <c r="E247" s="104" t="s">
        <v>1089</v>
      </c>
      <c r="G247" s="13">
        <v>254.70000000000002</v>
      </c>
      <c r="N247" s="19"/>
      <c r="P247" s="592"/>
      <c r="Q247" s="592"/>
      <c r="R247" s="592"/>
      <c r="S247" s="592"/>
      <c r="T247" s="592"/>
      <c r="U247" s="592"/>
      <c r="V247" s="592"/>
      <c r="W247" s="592"/>
      <c r="X247" s="592"/>
    </row>
    <row r="248" spans="1:66" ht="15" customHeight="1">
      <c r="A248" s="36"/>
      <c r="D248" s="45" t="s">
        <v>436</v>
      </c>
      <c r="E248" s="104" t="s">
        <v>2562</v>
      </c>
      <c r="G248" s="13">
        <v>82</v>
      </c>
      <c r="N248" s="19"/>
      <c r="P248" s="592"/>
      <c r="Q248" s="592"/>
      <c r="R248" s="592"/>
      <c r="S248" s="592"/>
      <c r="T248" s="592"/>
      <c r="U248" s="592"/>
      <c r="V248" s="592"/>
      <c r="W248" s="592"/>
      <c r="X248" s="592"/>
    </row>
    <row r="249" spans="1:66" ht="15" customHeight="1">
      <c r="A249" s="36"/>
      <c r="D249" s="45" t="s">
        <v>930</v>
      </c>
      <c r="E249" s="104" t="s">
        <v>75</v>
      </c>
      <c r="G249" s="13">
        <v>142</v>
      </c>
      <c r="N249" s="19"/>
      <c r="P249" s="592"/>
      <c r="Q249" s="592"/>
      <c r="R249" s="592"/>
      <c r="S249" s="592"/>
      <c r="T249" s="592"/>
      <c r="U249" s="592"/>
      <c r="V249" s="592"/>
      <c r="W249" s="592"/>
      <c r="X249" s="592"/>
    </row>
    <row r="250" spans="1:66" ht="15" customHeight="1">
      <c r="A250" s="8" t="s">
        <v>102</v>
      </c>
      <c r="B250" s="75" t="s">
        <v>1746</v>
      </c>
      <c r="C250" s="75" t="s">
        <v>355</v>
      </c>
      <c r="D250" s="710" t="s">
        <v>1286</v>
      </c>
      <c r="E250" s="710"/>
      <c r="F250" s="75" t="s">
        <v>2274</v>
      </c>
      <c r="G250" s="80">
        <v>415.8</v>
      </c>
      <c r="H250" s="626"/>
      <c r="I250" s="80">
        <f>G250*AQ250</f>
        <v>0</v>
      </c>
      <c r="J250" s="80">
        <f>G250*AR250</f>
        <v>0</v>
      </c>
      <c r="K250" s="80">
        <f>G250*H250</f>
        <v>0</v>
      </c>
      <c r="L250" s="80">
        <v>1.1199999999999999E-3</v>
      </c>
      <c r="M250" s="80">
        <f>G250*L250</f>
        <v>0.465696</v>
      </c>
      <c r="N250" s="38" t="s">
        <v>1579</v>
      </c>
      <c r="P250" s="592"/>
      <c r="Q250" s="592"/>
      <c r="R250" s="592"/>
      <c r="S250" s="592"/>
      <c r="T250" s="592"/>
      <c r="U250" s="592"/>
      <c r="V250" s="592"/>
      <c r="W250" s="592"/>
      <c r="X250" s="592"/>
      <c r="AB250" s="56">
        <f>IF(AS250="5",BL250,0)</f>
        <v>0</v>
      </c>
      <c r="AD250" s="56">
        <f>IF(AS250="1",BJ250,0)</f>
        <v>0</v>
      </c>
      <c r="AE250" s="56">
        <f>IF(AS250="1",BK250,0)</f>
        <v>0</v>
      </c>
      <c r="AF250" s="56">
        <f>IF(AS250="7",BJ250,0)</f>
        <v>0</v>
      </c>
      <c r="AG250" s="56">
        <f>IF(AS250="7",BK250,0)</f>
        <v>0</v>
      </c>
      <c r="AH250" s="56">
        <f>IF(AS250="2",BJ250,0)</f>
        <v>0</v>
      </c>
      <c r="AI250" s="56">
        <f>IF(AS250="2",BK250,0)</f>
        <v>0</v>
      </c>
      <c r="AJ250" s="56">
        <f>IF(AS250="0",BL250,0)</f>
        <v>0</v>
      </c>
      <c r="AK250" s="7" t="s">
        <v>1746</v>
      </c>
      <c r="AL250" s="80">
        <f>IF(AP250=0,K250,0)</f>
        <v>0</v>
      </c>
      <c r="AM250" s="80">
        <f>IF(AP250=15,K250,0)</f>
        <v>0</v>
      </c>
      <c r="AN250" s="80">
        <f>IF(AP250=21,K250,0)</f>
        <v>0</v>
      </c>
      <c r="AP250" s="56">
        <v>21</v>
      </c>
      <c r="AQ250" s="88">
        <f>H250*1</f>
        <v>0</v>
      </c>
      <c r="AR250" s="88">
        <f>H250*(1-1)</f>
        <v>0</v>
      </c>
      <c r="AS250" s="64" t="s">
        <v>2297</v>
      </c>
      <c r="AX250" s="56">
        <f>AY250+AZ250</f>
        <v>0</v>
      </c>
      <c r="AY250" s="56">
        <f>G250*AQ250</f>
        <v>0</v>
      </c>
      <c r="AZ250" s="56">
        <f>G250*AR250</f>
        <v>0</v>
      </c>
      <c r="BA250" s="21" t="s">
        <v>1639</v>
      </c>
      <c r="BB250" s="21" t="s">
        <v>191</v>
      </c>
      <c r="BC250" s="7" t="s">
        <v>1747</v>
      </c>
      <c r="BE250" s="56">
        <f>AY250+AZ250</f>
        <v>0</v>
      </c>
      <c r="BF250" s="56">
        <f>H250/(100-BG250)*100</f>
        <v>0</v>
      </c>
      <c r="BG250" s="56">
        <v>0</v>
      </c>
      <c r="BH250" s="56">
        <f>M250</f>
        <v>0.465696</v>
      </c>
      <c r="BJ250" s="80">
        <f>G250*AQ250</f>
        <v>0</v>
      </c>
      <c r="BK250" s="80">
        <f>G250*AR250</f>
        <v>0</v>
      </c>
      <c r="BL250" s="80">
        <f>G250*H250</f>
        <v>0</v>
      </c>
      <c r="BM250" s="80"/>
      <c r="BN250" s="56">
        <v>34</v>
      </c>
    </row>
    <row r="251" spans="1:66" ht="15" customHeight="1">
      <c r="A251" s="36"/>
      <c r="D251" s="45" t="s">
        <v>434</v>
      </c>
      <c r="E251" s="104" t="s">
        <v>1877</v>
      </c>
      <c r="G251" s="13">
        <v>396.00000000000006</v>
      </c>
      <c r="N251" s="19"/>
      <c r="P251" s="592"/>
      <c r="Q251" s="592"/>
      <c r="R251" s="592"/>
      <c r="S251" s="592"/>
      <c r="T251" s="592"/>
      <c r="U251" s="592"/>
      <c r="V251" s="592"/>
      <c r="W251" s="592"/>
      <c r="X251" s="592"/>
    </row>
    <row r="252" spans="1:66" ht="15" customHeight="1">
      <c r="A252" s="36"/>
      <c r="D252" s="45" t="s">
        <v>2131</v>
      </c>
      <c r="E252" s="104" t="s">
        <v>1597</v>
      </c>
      <c r="G252" s="13">
        <v>19.8</v>
      </c>
      <c r="N252" s="19"/>
      <c r="P252" s="592"/>
      <c r="Q252" s="592"/>
      <c r="R252" s="592"/>
      <c r="S252" s="592"/>
      <c r="T252" s="592"/>
      <c r="U252" s="592"/>
      <c r="V252" s="592"/>
      <c r="W252" s="592"/>
      <c r="X252" s="592"/>
    </row>
    <row r="253" spans="1:66" ht="15" customHeight="1">
      <c r="A253" s="24" t="s">
        <v>2512</v>
      </c>
      <c r="B253" s="12" t="s">
        <v>1746</v>
      </c>
      <c r="C253" s="12" t="s">
        <v>1513</v>
      </c>
      <c r="D253" s="630" t="s">
        <v>262</v>
      </c>
      <c r="E253" s="630"/>
      <c r="F253" s="12" t="s">
        <v>2274</v>
      </c>
      <c r="G253" s="56">
        <v>254</v>
      </c>
      <c r="H253" s="625"/>
      <c r="I253" s="56">
        <f>G253*AQ253</f>
        <v>0</v>
      </c>
      <c r="J253" s="56">
        <f>G253*AR253</f>
        <v>0</v>
      </c>
      <c r="K253" s="56">
        <f>G253*H253</f>
        <v>0</v>
      </c>
      <c r="L253" s="56">
        <v>1.81E-3</v>
      </c>
      <c r="M253" s="56">
        <f>G253*L253</f>
        <v>0.45973999999999998</v>
      </c>
      <c r="N253" s="31" t="s">
        <v>1579</v>
      </c>
      <c r="P253" s="592"/>
      <c r="Q253" s="592"/>
      <c r="R253" s="592"/>
      <c r="S253" s="592"/>
      <c r="T253" s="592"/>
      <c r="U253" s="592"/>
      <c r="V253" s="592"/>
      <c r="W253" s="592"/>
      <c r="X253" s="592"/>
      <c r="AB253" s="56">
        <f>IF(AS253="5",BL253,0)</f>
        <v>0</v>
      </c>
      <c r="AD253" s="56">
        <f>IF(AS253="1",BJ253,0)</f>
        <v>0</v>
      </c>
      <c r="AE253" s="56">
        <f>IF(AS253="1",BK253,0)</f>
        <v>0</v>
      </c>
      <c r="AF253" s="56">
        <f>IF(AS253="7",BJ253,0)</f>
        <v>0</v>
      </c>
      <c r="AG253" s="56">
        <f>IF(AS253="7",BK253,0)</f>
        <v>0</v>
      </c>
      <c r="AH253" s="56">
        <f>IF(AS253="2",BJ253,0)</f>
        <v>0</v>
      </c>
      <c r="AI253" s="56">
        <f>IF(AS253="2",BK253,0)</f>
        <v>0</v>
      </c>
      <c r="AJ253" s="56">
        <f>IF(AS253="0",BL253,0)</f>
        <v>0</v>
      </c>
      <c r="AK253" s="7" t="s">
        <v>1746</v>
      </c>
      <c r="AL253" s="56">
        <f>IF(AP253=0,K253,0)</f>
        <v>0</v>
      </c>
      <c r="AM253" s="56">
        <f>IF(AP253=15,K253,0)</f>
        <v>0</v>
      </c>
      <c r="AN253" s="56">
        <f>IF(AP253=21,K253,0)</f>
        <v>0</v>
      </c>
      <c r="AP253" s="56">
        <v>21</v>
      </c>
      <c r="AQ253" s="88">
        <f>H253*0.697743055555556</f>
        <v>0</v>
      </c>
      <c r="AR253" s="88">
        <f>H253*(1-0.697743055555556)</f>
        <v>0</v>
      </c>
      <c r="AS253" s="21" t="s">
        <v>2297</v>
      </c>
      <c r="AX253" s="56">
        <f>AY253+AZ253</f>
        <v>0</v>
      </c>
      <c r="AY253" s="56">
        <f>G253*AQ253</f>
        <v>0</v>
      </c>
      <c r="AZ253" s="56">
        <f>G253*AR253</f>
        <v>0</v>
      </c>
      <c r="BA253" s="21" t="s">
        <v>1639</v>
      </c>
      <c r="BB253" s="21" t="s">
        <v>191</v>
      </c>
      <c r="BC253" s="7" t="s">
        <v>1747</v>
      </c>
      <c r="BE253" s="56">
        <f>AY253+AZ253</f>
        <v>0</v>
      </c>
      <c r="BF253" s="56">
        <f>H253/(100-BG253)*100</f>
        <v>0</v>
      </c>
      <c r="BG253" s="56">
        <v>0</v>
      </c>
      <c r="BH253" s="56">
        <f>M253</f>
        <v>0.45973999999999998</v>
      </c>
      <c r="BJ253" s="56">
        <f>G253*AQ253</f>
        <v>0</v>
      </c>
      <c r="BK253" s="56">
        <f>G253*AR253</f>
        <v>0</v>
      </c>
      <c r="BL253" s="56">
        <f>G253*H253</f>
        <v>0</v>
      </c>
      <c r="BM253" s="56"/>
      <c r="BN253" s="56">
        <v>34</v>
      </c>
    </row>
    <row r="254" spans="1:66" ht="15" customHeight="1">
      <c r="A254" s="36"/>
      <c r="D254" s="45" t="s">
        <v>636</v>
      </c>
      <c r="E254" s="104" t="s">
        <v>1597</v>
      </c>
      <c r="G254" s="13">
        <v>254.00000000000003</v>
      </c>
      <c r="N254" s="19"/>
      <c r="P254" s="592"/>
      <c r="Q254" s="592"/>
      <c r="R254" s="592"/>
      <c r="S254" s="592"/>
      <c r="T254" s="592"/>
      <c r="U254" s="592"/>
      <c r="V254" s="592"/>
      <c r="W254" s="592"/>
      <c r="X254" s="592"/>
    </row>
    <row r="255" spans="1:66" ht="15" customHeight="1">
      <c r="A255" s="24" t="s">
        <v>2476</v>
      </c>
      <c r="B255" s="12" t="s">
        <v>1746</v>
      </c>
      <c r="C255" s="12" t="s">
        <v>219</v>
      </c>
      <c r="D255" s="630" t="s">
        <v>2675</v>
      </c>
      <c r="E255" s="630"/>
      <c r="F255" s="12" t="s">
        <v>564</v>
      </c>
      <c r="G255" s="56">
        <v>4</v>
      </c>
      <c r="H255" s="625"/>
      <c r="I255" s="56">
        <f>G255*AQ255</f>
        <v>0</v>
      </c>
      <c r="J255" s="56">
        <f>G255*AR255</f>
        <v>0</v>
      </c>
      <c r="K255" s="56">
        <f>G255*H255</f>
        <v>0</v>
      </c>
      <c r="L255" s="56">
        <v>7.3200000000000001E-3</v>
      </c>
      <c r="M255" s="56">
        <f>G255*L255</f>
        <v>2.928E-2</v>
      </c>
      <c r="N255" s="31" t="s">
        <v>1579</v>
      </c>
      <c r="P255" s="592"/>
      <c r="Q255" s="592"/>
      <c r="R255" s="592"/>
      <c r="S255" s="592"/>
      <c r="T255" s="592"/>
      <c r="U255" s="592"/>
      <c r="V255" s="592"/>
      <c r="W255" s="592"/>
      <c r="X255" s="592"/>
      <c r="AB255" s="56">
        <f>IF(AS255="5",BL255,0)</f>
        <v>0</v>
      </c>
      <c r="AD255" s="56">
        <f>IF(AS255="1",BJ255,0)</f>
        <v>0</v>
      </c>
      <c r="AE255" s="56">
        <f>IF(AS255="1",BK255,0)</f>
        <v>0</v>
      </c>
      <c r="AF255" s="56">
        <f>IF(AS255="7",BJ255,0)</f>
        <v>0</v>
      </c>
      <c r="AG255" s="56">
        <f>IF(AS255="7",BK255,0)</f>
        <v>0</v>
      </c>
      <c r="AH255" s="56">
        <f>IF(AS255="2",BJ255,0)</f>
        <v>0</v>
      </c>
      <c r="AI255" s="56">
        <f>IF(AS255="2",BK255,0)</f>
        <v>0</v>
      </c>
      <c r="AJ255" s="56">
        <f>IF(AS255="0",BL255,0)</f>
        <v>0</v>
      </c>
      <c r="AK255" s="7" t="s">
        <v>1746</v>
      </c>
      <c r="AL255" s="56">
        <f>IF(AP255=0,K255,0)</f>
        <v>0</v>
      </c>
      <c r="AM255" s="56">
        <f>IF(AP255=15,K255,0)</f>
        <v>0</v>
      </c>
      <c r="AN255" s="56">
        <f>IF(AP255=21,K255,0)</f>
        <v>0</v>
      </c>
      <c r="AP255" s="56">
        <v>21</v>
      </c>
      <c r="AQ255" s="88">
        <f>H255*0.885013106159895</f>
        <v>0</v>
      </c>
      <c r="AR255" s="88">
        <f>H255*(1-0.885013106159895)</f>
        <v>0</v>
      </c>
      <c r="AS255" s="21" t="s">
        <v>2297</v>
      </c>
      <c r="AX255" s="56">
        <f>AY255+AZ255</f>
        <v>0</v>
      </c>
      <c r="AY255" s="56">
        <f>G255*AQ255</f>
        <v>0</v>
      </c>
      <c r="AZ255" s="56">
        <f>G255*AR255</f>
        <v>0</v>
      </c>
      <c r="BA255" s="21" t="s">
        <v>1639</v>
      </c>
      <c r="BB255" s="21" t="s">
        <v>191</v>
      </c>
      <c r="BC255" s="7" t="s">
        <v>1747</v>
      </c>
      <c r="BE255" s="56">
        <f>AY255+AZ255</f>
        <v>0</v>
      </c>
      <c r="BF255" s="56">
        <f>H255/(100-BG255)*100</f>
        <v>0</v>
      </c>
      <c r="BG255" s="56">
        <v>0</v>
      </c>
      <c r="BH255" s="56">
        <f>M255</f>
        <v>2.928E-2</v>
      </c>
      <c r="BJ255" s="56">
        <f>G255*AQ255</f>
        <v>0</v>
      </c>
      <c r="BK255" s="56">
        <f>G255*AR255</f>
        <v>0</v>
      </c>
      <c r="BL255" s="56">
        <f>G255*H255</f>
        <v>0</v>
      </c>
      <c r="BM255" s="56"/>
      <c r="BN255" s="56">
        <v>34</v>
      </c>
    </row>
    <row r="256" spans="1:66" ht="15" customHeight="1">
      <c r="A256" s="36"/>
      <c r="D256" s="45" t="s">
        <v>258</v>
      </c>
      <c r="E256" s="104" t="s">
        <v>1597</v>
      </c>
      <c r="G256" s="13">
        <v>4</v>
      </c>
      <c r="N256" s="19"/>
      <c r="P256" s="592"/>
      <c r="Q256" s="592"/>
      <c r="R256" s="592"/>
      <c r="S256" s="592"/>
      <c r="T256" s="592"/>
      <c r="U256" s="592"/>
      <c r="V256" s="592"/>
      <c r="W256" s="592"/>
      <c r="X256" s="592"/>
    </row>
    <row r="257" spans="1:66" ht="15" customHeight="1">
      <c r="A257" s="24" t="s">
        <v>2471</v>
      </c>
      <c r="B257" s="12" t="s">
        <v>1746</v>
      </c>
      <c r="C257" s="12" t="s">
        <v>2335</v>
      </c>
      <c r="D257" s="630" t="s">
        <v>2676</v>
      </c>
      <c r="E257" s="630"/>
      <c r="F257" s="12" t="s">
        <v>564</v>
      </c>
      <c r="G257" s="56">
        <v>2</v>
      </c>
      <c r="H257" s="625"/>
      <c r="I257" s="56">
        <f>G257*AQ257</f>
        <v>0</v>
      </c>
      <c r="J257" s="56">
        <f>G257*AR257</f>
        <v>0</v>
      </c>
      <c r="K257" s="56">
        <f>G257*H257</f>
        <v>0</v>
      </c>
      <c r="L257" s="56">
        <v>4.8700000000000002E-3</v>
      </c>
      <c r="M257" s="56">
        <f>G257*L257</f>
        <v>9.7400000000000004E-3</v>
      </c>
      <c r="N257" s="31" t="s">
        <v>1579</v>
      </c>
      <c r="P257" s="592"/>
      <c r="Q257" s="592"/>
      <c r="R257" s="592"/>
      <c r="S257" s="592"/>
      <c r="T257" s="592"/>
      <c r="U257" s="592"/>
      <c r="V257" s="592"/>
      <c r="W257" s="592"/>
      <c r="X257" s="592"/>
      <c r="AB257" s="56">
        <f>IF(AS257="5",BL257,0)</f>
        <v>0</v>
      </c>
      <c r="AD257" s="56">
        <f>IF(AS257="1",BJ257,0)</f>
        <v>0</v>
      </c>
      <c r="AE257" s="56">
        <f>IF(AS257="1",BK257,0)</f>
        <v>0</v>
      </c>
      <c r="AF257" s="56">
        <f>IF(AS257="7",BJ257,0)</f>
        <v>0</v>
      </c>
      <c r="AG257" s="56">
        <f>IF(AS257="7",BK257,0)</f>
        <v>0</v>
      </c>
      <c r="AH257" s="56">
        <f>IF(AS257="2",BJ257,0)</f>
        <v>0</v>
      </c>
      <c r="AI257" s="56">
        <f>IF(AS257="2",BK257,0)</f>
        <v>0</v>
      </c>
      <c r="AJ257" s="56">
        <f>IF(AS257="0",BL257,0)</f>
        <v>0</v>
      </c>
      <c r="AK257" s="7" t="s">
        <v>1746</v>
      </c>
      <c r="AL257" s="56">
        <f>IF(AP257=0,K257,0)</f>
        <v>0</v>
      </c>
      <c r="AM257" s="56">
        <f>IF(AP257=15,K257,0)</f>
        <v>0</v>
      </c>
      <c r="AN257" s="56">
        <f>IF(AP257=21,K257,0)</f>
        <v>0</v>
      </c>
      <c r="AP257" s="56">
        <v>21</v>
      </c>
      <c r="AQ257" s="88">
        <f>H257*0.873489545782264</f>
        <v>0</v>
      </c>
      <c r="AR257" s="88">
        <f>H257*(1-0.873489545782264)</f>
        <v>0</v>
      </c>
      <c r="AS257" s="21" t="s">
        <v>2297</v>
      </c>
      <c r="AX257" s="56">
        <f>AY257+AZ257</f>
        <v>0</v>
      </c>
      <c r="AY257" s="56">
        <f>G257*AQ257</f>
        <v>0</v>
      </c>
      <c r="AZ257" s="56">
        <f>G257*AR257</f>
        <v>0</v>
      </c>
      <c r="BA257" s="21" t="s">
        <v>1639</v>
      </c>
      <c r="BB257" s="21" t="s">
        <v>191</v>
      </c>
      <c r="BC257" s="7" t="s">
        <v>1747</v>
      </c>
      <c r="BE257" s="56">
        <f>AY257+AZ257</f>
        <v>0</v>
      </c>
      <c r="BF257" s="56">
        <f>H257/(100-BG257)*100</f>
        <v>0</v>
      </c>
      <c r="BG257" s="56">
        <v>0</v>
      </c>
      <c r="BH257" s="56">
        <f>M257</f>
        <v>9.7400000000000004E-3</v>
      </c>
      <c r="BJ257" s="56">
        <f>G257*AQ257</f>
        <v>0</v>
      </c>
      <c r="BK257" s="56">
        <f>G257*AR257</f>
        <v>0</v>
      </c>
      <c r="BL257" s="56">
        <f>G257*H257</f>
        <v>0</v>
      </c>
      <c r="BM257" s="56"/>
      <c r="BN257" s="56">
        <v>34</v>
      </c>
    </row>
    <row r="258" spans="1:66" ht="15" customHeight="1">
      <c r="A258" s="36"/>
      <c r="D258" s="45" t="s">
        <v>1589</v>
      </c>
      <c r="E258" s="104" t="s">
        <v>1597</v>
      </c>
      <c r="G258" s="13">
        <v>2</v>
      </c>
      <c r="N258" s="19"/>
      <c r="P258" s="592"/>
      <c r="Q258" s="592"/>
      <c r="R258" s="592"/>
      <c r="S258" s="592"/>
      <c r="T258" s="592"/>
      <c r="U258" s="592"/>
      <c r="V258" s="592"/>
      <c r="W258" s="592"/>
      <c r="X258" s="592"/>
    </row>
    <row r="259" spans="1:66" ht="15" customHeight="1">
      <c r="A259" s="24" t="s">
        <v>100</v>
      </c>
      <c r="B259" s="12" t="s">
        <v>1746</v>
      </c>
      <c r="C259" s="12" t="s">
        <v>574</v>
      </c>
      <c r="D259" s="630" t="s">
        <v>621</v>
      </c>
      <c r="E259" s="630"/>
      <c r="F259" s="12" t="s">
        <v>2274</v>
      </c>
      <c r="G259" s="56">
        <v>284.88</v>
      </c>
      <c r="H259" s="625"/>
      <c r="I259" s="56">
        <f>G259*AQ259</f>
        <v>0</v>
      </c>
      <c r="J259" s="56">
        <f>G259*AR259</f>
        <v>0</v>
      </c>
      <c r="K259" s="56">
        <f>G259*H259</f>
        <v>0</v>
      </c>
      <c r="L259" s="56">
        <v>1.388E-2</v>
      </c>
      <c r="M259" s="56">
        <f>G259*L259</f>
        <v>3.9541344</v>
      </c>
      <c r="N259" s="31" t="s">
        <v>1579</v>
      </c>
      <c r="P259" s="592"/>
      <c r="Q259" s="592"/>
      <c r="R259" s="592"/>
      <c r="S259" s="592"/>
      <c r="T259" s="592"/>
      <c r="U259" s="592"/>
      <c r="V259" s="592"/>
      <c r="W259" s="592"/>
      <c r="X259" s="592"/>
      <c r="AB259" s="56">
        <f>IF(AS259="5",BL259,0)</f>
        <v>0</v>
      </c>
      <c r="AD259" s="56">
        <f>IF(AS259="1",BJ259,0)</f>
        <v>0</v>
      </c>
      <c r="AE259" s="56">
        <f>IF(AS259="1",BK259,0)</f>
        <v>0</v>
      </c>
      <c r="AF259" s="56">
        <f>IF(AS259="7",BJ259,0)</f>
        <v>0</v>
      </c>
      <c r="AG259" s="56">
        <f>IF(AS259="7",BK259,0)</f>
        <v>0</v>
      </c>
      <c r="AH259" s="56">
        <f>IF(AS259="2",BJ259,0)</f>
        <v>0</v>
      </c>
      <c r="AI259" s="56">
        <f>IF(AS259="2",BK259,0)</f>
        <v>0</v>
      </c>
      <c r="AJ259" s="56">
        <f>IF(AS259="0",BL259,0)</f>
        <v>0</v>
      </c>
      <c r="AK259" s="7" t="s">
        <v>1746</v>
      </c>
      <c r="AL259" s="56">
        <f>IF(AP259=0,K259,0)</f>
        <v>0</v>
      </c>
      <c r="AM259" s="56">
        <f>IF(AP259=15,K259,0)</f>
        <v>0</v>
      </c>
      <c r="AN259" s="56">
        <f>IF(AP259=21,K259,0)</f>
        <v>0</v>
      </c>
      <c r="AP259" s="56">
        <v>21</v>
      </c>
      <c r="AQ259" s="88">
        <f>H259*0.469290085679315</f>
        <v>0</v>
      </c>
      <c r="AR259" s="88">
        <f>H259*(1-0.469290085679315)</f>
        <v>0</v>
      </c>
      <c r="AS259" s="21" t="s">
        <v>2297</v>
      </c>
      <c r="AX259" s="56">
        <f>AY259+AZ259</f>
        <v>0</v>
      </c>
      <c r="AY259" s="56">
        <f>G259*AQ259</f>
        <v>0</v>
      </c>
      <c r="AZ259" s="56">
        <f>G259*AR259</f>
        <v>0</v>
      </c>
      <c r="BA259" s="21" t="s">
        <v>1639</v>
      </c>
      <c r="BB259" s="21" t="s">
        <v>191</v>
      </c>
      <c r="BC259" s="7" t="s">
        <v>1747</v>
      </c>
      <c r="BE259" s="56">
        <f>AY259+AZ259</f>
        <v>0</v>
      </c>
      <c r="BF259" s="56">
        <f>H259/(100-BG259)*100</f>
        <v>0</v>
      </c>
      <c r="BG259" s="56">
        <v>0</v>
      </c>
      <c r="BH259" s="56">
        <f>M259</f>
        <v>3.9541344</v>
      </c>
      <c r="BJ259" s="56">
        <f>G259*AQ259</f>
        <v>0</v>
      </c>
      <c r="BK259" s="56">
        <f>G259*AR259</f>
        <v>0</v>
      </c>
      <c r="BL259" s="56">
        <f>G259*H259</f>
        <v>0</v>
      </c>
      <c r="BM259" s="56"/>
      <c r="BN259" s="56">
        <v>34</v>
      </c>
    </row>
    <row r="260" spans="1:66" ht="15" customHeight="1">
      <c r="A260" s="36"/>
      <c r="D260" s="45" t="s">
        <v>1266</v>
      </c>
      <c r="E260" s="104" t="s">
        <v>1842</v>
      </c>
      <c r="G260" s="13">
        <v>185.92000000000002</v>
      </c>
      <c r="N260" s="19"/>
      <c r="P260" s="592"/>
      <c r="Q260" s="592"/>
      <c r="R260" s="592"/>
      <c r="S260" s="592"/>
      <c r="T260" s="592"/>
      <c r="U260" s="592"/>
      <c r="V260" s="592"/>
      <c r="W260" s="592"/>
      <c r="X260" s="592"/>
    </row>
    <row r="261" spans="1:66" ht="15" customHeight="1">
      <c r="A261" s="36"/>
      <c r="D261" s="45" t="s">
        <v>508</v>
      </c>
      <c r="E261" s="104" t="s">
        <v>2378</v>
      </c>
      <c r="G261" s="13">
        <v>-63.290000000000006</v>
      </c>
      <c r="N261" s="19"/>
      <c r="P261" s="592"/>
      <c r="Q261" s="592"/>
      <c r="R261" s="592"/>
      <c r="S261" s="592"/>
      <c r="T261" s="592"/>
      <c r="U261" s="592"/>
      <c r="V261" s="592"/>
      <c r="W261" s="592"/>
      <c r="X261" s="592"/>
    </row>
    <row r="262" spans="1:66" ht="15" customHeight="1">
      <c r="A262" s="36"/>
      <c r="D262" s="45" t="s">
        <v>2309</v>
      </c>
      <c r="E262" s="104" t="s">
        <v>1293</v>
      </c>
      <c r="G262" s="13">
        <v>170.24</v>
      </c>
      <c r="N262" s="19"/>
      <c r="P262" s="592"/>
      <c r="Q262" s="592"/>
      <c r="R262" s="592"/>
      <c r="S262" s="592"/>
      <c r="T262" s="592"/>
      <c r="U262" s="592"/>
      <c r="V262" s="592"/>
      <c r="W262" s="592"/>
      <c r="X262" s="592"/>
    </row>
    <row r="263" spans="1:66" ht="15" customHeight="1">
      <c r="A263" s="36"/>
      <c r="D263" s="45" t="s">
        <v>107</v>
      </c>
      <c r="E263" s="104" t="s">
        <v>2378</v>
      </c>
      <c r="G263" s="13">
        <v>-7.99</v>
      </c>
      <c r="N263" s="19"/>
      <c r="P263" s="592"/>
      <c r="Q263" s="592"/>
      <c r="R263" s="592"/>
      <c r="S263" s="592"/>
      <c r="T263" s="592"/>
      <c r="U263" s="592"/>
      <c r="V263" s="592"/>
      <c r="W263" s="592"/>
      <c r="X263" s="592"/>
    </row>
    <row r="264" spans="1:66" ht="15" customHeight="1">
      <c r="A264" s="24" t="s">
        <v>2</v>
      </c>
      <c r="B264" s="12" t="s">
        <v>1746</v>
      </c>
      <c r="C264" s="12" t="s">
        <v>588</v>
      </c>
      <c r="D264" s="630" t="s">
        <v>1054</v>
      </c>
      <c r="E264" s="630"/>
      <c r="F264" s="12" t="s">
        <v>2274</v>
      </c>
      <c r="G264" s="56">
        <v>66.92</v>
      </c>
      <c r="H264" s="625"/>
      <c r="I264" s="56">
        <f>G264*AQ264</f>
        <v>0</v>
      </c>
      <c r="J264" s="56">
        <f>G264*AR264</f>
        <v>0</v>
      </c>
      <c r="K264" s="56">
        <f>G264*H264</f>
        <v>0</v>
      </c>
      <c r="L264" s="56">
        <v>4.5440000000000001E-2</v>
      </c>
      <c r="M264" s="56">
        <f>G264*L264</f>
        <v>3.0408448000000003</v>
      </c>
      <c r="N264" s="31" t="s">
        <v>1579</v>
      </c>
      <c r="P264" s="592"/>
      <c r="Q264" s="592"/>
      <c r="R264" s="592"/>
      <c r="S264" s="592"/>
      <c r="T264" s="592"/>
      <c r="U264" s="592"/>
      <c r="V264" s="592"/>
      <c r="W264" s="592"/>
      <c r="X264" s="592"/>
      <c r="AB264" s="56">
        <f>IF(AS264="5",BL264,0)</f>
        <v>0</v>
      </c>
      <c r="AD264" s="56">
        <f>IF(AS264="1",BJ264,0)</f>
        <v>0</v>
      </c>
      <c r="AE264" s="56">
        <f>IF(AS264="1",BK264,0)</f>
        <v>0</v>
      </c>
      <c r="AF264" s="56">
        <f>IF(AS264="7",BJ264,0)</f>
        <v>0</v>
      </c>
      <c r="AG264" s="56">
        <f>IF(AS264="7",BK264,0)</f>
        <v>0</v>
      </c>
      <c r="AH264" s="56">
        <f>IF(AS264="2",BJ264,0)</f>
        <v>0</v>
      </c>
      <c r="AI264" s="56">
        <f>IF(AS264="2",BK264,0)</f>
        <v>0</v>
      </c>
      <c r="AJ264" s="56">
        <f>IF(AS264="0",BL264,0)</f>
        <v>0</v>
      </c>
      <c r="AK264" s="7" t="s">
        <v>1746</v>
      </c>
      <c r="AL264" s="56">
        <f>IF(AP264=0,K264,0)</f>
        <v>0</v>
      </c>
      <c r="AM264" s="56">
        <f>IF(AP264=15,K264,0)</f>
        <v>0</v>
      </c>
      <c r="AN264" s="56">
        <f>IF(AP264=21,K264,0)</f>
        <v>0</v>
      </c>
      <c r="AP264" s="56">
        <v>21</v>
      </c>
      <c r="AQ264" s="88">
        <f>H264*0.641940446784863</f>
        <v>0</v>
      </c>
      <c r="AR264" s="88">
        <f>H264*(1-0.641940446784863)</f>
        <v>0</v>
      </c>
      <c r="AS264" s="21" t="s">
        <v>2297</v>
      </c>
      <c r="AX264" s="56">
        <f>AY264+AZ264</f>
        <v>0</v>
      </c>
      <c r="AY264" s="56">
        <f>G264*AQ264</f>
        <v>0</v>
      </c>
      <c r="AZ264" s="56">
        <f>G264*AR264</f>
        <v>0</v>
      </c>
      <c r="BA264" s="21" t="s">
        <v>1639</v>
      </c>
      <c r="BB264" s="21" t="s">
        <v>191</v>
      </c>
      <c r="BC264" s="7" t="s">
        <v>1747</v>
      </c>
      <c r="BE264" s="56">
        <f>AY264+AZ264</f>
        <v>0</v>
      </c>
      <c r="BF264" s="56">
        <f>H264/(100-BG264)*100</f>
        <v>0</v>
      </c>
      <c r="BG264" s="56">
        <v>0</v>
      </c>
      <c r="BH264" s="56">
        <f>M264</f>
        <v>3.0408448000000003</v>
      </c>
      <c r="BJ264" s="56">
        <f>G264*AQ264</f>
        <v>0</v>
      </c>
      <c r="BK264" s="56">
        <f>G264*AR264</f>
        <v>0</v>
      </c>
      <c r="BL264" s="56">
        <f>G264*H264</f>
        <v>0</v>
      </c>
      <c r="BM264" s="56"/>
      <c r="BN264" s="56">
        <v>34</v>
      </c>
    </row>
    <row r="265" spans="1:66" ht="15" customHeight="1">
      <c r="A265" s="36"/>
      <c r="D265" s="45" t="s">
        <v>2431</v>
      </c>
      <c r="E265" s="104" t="s">
        <v>2525</v>
      </c>
      <c r="G265" s="13">
        <v>78.720000000000013</v>
      </c>
      <c r="N265" s="19"/>
      <c r="P265" s="592"/>
      <c r="Q265" s="592"/>
      <c r="R265" s="592"/>
      <c r="S265" s="592"/>
      <c r="T265" s="592"/>
      <c r="U265" s="592"/>
      <c r="V265" s="592"/>
      <c r="W265" s="592"/>
      <c r="X265" s="592"/>
    </row>
    <row r="266" spans="1:66" ht="15" customHeight="1">
      <c r="A266" s="36"/>
      <c r="D266" s="45" t="s">
        <v>1998</v>
      </c>
      <c r="E266" s="104" t="s">
        <v>352</v>
      </c>
      <c r="G266" s="13">
        <v>-11.8</v>
      </c>
      <c r="N266" s="19"/>
      <c r="P266" s="592"/>
      <c r="Q266" s="592"/>
      <c r="R266" s="592"/>
      <c r="S266" s="592"/>
      <c r="T266" s="592"/>
      <c r="U266" s="592"/>
      <c r="V266" s="592"/>
      <c r="W266" s="592"/>
      <c r="X266" s="592"/>
    </row>
    <row r="267" spans="1:66" ht="15" customHeight="1">
      <c r="A267" s="32" t="s">
        <v>1597</v>
      </c>
      <c r="B267" s="26" t="s">
        <v>1746</v>
      </c>
      <c r="C267" s="512" t="s">
        <v>2275</v>
      </c>
      <c r="D267" s="709" t="s">
        <v>1719</v>
      </c>
      <c r="E267" s="709"/>
      <c r="F267" s="46" t="s">
        <v>2144</v>
      </c>
      <c r="G267" s="46" t="s">
        <v>2144</v>
      </c>
      <c r="H267" s="46" t="s">
        <v>2144</v>
      </c>
      <c r="I267" s="17">
        <f>SUM(I268:I291)</f>
        <v>0</v>
      </c>
      <c r="J267" s="17">
        <f>SUM(J268:J291)</f>
        <v>0</v>
      </c>
      <c r="K267" s="515">
        <f>SUM(K268:K291)</f>
        <v>0</v>
      </c>
      <c r="L267" s="7" t="s">
        <v>1597</v>
      </c>
      <c r="M267" s="17">
        <f>SUM(M268:M291)</f>
        <v>212.9901255</v>
      </c>
      <c r="N267" s="20" t="s">
        <v>1597</v>
      </c>
      <c r="P267" s="592">
        <f>K267</f>
        <v>0</v>
      </c>
      <c r="Q267" s="592"/>
      <c r="R267" s="592"/>
      <c r="S267" s="592"/>
      <c r="T267" s="592"/>
      <c r="U267" s="592"/>
      <c r="V267" s="592"/>
      <c r="W267" s="592"/>
      <c r="X267" s="592"/>
      <c r="AK267" s="7" t="s">
        <v>1746</v>
      </c>
      <c r="AU267" s="17">
        <f>SUM(AL268:AL291)</f>
        <v>0</v>
      </c>
      <c r="AV267" s="17">
        <f>SUM(AM268:AM291)</f>
        <v>0</v>
      </c>
      <c r="AW267" s="17">
        <f>SUM(AN268:AN291)</f>
        <v>0</v>
      </c>
    </row>
    <row r="268" spans="1:66" ht="15" customHeight="1">
      <c r="A268" s="24" t="s">
        <v>2107</v>
      </c>
      <c r="B268" s="12" t="s">
        <v>1746</v>
      </c>
      <c r="C268" s="12" t="s">
        <v>2585</v>
      </c>
      <c r="D268" s="630" t="s">
        <v>1911</v>
      </c>
      <c r="E268" s="630"/>
      <c r="F268" s="12" t="s">
        <v>1074</v>
      </c>
      <c r="G268" s="56">
        <v>17.47</v>
      </c>
      <c r="H268" s="625"/>
      <c r="I268" s="56">
        <f>G268*AQ268</f>
        <v>0</v>
      </c>
      <c r="J268" s="56">
        <f>G268*AR268</f>
        <v>0</v>
      </c>
      <c r="K268" s="56">
        <f>G268*H268</f>
        <v>0</v>
      </c>
      <c r="L268" s="56">
        <v>1.6629999999999999E-2</v>
      </c>
      <c r="M268" s="56">
        <f>G268*L268</f>
        <v>0.29052609999999995</v>
      </c>
      <c r="N268" s="31" t="s">
        <v>1579</v>
      </c>
      <c r="P268" s="592"/>
      <c r="Q268" s="592"/>
      <c r="R268" s="592"/>
      <c r="S268" s="592"/>
      <c r="T268" s="592"/>
      <c r="U268" s="592"/>
      <c r="V268" s="592"/>
      <c r="W268" s="592"/>
      <c r="X268" s="592"/>
      <c r="AB268" s="56">
        <f>IF(AS268="5",BL268,0)</f>
        <v>0</v>
      </c>
      <c r="AD268" s="56">
        <f>IF(AS268="1",BJ268,0)</f>
        <v>0</v>
      </c>
      <c r="AE268" s="56">
        <f>IF(AS268="1",BK268,0)</f>
        <v>0</v>
      </c>
      <c r="AF268" s="56">
        <f>IF(AS268="7",BJ268,0)</f>
        <v>0</v>
      </c>
      <c r="AG268" s="56">
        <f>IF(AS268="7",BK268,0)</f>
        <v>0</v>
      </c>
      <c r="AH268" s="56">
        <f>IF(AS268="2",BJ268,0)</f>
        <v>0</v>
      </c>
      <c r="AI268" s="56">
        <f>IF(AS268="2",BK268,0)</f>
        <v>0</v>
      </c>
      <c r="AJ268" s="56">
        <f>IF(AS268="0",BL268,0)</f>
        <v>0</v>
      </c>
      <c r="AK268" s="7" t="s">
        <v>1746</v>
      </c>
      <c r="AL268" s="56">
        <f>IF(AP268=0,K268,0)</f>
        <v>0</v>
      </c>
      <c r="AM268" s="56">
        <f>IF(AP268=15,K268,0)</f>
        <v>0</v>
      </c>
      <c r="AN268" s="56">
        <f>IF(AP268=21,K268,0)</f>
        <v>0</v>
      </c>
      <c r="AP268" s="56">
        <v>21</v>
      </c>
      <c r="AQ268" s="88">
        <f>H268*0.00229852045256745</f>
        <v>0</v>
      </c>
      <c r="AR268" s="88">
        <f>H268*(1-0.00229852045256745)</f>
        <v>0</v>
      </c>
      <c r="AS268" s="21" t="s">
        <v>2297</v>
      </c>
      <c r="AX268" s="56">
        <f>AY268+AZ268</f>
        <v>0</v>
      </c>
      <c r="AY268" s="56">
        <f>G268*AQ268</f>
        <v>0</v>
      </c>
      <c r="AZ268" s="56">
        <f>G268*AR268</f>
        <v>0</v>
      </c>
      <c r="BA268" s="21" t="s">
        <v>1675</v>
      </c>
      <c r="BB268" s="21" t="s">
        <v>354</v>
      </c>
      <c r="BC268" s="7" t="s">
        <v>1747</v>
      </c>
      <c r="BE268" s="56">
        <f>AY268+AZ268</f>
        <v>0</v>
      </c>
      <c r="BF268" s="56">
        <f>H268/(100-BG268)*100</f>
        <v>0</v>
      </c>
      <c r="BG268" s="56">
        <v>0</v>
      </c>
      <c r="BH268" s="56">
        <f>M268</f>
        <v>0.29052609999999995</v>
      </c>
      <c r="BJ268" s="56">
        <f>G268*AQ268</f>
        <v>0</v>
      </c>
      <c r="BK268" s="56">
        <f>G268*AR268</f>
        <v>0</v>
      </c>
      <c r="BL268" s="56">
        <f>G268*H268</f>
        <v>0</v>
      </c>
      <c r="BM268" s="56"/>
      <c r="BN268" s="56">
        <v>41</v>
      </c>
    </row>
    <row r="269" spans="1:66" ht="15" customHeight="1">
      <c r="A269" s="36"/>
      <c r="D269" s="45" t="s">
        <v>1762</v>
      </c>
      <c r="E269" s="104" t="s">
        <v>1410</v>
      </c>
      <c r="G269" s="13">
        <v>10.83</v>
      </c>
      <c r="N269" s="19"/>
      <c r="P269" s="592"/>
      <c r="Q269" s="592"/>
      <c r="R269" s="592"/>
      <c r="S269" s="592"/>
      <c r="T269" s="592"/>
      <c r="U269" s="592"/>
      <c r="V269" s="592"/>
      <c r="W269" s="592"/>
      <c r="X269" s="592"/>
    </row>
    <row r="270" spans="1:66" ht="15" customHeight="1">
      <c r="A270" s="36"/>
      <c r="D270" s="45" t="s">
        <v>832</v>
      </c>
      <c r="E270" s="104" t="s">
        <v>755</v>
      </c>
      <c r="G270" s="13">
        <v>6.6400000000000006</v>
      </c>
      <c r="N270" s="19"/>
      <c r="P270" s="592"/>
      <c r="Q270" s="592"/>
      <c r="R270" s="592"/>
      <c r="S270" s="592"/>
      <c r="T270" s="592"/>
      <c r="U270" s="592"/>
      <c r="V270" s="592"/>
      <c r="W270" s="592"/>
      <c r="X270" s="592"/>
    </row>
    <row r="271" spans="1:66" ht="15" customHeight="1">
      <c r="A271" s="8" t="s">
        <v>261</v>
      </c>
      <c r="B271" s="75" t="s">
        <v>1746</v>
      </c>
      <c r="C271" s="75" t="s">
        <v>654</v>
      </c>
      <c r="D271" s="710" t="s">
        <v>251</v>
      </c>
      <c r="E271" s="710"/>
      <c r="F271" s="75" t="s">
        <v>1074</v>
      </c>
      <c r="G271" s="80">
        <v>18.27</v>
      </c>
      <c r="H271" s="626"/>
      <c r="I271" s="80">
        <f>G271*AQ271</f>
        <v>0</v>
      </c>
      <c r="J271" s="80">
        <f>G271*AR271</f>
        <v>0</v>
      </c>
      <c r="K271" s="80">
        <f>G271*H271</f>
        <v>0</v>
      </c>
      <c r="L271" s="80">
        <v>1</v>
      </c>
      <c r="M271" s="80">
        <f>G271*L271</f>
        <v>18.27</v>
      </c>
      <c r="N271" s="38" t="s">
        <v>1579</v>
      </c>
      <c r="P271" s="592"/>
      <c r="Q271" s="592"/>
      <c r="R271" s="592"/>
      <c r="S271" s="592"/>
      <c r="T271" s="592"/>
      <c r="U271" s="592"/>
      <c r="V271" s="592"/>
      <c r="W271" s="592"/>
      <c r="X271" s="592"/>
      <c r="AB271" s="56">
        <f>IF(AS271="5",BL271,0)</f>
        <v>0</v>
      </c>
      <c r="AD271" s="56">
        <f>IF(AS271="1",BJ271,0)</f>
        <v>0</v>
      </c>
      <c r="AE271" s="56">
        <f>IF(AS271="1",BK271,0)</f>
        <v>0</v>
      </c>
      <c r="AF271" s="56">
        <f>IF(AS271="7",BJ271,0)</f>
        <v>0</v>
      </c>
      <c r="AG271" s="56">
        <f>IF(AS271="7",BK271,0)</f>
        <v>0</v>
      </c>
      <c r="AH271" s="56">
        <f>IF(AS271="2",BJ271,0)</f>
        <v>0</v>
      </c>
      <c r="AI271" s="56">
        <f>IF(AS271="2",BK271,0)</f>
        <v>0</v>
      </c>
      <c r="AJ271" s="56">
        <f>IF(AS271="0",BL271,0)</f>
        <v>0</v>
      </c>
      <c r="AK271" s="7" t="s">
        <v>1746</v>
      </c>
      <c r="AL271" s="80">
        <f>IF(AP271=0,K271,0)</f>
        <v>0</v>
      </c>
      <c r="AM271" s="80">
        <f>IF(AP271=15,K271,0)</f>
        <v>0</v>
      </c>
      <c r="AN271" s="80">
        <f>IF(AP271=21,K271,0)</f>
        <v>0</v>
      </c>
      <c r="AP271" s="56">
        <v>21</v>
      </c>
      <c r="AQ271" s="88">
        <f>H271*1</f>
        <v>0</v>
      </c>
      <c r="AR271" s="88">
        <f>H271*(1-1)</f>
        <v>0</v>
      </c>
      <c r="AS271" s="64" t="s">
        <v>2297</v>
      </c>
      <c r="AX271" s="56">
        <f>AY271+AZ271</f>
        <v>0</v>
      </c>
      <c r="AY271" s="56">
        <f>G271*AQ271</f>
        <v>0</v>
      </c>
      <c r="AZ271" s="56">
        <f>G271*AR271</f>
        <v>0</v>
      </c>
      <c r="BA271" s="21" t="s">
        <v>1675</v>
      </c>
      <c r="BB271" s="21" t="s">
        <v>354</v>
      </c>
      <c r="BC271" s="7" t="s">
        <v>1747</v>
      </c>
      <c r="BE271" s="56">
        <f>AY271+AZ271</f>
        <v>0</v>
      </c>
      <c r="BF271" s="56">
        <f>H271/(100-BG271)*100</f>
        <v>0</v>
      </c>
      <c r="BG271" s="56">
        <v>0</v>
      </c>
      <c r="BH271" s="56">
        <f>M271</f>
        <v>18.27</v>
      </c>
      <c r="BJ271" s="80">
        <f>G271*AQ271</f>
        <v>0</v>
      </c>
      <c r="BK271" s="80">
        <f>G271*AR271</f>
        <v>0</v>
      </c>
      <c r="BL271" s="80">
        <f>G271*H271</f>
        <v>0</v>
      </c>
      <c r="BM271" s="80"/>
      <c r="BN271" s="56">
        <v>41</v>
      </c>
    </row>
    <row r="272" spans="1:66" ht="15" customHeight="1">
      <c r="A272" s="36"/>
      <c r="D272" s="45" t="s">
        <v>1685</v>
      </c>
      <c r="E272" s="104" t="s">
        <v>1597</v>
      </c>
      <c r="G272" s="13">
        <v>17.400000000000002</v>
      </c>
      <c r="N272" s="19"/>
      <c r="P272" s="592"/>
      <c r="Q272" s="592"/>
      <c r="R272" s="592"/>
      <c r="S272" s="592"/>
      <c r="T272" s="592"/>
      <c r="U272" s="592"/>
      <c r="V272" s="592"/>
      <c r="W272" s="592"/>
      <c r="X272" s="592"/>
    </row>
    <row r="273" spans="1:66" ht="15" customHeight="1">
      <c r="A273" s="36"/>
      <c r="D273" s="45" t="s">
        <v>2072</v>
      </c>
      <c r="E273" s="104" t="s">
        <v>1597</v>
      </c>
      <c r="G273" s="13">
        <v>0.87000000000000011</v>
      </c>
      <c r="N273" s="19"/>
      <c r="P273" s="592"/>
      <c r="Q273" s="592"/>
      <c r="R273" s="592"/>
      <c r="S273" s="592"/>
      <c r="T273" s="592"/>
      <c r="U273" s="592"/>
      <c r="V273" s="592"/>
      <c r="W273" s="592"/>
      <c r="X273" s="592"/>
    </row>
    <row r="274" spans="1:66" ht="15" customHeight="1">
      <c r="A274" s="24" t="s">
        <v>919</v>
      </c>
      <c r="B274" s="12" t="s">
        <v>1746</v>
      </c>
      <c r="C274" s="12" t="s">
        <v>709</v>
      </c>
      <c r="D274" s="630" t="s">
        <v>913</v>
      </c>
      <c r="E274" s="630"/>
      <c r="F274" s="12" t="s">
        <v>2274</v>
      </c>
      <c r="G274" s="56">
        <v>274</v>
      </c>
      <c r="H274" s="625"/>
      <c r="I274" s="56">
        <f>G274*AQ274</f>
        <v>0</v>
      </c>
      <c r="J274" s="56">
        <f>G274*AR274</f>
        <v>0</v>
      </c>
      <c r="K274" s="56">
        <f>G274*H274</f>
        <v>0</v>
      </c>
      <c r="L274" s="56">
        <v>4.9160000000000002E-2</v>
      </c>
      <c r="M274" s="56">
        <f>G274*L274</f>
        <v>13.469840000000001</v>
      </c>
      <c r="N274" s="31" t="s">
        <v>1579</v>
      </c>
      <c r="P274" s="592"/>
      <c r="Q274" s="592"/>
      <c r="R274" s="592"/>
      <c r="S274" s="592"/>
      <c r="T274" s="592"/>
      <c r="U274" s="592"/>
      <c r="V274" s="592"/>
      <c r="W274" s="592"/>
      <c r="X274" s="592"/>
      <c r="AB274" s="56">
        <f>IF(AS274="5",BL274,0)</f>
        <v>0</v>
      </c>
      <c r="AD274" s="56">
        <f>IF(AS274="1",BJ274,0)</f>
        <v>0</v>
      </c>
      <c r="AE274" s="56">
        <f>IF(AS274="1",BK274,0)</f>
        <v>0</v>
      </c>
      <c r="AF274" s="56">
        <f>IF(AS274="7",BJ274,0)</f>
        <v>0</v>
      </c>
      <c r="AG274" s="56">
        <f>IF(AS274="7",BK274,0)</f>
        <v>0</v>
      </c>
      <c r="AH274" s="56">
        <f>IF(AS274="2",BJ274,0)</f>
        <v>0</v>
      </c>
      <c r="AI274" s="56">
        <f>IF(AS274="2",BK274,0)</f>
        <v>0</v>
      </c>
      <c r="AJ274" s="56">
        <f>IF(AS274="0",BL274,0)</f>
        <v>0</v>
      </c>
      <c r="AK274" s="7" t="s">
        <v>1746</v>
      </c>
      <c r="AL274" s="56">
        <f>IF(AP274=0,K274,0)</f>
        <v>0</v>
      </c>
      <c r="AM274" s="56">
        <f>IF(AP274=15,K274,0)</f>
        <v>0</v>
      </c>
      <c r="AN274" s="56">
        <f>IF(AP274=21,K274,0)</f>
        <v>0</v>
      </c>
      <c r="AP274" s="56">
        <v>21</v>
      </c>
      <c r="AQ274" s="88">
        <f>H274*0.466469165659008</f>
        <v>0</v>
      </c>
      <c r="AR274" s="88">
        <f>H274*(1-0.466469165659008)</f>
        <v>0</v>
      </c>
      <c r="AS274" s="21" t="s">
        <v>2297</v>
      </c>
      <c r="AX274" s="56">
        <f>AY274+AZ274</f>
        <v>0</v>
      </c>
      <c r="AY274" s="56">
        <f>G274*AQ274</f>
        <v>0</v>
      </c>
      <c r="AZ274" s="56">
        <f>G274*AR274</f>
        <v>0</v>
      </c>
      <c r="BA274" s="21" t="s">
        <v>1675</v>
      </c>
      <c r="BB274" s="21" t="s">
        <v>354</v>
      </c>
      <c r="BC274" s="7" t="s">
        <v>1747</v>
      </c>
      <c r="BE274" s="56">
        <f>AY274+AZ274</f>
        <v>0</v>
      </c>
      <c r="BF274" s="56">
        <f>H274/(100-BG274)*100</f>
        <v>0</v>
      </c>
      <c r="BG274" s="56">
        <v>0</v>
      </c>
      <c r="BH274" s="56">
        <f>M274</f>
        <v>13.469840000000001</v>
      </c>
      <c r="BJ274" s="56">
        <f>G274*AQ274</f>
        <v>0</v>
      </c>
      <c r="BK274" s="56">
        <f>G274*AR274</f>
        <v>0</v>
      </c>
      <c r="BL274" s="56">
        <f>G274*H274</f>
        <v>0</v>
      </c>
      <c r="BM274" s="56"/>
      <c r="BN274" s="56">
        <v>41</v>
      </c>
    </row>
    <row r="275" spans="1:66" ht="15" customHeight="1">
      <c r="A275" s="36"/>
      <c r="D275" s="45" t="s">
        <v>2103</v>
      </c>
      <c r="E275" s="104" t="s">
        <v>1280</v>
      </c>
      <c r="G275" s="13">
        <v>274</v>
      </c>
      <c r="N275" s="19"/>
      <c r="P275" s="592"/>
      <c r="Q275" s="592"/>
      <c r="R275" s="592"/>
      <c r="S275" s="592"/>
      <c r="T275" s="592"/>
      <c r="U275" s="592"/>
      <c r="V275" s="592"/>
      <c r="W275" s="592"/>
      <c r="X275" s="592"/>
    </row>
    <row r="276" spans="1:66" ht="15" customHeight="1">
      <c r="A276" s="24" t="s">
        <v>1288</v>
      </c>
      <c r="B276" s="12" t="s">
        <v>1746</v>
      </c>
      <c r="C276" s="12" t="s">
        <v>587</v>
      </c>
      <c r="D276" s="630" t="s">
        <v>1916</v>
      </c>
      <c r="E276" s="630"/>
      <c r="F276" s="12" t="s">
        <v>2274</v>
      </c>
      <c r="G276" s="56">
        <v>274</v>
      </c>
      <c r="H276" s="625"/>
      <c r="I276" s="56">
        <f>G276*AQ276</f>
        <v>0</v>
      </c>
      <c r="J276" s="56">
        <f>G276*AR276</f>
        <v>0</v>
      </c>
      <c r="K276" s="56">
        <f>G276*H276</f>
        <v>0</v>
      </c>
      <c r="L276" s="56">
        <v>0</v>
      </c>
      <c r="M276" s="56">
        <f>G276*L276</f>
        <v>0</v>
      </c>
      <c r="N276" s="31" t="s">
        <v>1579</v>
      </c>
      <c r="P276" s="592"/>
      <c r="Q276" s="592"/>
      <c r="R276" s="592"/>
      <c r="S276" s="592"/>
      <c r="T276" s="592"/>
      <c r="U276" s="592"/>
      <c r="V276" s="592"/>
      <c r="W276" s="592"/>
      <c r="X276" s="592"/>
      <c r="AB276" s="56">
        <f>IF(AS276="5",BL276,0)</f>
        <v>0</v>
      </c>
      <c r="AD276" s="56">
        <f>IF(AS276="1",BJ276,0)</f>
        <v>0</v>
      </c>
      <c r="AE276" s="56">
        <f>IF(AS276="1",BK276,0)</f>
        <v>0</v>
      </c>
      <c r="AF276" s="56">
        <f>IF(AS276="7",BJ276,0)</f>
        <v>0</v>
      </c>
      <c r="AG276" s="56">
        <f>IF(AS276="7",BK276,0)</f>
        <v>0</v>
      </c>
      <c r="AH276" s="56">
        <f>IF(AS276="2",BJ276,0)</f>
        <v>0</v>
      </c>
      <c r="AI276" s="56">
        <f>IF(AS276="2",BK276,0)</f>
        <v>0</v>
      </c>
      <c r="AJ276" s="56">
        <f>IF(AS276="0",BL276,0)</f>
        <v>0</v>
      </c>
      <c r="AK276" s="7" t="s">
        <v>1746</v>
      </c>
      <c r="AL276" s="56">
        <f>IF(AP276=0,K276,0)</f>
        <v>0</v>
      </c>
      <c r="AM276" s="56">
        <f>IF(AP276=15,K276,0)</f>
        <v>0</v>
      </c>
      <c r="AN276" s="56">
        <f>IF(AP276=21,K276,0)</f>
        <v>0</v>
      </c>
      <c r="AP276" s="56">
        <v>21</v>
      </c>
      <c r="AQ276" s="88">
        <f>H276*0</f>
        <v>0</v>
      </c>
      <c r="AR276" s="88">
        <f>H276*(1-0)</f>
        <v>0</v>
      </c>
      <c r="AS276" s="21" t="s">
        <v>2297</v>
      </c>
      <c r="AX276" s="56">
        <f>AY276+AZ276</f>
        <v>0</v>
      </c>
      <c r="AY276" s="56">
        <f>G276*AQ276</f>
        <v>0</v>
      </c>
      <c r="AZ276" s="56">
        <f>G276*AR276</f>
        <v>0</v>
      </c>
      <c r="BA276" s="21" t="s">
        <v>1675</v>
      </c>
      <c r="BB276" s="21" t="s">
        <v>354</v>
      </c>
      <c r="BC276" s="7" t="s">
        <v>1747</v>
      </c>
      <c r="BE276" s="56">
        <f>AY276+AZ276</f>
        <v>0</v>
      </c>
      <c r="BF276" s="56">
        <f>H276/(100-BG276)*100</f>
        <v>0</v>
      </c>
      <c r="BG276" s="56">
        <v>0</v>
      </c>
      <c r="BH276" s="56">
        <f>M276</f>
        <v>0</v>
      </c>
      <c r="BJ276" s="56">
        <f>G276*AQ276</f>
        <v>0</v>
      </c>
      <c r="BK276" s="56">
        <f>G276*AR276</f>
        <v>0</v>
      </c>
      <c r="BL276" s="56">
        <f>G276*H276</f>
        <v>0</v>
      </c>
      <c r="BM276" s="56"/>
      <c r="BN276" s="56">
        <v>41</v>
      </c>
    </row>
    <row r="277" spans="1:66" ht="15" customHeight="1">
      <c r="A277" s="36"/>
      <c r="D277" s="45" t="s">
        <v>2103</v>
      </c>
      <c r="E277" s="104" t="s">
        <v>1597</v>
      </c>
      <c r="G277" s="13">
        <v>274</v>
      </c>
      <c r="N277" s="19"/>
      <c r="P277" s="592"/>
      <c r="Q277" s="592"/>
      <c r="R277" s="592"/>
      <c r="S277" s="592"/>
      <c r="T277" s="592"/>
      <c r="U277" s="592"/>
      <c r="V277" s="592"/>
      <c r="W277" s="592"/>
      <c r="X277" s="592"/>
    </row>
    <row r="278" spans="1:66" ht="15" customHeight="1">
      <c r="A278" s="24" t="s">
        <v>259</v>
      </c>
      <c r="B278" s="12" t="s">
        <v>1746</v>
      </c>
      <c r="C278" s="12" t="s">
        <v>357</v>
      </c>
      <c r="D278" s="630" t="s">
        <v>1594</v>
      </c>
      <c r="E278" s="630"/>
      <c r="F278" s="12" t="s">
        <v>2274</v>
      </c>
      <c r="G278" s="56">
        <v>274</v>
      </c>
      <c r="H278" s="625"/>
      <c r="I278" s="56">
        <f>G278*AQ278</f>
        <v>0</v>
      </c>
      <c r="J278" s="56">
        <f>G278*AR278</f>
        <v>0</v>
      </c>
      <c r="K278" s="56">
        <f>G278*H278</f>
        <v>0</v>
      </c>
      <c r="L278" s="56">
        <v>3.8700000000000002E-3</v>
      </c>
      <c r="M278" s="56">
        <f>G278*L278</f>
        <v>1.0603800000000001</v>
      </c>
      <c r="N278" s="31" t="s">
        <v>1579</v>
      </c>
      <c r="P278" s="592"/>
      <c r="Q278" s="592"/>
      <c r="R278" s="592"/>
      <c r="S278" s="592"/>
      <c r="T278" s="592"/>
      <c r="U278" s="592"/>
      <c r="V278" s="592"/>
      <c r="W278" s="592"/>
      <c r="X278" s="592"/>
      <c r="AB278" s="56">
        <f>IF(AS278="5",BL278,0)</f>
        <v>0</v>
      </c>
      <c r="AD278" s="56">
        <f>IF(AS278="1",BJ278,0)</f>
        <v>0</v>
      </c>
      <c r="AE278" s="56">
        <f>IF(AS278="1",BK278,0)</f>
        <v>0</v>
      </c>
      <c r="AF278" s="56">
        <f>IF(AS278="7",BJ278,0)</f>
        <v>0</v>
      </c>
      <c r="AG278" s="56">
        <f>IF(AS278="7",BK278,0)</f>
        <v>0</v>
      </c>
      <c r="AH278" s="56">
        <f>IF(AS278="2",BJ278,0)</f>
        <v>0</v>
      </c>
      <c r="AI278" s="56">
        <f>IF(AS278="2",BK278,0)</f>
        <v>0</v>
      </c>
      <c r="AJ278" s="56">
        <f>IF(AS278="0",BL278,0)</f>
        <v>0</v>
      </c>
      <c r="AK278" s="7" t="s">
        <v>1746</v>
      </c>
      <c r="AL278" s="56">
        <f>IF(AP278=0,K278,0)</f>
        <v>0</v>
      </c>
      <c r="AM278" s="56">
        <f>IF(AP278=15,K278,0)</f>
        <v>0</v>
      </c>
      <c r="AN278" s="56">
        <f>IF(AP278=21,K278,0)</f>
        <v>0</v>
      </c>
      <c r="AP278" s="56">
        <v>21</v>
      </c>
      <c r="AQ278" s="88">
        <f>H278*0.137720207253886</f>
        <v>0</v>
      </c>
      <c r="AR278" s="88">
        <f>H278*(1-0.137720207253886)</f>
        <v>0</v>
      </c>
      <c r="AS278" s="21" t="s">
        <v>2297</v>
      </c>
      <c r="AX278" s="56">
        <f>AY278+AZ278</f>
        <v>0</v>
      </c>
      <c r="AY278" s="56">
        <f>G278*AQ278</f>
        <v>0</v>
      </c>
      <c r="AZ278" s="56">
        <f>G278*AR278</f>
        <v>0</v>
      </c>
      <c r="BA278" s="21" t="s">
        <v>1675</v>
      </c>
      <c r="BB278" s="21" t="s">
        <v>354</v>
      </c>
      <c r="BC278" s="7" t="s">
        <v>1747</v>
      </c>
      <c r="BE278" s="56">
        <f>AY278+AZ278</f>
        <v>0</v>
      </c>
      <c r="BF278" s="56">
        <f>H278/(100-BG278)*100</f>
        <v>0</v>
      </c>
      <c r="BG278" s="56">
        <v>0</v>
      </c>
      <c r="BH278" s="56">
        <f>M278</f>
        <v>1.0603800000000001</v>
      </c>
      <c r="BJ278" s="56">
        <f>G278*AQ278</f>
        <v>0</v>
      </c>
      <c r="BK278" s="56">
        <f>G278*AR278</f>
        <v>0</v>
      </c>
      <c r="BL278" s="56">
        <f>G278*H278</f>
        <v>0</v>
      </c>
      <c r="BM278" s="56"/>
      <c r="BN278" s="56">
        <v>41</v>
      </c>
    </row>
    <row r="279" spans="1:66" ht="15" customHeight="1">
      <c r="A279" s="36"/>
      <c r="D279" s="45" t="s">
        <v>2103</v>
      </c>
      <c r="E279" s="104" t="s">
        <v>1597</v>
      </c>
      <c r="G279" s="13">
        <v>274</v>
      </c>
      <c r="N279" s="19"/>
      <c r="P279" s="592"/>
      <c r="Q279" s="592"/>
      <c r="R279" s="592"/>
      <c r="S279" s="592"/>
      <c r="T279" s="592"/>
      <c r="U279" s="592"/>
      <c r="V279" s="592"/>
      <c r="W279" s="592"/>
      <c r="X279" s="592"/>
    </row>
    <row r="280" spans="1:66" ht="15" customHeight="1">
      <c r="A280" s="24" t="s">
        <v>1625</v>
      </c>
      <c r="B280" s="12" t="s">
        <v>1746</v>
      </c>
      <c r="C280" s="12" t="s">
        <v>1059</v>
      </c>
      <c r="D280" s="630" t="s">
        <v>2440</v>
      </c>
      <c r="E280" s="630"/>
      <c r="F280" s="12" t="s">
        <v>2274</v>
      </c>
      <c r="G280" s="56">
        <v>274</v>
      </c>
      <c r="H280" s="625"/>
      <c r="I280" s="56">
        <f>G280*AQ280</f>
        <v>0</v>
      </c>
      <c r="J280" s="56">
        <f>G280*AR280</f>
        <v>0</v>
      </c>
      <c r="K280" s="56">
        <f>G280*H280</f>
        <v>0</v>
      </c>
      <c r="L280" s="56">
        <v>0</v>
      </c>
      <c r="M280" s="56">
        <f>G280*L280</f>
        <v>0</v>
      </c>
      <c r="N280" s="31" t="s">
        <v>1579</v>
      </c>
      <c r="P280" s="592"/>
      <c r="Q280" s="592"/>
      <c r="R280" s="592"/>
      <c r="S280" s="592"/>
      <c r="T280" s="592"/>
      <c r="U280" s="592"/>
      <c r="V280" s="592"/>
      <c r="W280" s="592"/>
      <c r="X280" s="592"/>
      <c r="AB280" s="56">
        <f>IF(AS280="5",BL280,0)</f>
        <v>0</v>
      </c>
      <c r="AD280" s="56">
        <f>IF(AS280="1",BJ280,0)</f>
        <v>0</v>
      </c>
      <c r="AE280" s="56">
        <f>IF(AS280="1",BK280,0)</f>
        <v>0</v>
      </c>
      <c r="AF280" s="56">
        <f>IF(AS280="7",BJ280,0)</f>
        <v>0</v>
      </c>
      <c r="AG280" s="56">
        <f>IF(AS280="7",BK280,0)</f>
        <v>0</v>
      </c>
      <c r="AH280" s="56">
        <f>IF(AS280="2",BJ280,0)</f>
        <v>0</v>
      </c>
      <c r="AI280" s="56">
        <f>IF(AS280="2",BK280,0)</f>
        <v>0</v>
      </c>
      <c r="AJ280" s="56">
        <f>IF(AS280="0",BL280,0)</f>
        <v>0</v>
      </c>
      <c r="AK280" s="7" t="s">
        <v>1746</v>
      </c>
      <c r="AL280" s="56">
        <f>IF(AP280=0,K280,0)</f>
        <v>0</v>
      </c>
      <c r="AM280" s="56">
        <f>IF(AP280=15,K280,0)</f>
        <v>0</v>
      </c>
      <c r="AN280" s="56">
        <f>IF(AP280=21,K280,0)</f>
        <v>0</v>
      </c>
      <c r="AP280" s="56">
        <v>21</v>
      </c>
      <c r="AQ280" s="88">
        <f>H280*0</f>
        <v>0</v>
      </c>
      <c r="AR280" s="88">
        <f>H280*(1-0)</f>
        <v>0</v>
      </c>
      <c r="AS280" s="21" t="s">
        <v>2297</v>
      </c>
      <c r="AX280" s="56">
        <f>AY280+AZ280</f>
        <v>0</v>
      </c>
      <c r="AY280" s="56">
        <f>G280*AQ280</f>
        <v>0</v>
      </c>
      <c r="AZ280" s="56">
        <f>G280*AR280</f>
        <v>0</v>
      </c>
      <c r="BA280" s="21" t="s">
        <v>1675</v>
      </c>
      <c r="BB280" s="21" t="s">
        <v>354</v>
      </c>
      <c r="BC280" s="7" t="s">
        <v>1747</v>
      </c>
      <c r="BE280" s="56">
        <f>AY280+AZ280</f>
        <v>0</v>
      </c>
      <c r="BF280" s="56">
        <f>H280/(100-BG280)*100</f>
        <v>0</v>
      </c>
      <c r="BG280" s="56">
        <v>0</v>
      </c>
      <c r="BH280" s="56">
        <f>M280</f>
        <v>0</v>
      </c>
      <c r="BJ280" s="56">
        <f>G280*AQ280</f>
        <v>0</v>
      </c>
      <c r="BK280" s="56">
        <f>G280*AR280</f>
        <v>0</v>
      </c>
      <c r="BL280" s="56">
        <f>G280*H280</f>
        <v>0</v>
      </c>
      <c r="BM280" s="56"/>
      <c r="BN280" s="56">
        <v>41</v>
      </c>
    </row>
    <row r="281" spans="1:66" ht="15" customHeight="1">
      <c r="A281" s="36"/>
      <c r="D281" s="45" t="s">
        <v>2103</v>
      </c>
      <c r="E281" s="104" t="s">
        <v>1597</v>
      </c>
      <c r="G281" s="13">
        <v>274</v>
      </c>
      <c r="N281" s="19"/>
      <c r="P281" s="592"/>
      <c r="Q281" s="592"/>
      <c r="R281" s="592"/>
      <c r="S281" s="592"/>
      <c r="T281" s="592"/>
      <c r="U281" s="592"/>
      <c r="V281" s="592"/>
      <c r="W281" s="592"/>
      <c r="X281" s="592"/>
    </row>
    <row r="282" spans="1:66" ht="15" customHeight="1">
      <c r="A282" s="24" t="s">
        <v>1093</v>
      </c>
      <c r="B282" s="12" t="s">
        <v>1746</v>
      </c>
      <c r="C282" s="12" t="s">
        <v>2555</v>
      </c>
      <c r="D282" s="630" t="s">
        <v>2480</v>
      </c>
      <c r="E282" s="630"/>
      <c r="F282" s="12" t="s">
        <v>2236</v>
      </c>
      <c r="G282" s="56">
        <v>54.8</v>
      </c>
      <c r="H282" s="625"/>
      <c r="I282" s="56">
        <f>G282*AQ282</f>
        <v>0</v>
      </c>
      <c r="J282" s="56">
        <f>G282*AR282</f>
        <v>0</v>
      </c>
      <c r="K282" s="56">
        <f>G282*H282</f>
        <v>0</v>
      </c>
      <c r="L282" s="56">
        <v>2.5251399999999999</v>
      </c>
      <c r="M282" s="56">
        <f>G282*L282</f>
        <v>138.37767199999999</v>
      </c>
      <c r="N282" s="31" t="s">
        <v>1579</v>
      </c>
      <c r="P282" s="592"/>
      <c r="Q282" s="592"/>
      <c r="R282" s="592"/>
      <c r="S282" s="592"/>
      <c r="T282" s="592"/>
      <c r="U282" s="592"/>
      <c r="V282" s="592"/>
      <c r="W282" s="592"/>
      <c r="X282" s="592"/>
      <c r="AB282" s="56">
        <f>IF(AS282="5",BL282,0)</f>
        <v>0</v>
      </c>
      <c r="AD282" s="56">
        <f>IF(AS282="1",BJ282,0)</f>
        <v>0</v>
      </c>
      <c r="AE282" s="56">
        <f>IF(AS282="1",BK282,0)</f>
        <v>0</v>
      </c>
      <c r="AF282" s="56">
        <f>IF(AS282="7",BJ282,0)</f>
        <v>0</v>
      </c>
      <c r="AG282" s="56">
        <f>IF(AS282="7",BK282,0)</f>
        <v>0</v>
      </c>
      <c r="AH282" s="56">
        <f>IF(AS282="2",BJ282,0)</f>
        <v>0</v>
      </c>
      <c r="AI282" s="56">
        <f>IF(AS282="2",BK282,0)</f>
        <v>0</v>
      </c>
      <c r="AJ282" s="56">
        <f>IF(AS282="0",BL282,0)</f>
        <v>0</v>
      </c>
      <c r="AK282" s="7" t="s">
        <v>1746</v>
      </c>
      <c r="AL282" s="56">
        <f>IF(AP282=0,K282,0)</f>
        <v>0</v>
      </c>
      <c r="AM282" s="56">
        <f>IF(AP282=15,K282,0)</f>
        <v>0</v>
      </c>
      <c r="AN282" s="56">
        <f>IF(AP282=21,K282,0)</f>
        <v>0</v>
      </c>
      <c r="AP282" s="56">
        <v>21</v>
      </c>
      <c r="AQ282" s="88">
        <f>H282*0.84712618724559</f>
        <v>0</v>
      </c>
      <c r="AR282" s="88">
        <f>H282*(1-0.84712618724559)</f>
        <v>0</v>
      </c>
      <c r="AS282" s="21" t="s">
        <v>2297</v>
      </c>
      <c r="AX282" s="56">
        <f>AY282+AZ282</f>
        <v>0</v>
      </c>
      <c r="AY282" s="56">
        <f>G282*AQ282</f>
        <v>0</v>
      </c>
      <c r="AZ282" s="56">
        <f>G282*AR282</f>
        <v>0</v>
      </c>
      <c r="BA282" s="21" t="s">
        <v>1675</v>
      </c>
      <c r="BB282" s="21" t="s">
        <v>354</v>
      </c>
      <c r="BC282" s="7" t="s">
        <v>1747</v>
      </c>
      <c r="BE282" s="56">
        <f>AY282+AZ282</f>
        <v>0</v>
      </c>
      <c r="BF282" s="56">
        <f>H282/(100-BG282)*100</f>
        <v>0</v>
      </c>
      <c r="BG282" s="56">
        <v>0</v>
      </c>
      <c r="BH282" s="56">
        <f>M282</f>
        <v>138.37767199999999</v>
      </c>
      <c r="BJ282" s="56">
        <f>G282*AQ282</f>
        <v>0</v>
      </c>
      <c r="BK282" s="56">
        <f>G282*AR282</f>
        <v>0</v>
      </c>
      <c r="BL282" s="56">
        <f>G282*H282</f>
        <v>0</v>
      </c>
      <c r="BM282" s="56"/>
      <c r="BN282" s="56">
        <v>41</v>
      </c>
    </row>
    <row r="283" spans="1:66" ht="15" customHeight="1">
      <c r="A283" s="36"/>
      <c r="D283" s="45" t="s">
        <v>1166</v>
      </c>
      <c r="E283" s="104" t="s">
        <v>1597</v>
      </c>
      <c r="G283" s="13">
        <v>54.800000000000004</v>
      </c>
      <c r="N283" s="19"/>
      <c r="P283" s="592"/>
      <c r="Q283" s="592"/>
      <c r="R283" s="592"/>
      <c r="S283" s="592"/>
      <c r="T283" s="592"/>
      <c r="U283" s="592"/>
      <c r="V283" s="592"/>
      <c r="W283" s="592"/>
      <c r="X283" s="592"/>
    </row>
    <row r="284" spans="1:66" ht="15" customHeight="1">
      <c r="A284" s="24" t="s">
        <v>1898</v>
      </c>
      <c r="B284" s="12" t="s">
        <v>1746</v>
      </c>
      <c r="C284" s="12" t="s">
        <v>185</v>
      </c>
      <c r="D284" s="630" t="s">
        <v>290</v>
      </c>
      <c r="E284" s="630"/>
      <c r="F284" s="12" t="s">
        <v>1074</v>
      </c>
      <c r="G284" s="56">
        <v>9.7200000000000006</v>
      </c>
      <c r="H284" s="625"/>
      <c r="I284" s="56">
        <f>G284*AQ284</f>
        <v>0</v>
      </c>
      <c r="J284" s="56">
        <f>G284*AR284</f>
        <v>0</v>
      </c>
      <c r="K284" s="56">
        <f>G284*H284</f>
        <v>0</v>
      </c>
      <c r="L284" s="56">
        <v>1.02139</v>
      </c>
      <c r="M284" s="56">
        <f>G284*L284</f>
        <v>9.9279108000000011</v>
      </c>
      <c r="N284" s="31" t="s">
        <v>1579</v>
      </c>
      <c r="P284" s="592"/>
      <c r="Q284" s="592"/>
      <c r="R284" s="592"/>
      <c r="S284" s="592"/>
      <c r="T284" s="592"/>
      <c r="U284" s="592"/>
      <c r="V284" s="592"/>
      <c r="W284" s="592"/>
      <c r="X284" s="592"/>
      <c r="AB284" s="56">
        <f>IF(AS284="5",BL284,0)</f>
        <v>0</v>
      </c>
      <c r="AD284" s="56">
        <f>IF(AS284="1",BJ284,0)</f>
        <v>0</v>
      </c>
      <c r="AE284" s="56">
        <f>IF(AS284="1",BK284,0)</f>
        <v>0</v>
      </c>
      <c r="AF284" s="56">
        <f>IF(AS284="7",BJ284,0)</f>
        <v>0</v>
      </c>
      <c r="AG284" s="56">
        <f>IF(AS284="7",BK284,0)</f>
        <v>0</v>
      </c>
      <c r="AH284" s="56">
        <f>IF(AS284="2",BJ284,0)</f>
        <v>0</v>
      </c>
      <c r="AI284" s="56">
        <f>IF(AS284="2",BK284,0)</f>
        <v>0</v>
      </c>
      <c r="AJ284" s="56">
        <f>IF(AS284="0",BL284,0)</f>
        <v>0</v>
      </c>
      <c r="AK284" s="7" t="s">
        <v>1746</v>
      </c>
      <c r="AL284" s="56">
        <f>IF(AP284=0,K284,0)</f>
        <v>0</v>
      </c>
      <c r="AM284" s="56">
        <f>IF(AP284=15,K284,0)</f>
        <v>0</v>
      </c>
      <c r="AN284" s="56">
        <f>IF(AP284=21,K284,0)</f>
        <v>0</v>
      </c>
      <c r="AP284" s="56">
        <v>21</v>
      </c>
      <c r="AQ284" s="88">
        <f>H284*0.759414511832001</f>
        <v>0</v>
      </c>
      <c r="AR284" s="88">
        <f>H284*(1-0.759414511832001)</f>
        <v>0</v>
      </c>
      <c r="AS284" s="21" t="s">
        <v>2297</v>
      </c>
      <c r="AX284" s="56">
        <f>AY284+AZ284</f>
        <v>0</v>
      </c>
      <c r="AY284" s="56">
        <f>G284*AQ284</f>
        <v>0</v>
      </c>
      <c r="AZ284" s="56">
        <f>G284*AR284</f>
        <v>0</v>
      </c>
      <c r="BA284" s="21" t="s">
        <v>1675</v>
      </c>
      <c r="BB284" s="21" t="s">
        <v>354</v>
      </c>
      <c r="BC284" s="7" t="s">
        <v>1747</v>
      </c>
      <c r="BE284" s="56">
        <f>AY284+AZ284</f>
        <v>0</v>
      </c>
      <c r="BF284" s="56">
        <f>H284/(100-BG284)*100</f>
        <v>0</v>
      </c>
      <c r="BG284" s="56">
        <v>0</v>
      </c>
      <c r="BH284" s="56">
        <f>M284</f>
        <v>9.9279108000000011</v>
      </c>
      <c r="BJ284" s="56">
        <f>G284*AQ284</f>
        <v>0</v>
      </c>
      <c r="BK284" s="56">
        <f>G284*AR284</f>
        <v>0</v>
      </c>
      <c r="BL284" s="56">
        <f>G284*H284</f>
        <v>0</v>
      </c>
      <c r="BM284" s="56"/>
      <c r="BN284" s="56">
        <v>41</v>
      </c>
    </row>
    <row r="285" spans="1:66" ht="15" customHeight="1">
      <c r="A285" s="36"/>
      <c r="D285" s="45" t="s">
        <v>202</v>
      </c>
      <c r="E285" s="104" t="s">
        <v>1597</v>
      </c>
      <c r="G285" s="13">
        <v>9.7200000000000006</v>
      </c>
      <c r="N285" s="19"/>
      <c r="P285" s="592"/>
      <c r="Q285" s="592"/>
      <c r="R285" s="592"/>
      <c r="S285" s="592"/>
      <c r="T285" s="592"/>
      <c r="U285" s="592"/>
      <c r="V285" s="592"/>
      <c r="W285" s="592"/>
      <c r="X285" s="592"/>
    </row>
    <row r="286" spans="1:66" ht="15" customHeight="1">
      <c r="A286" s="24" t="s">
        <v>2130</v>
      </c>
      <c r="B286" s="12" t="s">
        <v>1746</v>
      </c>
      <c r="C286" s="12" t="s">
        <v>1243</v>
      </c>
      <c r="D286" s="630" t="s">
        <v>389</v>
      </c>
      <c r="E286" s="630"/>
      <c r="F286" s="12" t="s">
        <v>2274</v>
      </c>
      <c r="G286" s="56">
        <v>104.8</v>
      </c>
      <c r="H286" s="625"/>
      <c r="I286" s="56">
        <f>G286*AQ286</f>
        <v>0</v>
      </c>
      <c r="J286" s="56">
        <f>G286*AR286</f>
        <v>0</v>
      </c>
      <c r="K286" s="56">
        <f>G286*H286</f>
        <v>0</v>
      </c>
      <c r="L286" s="56">
        <v>6.0760000000000002E-2</v>
      </c>
      <c r="M286" s="56">
        <f>G286*L286</f>
        <v>6.367648</v>
      </c>
      <c r="N286" s="31" t="s">
        <v>1579</v>
      </c>
      <c r="P286" s="592"/>
      <c r="Q286" s="592"/>
      <c r="R286" s="592"/>
      <c r="S286" s="592"/>
      <c r="T286" s="592"/>
      <c r="U286" s="592"/>
      <c r="V286" s="592"/>
      <c r="W286" s="592"/>
      <c r="X286" s="592"/>
      <c r="AB286" s="56">
        <f>IF(AS286="5",BL286,0)</f>
        <v>0</v>
      </c>
      <c r="AD286" s="56">
        <f>IF(AS286="1",BJ286,0)</f>
        <v>0</v>
      </c>
      <c r="AE286" s="56">
        <f>IF(AS286="1",BK286,0)</f>
        <v>0</v>
      </c>
      <c r="AF286" s="56">
        <f>IF(AS286="7",BJ286,0)</f>
        <v>0</v>
      </c>
      <c r="AG286" s="56">
        <f>IF(AS286="7",BK286,0)</f>
        <v>0</v>
      </c>
      <c r="AH286" s="56">
        <f>IF(AS286="2",BJ286,0)</f>
        <v>0</v>
      </c>
      <c r="AI286" s="56">
        <f>IF(AS286="2",BK286,0)</f>
        <v>0</v>
      </c>
      <c r="AJ286" s="56">
        <f>IF(AS286="0",BL286,0)</f>
        <v>0</v>
      </c>
      <c r="AK286" s="7" t="s">
        <v>1746</v>
      </c>
      <c r="AL286" s="56">
        <f>IF(AP286=0,K286,0)</f>
        <v>0</v>
      </c>
      <c r="AM286" s="56">
        <f>IF(AP286=15,K286,0)</f>
        <v>0</v>
      </c>
      <c r="AN286" s="56">
        <f>IF(AP286=21,K286,0)</f>
        <v>0</v>
      </c>
      <c r="AP286" s="56">
        <v>21</v>
      </c>
      <c r="AQ286" s="88">
        <f>H286*0.418726178535607</f>
        <v>0</v>
      </c>
      <c r="AR286" s="88">
        <f>H286*(1-0.418726178535607)</f>
        <v>0</v>
      </c>
      <c r="AS286" s="21" t="s">
        <v>2297</v>
      </c>
      <c r="AX286" s="56">
        <f>AY286+AZ286</f>
        <v>0</v>
      </c>
      <c r="AY286" s="56">
        <f>G286*AQ286</f>
        <v>0</v>
      </c>
      <c r="AZ286" s="56">
        <f>G286*AR286</f>
        <v>0</v>
      </c>
      <c r="BA286" s="21" t="s">
        <v>1675</v>
      </c>
      <c r="BB286" s="21" t="s">
        <v>354</v>
      </c>
      <c r="BC286" s="7" t="s">
        <v>1747</v>
      </c>
      <c r="BE286" s="56">
        <f>AY286+AZ286</f>
        <v>0</v>
      </c>
      <c r="BF286" s="56">
        <f>H286/(100-BG286)*100</f>
        <v>0</v>
      </c>
      <c r="BG286" s="56">
        <v>0</v>
      </c>
      <c r="BH286" s="56">
        <f>M286</f>
        <v>6.367648</v>
      </c>
      <c r="BJ286" s="56">
        <f>G286*AQ286</f>
        <v>0</v>
      </c>
      <c r="BK286" s="56">
        <f>G286*AR286</f>
        <v>0</v>
      </c>
      <c r="BL286" s="56">
        <f>G286*H286</f>
        <v>0</v>
      </c>
      <c r="BM286" s="56"/>
      <c r="BN286" s="56">
        <v>41</v>
      </c>
    </row>
    <row r="287" spans="1:66" ht="15" customHeight="1">
      <c r="A287" s="36"/>
      <c r="D287" s="45" t="s">
        <v>1789</v>
      </c>
      <c r="E287" s="104" t="s">
        <v>1515</v>
      </c>
      <c r="G287" s="13">
        <v>18</v>
      </c>
      <c r="N287" s="19"/>
      <c r="P287" s="592"/>
      <c r="Q287" s="592"/>
      <c r="R287" s="592"/>
      <c r="S287" s="592"/>
      <c r="T287" s="592"/>
      <c r="U287" s="592"/>
      <c r="V287" s="592"/>
      <c r="W287" s="592"/>
      <c r="X287" s="592"/>
    </row>
    <row r="288" spans="1:66" ht="15" customHeight="1">
      <c r="A288" s="36"/>
      <c r="D288" s="45" t="s">
        <v>1945</v>
      </c>
      <c r="E288" s="104" t="s">
        <v>2104</v>
      </c>
      <c r="G288" s="13">
        <v>86.800000000000011</v>
      </c>
      <c r="N288" s="19"/>
      <c r="P288" s="592"/>
      <c r="Q288" s="592"/>
      <c r="R288" s="592"/>
      <c r="S288" s="592"/>
      <c r="T288" s="592"/>
      <c r="U288" s="592"/>
      <c r="V288" s="592"/>
      <c r="W288" s="592"/>
      <c r="X288" s="592"/>
    </row>
    <row r="289" spans="1:66" ht="15" customHeight="1">
      <c r="A289" s="24" t="s">
        <v>2033</v>
      </c>
      <c r="B289" s="12" t="s">
        <v>1746</v>
      </c>
      <c r="C289" s="12" t="s">
        <v>2299</v>
      </c>
      <c r="D289" s="630" t="s">
        <v>1844</v>
      </c>
      <c r="E289" s="630"/>
      <c r="F289" s="12" t="s">
        <v>2274</v>
      </c>
      <c r="G289" s="56">
        <v>105</v>
      </c>
      <c r="H289" s="625"/>
      <c r="I289" s="56">
        <f>G289*AQ289</f>
        <v>0</v>
      </c>
      <c r="J289" s="56">
        <f>G289*AR289</f>
        <v>0</v>
      </c>
      <c r="K289" s="56">
        <f>G289*H289</f>
        <v>0</v>
      </c>
      <c r="L289" s="56">
        <v>0</v>
      </c>
      <c r="M289" s="56">
        <f>G289*L289</f>
        <v>0</v>
      </c>
      <c r="N289" s="31" t="s">
        <v>1579</v>
      </c>
      <c r="P289" s="592"/>
      <c r="Q289" s="592"/>
      <c r="R289" s="592"/>
      <c r="S289" s="592"/>
      <c r="T289" s="592"/>
      <c r="U289" s="592"/>
      <c r="V289" s="592"/>
      <c r="W289" s="592"/>
      <c r="X289" s="592"/>
      <c r="AB289" s="56">
        <f>IF(AS289="5",BL289,0)</f>
        <v>0</v>
      </c>
      <c r="AD289" s="56">
        <f>IF(AS289="1",BJ289,0)</f>
        <v>0</v>
      </c>
      <c r="AE289" s="56">
        <f>IF(AS289="1",BK289,0)</f>
        <v>0</v>
      </c>
      <c r="AF289" s="56">
        <f>IF(AS289="7",BJ289,0)</f>
        <v>0</v>
      </c>
      <c r="AG289" s="56">
        <f>IF(AS289="7",BK289,0)</f>
        <v>0</v>
      </c>
      <c r="AH289" s="56">
        <f>IF(AS289="2",BJ289,0)</f>
        <v>0</v>
      </c>
      <c r="AI289" s="56">
        <f>IF(AS289="2",BK289,0)</f>
        <v>0</v>
      </c>
      <c r="AJ289" s="56">
        <f>IF(AS289="0",BL289,0)</f>
        <v>0</v>
      </c>
      <c r="AK289" s="7" t="s">
        <v>1746</v>
      </c>
      <c r="AL289" s="56">
        <f>IF(AP289=0,K289,0)</f>
        <v>0</v>
      </c>
      <c r="AM289" s="56">
        <f>IF(AP289=15,K289,0)</f>
        <v>0</v>
      </c>
      <c r="AN289" s="56">
        <f>IF(AP289=21,K289,0)</f>
        <v>0</v>
      </c>
      <c r="AP289" s="56">
        <v>21</v>
      </c>
      <c r="AQ289" s="88">
        <f>H289*0</f>
        <v>0</v>
      </c>
      <c r="AR289" s="88">
        <f>H289*(1-0)</f>
        <v>0</v>
      </c>
      <c r="AS289" s="21" t="s">
        <v>2297</v>
      </c>
      <c r="AX289" s="56">
        <f>AY289+AZ289</f>
        <v>0</v>
      </c>
      <c r="AY289" s="56">
        <f>G289*AQ289</f>
        <v>0</v>
      </c>
      <c r="AZ289" s="56">
        <f>G289*AR289</f>
        <v>0</v>
      </c>
      <c r="BA289" s="21" t="s">
        <v>1675</v>
      </c>
      <c r="BB289" s="21" t="s">
        <v>354</v>
      </c>
      <c r="BC289" s="7" t="s">
        <v>1747</v>
      </c>
      <c r="BE289" s="56">
        <f>AY289+AZ289</f>
        <v>0</v>
      </c>
      <c r="BF289" s="56">
        <f>H289/(100-BG289)*100</f>
        <v>0</v>
      </c>
      <c r="BG289" s="56">
        <v>0</v>
      </c>
      <c r="BH289" s="56">
        <f>M289</f>
        <v>0</v>
      </c>
      <c r="BJ289" s="56">
        <f>G289*AQ289</f>
        <v>0</v>
      </c>
      <c r="BK289" s="56">
        <f>G289*AR289</f>
        <v>0</v>
      </c>
      <c r="BL289" s="56">
        <f>G289*H289</f>
        <v>0</v>
      </c>
      <c r="BM289" s="56"/>
      <c r="BN289" s="56">
        <v>41</v>
      </c>
    </row>
    <row r="290" spans="1:66" ht="15" customHeight="1">
      <c r="A290" s="36"/>
      <c r="D290" s="45" t="s">
        <v>286</v>
      </c>
      <c r="E290" s="104" t="s">
        <v>1597</v>
      </c>
      <c r="G290" s="13">
        <v>105.00000000000001</v>
      </c>
      <c r="N290" s="19"/>
      <c r="P290" s="592"/>
      <c r="Q290" s="592"/>
      <c r="R290" s="592"/>
      <c r="S290" s="592"/>
      <c r="T290" s="592"/>
      <c r="U290" s="592"/>
      <c r="V290" s="592"/>
      <c r="W290" s="592"/>
      <c r="X290" s="592"/>
    </row>
    <row r="291" spans="1:66" ht="15" customHeight="1">
      <c r="A291" s="24" t="s">
        <v>57</v>
      </c>
      <c r="B291" s="12" t="s">
        <v>1746</v>
      </c>
      <c r="C291" s="12" t="s">
        <v>2582</v>
      </c>
      <c r="D291" s="630" t="s">
        <v>62</v>
      </c>
      <c r="E291" s="630"/>
      <c r="F291" s="12" t="s">
        <v>2236</v>
      </c>
      <c r="G291" s="56">
        <v>9.99</v>
      </c>
      <c r="H291" s="625"/>
      <c r="I291" s="56">
        <f>G291*AQ291</f>
        <v>0</v>
      </c>
      <c r="J291" s="56">
        <f>G291*AR291</f>
        <v>0</v>
      </c>
      <c r="K291" s="56">
        <f>G291*H291</f>
        <v>0</v>
      </c>
      <c r="L291" s="56">
        <v>2.5251399999999999</v>
      </c>
      <c r="M291" s="56">
        <f>G291*L291</f>
        <v>25.226148599999998</v>
      </c>
      <c r="N291" s="31" t="s">
        <v>1579</v>
      </c>
      <c r="P291" s="592"/>
      <c r="Q291" s="592"/>
      <c r="R291" s="592"/>
      <c r="S291" s="592"/>
      <c r="T291" s="592"/>
      <c r="U291" s="592"/>
      <c r="V291" s="592"/>
      <c r="W291" s="592"/>
      <c r="X291" s="592"/>
      <c r="AB291" s="56">
        <f>IF(AS291="5",BL291,0)</f>
        <v>0</v>
      </c>
      <c r="AD291" s="56">
        <f>IF(AS291="1",BJ291,0)</f>
        <v>0</v>
      </c>
      <c r="AE291" s="56">
        <f>IF(AS291="1",BK291,0)</f>
        <v>0</v>
      </c>
      <c r="AF291" s="56">
        <f>IF(AS291="7",BJ291,0)</f>
        <v>0</v>
      </c>
      <c r="AG291" s="56">
        <f>IF(AS291="7",BK291,0)</f>
        <v>0</v>
      </c>
      <c r="AH291" s="56">
        <f>IF(AS291="2",BJ291,0)</f>
        <v>0</v>
      </c>
      <c r="AI291" s="56">
        <f>IF(AS291="2",BK291,0)</f>
        <v>0</v>
      </c>
      <c r="AJ291" s="56">
        <f>IF(AS291="0",BL291,0)</f>
        <v>0</v>
      </c>
      <c r="AK291" s="7" t="s">
        <v>1746</v>
      </c>
      <c r="AL291" s="56">
        <f>IF(AP291=0,K291,0)</f>
        <v>0</v>
      </c>
      <c r="AM291" s="56">
        <f>IF(AP291=15,K291,0)</f>
        <v>0</v>
      </c>
      <c r="AN291" s="56">
        <f>IF(AP291=21,K291,0)</f>
        <v>0</v>
      </c>
      <c r="AP291" s="56">
        <v>21</v>
      </c>
      <c r="AQ291" s="88">
        <f>H291*0.851076294277929</f>
        <v>0</v>
      </c>
      <c r="AR291" s="88">
        <f>H291*(1-0.851076294277929)</f>
        <v>0</v>
      </c>
      <c r="AS291" s="21" t="s">
        <v>2297</v>
      </c>
      <c r="AX291" s="56">
        <f>AY291+AZ291</f>
        <v>0</v>
      </c>
      <c r="AY291" s="56">
        <f>G291*AQ291</f>
        <v>0</v>
      </c>
      <c r="AZ291" s="56">
        <f>G291*AR291</f>
        <v>0</v>
      </c>
      <c r="BA291" s="21" t="s">
        <v>1675</v>
      </c>
      <c r="BB291" s="21" t="s">
        <v>354</v>
      </c>
      <c r="BC291" s="7" t="s">
        <v>1747</v>
      </c>
      <c r="BE291" s="56">
        <f>AY291+AZ291</f>
        <v>0</v>
      </c>
      <c r="BF291" s="56">
        <f>H291/(100-BG291)*100</f>
        <v>0</v>
      </c>
      <c r="BG291" s="56">
        <v>0</v>
      </c>
      <c r="BH291" s="56">
        <f>M291</f>
        <v>25.226148599999998</v>
      </c>
      <c r="BJ291" s="56">
        <f>G291*AQ291</f>
        <v>0</v>
      </c>
      <c r="BK291" s="56">
        <f>G291*AR291</f>
        <v>0</v>
      </c>
      <c r="BL291" s="56">
        <f>G291*H291</f>
        <v>0</v>
      </c>
      <c r="BM291" s="56"/>
      <c r="BN291" s="56">
        <v>41</v>
      </c>
    </row>
    <row r="292" spans="1:66" ht="15" customHeight="1">
      <c r="A292" s="36"/>
      <c r="D292" s="45" t="s">
        <v>1069</v>
      </c>
      <c r="E292" s="104" t="s">
        <v>1597</v>
      </c>
      <c r="G292" s="13">
        <v>2.4000000000000004</v>
      </c>
      <c r="N292" s="19"/>
      <c r="P292" s="592"/>
      <c r="Q292" s="592"/>
      <c r="R292" s="592"/>
      <c r="S292" s="592"/>
      <c r="T292" s="592"/>
      <c r="U292" s="592"/>
      <c r="V292" s="592"/>
      <c r="W292" s="592"/>
      <c r="X292" s="592"/>
    </row>
    <row r="293" spans="1:66" ht="15" customHeight="1">
      <c r="A293" s="36"/>
      <c r="D293" s="45" t="s">
        <v>1023</v>
      </c>
      <c r="E293" s="104" t="s">
        <v>1597</v>
      </c>
      <c r="G293" s="13">
        <v>7.5900000000000007</v>
      </c>
      <c r="N293" s="19"/>
      <c r="P293" s="592"/>
      <c r="Q293" s="592"/>
      <c r="R293" s="592"/>
      <c r="S293" s="592"/>
      <c r="T293" s="592"/>
      <c r="U293" s="592"/>
      <c r="V293" s="592"/>
      <c r="W293" s="592"/>
      <c r="X293" s="592"/>
    </row>
    <row r="294" spans="1:66" ht="15" customHeight="1">
      <c r="A294" s="32" t="s">
        <v>1597</v>
      </c>
      <c r="B294" s="26" t="s">
        <v>1746</v>
      </c>
      <c r="C294" s="529" t="s">
        <v>769</v>
      </c>
      <c r="D294" s="720" t="s">
        <v>898</v>
      </c>
      <c r="E294" s="720"/>
      <c r="F294" s="540" t="s">
        <v>2144</v>
      </c>
      <c r="G294" s="540" t="s">
        <v>2144</v>
      </c>
      <c r="H294" s="540" t="s">
        <v>2144</v>
      </c>
      <c r="I294" s="530">
        <f>SUM(I295:I310)</f>
        <v>0</v>
      </c>
      <c r="J294" s="530">
        <f>SUM(J295:J310)</f>
        <v>0</v>
      </c>
      <c r="K294" s="530">
        <f>SUM(K295:K310)</f>
        <v>0</v>
      </c>
      <c r="L294" s="7" t="s">
        <v>1597</v>
      </c>
      <c r="M294" s="17">
        <f>SUM(M295:M310)</f>
        <v>11.627642399999999</v>
      </c>
      <c r="N294" s="20" t="s">
        <v>1597</v>
      </c>
      <c r="P294" s="592"/>
      <c r="Q294" s="592">
        <f>K294</f>
        <v>0</v>
      </c>
      <c r="R294" s="592"/>
      <c r="S294" s="592"/>
      <c r="T294" s="592"/>
      <c r="U294" s="592"/>
      <c r="V294" s="592"/>
      <c r="W294" s="592"/>
      <c r="X294" s="592"/>
      <c r="AK294" s="7" t="s">
        <v>1746</v>
      </c>
      <c r="AU294" s="17">
        <f>SUM(AL295:AL310)</f>
        <v>0</v>
      </c>
      <c r="AV294" s="17">
        <f>SUM(AM295:AM310)</f>
        <v>0</v>
      </c>
      <c r="AW294" s="17">
        <f>SUM(AN295:AN310)</f>
        <v>0</v>
      </c>
    </row>
    <row r="295" spans="1:66" ht="15" customHeight="1">
      <c r="A295" s="24" t="s">
        <v>897</v>
      </c>
      <c r="B295" s="12" t="s">
        <v>1746</v>
      </c>
      <c r="C295" s="12" t="s">
        <v>380</v>
      </c>
      <c r="D295" s="630" t="s">
        <v>1952</v>
      </c>
      <c r="E295" s="630"/>
      <c r="F295" s="12" t="s">
        <v>2236</v>
      </c>
      <c r="G295" s="56">
        <v>3.9</v>
      </c>
      <c r="H295" s="625"/>
      <c r="I295" s="56">
        <f>G295*AQ295</f>
        <v>0</v>
      </c>
      <c r="J295" s="56">
        <f>G295*AR295</f>
        <v>0</v>
      </c>
      <c r="K295" s="56">
        <f>G295*H295</f>
        <v>0</v>
      </c>
      <c r="L295" s="56">
        <v>2.52508</v>
      </c>
      <c r="M295" s="56">
        <f>G295*L295</f>
        <v>9.8478119999999993</v>
      </c>
      <c r="N295" s="31" t="s">
        <v>1579</v>
      </c>
      <c r="P295" s="592"/>
      <c r="Q295" s="592"/>
      <c r="R295" s="592"/>
      <c r="S295" s="592"/>
      <c r="T295" s="592"/>
      <c r="U295" s="592"/>
      <c r="V295" s="592"/>
      <c r="W295" s="592"/>
      <c r="X295" s="592"/>
      <c r="AB295" s="56">
        <f>IF(AS295="5",BL295,0)</f>
        <v>0</v>
      </c>
      <c r="AD295" s="56">
        <f>IF(AS295="1",BJ295,0)</f>
        <v>0</v>
      </c>
      <c r="AE295" s="56">
        <f>IF(AS295="1",BK295,0)</f>
        <v>0</v>
      </c>
      <c r="AF295" s="56">
        <f>IF(AS295="7",BJ295,0)</f>
        <v>0</v>
      </c>
      <c r="AG295" s="56">
        <f>IF(AS295="7",BK295,0)</f>
        <v>0</v>
      </c>
      <c r="AH295" s="56">
        <f>IF(AS295="2",BJ295,0)</f>
        <v>0</v>
      </c>
      <c r="AI295" s="56">
        <f>IF(AS295="2",BK295,0)</f>
        <v>0</v>
      </c>
      <c r="AJ295" s="56">
        <f>IF(AS295="0",BL295,0)</f>
        <v>0</v>
      </c>
      <c r="AK295" s="7" t="s">
        <v>1746</v>
      </c>
      <c r="AL295" s="56">
        <f>IF(AP295=0,K295,0)</f>
        <v>0</v>
      </c>
      <c r="AM295" s="56">
        <f>IF(AP295=15,K295,0)</f>
        <v>0</v>
      </c>
      <c r="AN295" s="56">
        <f>IF(AP295=21,K295,0)</f>
        <v>0</v>
      </c>
      <c r="AP295" s="56">
        <v>21</v>
      </c>
      <c r="AQ295" s="88">
        <f>H295*0.61800396432111</f>
        <v>0</v>
      </c>
      <c r="AR295" s="88">
        <f>H295*(1-0.61800396432111)</f>
        <v>0</v>
      </c>
      <c r="AS295" s="21" t="s">
        <v>2297</v>
      </c>
      <c r="AX295" s="56">
        <f>AY295+AZ295</f>
        <v>0</v>
      </c>
      <c r="AY295" s="56">
        <f>G295*AQ295</f>
        <v>0</v>
      </c>
      <c r="AZ295" s="56">
        <f>G295*AR295</f>
        <v>0</v>
      </c>
      <c r="BA295" s="21" t="s">
        <v>2592</v>
      </c>
      <c r="BB295" s="21" t="s">
        <v>354</v>
      </c>
      <c r="BC295" s="7" t="s">
        <v>1747</v>
      </c>
      <c r="BE295" s="56">
        <f>AY295+AZ295</f>
        <v>0</v>
      </c>
      <c r="BF295" s="56">
        <f>H295/(100-BG295)*100</f>
        <v>0</v>
      </c>
      <c r="BG295" s="56">
        <v>0</v>
      </c>
      <c r="BH295" s="56">
        <f>M295</f>
        <v>9.8478119999999993</v>
      </c>
      <c r="BJ295" s="56">
        <f>G295*AQ295</f>
        <v>0</v>
      </c>
      <c r="BK295" s="56">
        <f>G295*AR295</f>
        <v>0</v>
      </c>
      <c r="BL295" s="56">
        <f>G295*H295</f>
        <v>0</v>
      </c>
      <c r="BM295" s="56"/>
      <c r="BN295" s="56">
        <v>43</v>
      </c>
    </row>
    <row r="296" spans="1:66" ht="15" customHeight="1">
      <c r="A296" s="36"/>
      <c r="D296" s="45" t="s">
        <v>2115</v>
      </c>
      <c r="E296" s="104" t="s">
        <v>556</v>
      </c>
      <c r="G296" s="13">
        <v>2.77</v>
      </c>
      <c r="N296" s="19"/>
      <c r="P296" s="592"/>
      <c r="Q296" s="592"/>
      <c r="R296" s="592"/>
      <c r="S296" s="592"/>
      <c r="T296" s="592"/>
      <c r="U296" s="592"/>
      <c r="V296" s="592"/>
      <c r="W296" s="592"/>
      <c r="X296" s="592"/>
    </row>
    <row r="297" spans="1:66" ht="15" customHeight="1">
      <c r="A297" s="36"/>
      <c r="D297" s="45" t="s">
        <v>1738</v>
      </c>
      <c r="E297" s="104" t="s">
        <v>1216</v>
      </c>
      <c r="G297" s="13">
        <v>1.1300000000000001</v>
      </c>
      <c r="N297" s="19"/>
      <c r="P297" s="592"/>
      <c r="Q297" s="592"/>
      <c r="R297" s="592"/>
      <c r="S297" s="592"/>
      <c r="T297" s="592"/>
      <c r="U297" s="592"/>
      <c r="V297" s="592"/>
      <c r="W297" s="592"/>
      <c r="X297" s="592"/>
    </row>
    <row r="298" spans="1:66" ht="15" customHeight="1">
      <c r="A298" s="24" t="s">
        <v>286</v>
      </c>
      <c r="B298" s="12" t="s">
        <v>1746</v>
      </c>
      <c r="C298" s="12" t="s">
        <v>1541</v>
      </c>
      <c r="D298" s="630" t="s">
        <v>432</v>
      </c>
      <c r="E298" s="630"/>
      <c r="F298" s="12" t="s">
        <v>1074</v>
      </c>
      <c r="G298" s="56">
        <v>0.72</v>
      </c>
      <c r="H298" s="625"/>
      <c r="I298" s="56">
        <f>G298*AQ298</f>
        <v>0</v>
      </c>
      <c r="J298" s="56">
        <f>G298*AR298</f>
        <v>0</v>
      </c>
      <c r="K298" s="56">
        <f>G298*H298</f>
        <v>0</v>
      </c>
      <c r="L298" s="56">
        <v>1.02092</v>
      </c>
      <c r="M298" s="56">
        <f>G298*L298</f>
        <v>0.7350624</v>
      </c>
      <c r="N298" s="31" t="s">
        <v>1579</v>
      </c>
      <c r="P298" s="592"/>
      <c r="Q298" s="592"/>
      <c r="R298" s="592"/>
      <c r="S298" s="592"/>
      <c r="T298" s="592"/>
      <c r="U298" s="592"/>
      <c r="V298" s="592"/>
      <c r="W298" s="592"/>
      <c r="X298" s="592"/>
      <c r="AB298" s="56">
        <f>IF(AS298="5",BL298,0)</f>
        <v>0</v>
      </c>
      <c r="AD298" s="56">
        <f>IF(AS298="1",BJ298,0)</f>
        <v>0</v>
      </c>
      <c r="AE298" s="56">
        <f>IF(AS298="1",BK298,0)</f>
        <v>0</v>
      </c>
      <c r="AF298" s="56">
        <f>IF(AS298="7",BJ298,0)</f>
        <v>0</v>
      </c>
      <c r="AG298" s="56">
        <f>IF(AS298="7",BK298,0)</f>
        <v>0</v>
      </c>
      <c r="AH298" s="56">
        <f>IF(AS298="2",BJ298,0)</f>
        <v>0</v>
      </c>
      <c r="AI298" s="56">
        <f>IF(AS298="2",BK298,0)</f>
        <v>0</v>
      </c>
      <c r="AJ298" s="56">
        <f>IF(AS298="0",BL298,0)</f>
        <v>0</v>
      </c>
      <c r="AK298" s="7" t="s">
        <v>1746</v>
      </c>
      <c r="AL298" s="56">
        <f>IF(AP298=0,K298,0)</f>
        <v>0</v>
      </c>
      <c r="AM298" s="56">
        <f>IF(AP298=15,K298,0)</f>
        <v>0</v>
      </c>
      <c r="AN298" s="56">
        <f>IF(AP298=21,K298,0)</f>
        <v>0</v>
      </c>
      <c r="AP298" s="56">
        <v>21</v>
      </c>
      <c r="AQ298" s="88">
        <f>H298*0.626876921090017</f>
        <v>0</v>
      </c>
      <c r="AR298" s="88">
        <f>H298*(1-0.626876921090017)</f>
        <v>0</v>
      </c>
      <c r="AS298" s="21" t="s">
        <v>2297</v>
      </c>
      <c r="AX298" s="56">
        <f>AY298+AZ298</f>
        <v>0</v>
      </c>
      <c r="AY298" s="56">
        <f>G298*AQ298</f>
        <v>0</v>
      </c>
      <c r="AZ298" s="56">
        <f>G298*AR298</f>
        <v>0</v>
      </c>
      <c r="BA298" s="21" t="s">
        <v>2592</v>
      </c>
      <c r="BB298" s="21" t="s">
        <v>354</v>
      </c>
      <c r="BC298" s="7" t="s">
        <v>1747</v>
      </c>
      <c r="BE298" s="56">
        <f>AY298+AZ298</f>
        <v>0</v>
      </c>
      <c r="BF298" s="56">
        <f>H298/(100-BG298)*100</f>
        <v>0</v>
      </c>
      <c r="BG298" s="56">
        <v>0</v>
      </c>
      <c r="BH298" s="56">
        <f>M298</f>
        <v>0.7350624</v>
      </c>
      <c r="BJ298" s="56">
        <f>G298*AQ298</f>
        <v>0</v>
      </c>
      <c r="BK298" s="56">
        <f>G298*AR298</f>
        <v>0</v>
      </c>
      <c r="BL298" s="56">
        <f>G298*H298</f>
        <v>0</v>
      </c>
      <c r="BM298" s="56"/>
      <c r="BN298" s="56">
        <v>43</v>
      </c>
    </row>
    <row r="299" spans="1:66" ht="15" customHeight="1">
      <c r="A299" s="36"/>
      <c r="D299" s="45" t="s">
        <v>327</v>
      </c>
      <c r="E299" s="104" t="s">
        <v>1597</v>
      </c>
      <c r="G299" s="13">
        <v>0.72000000000000008</v>
      </c>
      <c r="N299" s="19"/>
      <c r="P299" s="592"/>
      <c r="Q299" s="592"/>
      <c r="R299" s="592"/>
      <c r="S299" s="592"/>
      <c r="T299" s="592"/>
      <c r="U299" s="592"/>
      <c r="V299" s="592"/>
      <c r="W299" s="592"/>
      <c r="X299" s="592"/>
    </row>
    <row r="300" spans="1:66" ht="15" customHeight="1">
      <c r="A300" s="24" t="s">
        <v>2565</v>
      </c>
      <c r="B300" s="12" t="s">
        <v>1746</v>
      </c>
      <c r="C300" s="12" t="s">
        <v>1547</v>
      </c>
      <c r="D300" s="630" t="s">
        <v>1281</v>
      </c>
      <c r="E300" s="630"/>
      <c r="F300" s="12" t="s">
        <v>2274</v>
      </c>
      <c r="G300" s="56">
        <v>13.74</v>
      </c>
      <c r="H300" s="625"/>
      <c r="I300" s="56">
        <f>G300*AQ300</f>
        <v>0</v>
      </c>
      <c r="J300" s="56">
        <f>G300*AR300</f>
        <v>0</v>
      </c>
      <c r="K300" s="56">
        <f>G300*H300</f>
        <v>0</v>
      </c>
      <c r="L300" s="56">
        <v>4.53E-2</v>
      </c>
      <c r="M300" s="56">
        <f>G300*L300</f>
        <v>0.62242200000000003</v>
      </c>
      <c r="N300" s="31" t="s">
        <v>1579</v>
      </c>
      <c r="P300" s="592"/>
      <c r="Q300" s="592"/>
      <c r="R300" s="592"/>
      <c r="S300" s="592"/>
      <c r="T300" s="592"/>
      <c r="U300" s="592"/>
      <c r="V300" s="592"/>
      <c r="W300" s="592"/>
      <c r="X300" s="592"/>
      <c r="AB300" s="56">
        <f>IF(AS300="5",BL300,0)</f>
        <v>0</v>
      </c>
      <c r="AD300" s="56">
        <f>IF(AS300="1",BJ300,0)</f>
        <v>0</v>
      </c>
      <c r="AE300" s="56">
        <f>IF(AS300="1",BK300,0)</f>
        <v>0</v>
      </c>
      <c r="AF300" s="56">
        <f>IF(AS300="7",BJ300,0)</f>
        <v>0</v>
      </c>
      <c r="AG300" s="56">
        <f>IF(AS300="7",BK300,0)</f>
        <v>0</v>
      </c>
      <c r="AH300" s="56">
        <f>IF(AS300="2",BJ300,0)</f>
        <v>0</v>
      </c>
      <c r="AI300" s="56">
        <f>IF(AS300="2",BK300,0)</f>
        <v>0</v>
      </c>
      <c r="AJ300" s="56">
        <f>IF(AS300="0",BL300,0)</f>
        <v>0</v>
      </c>
      <c r="AK300" s="7" t="s">
        <v>1746</v>
      </c>
      <c r="AL300" s="56">
        <f>IF(AP300=0,K300,0)</f>
        <v>0</v>
      </c>
      <c r="AM300" s="56">
        <f>IF(AP300=15,K300,0)</f>
        <v>0</v>
      </c>
      <c r="AN300" s="56">
        <f>IF(AP300=21,K300,0)</f>
        <v>0</v>
      </c>
      <c r="AP300" s="56">
        <v>21</v>
      </c>
      <c r="AQ300" s="88">
        <f>H300*0.942958139534884</f>
        <v>0</v>
      </c>
      <c r="AR300" s="88">
        <f>H300*(1-0.942958139534884)</f>
        <v>0</v>
      </c>
      <c r="AS300" s="21" t="s">
        <v>2297</v>
      </c>
      <c r="AX300" s="56">
        <f>AY300+AZ300</f>
        <v>0</v>
      </c>
      <c r="AY300" s="56">
        <f>G300*AQ300</f>
        <v>0</v>
      </c>
      <c r="AZ300" s="56">
        <f>G300*AR300</f>
        <v>0</v>
      </c>
      <c r="BA300" s="21" t="s">
        <v>2592</v>
      </c>
      <c r="BB300" s="21" t="s">
        <v>354</v>
      </c>
      <c r="BC300" s="7" t="s">
        <v>1747</v>
      </c>
      <c r="BE300" s="56">
        <f>AY300+AZ300</f>
        <v>0</v>
      </c>
      <c r="BF300" s="56">
        <f>H300/(100-BG300)*100</f>
        <v>0</v>
      </c>
      <c r="BG300" s="56">
        <v>0</v>
      </c>
      <c r="BH300" s="56">
        <f>M300</f>
        <v>0.62242200000000003</v>
      </c>
      <c r="BJ300" s="56">
        <f>G300*AQ300</f>
        <v>0</v>
      </c>
      <c r="BK300" s="56">
        <f>G300*AR300</f>
        <v>0</v>
      </c>
      <c r="BL300" s="56">
        <f>G300*H300</f>
        <v>0</v>
      </c>
      <c r="BM300" s="56"/>
      <c r="BN300" s="56">
        <v>43</v>
      </c>
    </row>
    <row r="301" spans="1:66" ht="15" customHeight="1">
      <c r="A301" s="36"/>
      <c r="D301" s="45" t="s">
        <v>1493</v>
      </c>
      <c r="E301" s="104" t="s">
        <v>1597</v>
      </c>
      <c r="G301" s="13">
        <v>13.740000000000002</v>
      </c>
      <c r="N301" s="19"/>
      <c r="P301" s="592"/>
      <c r="Q301" s="592"/>
      <c r="R301" s="592"/>
      <c r="S301" s="592"/>
      <c r="T301" s="592"/>
      <c r="U301" s="592"/>
      <c r="V301" s="592"/>
      <c r="W301" s="592"/>
      <c r="X301" s="592"/>
    </row>
    <row r="302" spans="1:66" ht="15" customHeight="1">
      <c r="A302" s="24" t="s">
        <v>1100</v>
      </c>
      <c r="B302" s="12" t="s">
        <v>1746</v>
      </c>
      <c r="C302" s="12" t="s">
        <v>520</v>
      </c>
      <c r="D302" s="630" t="s">
        <v>658</v>
      </c>
      <c r="E302" s="630"/>
      <c r="F302" s="12" t="s">
        <v>2274</v>
      </c>
      <c r="G302" s="56">
        <v>13.74</v>
      </c>
      <c r="H302" s="625"/>
      <c r="I302" s="56">
        <f>G302*AQ302</f>
        <v>0</v>
      </c>
      <c r="J302" s="56">
        <f>G302*AR302</f>
        <v>0</v>
      </c>
      <c r="K302" s="56">
        <f>G302*H302</f>
        <v>0</v>
      </c>
      <c r="L302" s="56">
        <v>0</v>
      </c>
      <c r="M302" s="56">
        <f>G302*L302</f>
        <v>0</v>
      </c>
      <c r="N302" s="31" t="s">
        <v>1579</v>
      </c>
      <c r="P302" s="592"/>
      <c r="Q302" s="592"/>
      <c r="R302" s="592"/>
      <c r="S302" s="592"/>
      <c r="T302" s="592"/>
      <c r="U302" s="592"/>
      <c r="V302" s="592"/>
      <c r="W302" s="592"/>
      <c r="X302" s="592"/>
      <c r="AB302" s="56">
        <f>IF(AS302="5",BL302,0)</f>
        <v>0</v>
      </c>
      <c r="AD302" s="56">
        <f>IF(AS302="1",BJ302,0)</f>
        <v>0</v>
      </c>
      <c r="AE302" s="56">
        <f>IF(AS302="1",BK302,0)</f>
        <v>0</v>
      </c>
      <c r="AF302" s="56">
        <f>IF(AS302="7",BJ302,0)</f>
        <v>0</v>
      </c>
      <c r="AG302" s="56">
        <f>IF(AS302="7",BK302,0)</f>
        <v>0</v>
      </c>
      <c r="AH302" s="56">
        <f>IF(AS302="2",BJ302,0)</f>
        <v>0</v>
      </c>
      <c r="AI302" s="56">
        <f>IF(AS302="2",BK302,0)</f>
        <v>0</v>
      </c>
      <c r="AJ302" s="56">
        <f>IF(AS302="0",BL302,0)</f>
        <v>0</v>
      </c>
      <c r="AK302" s="7" t="s">
        <v>1746</v>
      </c>
      <c r="AL302" s="56">
        <f>IF(AP302=0,K302,0)</f>
        <v>0</v>
      </c>
      <c r="AM302" s="56">
        <f>IF(AP302=15,K302,0)</f>
        <v>0</v>
      </c>
      <c r="AN302" s="56">
        <f>IF(AP302=21,K302,0)</f>
        <v>0</v>
      </c>
      <c r="AP302" s="56">
        <v>21</v>
      </c>
      <c r="AQ302" s="88">
        <f>H302*0</f>
        <v>0</v>
      </c>
      <c r="AR302" s="88">
        <f>H302*(1-0)</f>
        <v>0</v>
      </c>
      <c r="AS302" s="21" t="s">
        <v>2297</v>
      </c>
      <c r="AX302" s="56">
        <f>AY302+AZ302</f>
        <v>0</v>
      </c>
      <c r="AY302" s="56">
        <f>G302*AQ302</f>
        <v>0</v>
      </c>
      <c r="AZ302" s="56">
        <f>G302*AR302</f>
        <v>0</v>
      </c>
      <c r="BA302" s="21" t="s">
        <v>2592</v>
      </c>
      <c r="BB302" s="21" t="s">
        <v>354</v>
      </c>
      <c r="BC302" s="7" t="s">
        <v>1747</v>
      </c>
      <c r="BE302" s="56">
        <f>AY302+AZ302</f>
        <v>0</v>
      </c>
      <c r="BF302" s="56">
        <f>H302/(100-BG302)*100</f>
        <v>0</v>
      </c>
      <c r="BG302" s="56">
        <v>0</v>
      </c>
      <c r="BH302" s="56">
        <f>M302</f>
        <v>0</v>
      </c>
      <c r="BJ302" s="56">
        <f>G302*AQ302</f>
        <v>0</v>
      </c>
      <c r="BK302" s="56">
        <f>G302*AR302</f>
        <v>0</v>
      </c>
      <c r="BL302" s="56">
        <f>G302*H302</f>
        <v>0</v>
      </c>
      <c r="BM302" s="56"/>
      <c r="BN302" s="56">
        <v>43</v>
      </c>
    </row>
    <row r="303" spans="1:66" ht="15" customHeight="1">
      <c r="A303" s="36"/>
      <c r="D303" s="45" t="s">
        <v>167</v>
      </c>
      <c r="E303" s="104" t="s">
        <v>1597</v>
      </c>
      <c r="G303" s="13">
        <v>13.740000000000002</v>
      </c>
      <c r="N303" s="19"/>
      <c r="P303" s="592"/>
      <c r="Q303" s="592"/>
      <c r="R303" s="592"/>
      <c r="S303" s="592"/>
      <c r="T303" s="592"/>
      <c r="U303" s="592"/>
      <c r="V303" s="592"/>
      <c r="W303" s="592"/>
      <c r="X303" s="592"/>
    </row>
    <row r="304" spans="1:66" ht="15" customHeight="1">
      <c r="A304" s="24" t="s">
        <v>1899</v>
      </c>
      <c r="B304" s="12" t="s">
        <v>1746</v>
      </c>
      <c r="C304" s="12" t="s">
        <v>2136</v>
      </c>
      <c r="D304" s="630" t="s">
        <v>417</v>
      </c>
      <c r="E304" s="630"/>
      <c r="F304" s="12" t="s">
        <v>2274</v>
      </c>
      <c r="G304" s="56">
        <v>12.06</v>
      </c>
      <c r="H304" s="625"/>
      <c r="I304" s="56">
        <f>G304*AQ304</f>
        <v>0</v>
      </c>
      <c r="J304" s="56">
        <f>G304*AR304</f>
        <v>0</v>
      </c>
      <c r="K304" s="56">
        <f>G304*H304</f>
        <v>0</v>
      </c>
      <c r="L304" s="56">
        <v>3.2399999999999998E-2</v>
      </c>
      <c r="M304" s="56">
        <f>G304*L304</f>
        <v>0.39074399999999998</v>
      </c>
      <c r="N304" s="31" t="s">
        <v>1579</v>
      </c>
      <c r="P304" s="592"/>
      <c r="Q304" s="592"/>
      <c r="R304" s="592"/>
      <c r="S304" s="592"/>
      <c r="T304" s="592"/>
      <c r="U304" s="592"/>
      <c r="V304" s="592"/>
      <c r="W304" s="592"/>
      <c r="X304" s="592"/>
      <c r="AB304" s="56">
        <f>IF(AS304="5",BL304,0)</f>
        <v>0</v>
      </c>
      <c r="AD304" s="56">
        <f>IF(AS304="1",BJ304,0)</f>
        <v>0</v>
      </c>
      <c r="AE304" s="56">
        <f>IF(AS304="1",BK304,0)</f>
        <v>0</v>
      </c>
      <c r="AF304" s="56">
        <f>IF(AS304="7",BJ304,0)</f>
        <v>0</v>
      </c>
      <c r="AG304" s="56">
        <f>IF(AS304="7",BK304,0)</f>
        <v>0</v>
      </c>
      <c r="AH304" s="56">
        <f>IF(AS304="2",BJ304,0)</f>
        <v>0</v>
      </c>
      <c r="AI304" s="56">
        <f>IF(AS304="2",BK304,0)</f>
        <v>0</v>
      </c>
      <c r="AJ304" s="56">
        <f>IF(AS304="0",BL304,0)</f>
        <v>0</v>
      </c>
      <c r="AK304" s="7" t="s">
        <v>1746</v>
      </c>
      <c r="AL304" s="56">
        <f>IF(AP304=0,K304,0)</f>
        <v>0</v>
      </c>
      <c r="AM304" s="56">
        <f>IF(AP304=15,K304,0)</f>
        <v>0</v>
      </c>
      <c r="AN304" s="56">
        <f>IF(AP304=21,K304,0)</f>
        <v>0</v>
      </c>
      <c r="AP304" s="56">
        <v>21</v>
      </c>
      <c r="AQ304" s="88">
        <f>H304*0.297957881301851</f>
        <v>0</v>
      </c>
      <c r="AR304" s="88">
        <f>H304*(1-0.297957881301851)</f>
        <v>0</v>
      </c>
      <c r="AS304" s="21" t="s">
        <v>2297</v>
      </c>
      <c r="AX304" s="56">
        <f>AY304+AZ304</f>
        <v>0</v>
      </c>
      <c r="AY304" s="56">
        <f>G304*AQ304</f>
        <v>0</v>
      </c>
      <c r="AZ304" s="56">
        <f>G304*AR304</f>
        <v>0</v>
      </c>
      <c r="BA304" s="21" t="s">
        <v>2592</v>
      </c>
      <c r="BB304" s="21" t="s">
        <v>354</v>
      </c>
      <c r="BC304" s="7" t="s">
        <v>1747</v>
      </c>
      <c r="BE304" s="56">
        <f>AY304+AZ304</f>
        <v>0</v>
      </c>
      <c r="BF304" s="56">
        <f>H304/(100-BG304)*100</f>
        <v>0</v>
      </c>
      <c r="BG304" s="56">
        <v>0</v>
      </c>
      <c r="BH304" s="56">
        <f>M304</f>
        <v>0.39074399999999998</v>
      </c>
      <c r="BJ304" s="56">
        <f>G304*AQ304</f>
        <v>0</v>
      </c>
      <c r="BK304" s="56">
        <f>G304*AR304</f>
        <v>0</v>
      </c>
      <c r="BL304" s="56">
        <f>G304*H304</f>
        <v>0</v>
      </c>
      <c r="BM304" s="56"/>
      <c r="BN304" s="56">
        <v>43</v>
      </c>
    </row>
    <row r="305" spans="1:66" ht="15" customHeight="1">
      <c r="A305" s="36"/>
      <c r="D305" s="45" t="s">
        <v>1867</v>
      </c>
      <c r="E305" s="104" t="s">
        <v>1597</v>
      </c>
      <c r="G305" s="13">
        <v>12.06</v>
      </c>
      <c r="N305" s="19"/>
      <c r="P305" s="592"/>
      <c r="Q305" s="592"/>
      <c r="R305" s="592"/>
      <c r="S305" s="592"/>
      <c r="T305" s="592"/>
      <c r="U305" s="592"/>
      <c r="V305" s="592"/>
      <c r="W305" s="592"/>
      <c r="X305" s="592"/>
    </row>
    <row r="306" spans="1:66" ht="15" customHeight="1">
      <c r="A306" s="24" t="s">
        <v>1072</v>
      </c>
      <c r="B306" s="12" t="s">
        <v>1746</v>
      </c>
      <c r="C306" s="12" t="s">
        <v>1209</v>
      </c>
      <c r="D306" s="630" t="s">
        <v>836</v>
      </c>
      <c r="E306" s="630"/>
      <c r="F306" s="12" t="s">
        <v>2274</v>
      </c>
      <c r="G306" s="56">
        <v>12.06</v>
      </c>
      <c r="H306" s="625"/>
      <c r="I306" s="56">
        <f>G306*AQ306</f>
        <v>0</v>
      </c>
      <c r="J306" s="56">
        <f>G306*AR306</f>
        <v>0</v>
      </c>
      <c r="K306" s="56">
        <f>G306*H306</f>
        <v>0</v>
      </c>
      <c r="L306" s="56">
        <v>0</v>
      </c>
      <c r="M306" s="56">
        <f>G306*L306</f>
        <v>0</v>
      </c>
      <c r="N306" s="31" t="s">
        <v>1579</v>
      </c>
      <c r="P306" s="592"/>
      <c r="Q306" s="592"/>
      <c r="R306" s="592"/>
      <c r="S306" s="592"/>
      <c r="T306" s="592"/>
      <c r="U306" s="592"/>
      <c r="V306" s="592"/>
      <c r="W306" s="592"/>
      <c r="X306" s="592"/>
      <c r="AB306" s="56">
        <f>IF(AS306="5",BL306,0)</f>
        <v>0</v>
      </c>
      <c r="AD306" s="56">
        <f>IF(AS306="1",BJ306,0)</f>
        <v>0</v>
      </c>
      <c r="AE306" s="56">
        <f>IF(AS306="1",BK306,0)</f>
        <v>0</v>
      </c>
      <c r="AF306" s="56">
        <f>IF(AS306="7",BJ306,0)</f>
        <v>0</v>
      </c>
      <c r="AG306" s="56">
        <f>IF(AS306="7",BK306,0)</f>
        <v>0</v>
      </c>
      <c r="AH306" s="56">
        <f>IF(AS306="2",BJ306,0)</f>
        <v>0</v>
      </c>
      <c r="AI306" s="56">
        <f>IF(AS306="2",BK306,0)</f>
        <v>0</v>
      </c>
      <c r="AJ306" s="56">
        <f>IF(AS306="0",BL306,0)</f>
        <v>0</v>
      </c>
      <c r="AK306" s="7" t="s">
        <v>1746</v>
      </c>
      <c r="AL306" s="56">
        <f>IF(AP306=0,K306,0)</f>
        <v>0</v>
      </c>
      <c r="AM306" s="56">
        <f>IF(AP306=15,K306,0)</f>
        <v>0</v>
      </c>
      <c r="AN306" s="56">
        <f>IF(AP306=21,K306,0)</f>
        <v>0</v>
      </c>
      <c r="AP306" s="56">
        <v>21</v>
      </c>
      <c r="AQ306" s="88">
        <f>H306*0</f>
        <v>0</v>
      </c>
      <c r="AR306" s="88">
        <f>H306*(1-0)</f>
        <v>0</v>
      </c>
      <c r="AS306" s="21" t="s">
        <v>2297</v>
      </c>
      <c r="AX306" s="56">
        <f>AY306+AZ306</f>
        <v>0</v>
      </c>
      <c r="AY306" s="56">
        <f>G306*AQ306</f>
        <v>0</v>
      </c>
      <c r="AZ306" s="56">
        <f>G306*AR306</f>
        <v>0</v>
      </c>
      <c r="BA306" s="21" t="s">
        <v>2592</v>
      </c>
      <c r="BB306" s="21" t="s">
        <v>354</v>
      </c>
      <c r="BC306" s="7" t="s">
        <v>1747</v>
      </c>
      <c r="BE306" s="56">
        <f>AY306+AZ306</f>
        <v>0</v>
      </c>
      <c r="BF306" s="56">
        <f>H306/(100-BG306)*100</f>
        <v>0</v>
      </c>
      <c r="BG306" s="56">
        <v>0</v>
      </c>
      <c r="BH306" s="56">
        <f>M306</f>
        <v>0</v>
      </c>
      <c r="BJ306" s="56">
        <f>G306*AQ306</f>
        <v>0</v>
      </c>
      <c r="BK306" s="56">
        <f>G306*AR306</f>
        <v>0</v>
      </c>
      <c r="BL306" s="56">
        <f>G306*H306</f>
        <v>0</v>
      </c>
      <c r="BM306" s="56"/>
      <c r="BN306" s="56">
        <v>43</v>
      </c>
    </row>
    <row r="307" spans="1:66" ht="15" customHeight="1">
      <c r="A307" s="36"/>
      <c r="D307" s="45" t="s">
        <v>2220</v>
      </c>
      <c r="E307" s="104" t="s">
        <v>1597</v>
      </c>
      <c r="G307" s="13">
        <v>12.06</v>
      </c>
      <c r="N307" s="19"/>
      <c r="P307" s="592"/>
      <c r="Q307" s="592"/>
      <c r="R307" s="592"/>
      <c r="S307" s="592"/>
      <c r="T307" s="592"/>
      <c r="U307" s="592"/>
      <c r="V307" s="592"/>
      <c r="W307" s="592"/>
      <c r="X307" s="592"/>
    </row>
    <row r="308" spans="1:66" ht="15" customHeight="1">
      <c r="A308" s="24" t="s">
        <v>1478</v>
      </c>
      <c r="B308" s="12" t="s">
        <v>1746</v>
      </c>
      <c r="C308" s="12" t="s">
        <v>548</v>
      </c>
      <c r="D308" s="630" t="s">
        <v>1399</v>
      </c>
      <c r="E308" s="630"/>
      <c r="F308" s="12" t="s">
        <v>2274</v>
      </c>
      <c r="G308" s="56">
        <v>13.74</v>
      </c>
      <c r="H308" s="625"/>
      <c r="I308" s="56">
        <f>G308*AQ308</f>
        <v>0</v>
      </c>
      <c r="J308" s="56">
        <f>G308*AR308</f>
        <v>0</v>
      </c>
      <c r="K308" s="56">
        <f>G308*H308</f>
        <v>0</v>
      </c>
      <c r="L308" s="56">
        <v>2.3E-3</v>
      </c>
      <c r="M308" s="56">
        <f>G308*L308</f>
        <v>3.1601999999999998E-2</v>
      </c>
      <c r="N308" s="31" t="s">
        <v>1579</v>
      </c>
      <c r="P308" s="592"/>
      <c r="Q308" s="592"/>
      <c r="R308" s="592"/>
      <c r="S308" s="592"/>
      <c r="T308" s="592"/>
      <c r="U308" s="592"/>
      <c r="V308" s="592"/>
      <c r="W308" s="592"/>
      <c r="X308" s="592"/>
      <c r="AB308" s="56">
        <f>IF(AS308="5",BL308,0)</f>
        <v>0</v>
      </c>
      <c r="AD308" s="56">
        <f>IF(AS308="1",BJ308,0)</f>
        <v>0</v>
      </c>
      <c r="AE308" s="56">
        <f>IF(AS308="1",BK308,0)</f>
        <v>0</v>
      </c>
      <c r="AF308" s="56">
        <f>IF(AS308="7",BJ308,0)</f>
        <v>0</v>
      </c>
      <c r="AG308" s="56">
        <f>IF(AS308="7",BK308,0)</f>
        <v>0</v>
      </c>
      <c r="AH308" s="56">
        <f>IF(AS308="2",BJ308,0)</f>
        <v>0</v>
      </c>
      <c r="AI308" s="56">
        <f>IF(AS308="2",BK308,0)</f>
        <v>0</v>
      </c>
      <c r="AJ308" s="56">
        <f>IF(AS308="0",BL308,0)</f>
        <v>0</v>
      </c>
      <c r="AK308" s="7" t="s">
        <v>1746</v>
      </c>
      <c r="AL308" s="56">
        <f>IF(AP308=0,K308,0)</f>
        <v>0</v>
      </c>
      <c r="AM308" s="56">
        <f>IF(AP308=15,K308,0)</f>
        <v>0</v>
      </c>
      <c r="AN308" s="56">
        <f>IF(AP308=21,K308,0)</f>
        <v>0</v>
      </c>
      <c r="AP308" s="56">
        <v>21</v>
      </c>
      <c r="AQ308" s="88">
        <f>H308*0.16151670512955</f>
        <v>0</v>
      </c>
      <c r="AR308" s="88">
        <f>H308*(1-0.16151670512955)</f>
        <v>0</v>
      </c>
      <c r="AS308" s="21" t="s">
        <v>2297</v>
      </c>
      <c r="AX308" s="56">
        <f>AY308+AZ308</f>
        <v>0</v>
      </c>
      <c r="AY308" s="56">
        <f>G308*AQ308</f>
        <v>0</v>
      </c>
      <c r="AZ308" s="56">
        <f>G308*AR308</f>
        <v>0</v>
      </c>
      <c r="BA308" s="21" t="s">
        <v>2592</v>
      </c>
      <c r="BB308" s="21" t="s">
        <v>354</v>
      </c>
      <c r="BC308" s="7" t="s">
        <v>1747</v>
      </c>
      <c r="BE308" s="56">
        <f>AY308+AZ308</f>
        <v>0</v>
      </c>
      <c r="BF308" s="56">
        <f>H308/(100-BG308)*100</f>
        <v>0</v>
      </c>
      <c r="BG308" s="56">
        <v>0</v>
      </c>
      <c r="BH308" s="56">
        <f>M308</f>
        <v>3.1601999999999998E-2</v>
      </c>
      <c r="BJ308" s="56">
        <f>G308*AQ308</f>
        <v>0</v>
      </c>
      <c r="BK308" s="56">
        <f>G308*AR308</f>
        <v>0</v>
      </c>
      <c r="BL308" s="56">
        <f>G308*H308</f>
        <v>0</v>
      </c>
      <c r="BM308" s="56"/>
      <c r="BN308" s="56">
        <v>43</v>
      </c>
    </row>
    <row r="309" spans="1:66" ht="15" customHeight="1">
      <c r="A309" s="36"/>
      <c r="D309" s="45" t="s">
        <v>167</v>
      </c>
      <c r="E309" s="104" t="s">
        <v>1597</v>
      </c>
      <c r="G309" s="13">
        <v>13.740000000000002</v>
      </c>
      <c r="N309" s="19"/>
      <c r="P309" s="592"/>
      <c r="Q309" s="592"/>
      <c r="R309" s="592"/>
      <c r="S309" s="592"/>
      <c r="T309" s="592"/>
      <c r="U309" s="592"/>
      <c r="V309" s="592"/>
      <c r="W309" s="592"/>
      <c r="X309" s="592"/>
    </row>
    <row r="310" spans="1:66" ht="15" customHeight="1">
      <c r="A310" s="24" t="s">
        <v>2540</v>
      </c>
      <c r="B310" s="12" t="s">
        <v>1746</v>
      </c>
      <c r="C310" s="12" t="s">
        <v>2448</v>
      </c>
      <c r="D310" s="630" t="s">
        <v>700</v>
      </c>
      <c r="E310" s="630"/>
      <c r="F310" s="12" t="s">
        <v>2274</v>
      </c>
      <c r="G310" s="56">
        <v>13.74</v>
      </c>
      <c r="H310" s="625"/>
      <c r="I310" s="56">
        <f>G310*AQ310</f>
        <v>0</v>
      </c>
      <c r="J310" s="56">
        <f>G310*AR310</f>
        <v>0</v>
      </c>
      <c r="K310" s="56">
        <f>G310*H310</f>
        <v>0</v>
      </c>
      <c r="L310" s="56">
        <v>0</v>
      </c>
      <c r="M310" s="56">
        <f>G310*L310</f>
        <v>0</v>
      </c>
      <c r="N310" s="31" t="s">
        <v>1579</v>
      </c>
      <c r="P310" s="592"/>
      <c r="Q310" s="592"/>
      <c r="R310" s="592"/>
      <c r="S310" s="592"/>
      <c r="T310" s="592"/>
      <c r="U310" s="592"/>
      <c r="V310" s="592"/>
      <c r="W310" s="592"/>
      <c r="X310" s="592"/>
      <c r="AB310" s="56">
        <f>IF(AS310="5",BL310,0)</f>
        <v>0</v>
      </c>
      <c r="AD310" s="56">
        <f>IF(AS310="1",BJ310,0)</f>
        <v>0</v>
      </c>
      <c r="AE310" s="56">
        <f>IF(AS310="1",BK310,0)</f>
        <v>0</v>
      </c>
      <c r="AF310" s="56">
        <f>IF(AS310="7",BJ310,0)</f>
        <v>0</v>
      </c>
      <c r="AG310" s="56">
        <f>IF(AS310="7",BK310,0)</f>
        <v>0</v>
      </c>
      <c r="AH310" s="56">
        <f>IF(AS310="2",BJ310,0)</f>
        <v>0</v>
      </c>
      <c r="AI310" s="56">
        <f>IF(AS310="2",BK310,0)</f>
        <v>0</v>
      </c>
      <c r="AJ310" s="56">
        <f>IF(AS310="0",BL310,0)</f>
        <v>0</v>
      </c>
      <c r="AK310" s="7" t="s">
        <v>1746</v>
      </c>
      <c r="AL310" s="56">
        <f>IF(AP310=0,K310,0)</f>
        <v>0</v>
      </c>
      <c r="AM310" s="56">
        <f>IF(AP310=15,K310,0)</f>
        <v>0</v>
      </c>
      <c r="AN310" s="56">
        <f>IF(AP310=21,K310,0)</f>
        <v>0</v>
      </c>
      <c r="AP310" s="56">
        <v>21</v>
      </c>
      <c r="AQ310" s="88">
        <f>H310*0</f>
        <v>0</v>
      </c>
      <c r="AR310" s="88">
        <f>H310*(1-0)</f>
        <v>0</v>
      </c>
      <c r="AS310" s="21" t="s">
        <v>2297</v>
      </c>
      <c r="AX310" s="56">
        <f>AY310+AZ310</f>
        <v>0</v>
      </c>
      <c r="AY310" s="56">
        <f>G310*AQ310</f>
        <v>0</v>
      </c>
      <c r="AZ310" s="56">
        <f>G310*AR310</f>
        <v>0</v>
      </c>
      <c r="BA310" s="21" t="s">
        <v>2592</v>
      </c>
      <c r="BB310" s="21" t="s">
        <v>354</v>
      </c>
      <c r="BC310" s="7" t="s">
        <v>1747</v>
      </c>
      <c r="BE310" s="56">
        <f>AY310+AZ310</f>
        <v>0</v>
      </c>
      <c r="BF310" s="56">
        <f>H310/(100-BG310)*100</f>
        <v>0</v>
      </c>
      <c r="BG310" s="56">
        <v>0</v>
      </c>
      <c r="BH310" s="56">
        <f>M310</f>
        <v>0</v>
      </c>
      <c r="BJ310" s="56">
        <f>G310*AQ310</f>
        <v>0</v>
      </c>
      <c r="BK310" s="56">
        <f>G310*AR310</f>
        <v>0</v>
      </c>
      <c r="BL310" s="56">
        <f>G310*H310</f>
        <v>0</v>
      </c>
      <c r="BM310" s="56"/>
      <c r="BN310" s="56">
        <v>43</v>
      </c>
    </row>
    <row r="311" spans="1:66" ht="15" customHeight="1">
      <c r="A311" s="36"/>
      <c r="D311" s="45" t="s">
        <v>167</v>
      </c>
      <c r="E311" s="104" t="s">
        <v>1597</v>
      </c>
      <c r="G311" s="13">
        <v>13.740000000000002</v>
      </c>
      <c r="N311" s="19"/>
      <c r="P311" s="592"/>
      <c r="Q311" s="592"/>
      <c r="R311" s="592"/>
      <c r="S311" s="592"/>
      <c r="T311" s="592"/>
      <c r="U311" s="592"/>
      <c r="V311" s="592"/>
      <c r="W311" s="592"/>
      <c r="X311" s="592"/>
    </row>
    <row r="312" spans="1:66" ht="15" customHeight="1">
      <c r="A312" s="32" t="s">
        <v>1597</v>
      </c>
      <c r="B312" s="26" t="s">
        <v>1746</v>
      </c>
      <c r="C312" s="512" t="s">
        <v>820</v>
      </c>
      <c r="D312" s="719" t="s">
        <v>1795</v>
      </c>
      <c r="E312" s="719"/>
      <c r="F312" s="536" t="s">
        <v>2144</v>
      </c>
      <c r="G312" s="536" t="s">
        <v>2144</v>
      </c>
      <c r="H312" s="536" t="s">
        <v>2144</v>
      </c>
      <c r="I312" s="515">
        <f>SUM(I313:I313)</f>
        <v>0</v>
      </c>
      <c r="J312" s="515">
        <f>SUM(J313:J313)</f>
        <v>0</v>
      </c>
      <c r="K312" s="515">
        <f>SUM(K313:K313)</f>
        <v>0</v>
      </c>
      <c r="L312" s="7" t="s">
        <v>1597</v>
      </c>
      <c r="M312" s="17">
        <f>SUM(M313:M313)</f>
        <v>98.174999999999997</v>
      </c>
      <c r="N312" s="20" t="s">
        <v>1597</v>
      </c>
      <c r="P312" s="592">
        <f>K312</f>
        <v>0</v>
      </c>
      <c r="Q312" s="592"/>
      <c r="R312" s="592"/>
      <c r="S312" s="592"/>
      <c r="T312" s="592"/>
      <c r="U312" s="592"/>
      <c r="V312" s="592"/>
      <c r="W312" s="592"/>
      <c r="X312" s="592"/>
      <c r="AK312" s="7" t="s">
        <v>1746</v>
      </c>
      <c r="AU312" s="17">
        <f>SUM(AL313:AL313)</f>
        <v>0</v>
      </c>
      <c r="AV312" s="17">
        <f>SUM(AM313:AM313)</f>
        <v>0</v>
      </c>
      <c r="AW312" s="17">
        <f>SUM(AN313:AN313)</f>
        <v>0</v>
      </c>
    </row>
    <row r="313" spans="1:66" ht="15" customHeight="1">
      <c r="A313" s="24" t="s">
        <v>1627</v>
      </c>
      <c r="B313" s="12" t="s">
        <v>1746</v>
      </c>
      <c r="C313" s="12" t="s">
        <v>2206</v>
      </c>
      <c r="D313" s="630" t="s">
        <v>156</v>
      </c>
      <c r="E313" s="630"/>
      <c r="F313" s="12" t="s">
        <v>2274</v>
      </c>
      <c r="G313" s="56">
        <v>374</v>
      </c>
      <c r="H313" s="625"/>
      <c r="I313" s="56">
        <f>G313*AQ313</f>
        <v>0</v>
      </c>
      <c r="J313" s="56">
        <f>G313*AR313</f>
        <v>0</v>
      </c>
      <c r="K313" s="56">
        <f>G313*H313</f>
        <v>0</v>
      </c>
      <c r="L313" s="56">
        <v>0.26250000000000001</v>
      </c>
      <c r="M313" s="56">
        <f>G313*L313</f>
        <v>98.174999999999997</v>
      </c>
      <c r="N313" s="31" t="s">
        <v>1579</v>
      </c>
      <c r="P313" s="592"/>
      <c r="Q313" s="592"/>
      <c r="R313" s="592"/>
      <c r="S313" s="592"/>
      <c r="T313" s="592"/>
      <c r="U313" s="592"/>
      <c r="V313" s="592"/>
      <c r="W313" s="592"/>
      <c r="X313" s="592"/>
      <c r="AB313" s="56">
        <f>IF(AS313="5",BL313,0)</f>
        <v>0</v>
      </c>
      <c r="AD313" s="56">
        <f>IF(AS313="1",BJ313,0)</f>
        <v>0</v>
      </c>
      <c r="AE313" s="56">
        <f>IF(AS313="1",BK313,0)</f>
        <v>0</v>
      </c>
      <c r="AF313" s="56">
        <f>IF(AS313="7",BJ313,0)</f>
        <v>0</v>
      </c>
      <c r="AG313" s="56">
        <f>IF(AS313="7",BK313,0)</f>
        <v>0</v>
      </c>
      <c r="AH313" s="56">
        <f>IF(AS313="2",BJ313,0)</f>
        <v>0</v>
      </c>
      <c r="AI313" s="56">
        <f>IF(AS313="2",BK313,0)</f>
        <v>0</v>
      </c>
      <c r="AJ313" s="56">
        <f>IF(AS313="0",BL313,0)</f>
        <v>0</v>
      </c>
      <c r="AK313" s="7" t="s">
        <v>1746</v>
      </c>
      <c r="AL313" s="56">
        <f>IF(AP313=0,K313,0)</f>
        <v>0</v>
      </c>
      <c r="AM313" s="56">
        <f>IF(AP313=15,K313,0)</f>
        <v>0</v>
      </c>
      <c r="AN313" s="56">
        <f>IF(AP313=21,K313,0)</f>
        <v>0</v>
      </c>
      <c r="AP313" s="56">
        <v>21</v>
      </c>
      <c r="AQ313" s="88">
        <f>H313*0.771756245446641</f>
        <v>0</v>
      </c>
      <c r="AR313" s="88">
        <f>H313*(1-0.771756245446641)</f>
        <v>0</v>
      </c>
      <c r="AS313" s="21" t="s">
        <v>2297</v>
      </c>
      <c r="AX313" s="56">
        <f>AY313+AZ313</f>
        <v>0</v>
      </c>
      <c r="AY313" s="56">
        <f>G313*AQ313</f>
        <v>0</v>
      </c>
      <c r="AZ313" s="56">
        <f>G313*AR313</f>
        <v>0</v>
      </c>
      <c r="BA313" s="21" t="s">
        <v>1130</v>
      </c>
      <c r="BB313" s="21" t="s">
        <v>354</v>
      </c>
      <c r="BC313" s="7" t="s">
        <v>1747</v>
      </c>
      <c r="BE313" s="56">
        <f>AY313+AZ313</f>
        <v>0</v>
      </c>
      <c r="BF313" s="56">
        <f>H313/(100-BG313)*100</f>
        <v>0</v>
      </c>
      <c r="BG313" s="56">
        <v>0</v>
      </c>
      <c r="BH313" s="56">
        <f>M313</f>
        <v>98.174999999999997</v>
      </c>
      <c r="BJ313" s="56">
        <f>G313*AQ313</f>
        <v>0</v>
      </c>
      <c r="BK313" s="56">
        <f>G313*AR313</f>
        <v>0</v>
      </c>
      <c r="BL313" s="56">
        <f>G313*H313</f>
        <v>0</v>
      </c>
      <c r="BM313" s="56"/>
      <c r="BN313" s="56">
        <v>45</v>
      </c>
    </row>
    <row r="314" spans="1:66" ht="15" customHeight="1">
      <c r="A314" s="36"/>
      <c r="D314" s="45" t="s">
        <v>1943</v>
      </c>
      <c r="E314" s="104" t="s">
        <v>578</v>
      </c>
      <c r="G314" s="13">
        <v>237.00000000000003</v>
      </c>
      <c r="N314" s="19"/>
      <c r="P314" s="592"/>
      <c r="Q314" s="592"/>
      <c r="R314" s="592"/>
      <c r="S314" s="592"/>
      <c r="T314" s="592"/>
      <c r="U314" s="592"/>
      <c r="V314" s="592"/>
      <c r="W314" s="592"/>
      <c r="X314" s="592"/>
    </row>
    <row r="315" spans="1:66" ht="15" customHeight="1">
      <c r="A315" s="36"/>
      <c r="D315" s="45" t="s">
        <v>1101</v>
      </c>
      <c r="E315" s="104" t="s">
        <v>1423</v>
      </c>
      <c r="G315" s="13">
        <v>137</v>
      </c>
      <c r="N315" s="19"/>
      <c r="P315" s="592"/>
      <c r="Q315" s="592"/>
      <c r="R315" s="592"/>
      <c r="S315" s="592"/>
      <c r="T315" s="592"/>
      <c r="U315" s="592"/>
      <c r="V315" s="592"/>
      <c r="W315" s="592"/>
      <c r="X315" s="592"/>
    </row>
    <row r="316" spans="1:66" ht="15" customHeight="1">
      <c r="A316" s="32" t="s">
        <v>1597</v>
      </c>
      <c r="B316" s="26" t="s">
        <v>1746</v>
      </c>
      <c r="C316" s="529" t="s">
        <v>1676</v>
      </c>
      <c r="D316" s="663" t="s">
        <v>1661</v>
      </c>
      <c r="E316" s="663"/>
      <c r="F316" s="12" t="s">
        <v>2144</v>
      </c>
      <c r="G316" s="12" t="s">
        <v>2144</v>
      </c>
      <c r="H316" s="12" t="s">
        <v>2144</v>
      </c>
      <c r="I316" s="14">
        <f>SUM(I317:I317)</f>
        <v>0</v>
      </c>
      <c r="J316" s="14">
        <f>SUM(J317:J317)</f>
        <v>0</v>
      </c>
      <c r="K316" s="530">
        <f>SUM(K317:K317)</f>
        <v>0</v>
      </c>
      <c r="L316" s="7" t="s">
        <v>1597</v>
      </c>
      <c r="M316" s="17">
        <f>SUM(M317:M317)</f>
        <v>0</v>
      </c>
      <c r="N316" s="20" t="s">
        <v>1597</v>
      </c>
      <c r="P316" s="592"/>
      <c r="Q316" s="592">
        <f>K316</f>
        <v>0</v>
      </c>
      <c r="R316" s="592"/>
      <c r="S316" s="592"/>
      <c r="T316" s="592"/>
      <c r="U316" s="592"/>
      <c r="V316" s="592"/>
      <c r="W316" s="592"/>
      <c r="X316" s="592"/>
      <c r="AK316" s="7" t="s">
        <v>1746</v>
      </c>
      <c r="AU316" s="17">
        <f>SUM(AL317:AL317)</f>
        <v>0</v>
      </c>
      <c r="AV316" s="17">
        <f>SUM(AM317:AM317)</f>
        <v>0</v>
      </c>
      <c r="AW316" s="17">
        <f>SUM(AN317:AN317)</f>
        <v>0</v>
      </c>
    </row>
    <row r="317" spans="1:66" ht="15" customHeight="1">
      <c r="A317" s="24" t="s">
        <v>2563</v>
      </c>
      <c r="B317" s="12" t="s">
        <v>1746</v>
      </c>
      <c r="C317" s="12" t="s">
        <v>448</v>
      </c>
      <c r="D317" s="715" t="s">
        <v>1347</v>
      </c>
      <c r="E317" s="715"/>
      <c r="F317" s="507" t="s">
        <v>2274</v>
      </c>
      <c r="G317" s="508">
        <v>185.92</v>
      </c>
      <c r="H317" s="625"/>
      <c r="I317" s="56">
        <f>G317*AQ317</f>
        <v>0</v>
      </c>
      <c r="J317" s="56">
        <f>G317*AR317</f>
        <v>0</v>
      </c>
      <c r="K317" s="56">
        <f>G317*H317</f>
        <v>0</v>
      </c>
      <c r="L317" s="56">
        <v>0</v>
      </c>
      <c r="M317" s="56">
        <f>G317*L317</f>
        <v>0</v>
      </c>
      <c r="N317" s="31" t="s">
        <v>1579</v>
      </c>
      <c r="P317" s="592"/>
      <c r="Q317" s="592"/>
      <c r="R317" s="592"/>
      <c r="S317" s="592"/>
      <c r="T317" s="592"/>
      <c r="U317" s="592"/>
      <c r="V317" s="592"/>
      <c r="W317" s="592"/>
      <c r="X317" s="592"/>
      <c r="AB317" s="56">
        <f>IF(AS317="5",BL317,0)</f>
        <v>0</v>
      </c>
      <c r="AD317" s="56">
        <f>IF(AS317="1",BJ317,0)</f>
        <v>0</v>
      </c>
      <c r="AE317" s="56">
        <f>IF(AS317="1",BK317,0)</f>
        <v>0</v>
      </c>
      <c r="AF317" s="56">
        <f>IF(AS317="7",BJ317,0)</f>
        <v>0</v>
      </c>
      <c r="AG317" s="56">
        <f>IF(AS317="7",BK317,0)</f>
        <v>0</v>
      </c>
      <c r="AH317" s="56">
        <f>IF(AS317="2",BJ317,0)</f>
        <v>0</v>
      </c>
      <c r="AI317" s="56">
        <f>IF(AS317="2",BK317,0)</f>
        <v>0</v>
      </c>
      <c r="AJ317" s="56">
        <f>IF(AS317="0",BL317,0)</f>
        <v>0</v>
      </c>
      <c r="AK317" s="7" t="s">
        <v>1746</v>
      </c>
      <c r="AL317" s="56">
        <f>IF(AP317=0,K317,0)</f>
        <v>0</v>
      </c>
      <c r="AM317" s="56">
        <f>IF(AP317=15,K317,0)</f>
        <v>0</v>
      </c>
      <c r="AN317" s="56">
        <f>IF(AP317=21,K317,0)</f>
        <v>0</v>
      </c>
      <c r="AP317" s="56">
        <v>21</v>
      </c>
      <c r="AQ317" s="88">
        <f>H317*0</f>
        <v>0</v>
      </c>
      <c r="AR317" s="88">
        <f>H317*(1-0)</f>
        <v>0</v>
      </c>
      <c r="AS317" s="21" t="s">
        <v>2297</v>
      </c>
      <c r="AX317" s="56">
        <f>AY317+AZ317</f>
        <v>0</v>
      </c>
      <c r="AY317" s="56">
        <f>G317*AQ317</f>
        <v>0</v>
      </c>
      <c r="AZ317" s="56">
        <f>G317*AR317</f>
        <v>0</v>
      </c>
      <c r="BA317" s="21" t="s">
        <v>1458</v>
      </c>
      <c r="BB317" s="21" t="s">
        <v>233</v>
      </c>
      <c r="BC317" s="7" t="s">
        <v>1747</v>
      </c>
      <c r="BE317" s="56">
        <f>AY317+AZ317</f>
        <v>0</v>
      </c>
      <c r="BF317" s="56">
        <f>H317/(100-BG317)*100</f>
        <v>0</v>
      </c>
      <c r="BG317" s="56">
        <v>0</v>
      </c>
      <c r="BH317" s="56">
        <f>M317</f>
        <v>0</v>
      </c>
      <c r="BJ317" s="56">
        <f>G317*AQ317</f>
        <v>0</v>
      </c>
      <c r="BK317" s="56">
        <f>G317*AR317</f>
        <v>0</v>
      </c>
      <c r="BL317" s="56">
        <f>G317*H317</f>
        <v>0</v>
      </c>
      <c r="BM317" s="56"/>
      <c r="BN317" s="56">
        <v>61</v>
      </c>
    </row>
    <row r="318" spans="1:66" ht="15" customHeight="1">
      <c r="A318" s="36"/>
      <c r="D318" s="519" t="s">
        <v>1609</v>
      </c>
      <c r="E318" s="520" t="s">
        <v>2023</v>
      </c>
      <c r="F318" s="510"/>
      <c r="G318" s="521">
        <v>185.92000000000002</v>
      </c>
      <c r="N318" s="19"/>
      <c r="P318" s="592"/>
      <c r="Q318" s="592"/>
      <c r="R318" s="592"/>
      <c r="S318" s="592"/>
      <c r="T318" s="592"/>
      <c r="U318" s="592"/>
      <c r="V318" s="592"/>
      <c r="W318" s="592"/>
      <c r="X318" s="592"/>
    </row>
    <row r="319" spans="1:66" ht="15" customHeight="1">
      <c r="A319" s="32" t="s">
        <v>1597</v>
      </c>
      <c r="B319" s="26" t="s">
        <v>1746</v>
      </c>
      <c r="C319" s="512" t="s">
        <v>2593</v>
      </c>
      <c r="D319" s="719" t="s">
        <v>1891</v>
      </c>
      <c r="E319" s="719"/>
      <c r="F319" s="536" t="s">
        <v>2144</v>
      </c>
      <c r="G319" s="536" t="s">
        <v>2144</v>
      </c>
      <c r="H319" s="536" t="s">
        <v>2144</v>
      </c>
      <c r="I319" s="515">
        <f>SUM(I320:I331)</f>
        <v>0</v>
      </c>
      <c r="J319" s="515">
        <f>SUM(J320:J331)</f>
        <v>0</v>
      </c>
      <c r="K319" s="515">
        <f>SUM(K320:K331)</f>
        <v>0</v>
      </c>
      <c r="L319" s="7" t="s">
        <v>1597</v>
      </c>
      <c r="M319" s="17">
        <f>SUM(M320:M331)</f>
        <v>19.405079999999998</v>
      </c>
      <c r="N319" s="20" t="s">
        <v>1597</v>
      </c>
      <c r="P319" s="592">
        <f>K319</f>
        <v>0</v>
      </c>
      <c r="Q319" s="592"/>
      <c r="R319" s="592"/>
      <c r="S319" s="592"/>
      <c r="T319" s="592"/>
      <c r="U319" s="592"/>
      <c r="V319" s="592"/>
      <c r="W319" s="592"/>
      <c r="X319" s="592"/>
      <c r="AK319" s="7" t="s">
        <v>1746</v>
      </c>
      <c r="AU319" s="17">
        <f>SUM(AL320:AL331)</f>
        <v>0</v>
      </c>
      <c r="AV319" s="17">
        <f>SUM(AM320:AM331)</f>
        <v>0</v>
      </c>
      <c r="AW319" s="17">
        <f>SUM(AN320:AN331)</f>
        <v>0</v>
      </c>
    </row>
    <row r="320" spans="1:66" ht="15" customHeight="1">
      <c r="A320" s="24" t="s">
        <v>2379</v>
      </c>
      <c r="B320" s="12" t="s">
        <v>1746</v>
      </c>
      <c r="C320" s="12" t="s">
        <v>360</v>
      </c>
      <c r="D320" s="630" t="s">
        <v>1532</v>
      </c>
      <c r="E320" s="630"/>
      <c r="F320" s="12" t="s">
        <v>2274</v>
      </c>
      <c r="G320" s="56">
        <v>376</v>
      </c>
      <c r="H320" s="625"/>
      <c r="I320" s="56">
        <f>G320*AQ320</f>
        <v>0</v>
      </c>
      <c r="J320" s="56">
        <f>G320*AR320</f>
        <v>0</v>
      </c>
      <c r="K320" s="56">
        <f>G320*H320</f>
        <v>0</v>
      </c>
      <c r="L320" s="56">
        <v>1.542E-2</v>
      </c>
      <c r="M320" s="56">
        <f>G320*L320</f>
        <v>5.7979199999999995</v>
      </c>
      <c r="N320" s="31" t="s">
        <v>1579</v>
      </c>
      <c r="P320" s="592"/>
      <c r="Q320" s="592"/>
      <c r="R320" s="592"/>
      <c r="S320" s="592"/>
      <c r="T320" s="592"/>
      <c r="U320" s="592"/>
      <c r="V320" s="592"/>
      <c r="W320" s="592"/>
      <c r="X320" s="592"/>
      <c r="AB320" s="56">
        <f>IF(AS320="5",BL320,0)</f>
        <v>0</v>
      </c>
      <c r="AD320" s="56">
        <f>IF(AS320="1",BJ320,0)</f>
        <v>0</v>
      </c>
      <c r="AE320" s="56">
        <f>IF(AS320="1",BK320,0)</f>
        <v>0</v>
      </c>
      <c r="AF320" s="56">
        <f>IF(AS320="7",BJ320,0)</f>
        <v>0</v>
      </c>
      <c r="AG320" s="56">
        <f>IF(AS320="7",BK320,0)</f>
        <v>0</v>
      </c>
      <c r="AH320" s="56">
        <f>IF(AS320="2",BJ320,0)</f>
        <v>0</v>
      </c>
      <c r="AI320" s="56">
        <f>IF(AS320="2",BK320,0)</f>
        <v>0</v>
      </c>
      <c r="AJ320" s="56">
        <f>IF(AS320="0",BL320,0)</f>
        <v>0</v>
      </c>
      <c r="AK320" s="7" t="s">
        <v>1746</v>
      </c>
      <c r="AL320" s="56">
        <f>IF(AP320=0,K320,0)</f>
        <v>0</v>
      </c>
      <c r="AM320" s="56">
        <f>IF(AP320=15,K320,0)</f>
        <v>0</v>
      </c>
      <c r="AN320" s="56">
        <f>IF(AP320=21,K320,0)</f>
        <v>0</v>
      </c>
      <c r="AP320" s="56">
        <v>21</v>
      </c>
      <c r="AQ320" s="88">
        <f>H320*0.661014925373134</f>
        <v>0</v>
      </c>
      <c r="AR320" s="88">
        <f>H320*(1-0.661014925373134)</f>
        <v>0</v>
      </c>
      <c r="AS320" s="21" t="s">
        <v>2297</v>
      </c>
      <c r="AX320" s="56">
        <f>AY320+AZ320</f>
        <v>0</v>
      </c>
      <c r="AY320" s="56">
        <f>G320*AQ320</f>
        <v>0</v>
      </c>
      <c r="AZ320" s="56">
        <f>G320*AR320</f>
        <v>0</v>
      </c>
      <c r="BA320" s="21" t="s">
        <v>1021</v>
      </c>
      <c r="BB320" s="21" t="s">
        <v>233</v>
      </c>
      <c r="BC320" s="7" t="s">
        <v>1747</v>
      </c>
      <c r="BE320" s="56">
        <f>AY320+AZ320</f>
        <v>0</v>
      </c>
      <c r="BF320" s="56">
        <f>H320/(100-BG320)*100</f>
        <v>0</v>
      </c>
      <c r="BG320" s="56">
        <v>0</v>
      </c>
      <c r="BH320" s="56">
        <f>M320</f>
        <v>5.7979199999999995</v>
      </c>
      <c r="BJ320" s="56">
        <f>G320*AQ320</f>
        <v>0</v>
      </c>
      <c r="BK320" s="56">
        <f>G320*AR320</f>
        <v>0</v>
      </c>
      <c r="BL320" s="56">
        <f>G320*H320</f>
        <v>0</v>
      </c>
      <c r="BM320" s="56"/>
      <c r="BN320" s="56">
        <v>62</v>
      </c>
    </row>
    <row r="321" spans="1:66" ht="15" customHeight="1">
      <c r="A321" s="36"/>
      <c r="D321" s="45" t="s">
        <v>1285</v>
      </c>
      <c r="E321" s="104" t="s">
        <v>1803</v>
      </c>
      <c r="G321" s="13">
        <v>376.00000000000006</v>
      </c>
      <c r="N321" s="19"/>
      <c r="P321" s="592"/>
      <c r="Q321" s="592"/>
      <c r="R321" s="592"/>
      <c r="S321" s="592"/>
      <c r="T321" s="592"/>
      <c r="U321" s="592"/>
      <c r="V321" s="592"/>
      <c r="W321" s="592"/>
      <c r="X321" s="592"/>
    </row>
    <row r="322" spans="1:66" ht="15" customHeight="1">
      <c r="A322" s="24" t="s">
        <v>2219</v>
      </c>
      <c r="B322" s="12" t="s">
        <v>1746</v>
      </c>
      <c r="C322" s="12" t="s">
        <v>1156</v>
      </c>
      <c r="D322" s="630" t="s">
        <v>2677</v>
      </c>
      <c r="E322" s="630"/>
      <c r="F322" s="12" t="s">
        <v>2274</v>
      </c>
      <c r="G322" s="56">
        <v>126</v>
      </c>
      <c r="H322" s="625"/>
      <c r="I322" s="56">
        <f>G322*AQ322</f>
        <v>0</v>
      </c>
      <c r="J322" s="56">
        <f>G322*AR322</f>
        <v>0</v>
      </c>
      <c r="K322" s="56">
        <f>G322*H322</f>
        <v>0</v>
      </c>
      <c r="L322" s="56">
        <v>4.5760000000000002E-2</v>
      </c>
      <c r="M322" s="56">
        <f>G322*L322</f>
        <v>5.7657600000000002</v>
      </c>
      <c r="N322" s="31" t="s">
        <v>1579</v>
      </c>
      <c r="P322" s="592"/>
      <c r="Q322" s="592"/>
      <c r="R322" s="592"/>
      <c r="S322" s="592"/>
      <c r="T322" s="592"/>
      <c r="U322" s="592"/>
      <c r="V322" s="592"/>
      <c r="W322" s="592"/>
      <c r="X322" s="592"/>
      <c r="AB322" s="56">
        <f>IF(AS322="5",BL322,0)</f>
        <v>0</v>
      </c>
      <c r="AD322" s="56">
        <f>IF(AS322="1",BJ322,0)</f>
        <v>0</v>
      </c>
      <c r="AE322" s="56">
        <f>IF(AS322="1",BK322,0)</f>
        <v>0</v>
      </c>
      <c r="AF322" s="56">
        <f>IF(AS322="7",BJ322,0)</f>
        <v>0</v>
      </c>
      <c r="AG322" s="56">
        <f>IF(AS322="7",BK322,0)</f>
        <v>0</v>
      </c>
      <c r="AH322" s="56">
        <f>IF(AS322="2",BJ322,0)</f>
        <v>0</v>
      </c>
      <c r="AI322" s="56">
        <f>IF(AS322="2",BK322,0)</f>
        <v>0</v>
      </c>
      <c r="AJ322" s="56">
        <f>IF(AS322="0",BL322,0)</f>
        <v>0</v>
      </c>
      <c r="AK322" s="7" t="s">
        <v>1746</v>
      </c>
      <c r="AL322" s="56">
        <f>IF(AP322=0,K322,0)</f>
        <v>0</v>
      </c>
      <c r="AM322" s="56">
        <f>IF(AP322=15,K322,0)</f>
        <v>0</v>
      </c>
      <c r="AN322" s="56">
        <f>IF(AP322=21,K322,0)</f>
        <v>0</v>
      </c>
      <c r="AP322" s="56">
        <v>21</v>
      </c>
      <c r="AQ322" s="88">
        <f>H322*0.784794520547945</f>
        <v>0</v>
      </c>
      <c r="AR322" s="88">
        <f>H322*(1-0.784794520547945)</f>
        <v>0</v>
      </c>
      <c r="AS322" s="21" t="s">
        <v>2297</v>
      </c>
      <c r="AX322" s="56">
        <f>AY322+AZ322</f>
        <v>0</v>
      </c>
      <c r="AY322" s="56">
        <f>G322*AQ322</f>
        <v>0</v>
      </c>
      <c r="AZ322" s="56">
        <f>G322*AR322</f>
        <v>0</v>
      </c>
      <c r="BA322" s="21" t="s">
        <v>1021</v>
      </c>
      <c r="BB322" s="21" t="s">
        <v>233</v>
      </c>
      <c r="BC322" s="7" t="s">
        <v>1747</v>
      </c>
      <c r="BE322" s="56">
        <f>AY322+AZ322</f>
        <v>0</v>
      </c>
      <c r="BF322" s="56">
        <f>H322/(100-BG322)*100</f>
        <v>0</v>
      </c>
      <c r="BG322" s="56">
        <v>0</v>
      </c>
      <c r="BH322" s="56">
        <f>M322</f>
        <v>5.7657600000000002</v>
      </c>
      <c r="BJ322" s="56">
        <f>G322*AQ322</f>
        <v>0</v>
      </c>
      <c r="BK322" s="56">
        <f>G322*AR322</f>
        <v>0</v>
      </c>
      <c r="BL322" s="56">
        <f>G322*H322</f>
        <v>0</v>
      </c>
      <c r="BM322" s="56"/>
      <c r="BN322" s="56">
        <v>62</v>
      </c>
    </row>
    <row r="323" spans="1:66" ht="15" customHeight="1">
      <c r="A323" s="36"/>
      <c r="D323" s="45" t="s">
        <v>2281</v>
      </c>
      <c r="E323" s="104" t="s">
        <v>1161</v>
      </c>
      <c r="G323" s="13">
        <v>126.00000000000001</v>
      </c>
      <c r="N323" s="19"/>
      <c r="P323" s="592"/>
      <c r="Q323" s="592"/>
      <c r="R323" s="592"/>
      <c r="S323" s="592"/>
      <c r="T323" s="592"/>
      <c r="U323" s="592"/>
      <c r="V323" s="592"/>
      <c r="W323" s="592"/>
      <c r="X323" s="592"/>
    </row>
    <row r="324" spans="1:66" ht="15" customHeight="1">
      <c r="A324" s="8" t="s">
        <v>1212</v>
      </c>
      <c r="B324" s="75" t="s">
        <v>1746</v>
      </c>
      <c r="C324" s="75" t="s">
        <v>1611</v>
      </c>
      <c r="D324" s="710" t="s">
        <v>2501</v>
      </c>
      <c r="E324" s="710"/>
      <c r="F324" s="75" t="s">
        <v>2274</v>
      </c>
      <c r="G324" s="80">
        <v>132.30000000000001</v>
      </c>
      <c r="H324" s="626"/>
      <c r="I324" s="80">
        <f>G324*AQ324</f>
        <v>0</v>
      </c>
      <c r="J324" s="80">
        <f>G324*AR324</f>
        <v>0</v>
      </c>
      <c r="K324" s="80">
        <f>G324*H324</f>
        <v>0</v>
      </c>
      <c r="L324" s="80">
        <v>5.0000000000000001E-3</v>
      </c>
      <c r="M324" s="80">
        <f>G324*L324</f>
        <v>0.66150000000000009</v>
      </c>
      <c r="N324" s="38" t="s">
        <v>1579</v>
      </c>
      <c r="P324" s="592"/>
      <c r="Q324" s="592"/>
      <c r="R324" s="592"/>
      <c r="S324" s="592"/>
      <c r="T324" s="592"/>
      <c r="U324" s="592"/>
      <c r="V324" s="592"/>
      <c r="W324" s="592"/>
      <c r="X324" s="592"/>
      <c r="AB324" s="56">
        <f>IF(AS324="5",BL324,0)</f>
        <v>0</v>
      </c>
      <c r="AD324" s="56">
        <f>IF(AS324="1",BJ324,0)</f>
        <v>0</v>
      </c>
      <c r="AE324" s="56">
        <f>IF(AS324="1",BK324,0)</f>
        <v>0</v>
      </c>
      <c r="AF324" s="56">
        <f>IF(AS324="7",BJ324,0)</f>
        <v>0</v>
      </c>
      <c r="AG324" s="56">
        <f>IF(AS324="7",BK324,0)</f>
        <v>0</v>
      </c>
      <c r="AH324" s="56">
        <f>IF(AS324="2",BJ324,0)</f>
        <v>0</v>
      </c>
      <c r="AI324" s="56">
        <f>IF(AS324="2",BK324,0)</f>
        <v>0</v>
      </c>
      <c r="AJ324" s="56">
        <f>IF(AS324="0",BL324,0)</f>
        <v>0</v>
      </c>
      <c r="AK324" s="7" t="s">
        <v>1746</v>
      </c>
      <c r="AL324" s="80">
        <f>IF(AP324=0,K324,0)</f>
        <v>0</v>
      </c>
      <c r="AM324" s="80">
        <f>IF(AP324=15,K324,0)</f>
        <v>0</v>
      </c>
      <c r="AN324" s="80">
        <f>IF(AP324=21,K324,0)</f>
        <v>0</v>
      </c>
      <c r="AP324" s="56">
        <v>21</v>
      </c>
      <c r="AQ324" s="88">
        <f>H324*1</f>
        <v>0</v>
      </c>
      <c r="AR324" s="88">
        <f>H324*(1-1)</f>
        <v>0</v>
      </c>
      <c r="AS324" s="64" t="s">
        <v>2297</v>
      </c>
      <c r="AX324" s="56">
        <f>AY324+AZ324</f>
        <v>0</v>
      </c>
      <c r="AY324" s="56">
        <f>G324*AQ324</f>
        <v>0</v>
      </c>
      <c r="AZ324" s="56">
        <f>G324*AR324</f>
        <v>0</v>
      </c>
      <c r="BA324" s="21" t="s">
        <v>1021</v>
      </c>
      <c r="BB324" s="21" t="s">
        <v>233</v>
      </c>
      <c r="BC324" s="7" t="s">
        <v>1747</v>
      </c>
      <c r="BE324" s="56">
        <f>AY324+AZ324</f>
        <v>0</v>
      </c>
      <c r="BF324" s="56">
        <f>H324/(100-BG324)*100</f>
        <v>0</v>
      </c>
      <c r="BG324" s="56">
        <v>0</v>
      </c>
      <c r="BH324" s="56">
        <f>M324</f>
        <v>0.66150000000000009</v>
      </c>
      <c r="BJ324" s="80">
        <f>G324*AQ324</f>
        <v>0</v>
      </c>
      <c r="BK324" s="80">
        <f>G324*AR324</f>
        <v>0</v>
      </c>
      <c r="BL324" s="80">
        <f>G324*H324</f>
        <v>0</v>
      </c>
      <c r="BM324" s="80"/>
      <c r="BN324" s="56">
        <v>62</v>
      </c>
    </row>
    <row r="325" spans="1:66" ht="15" customHeight="1">
      <c r="A325" s="36"/>
      <c r="D325" s="45" t="s">
        <v>1683</v>
      </c>
      <c r="E325" s="104" t="s">
        <v>828</v>
      </c>
      <c r="G325" s="13">
        <v>126.00000000000001</v>
      </c>
      <c r="N325" s="19"/>
      <c r="P325" s="592"/>
      <c r="Q325" s="592"/>
      <c r="R325" s="592"/>
      <c r="S325" s="592"/>
      <c r="T325" s="592"/>
      <c r="U325" s="592"/>
      <c r="V325" s="592"/>
      <c r="W325" s="592"/>
      <c r="X325" s="592"/>
    </row>
    <row r="326" spans="1:66" ht="15" customHeight="1">
      <c r="A326" s="36"/>
      <c r="D326" s="45" t="s">
        <v>1045</v>
      </c>
      <c r="E326" s="104" t="s">
        <v>1597</v>
      </c>
      <c r="G326" s="13">
        <v>6.3000000000000007</v>
      </c>
      <c r="N326" s="19"/>
      <c r="P326" s="592"/>
      <c r="Q326" s="592"/>
      <c r="R326" s="592"/>
      <c r="S326" s="592"/>
      <c r="T326" s="592"/>
      <c r="U326" s="592"/>
      <c r="V326" s="592"/>
      <c r="W326" s="592"/>
      <c r="X326" s="592"/>
    </row>
    <row r="327" spans="1:66" ht="15" customHeight="1">
      <c r="A327" s="24" t="s">
        <v>1080</v>
      </c>
      <c r="B327" s="12" t="s">
        <v>1746</v>
      </c>
      <c r="C327" s="12" t="s">
        <v>1015</v>
      </c>
      <c r="D327" s="630" t="s">
        <v>2454</v>
      </c>
      <c r="E327" s="630"/>
      <c r="F327" s="12" t="s">
        <v>2274</v>
      </c>
      <c r="G327" s="56">
        <v>15</v>
      </c>
      <c r="H327" s="625"/>
      <c r="I327" s="56">
        <f>G327*AQ327</f>
        <v>0</v>
      </c>
      <c r="J327" s="56">
        <f>G327*AR327</f>
        <v>0</v>
      </c>
      <c r="K327" s="56">
        <f>G327*H327</f>
        <v>0</v>
      </c>
      <c r="L327" s="56">
        <v>2.4309999999999998E-2</v>
      </c>
      <c r="M327" s="56">
        <f>G327*L327</f>
        <v>0.36464999999999997</v>
      </c>
      <c r="N327" s="31" t="s">
        <v>1579</v>
      </c>
      <c r="P327" s="592"/>
      <c r="Q327" s="592"/>
      <c r="R327" s="592"/>
      <c r="S327" s="592"/>
      <c r="T327" s="592"/>
      <c r="U327" s="592"/>
      <c r="V327" s="592"/>
      <c r="W327" s="592"/>
      <c r="X327" s="592"/>
      <c r="AB327" s="56">
        <f>IF(AS327="5",BL327,0)</f>
        <v>0</v>
      </c>
      <c r="AD327" s="56">
        <f>IF(AS327="1",BJ327,0)</f>
        <v>0</v>
      </c>
      <c r="AE327" s="56">
        <f>IF(AS327="1",BK327,0)</f>
        <v>0</v>
      </c>
      <c r="AF327" s="56">
        <f>IF(AS327="7",BJ327,0)</f>
        <v>0</v>
      </c>
      <c r="AG327" s="56">
        <f>IF(AS327="7",BK327,0)</f>
        <v>0</v>
      </c>
      <c r="AH327" s="56">
        <f>IF(AS327="2",BJ327,0)</f>
        <v>0</v>
      </c>
      <c r="AI327" s="56">
        <f>IF(AS327="2",BK327,0)</f>
        <v>0</v>
      </c>
      <c r="AJ327" s="56">
        <f>IF(AS327="0",BL327,0)</f>
        <v>0</v>
      </c>
      <c r="AK327" s="7" t="s">
        <v>1746</v>
      </c>
      <c r="AL327" s="56">
        <f>IF(AP327=0,K327,0)</f>
        <v>0</v>
      </c>
      <c r="AM327" s="56">
        <f>IF(AP327=15,K327,0)</f>
        <v>0</v>
      </c>
      <c r="AN327" s="56">
        <f>IF(AP327=21,K327,0)</f>
        <v>0</v>
      </c>
      <c r="AP327" s="56">
        <v>21</v>
      </c>
      <c r="AQ327" s="88">
        <f>H327*0.411530685920578</f>
        <v>0</v>
      </c>
      <c r="AR327" s="88">
        <f>H327*(1-0.411530685920578)</f>
        <v>0</v>
      </c>
      <c r="AS327" s="21" t="s">
        <v>2297</v>
      </c>
      <c r="AX327" s="56">
        <f>AY327+AZ327</f>
        <v>0</v>
      </c>
      <c r="AY327" s="56">
        <f>G327*AQ327</f>
        <v>0</v>
      </c>
      <c r="AZ327" s="56">
        <f>G327*AR327</f>
        <v>0</v>
      </c>
      <c r="BA327" s="21" t="s">
        <v>1021</v>
      </c>
      <c r="BB327" s="21" t="s">
        <v>233</v>
      </c>
      <c r="BC327" s="7" t="s">
        <v>1747</v>
      </c>
      <c r="BE327" s="56">
        <f>AY327+AZ327</f>
        <v>0</v>
      </c>
      <c r="BF327" s="56">
        <f>H327/(100-BG327)*100</f>
        <v>0</v>
      </c>
      <c r="BG327" s="56">
        <v>0</v>
      </c>
      <c r="BH327" s="56">
        <f>M327</f>
        <v>0.36464999999999997</v>
      </c>
      <c r="BJ327" s="56">
        <f>G327*AQ327</f>
        <v>0</v>
      </c>
      <c r="BK327" s="56">
        <f>G327*AR327</f>
        <v>0</v>
      </c>
      <c r="BL327" s="56">
        <f>G327*H327</f>
        <v>0</v>
      </c>
      <c r="BM327" s="56"/>
      <c r="BN327" s="56">
        <v>62</v>
      </c>
    </row>
    <row r="328" spans="1:66" ht="15" customHeight="1">
      <c r="A328" s="36"/>
      <c r="D328" s="45" t="s">
        <v>908</v>
      </c>
      <c r="E328" s="104" t="s">
        <v>1597</v>
      </c>
      <c r="G328" s="13">
        <v>15.000000000000002</v>
      </c>
      <c r="N328" s="19"/>
      <c r="P328" s="592"/>
      <c r="Q328" s="592"/>
      <c r="R328" s="592"/>
      <c r="S328" s="592"/>
      <c r="T328" s="592"/>
      <c r="U328" s="592"/>
      <c r="V328" s="592"/>
      <c r="W328" s="592"/>
      <c r="X328" s="592"/>
    </row>
    <row r="329" spans="1:66" ht="15" customHeight="1">
      <c r="A329" s="24" t="s">
        <v>963</v>
      </c>
      <c r="B329" s="12" t="s">
        <v>1746</v>
      </c>
      <c r="C329" s="12" t="s">
        <v>1176</v>
      </c>
      <c r="D329" s="630" t="s">
        <v>2608</v>
      </c>
      <c r="E329" s="630"/>
      <c r="F329" s="12" t="s">
        <v>2274</v>
      </c>
      <c r="G329" s="56">
        <v>5</v>
      </c>
      <c r="H329" s="625"/>
      <c r="I329" s="56">
        <f>G329*AQ329</f>
        <v>0</v>
      </c>
      <c r="J329" s="56">
        <f>G329*AR329</f>
        <v>0</v>
      </c>
      <c r="K329" s="56">
        <f>G329*H329</f>
        <v>0</v>
      </c>
      <c r="L329" s="56">
        <v>1.8270000000000002E-2</v>
      </c>
      <c r="M329" s="56">
        <f>G329*L329</f>
        <v>9.1350000000000015E-2</v>
      </c>
      <c r="N329" s="31" t="s">
        <v>1579</v>
      </c>
      <c r="P329" s="592"/>
      <c r="Q329" s="592"/>
      <c r="R329" s="592"/>
      <c r="S329" s="592"/>
      <c r="T329" s="592"/>
      <c r="U329" s="592"/>
      <c r="V329" s="592"/>
      <c r="W329" s="592"/>
      <c r="X329" s="592"/>
      <c r="AB329" s="56">
        <f>IF(AS329="5",BL329,0)</f>
        <v>0</v>
      </c>
      <c r="AD329" s="56">
        <f>IF(AS329="1",BJ329,0)</f>
        <v>0</v>
      </c>
      <c r="AE329" s="56">
        <f>IF(AS329="1",BK329,0)</f>
        <v>0</v>
      </c>
      <c r="AF329" s="56">
        <f>IF(AS329="7",BJ329,0)</f>
        <v>0</v>
      </c>
      <c r="AG329" s="56">
        <f>IF(AS329="7",BK329,0)</f>
        <v>0</v>
      </c>
      <c r="AH329" s="56">
        <f>IF(AS329="2",BJ329,0)</f>
        <v>0</v>
      </c>
      <c r="AI329" s="56">
        <f>IF(AS329="2",BK329,0)</f>
        <v>0</v>
      </c>
      <c r="AJ329" s="56">
        <f>IF(AS329="0",BL329,0)</f>
        <v>0</v>
      </c>
      <c r="AK329" s="7" t="s">
        <v>1746</v>
      </c>
      <c r="AL329" s="56">
        <f>IF(AP329=0,K329,0)</f>
        <v>0</v>
      </c>
      <c r="AM329" s="56">
        <f>IF(AP329=15,K329,0)</f>
        <v>0</v>
      </c>
      <c r="AN329" s="56">
        <f>IF(AP329=21,K329,0)</f>
        <v>0</v>
      </c>
      <c r="AP329" s="56">
        <v>21</v>
      </c>
      <c r="AQ329" s="88">
        <f>H329*0.482230437461491</f>
        <v>0</v>
      </c>
      <c r="AR329" s="88">
        <f>H329*(1-0.482230437461491)</f>
        <v>0</v>
      </c>
      <c r="AS329" s="21" t="s">
        <v>2297</v>
      </c>
      <c r="AX329" s="56">
        <f>AY329+AZ329</f>
        <v>0</v>
      </c>
      <c r="AY329" s="56">
        <f>G329*AQ329</f>
        <v>0</v>
      </c>
      <c r="AZ329" s="56">
        <f>G329*AR329</f>
        <v>0</v>
      </c>
      <c r="BA329" s="21" t="s">
        <v>1021</v>
      </c>
      <c r="BB329" s="21" t="s">
        <v>233</v>
      </c>
      <c r="BC329" s="7" t="s">
        <v>1747</v>
      </c>
      <c r="BE329" s="56">
        <f>AY329+AZ329</f>
        <v>0</v>
      </c>
      <c r="BF329" s="56">
        <f>H329/(100-BG329)*100</f>
        <v>0</v>
      </c>
      <c r="BG329" s="56">
        <v>0</v>
      </c>
      <c r="BH329" s="56">
        <f>M329</f>
        <v>9.1350000000000015E-2</v>
      </c>
      <c r="BJ329" s="56">
        <f>G329*AQ329</f>
        <v>0</v>
      </c>
      <c r="BK329" s="56">
        <f>G329*AR329</f>
        <v>0</v>
      </c>
      <c r="BL329" s="56">
        <f>G329*H329</f>
        <v>0</v>
      </c>
      <c r="BM329" s="56"/>
      <c r="BN329" s="56">
        <v>62</v>
      </c>
    </row>
    <row r="330" spans="1:66" ht="15" customHeight="1">
      <c r="A330" s="36"/>
      <c r="D330" s="45" t="s">
        <v>659</v>
      </c>
      <c r="E330" s="104" t="s">
        <v>1597</v>
      </c>
      <c r="G330" s="13">
        <v>5</v>
      </c>
      <c r="N330" s="19"/>
      <c r="P330" s="592"/>
      <c r="Q330" s="592"/>
      <c r="R330" s="592"/>
      <c r="S330" s="592"/>
      <c r="T330" s="592"/>
      <c r="U330" s="592"/>
      <c r="V330" s="592"/>
      <c r="W330" s="592"/>
      <c r="X330" s="592"/>
    </row>
    <row r="331" spans="1:66" ht="15" customHeight="1">
      <c r="A331" s="24" t="s">
        <v>420</v>
      </c>
      <c r="B331" s="12" t="s">
        <v>1746</v>
      </c>
      <c r="C331" s="12" t="s">
        <v>84</v>
      </c>
      <c r="D331" s="630" t="s">
        <v>2469</v>
      </c>
      <c r="E331" s="630"/>
      <c r="F331" s="12" t="s">
        <v>2274</v>
      </c>
      <c r="G331" s="56">
        <v>186</v>
      </c>
      <c r="H331" s="625"/>
      <c r="I331" s="56">
        <f>G331*AQ331</f>
        <v>0</v>
      </c>
      <c r="J331" s="56">
        <f>G331*AR331</f>
        <v>0</v>
      </c>
      <c r="K331" s="56">
        <f>G331*H331</f>
        <v>0</v>
      </c>
      <c r="L331" s="56">
        <v>3.6150000000000002E-2</v>
      </c>
      <c r="M331" s="56">
        <f>G331*L331</f>
        <v>6.7239000000000004</v>
      </c>
      <c r="N331" s="31" t="s">
        <v>1579</v>
      </c>
      <c r="P331" s="592"/>
      <c r="Q331" s="592"/>
      <c r="R331" s="592"/>
      <c r="S331" s="592"/>
      <c r="T331" s="592"/>
      <c r="U331" s="592"/>
      <c r="V331" s="592"/>
      <c r="W331" s="592"/>
      <c r="X331" s="592"/>
      <c r="AB331" s="56">
        <f>IF(AS331="5",BL331,0)</f>
        <v>0</v>
      </c>
      <c r="AD331" s="56">
        <f>IF(AS331="1",BJ331,0)</f>
        <v>0</v>
      </c>
      <c r="AE331" s="56">
        <f>IF(AS331="1",BK331,0)</f>
        <v>0</v>
      </c>
      <c r="AF331" s="56">
        <f>IF(AS331="7",BJ331,0)</f>
        <v>0</v>
      </c>
      <c r="AG331" s="56">
        <f>IF(AS331="7",BK331,0)</f>
        <v>0</v>
      </c>
      <c r="AH331" s="56">
        <f>IF(AS331="2",BJ331,0)</f>
        <v>0</v>
      </c>
      <c r="AI331" s="56">
        <f>IF(AS331="2",BK331,0)</f>
        <v>0</v>
      </c>
      <c r="AJ331" s="56">
        <f>IF(AS331="0",BL331,0)</f>
        <v>0</v>
      </c>
      <c r="AK331" s="7" t="s">
        <v>1746</v>
      </c>
      <c r="AL331" s="56">
        <f>IF(AP331=0,K331,0)</f>
        <v>0</v>
      </c>
      <c r="AM331" s="56">
        <f>IF(AP331=15,K331,0)</f>
        <v>0</v>
      </c>
      <c r="AN331" s="56">
        <f>IF(AP331=21,K331,0)</f>
        <v>0</v>
      </c>
      <c r="AP331" s="56">
        <v>21</v>
      </c>
      <c r="AQ331" s="88">
        <f>H331*0.489469598965071</f>
        <v>0</v>
      </c>
      <c r="AR331" s="88">
        <f>H331*(1-0.489469598965071)</f>
        <v>0</v>
      </c>
      <c r="AS331" s="21" t="s">
        <v>2297</v>
      </c>
      <c r="AX331" s="56">
        <f>AY331+AZ331</f>
        <v>0</v>
      </c>
      <c r="AY331" s="56">
        <f>G331*AQ331</f>
        <v>0</v>
      </c>
      <c r="AZ331" s="56">
        <f>G331*AR331</f>
        <v>0</v>
      </c>
      <c r="BA331" s="21" t="s">
        <v>1021</v>
      </c>
      <c r="BB331" s="21" t="s">
        <v>233</v>
      </c>
      <c r="BC331" s="7" t="s">
        <v>1747</v>
      </c>
      <c r="BE331" s="56">
        <f>AY331+AZ331</f>
        <v>0</v>
      </c>
      <c r="BF331" s="56">
        <f>H331/(100-BG331)*100</f>
        <v>0</v>
      </c>
      <c r="BG331" s="56">
        <v>0</v>
      </c>
      <c r="BH331" s="56">
        <f>M331</f>
        <v>6.7239000000000004</v>
      </c>
      <c r="BJ331" s="56">
        <f>G331*AQ331</f>
        <v>0</v>
      </c>
      <c r="BK331" s="56">
        <f>G331*AR331</f>
        <v>0</v>
      </c>
      <c r="BL331" s="56">
        <f>G331*H331</f>
        <v>0</v>
      </c>
      <c r="BM331" s="56"/>
      <c r="BN331" s="56">
        <v>62</v>
      </c>
    </row>
    <row r="332" spans="1:66" ht="15" customHeight="1">
      <c r="A332" s="36"/>
      <c r="D332" s="45" t="s">
        <v>2288</v>
      </c>
      <c r="E332" s="104" t="s">
        <v>328</v>
      </c>
      <c r="G332" s="13">
        <v>186.00000000000003</v>
      </c>
      <c r="N332" s="19"/>
      <c r="P332" s="592"/>
      <c r="Q332" s="592"/>
      <c r="R332" s="592"/>
      <c r="S332" s="592"/>
      <c r="T332" s="592"/>
      <c r="U332" s="592"/>
      <c r="V332" s="592"/>
      <c r="W332" s="592"/>
      <c r="X332" s="592"/>
    </row>
    <row r="333" spans="1:66" ht="15" customHeight="1">
      <c r="A333" s="32" t="s">
        <v>1597</v>
      </c>
      <c r="B333" s="26" t="s">
        <v>1746</v>
      </c>
      <c r="C333" s="512" t="s">
        <v>525</v>
      </c>
      <c r="D333" s="719" t="s">
        <v>2342</v>
      </c>
      <c r="E333" s="719"/>
      <c r="F333" s="536" t="s">
        <v>2144</v>
      </c>
      <c r="G333" s="536" t="s">
        <v>2144</v>
      </c>
      <c r="H333" s="536" t="s">
        <v>2144</v>
      </c>
      <c r="I333" s="515">
        <f>SUM(I334:I334)</f>
        <v>0</v>
      </c>
      <c r="J333" s="515">
        <f>SUM(J334:J334)</f>
        <v>0</v>
      </c>
      <c r="K333" s="515">
        <f>SUM(K334:K334)</f>
        <v>0</v>
      </c>
      <c r="L333" s="7" t="s">
        <v>1597</v>
      </c>
      <c r="M333" s="17">
        <f>SUM(M334:M334)</f>
        <v>73.369559999999993</v>
      </c>
      <c r="N333" s="20" t="s">
        <v>1597</v>
      </c>
      <c r="P333" s="592">
        <f>K333</f>
        <v>0</v>
      </c>
      <c r="Q333" s="592"/>
      <c r="R333" s="592"/>
      <c r="S333" s="592"/>
      <c r="T333" s="592"/>
      <c r="U333" s="592"/>
      <c r="V333" s="592"/>
      <c r="W333" s="592"/>
      <c r="X333" s="592"/>
      <c r="AK333" s="7" t="s">
        <v>1746</v>
      </c>
      <c r="AU333" s="17">
        <f>SUM(AL334:AL334)</f>
        <v>0</v>
      </c>
      <c r="AV333" s="17">
        <f>SUM(AM334:AM334)</f>
        <v>0</v>
      </c>
      <c r="AW333" s="17">
        <f>SUM(AN334:AN334)</f>
        <v>0</v>
      </c>
    </row>
    <row r="334" spans="1:66" ht="15" customHeight="1">
      <c r="A334" s="24" t="s">
        <v>523</v>
      </c>
      <c r="B334" s="12" t="s">
        <v>1746</v>
      </c>
      <c r="C334" s="12" t="s">
        <v>81</v>
      </c>
      <c r="D334" s="630" t="s">
        <v>2678</v>
      </c>
      <c r="E334" s="630"/>
      <c r="F334" s="12" t="s">
        <v>2274</v>
      </c>
      <c r="G334" s="56">
        <v>726</v>
      </c>
      <c r="H334" s="625"/>
      <c r="I334" s="56">
        <f>G334*AQ334</f>
        <v>0</v>
      </c>
      <c r="J334" s="56">
        <f>G334*AR334</f>
        <v>0</v>
      </c>
      <c r="K334" s="56">
        <f>G334*H334</f>
        <v>0</v>
      </c>
      <c r="L334" s="56">
        <v>0.10106</v>
      </c>
      <c r="M334" s="56">
        <f>G334*L334</f>
        <v>73.369559999999993</v>
      </c>
      <c r="N334" s="31" t="s">
        <v>1579</v>
      </c>
      <c r="P334" s="592"/>
      <c r="Q334" s="592"/>
      <c r="R334" s="592"/>
      <c r="S334" s="592"/>
      <c r="T334" s="592"/>
      <c r="U334" s="592"/>
      <c r="V334" s="592"/>
      <c r="W334" s="592"/>
      <c r="X334" s="592"/>
      <c r="AB334" s="56">
        <f>IF(AS334="5",BL334,0)</f>
        <v>0</v>
      </c>
      <c r="AD334" s="56">
        <f>IF(AS334="1",BJ334,0)</f>
        <v>0</v>
      </c>
      <c r="AE334" s="56">
        <f>IF(AS334="1",BK334,0)</f>
        <v>0</v>
      </c>
      <c r="AF334" s="56">
        <f>IF(AS334="7",BJ334,0)</f>
        <v>0</v>
      </c>
      <c r="AG334" s="56">
        <f>IF(AS334="7",BK334,0)</f>
        <v>0</v>
      </c>
      <c r="AH334" s="56">
        <f>IF(AS334="2",BJ334,0)</f>
        <v>0</v>
      </c>
      <c r="AI334" s="56">
        <f>IF(AS334="2",BK334,0)</f>
        <v>0</v>
      </c>
      <c r="AJ334" s="56">
        <f>IF(AS334="0",BL334,0)</f>
        <v>0</v>
      </c>
      <c r="AK334" s="7" t="s">
        <v>1746</v>
      </c>
      <c r="AL334" s="56">
        <f>IF(AP334=0,K334,0)</f>
        <v>0</v>
      </c>
      <c r="AM334" s="56">
        <f>IF(AP334=15,K334,0)</f>
        <v>0</v>
      </c>
      <c r="AN334" s="56">
        <f>IF(AP334=21,K334,0)</f>
        <v>0</v>
      </c>
      <c r="AP334" s="56">
        <v>21</v>
      </c>
      <c r="AQ334" s="88">
        <f>H334*0.69320423166577</f>
        <v>0</v>
      </c>
      <c r="AR334" s="88">
        <f>H334*(1-0.69320423166577)</f>
        <v>0</v>
      </c>
      <c r="AS334" s="21" t="s">
        <v>2297</v>
      </c>
      <c r="AX334" s="56">
        <f>AY334+AZ334</f>
        <v>0</v>
      </c>
      <c r="AY334" s="56">
        <f>G334*AQ334</f>
        <v>0</v>
      </c>
      <c r="AZ334" s="56">
        <f>G334*AR334</f>
        <v>0</v>
      </c>
      <c r="BA334" s="21" t="s">
        <v>2123</v>
      </c>
      <c r="BB334" s="21" t="s">
        <v>233</v>
      </c>
      <c r="BC334" s="7" t="s">
        <v>1747</v>
      </c>
      <c r="BE334" s="56">
        <f>AY334+AZ334</f>
        <v>0</v>
      </c>
      <c r="BF334" s="56">
        <f>H334/(100-BG334)*100</f>
        <v>0</v>
      </c>
      <c r="BG334" s="56">
        <v>0</v>
      </c>
      <c r="BH334" s="56">
        <f>M334</f>
        <v>73.369559999999993</v>
      </c>
      <c r="BJ334" s="56">
        <f>G334*AQ334</f>
        <v>0</v>
      </c>
      <c r="BK334" s="56">
        <f>G334*AR334</f>
        <v>0</v>
      </c>
      <c r="BL334" s="56">
        <f>G334*H334</f>
        <v>0</v>
      </c>
      <c r="BM334" s="56"/>
      <c r="BN334" s="56">
        <v>63</v>
      </c>
    </row>
    <row r="335" spans="1:66" ht="15" customHeight="1">
      <c r="A335" s="36"/>
      <c r="D335" s="45" t="s">
        <v>1997</v>
      </c>
      <c r="E335" s="104" t="s">
        <v>534</v>
      </c>
      <c r="G335" s="13">
        <v>726.00000000000011</v>
      </c>
      <c r="N335" s="19"/>
      <c r="P335" s="592"/>
      <c r="Q335" s="592"/>
      <c r="R335" s="592"/>
      <c r="S335" s="592"/>
      <c r="T335" s="592"/>
      <c r="U335" s="592"/>
      <c r="V335" s="592"/>
      <c r="W335" s="592"/>
      <c r="X335" s="592"/>
    </row>
    <row r="336" spans="1:66" ht="15" customHeight="1">
      <c r="A336" s="32" t="s">
        <v>1597</v>
      </c>
      <c r="B336" s="26" t="s">
        <v>1746</v>
      </c>
      <c r="C336" s="553" t="s">
        <v>1135</v>
      </c>
      <c r="D336" s="709" t="s">
        <v>2366</v>
      </c>
      <c r="E336" s="709"/>
      <c r="F336" s="46" t="s">
        <v>2144</v>
      </c>
      <c r="G336" s="46" t="s">
        <v>2144</v>
      </c>
      <c r="H336" s="46" t="s">
        <v>2144</v>
      </c>
      <c r="I336" s="17">
        <f>SUM(I337:I412)</f>
        <v>0</v>
      </c>
      <c r="J336" s="17">
        <f>SUM(J337:J412)</f>
        <v>0</v>
      </c>
      <c r="K336" s="554">
        <f>SUM(K337:K412)</f>
        <v>0</v>
      </c>
      <c r="L336" s="7" t="s">
        <v>1597</v>
      </c>
      <c r="M336" s="17">
        <f>SUM(M337:M412)</f>
        <v>3.6927999999999996</v>
      </c>
      <c r="N336" s="20" t="s">
        <v>1597</v>
      </c>
      <c r="P336" s="592"/>
      <c r="Q336" s="592"/>
      <c r="R336" s="592"/>
      <c r="S336" s="592"/>
      <c r="T336" s="592"/>
      <c r="U336" s="592"/>
      <c r="V336" s="592"/>
      <c r="W336" s="592"/>
      <c r="X336" s="592"/>
      <c r="AK336" s="7" t="s">
        <v>1746</v>
      </c>
      <c r="AU336" s="17">
        <f>SUM(AL337:AL412)</f>
        <v>0</v>
      </c>
      <c r="AV336" s="17">
        <f>SUM(AM337:AM412)</f>
        <v>0</v>
      </c>
      <c r="AW336" s="17">
        <f>SUM(AN337:AN412)</f>
        <v>0</v>
      </c>
    </row>
    <row r="337" spans="1:66" ht="15" customHeight="1">
      <c r="A337" s="24" t="s">
        <v>260</v>
      </c>
      <c r="B337" s="12" t="s">
        <v>1746</v>
      </c>
      <c r="C337" s="527" t="s">
        <v>2044</v>
      </c>
      <c r="D337" s="630" t="s">
        <v>2111</v>
      </c>
      <c r="E337" s="630"/>
      <c r="F337" s="12" t="s">
        <v>564</v>
      </c>
      <c r="G337" s="56">
        <v>20</v>
      </c>
      <c r="H337" s="625"/>
      <c r="I337" s="56">
        <f>G337*AQ337</f>
        <v>0</v>
      </c>
      <c r="J337" s="56">
        <f>G337*AR337</f>
        <v>0</v>
      </c>
      <c r="K337" s="528">
        <f>G337*H337</f>
        <v>0</v>
      </c>
      <c r="L337" s="56">
        <v>1.8970000000000001E-2</v>
      </c>
      <c r="M337" s="56">
        <f>G337*L337</f>
        <v>0.37940000000000002</v>
      </c>
      <c r="N337" s="31" t="s">
        <v>1579</v>
      </c>
      <c r="P337" s="592"/>
      <c r="Q337" s="592">
        <f>K337</f>
        <v>0</v>
      </c>
      <c r="R337" s="592"/>
      <c r="S337" s="592"/>
      <c r="T337" s="592"/>
      <c r="U337" s="592"/>
      <c r="V337" s="592"/>
      <c r="W337" s="592"/>
      <c r="X337" s="592"/>
      <c r="AB337" s="56">
        <f>IF(AS337="5",BL337,0)</f>
        <v>0</v>
      </c>
      <c r="AD337" s="56">
        <f>IF(AS337="1",BJ337,0)</f>
        <v>0</v>
      </c>
      <c r="AE337" s="56">
        <f>IF(AS337="1",BK337,0)</f>
        <v>0</v>
      </c>
      <c r="AF337" s="56">
        <f>IF(AS337="7",BJ337,0)</f>
        <v>0</v>
      </c>
      <c r="AG337" s="56">
        <f>IF(AS337="7",BK337,0)</f>
        <v>0</v>
      </c>
      <c r="AH337" s="56">
        <f>IF(AS337="2",BJ337,0)</f>
        <v>0</v>
      </c>
      <c r="AI337" s="56">
        <f>IF(AS337="2",BK337,0)</f>
        <v>0</v>
      </c>
      <c r="AJ337" s="56">
        <f>IF(AS337="0",BL337,0)</f>
        <v>0</v>
      </c>
      <c r="AK337" s="7" t="s">
        <v>1746</v>
      </c>
      <c r="AL337" s="56">
        <f>IF(AP337=0,K337,0)</f>
        <v>0</v>
      </c>
      <c r="AM337" s="56">
        <f>IF(AP337=15,K337,0)</f>
        <v>0</v>
      </c>
      <c r="AN337" s="56">
        <f>IF(AP337=21,K337,0)</f>
        <v>0</v>
      </c>
      <c r="AP337" s="56">
        <v>21</v>
      </c>
      <c r="AQ337" s="88">
        <f>H337*0.0222968906720161</f>
        <v>0</v>
      </c>
      <c r="AR337" s="88">
        <f>H337*(1-0.0222968906720161)</f>
        <v>0</v>
      </c>
      <c r="AS337" s="21" t="s">
        <v>2297</v>
      </c>
      <c r="AX337" s="56">
        <f>AY337+AZ337</f>
        <v>0</v>
      </c>
      <c r="AY337" s="56">
        <f>G337*AQ337</f>
        <v>0</v>
      </c>
      <c r="AZ337" s="56">
        <f>G337*AR337</f>
        <v>0</v>
      </c>
      <c r="BA337" s="21" t="s">
        <v>1554</v>
      </c>
      <c r="BB337" s="21" t="s">
        <v>233</v>
      </c>
      <c r="BC337" s="7" t="s">
        <v>1747</v>
      </c>
      <c r="BE337" s="56">
        <f>AY337+AZ337</f>
        <v>0</v>
      </c>
      <c r="BF337" s="56">
        <f>H337/(100-BG337)*100</f>
        <v>0</v>
      </c>
      <c r="BG337" s="56">
        <v>0</v>
      </c>
      <c r="BH337" s="56">
        <f>M337</f>
        <v>0.37940000000000002</v>
      </c>
      <c r="BJ337" s="56">
        <f>G337*AQ337</f>
        <v>0</v>
      </c>
      <c r="BK337" s="56">
        <f>G337*AR337</f>
        <v>0</v>
      </c>
      <c r="BL337" s="56">
        <f>G337*H337</f>
        <v>0</v>
      </c>
      <c r="BM337" s="56"/>
      <c r="BN337" s="56">
        <v>64</v>
      </c>
    </row>
    <row r="338" spans="1:66" ht="15" customHeight="1">
      <c r="A338" s="36"/>
      <c r="D338" s="45" t="s">
        <v>1723</v>
      </c>
      <c r="E338" s="104" t="s">
        <v>1597</v>
      </c>
      <c r="G338" s="13">
        <v>20</v>
      </c>
      <c r="N338" s="19"/>
      <c r="P338" s="592"/>
      <c r="Q338" s="592"/>
      <c r="R338" s="592"/>
      <c r="S338" s="592"/>
      <c r="T338" s="592"/>
      <c r="U338" s="592"/>
      <c r="V338" s="592"/>
      <c r="W338" s="592"/>
      <c r="X338" s="592"/>
    </row>
    <row r="339" spans="1:66" ht="15" customHeight="1">
      <c r="A339" s="8" t="s">
        <v>321</v>
      </c>
      <c r="B339" s="541" t="s">
        <v>1746</v>
      </c>
      <c r="C339" s="549" t="s">
        <v>780</v>
      </c>
      <c r="D339" s="714" t="s">
        <v>2264</v>
      </c>
      <c r="E339" s="714"/>
      <c r="F339" s="541" t="s">
        <v>564</v>
      </c>
      <c r="G339" s="542">
        <v>7</v>
      </c>
      <c r="H339" s="626"/>
      <c r="I339" s="542">
        <f>G339*AQ339</f>
        <v>0</v>
      </c>
      <c r="J339" s="542">
        <f>G339*AR339</f>
        <v>0</v>
      </c>
      <c r="K339" s="548">
        <f>G339*H339</f>
        <v>0</v>
      </c>
      <c r="L339" s="80">
        <v>1.056E-2</v>
      </c>
      <c r="M339" s="80">
        <f>G339*L339</f>
        <v>7.392E-2</v>
      </c>
      <c r="N339" s="38" t="s">
        <v>1579</v>
      </c>
      <c r="P339" s="592"/>
      <c r="Q339" s="592">
        <f>K339</f>
        <v>0</v>
      </c>
      <c r="R339" s="592"/>
      <c r="S339" s="592"/>
      <c r="T339" s="592"/>
      <c r="U339" s="592"/>
      <c r="V339" s="592"/>
      <c r="W339" s="592"/>
      <c r="X339" s="592"/>
      <c r="AB339" s="56">
        <f>IF(AS339="5",BL339,0)</f>
        <v>0</v>
      </c>
      <c r="AD339" s="56">
        <f>IF(AS339="1",BJ339,0)</f>
        <v>0</v>
      </c>
      <c r="AE339" s="56">
        <f>IF(AS339="1",BK339,0)</f>
        <v>0</v>
      </c>
      <c r="AF339" s="56">
        <f>IF(AS339="7",BJ339,0)</f>
        <v>0</v>
      </c>
      <c r="AG339" s="56">
        <f>IF(AS339="7",BK339,0)</f>
        <v>0</v>
      </c>
      <c r="AH339" s="56">
        <f>IF(AS339="2",BJ339,0)</f>
        <v>0</v>
      </c>
      <c r="AI339" s="56">
        <f>IF(AS339="2",BK339,0)</f>
        <v>0</v>
      </c>
      <c r="AJ339" s="56">
        <f>IF(AS339="0",BL339,0)</f>
        <v>0</v>
      </c>
      <c r="AK339" s="7" t="s">
        <v>1746</v>
      </c>
      <c r="AL339" s="80">
        <f>IF(AP339=0,K339,0)</f>
        <v>0</v>
      </c>
      <c r="AM339" s="80">
        <f>IF(AP339=15,K339,0)</f>
        <v>0</v>
      </c>
      <c r="AN339" s="80">
        <f>IF(AP339=21,K339,0)</f>
        <v>0</v>
      </c>
      <c r="AP339" s="56">
        <v>21</v>
      </c>
      <c r="AQ339" s="88">
        <f>H339*1</f>
        <v>0</v>
      </c>
      <c r="AR339" s="88">
        <f>H339*(1-1)</f>
        <v>0</v>
      </c>
      <c r="AS339" s="64" t="s">
        <v>2297</v>
      </c>
      <c r="AX339" s="56">
        <f>AY339+AZ339</f>
        <v>0</v>
      </c>
      <c r="AY339" s="56">
        <f>G339*AQ339</f>
        <v>0</v>
      </c>
      <c r="AZ339" s="56">
        <f>G339*AR339</f>
        <v>0</v>
      </c>
      <c r="BA339" s="21" t="s">
        <v>1554</v>
      </c>
      <c r="BB339" s="21" t="s">
        <v>233</v>
      </c>
      <c r="BC339" s="7" t="s">
        <v>1747</v>
      </c>
      <c r="BE339" s="56">
        <f>AY339+AZ339</f>
        <v>0</v>
      </c>
      <c r="BF339" s="56">
        <f>H339/(100-BG339)*100</f>
        <v>0</v>
      </c>
      <c r="BG339" s="56">
        <v>0</v>
      </c>
      <c r="BH339" s="56">
        <f>M339</f>
        <v>7.392E-2</v>
      </c>
      <c r="BJ339" s="80">
        <f>G339*AQ339</f>
        <v>0</v>
      </c>
      <c r="BK339" s="80">
        <f>G339*AR339</f>
        <v>0</v>
      </c>
      <c r="BL339" s="80">
        <f>G339*H339</f>
        <v>0</v>
      </c>
      <c r="BM339" s="80"/>
      <c r="BN339" s="56">
        <v>64</v>
      </c>
    </row>
    <row r="340" spans="1:66" ht="15" customHeight="1">
      <c r="A340" s="36"/>
      <c r="B340" s="510"/>
      <c r="C340" s="535"/>
      <c r="D340" s="519" t="s">
        <v>2311</v>
      </c>
      <c r="E340" s="520" t="s">
        <v>1597</v>
      </c>
      <c r="F340" s="510"/>
      <c r="G340" s="521">
        <v>7.0000000000000009</v>
      </c>
      <c r="H340" s="510"/>
      <c r="I340" s="510"/>
      <c r="J340" s="510"/>
      <c r="K340" s="535"/>
      <c r="N340" s="19"/>
      <c r="P340" s="592"/>
      <c r="Q340" s="592"/>
      <c r="R340" s="592"/>
      <c r="S340" s="592"/>
      <c r="T340" s="592"/>
      <c r="U340" s="592"/>
      <c r="V340" s="592"/>
      <c r="W340" s="592"/>
      <c r="X340" s="592"/>
    </row>
    <row r="341" spans="1:66" ht="15" customHeight="1">
      <c r="A341" s="8" t="s">
        <v>2174</v>
      </c>
      <c r="B341" s="541" t="s">
        <v>1746</v>
      </c>
      <c r="C341" s="549" t="s">
        <v>2609</v>
      </c>
      <c r="D341" s="714" t="s">
        <v>1914</v>
      </c>
      <c r="E341" s="714"/>
      <c r="F341" s="541" t="s">
        <v>564</v>
      </c>
      <c r="G341" s="542">
        <v>9</v>
      </c>
      <c r="H341" s="626"/>
      <c r="I341" s="542">
        <f>G341*AQ341</f>
        <v>0</v>
      </c>
      <c r="J341" s="542">
        <f>G341*AR341</f>
        <v>0</v>
      </c>
      <c r="K341" s="548">
        <f>G341*H341</f>
        <v>0</v>
      </c>
      <c r="L341" s="80">
        <v>1.081E-2</v>
      </c>
      <c r="M341" s="80">
        <f>G341*L341</f>
        <v>9.7290000000000001E-2</v>
      </c>
      <c r="N341" s="38" t="s">
        <v>1579</v>
      </c>
      <c r="P341" s="592"/>
      <c r="Q341" s="592">
        <f>K341</f>
        <v>0</v>
      </c>
      <c r="R341" s="592"/>
      <c r="S341" s="592"/>
      <c r="T341" s="592"/>
      <c r="U341" s="592"/>
      <c r="V341" s="592"/>
      <c r="W341" s="592"/>
      <c r="X341" s="592"/>
      <c r="AB341" s="56">
        <f>IF(AS341="5",BL341,0)</f>
        <v>0</v>
      </c>
      <c r="AD341" s="56">
        <f>IF(AS341="1",BJ341,0)</f>
        <v>0</v>
      </c>
      <c r="AE341" s="56">
        <f>IF(AS341="1",BK341,0)</f>
        <v>0</v>
      </c>
      <c r="AF341" s="56">
        <f>IF(AS341="7",BJ341,0)</f>
        <v>0</v>
      </c>
      <c r="AG341" s="56">
        <f>IF(AS341="7",BK341,0)</f>
        <v>0</v>
      </c>
      <c r="AH341" s="56">
        <f>IF(AS341="2",BJ341,0)</f>
        <v>0</v>
      </c>
      <c r="AI341" s="56">
        <f>IF(AS341="2",BK341,0)</f>
        <v>0</v>
      </c>
      <c r="AJ341" s="56">
        <f>IF(AS341="0",BL341,0)</f>
        <v>0</v>
      </c>
      <c r="AK341" s="7" t="s">
        <v>1746</v>
      </c>
      <c r="AL341" s="80">
        <f>IF(AP341=0,K341,0)</f>
        <v>0</v>
      </c>
      <c r="AM341" s="80">
        <f>IF(AP341=15,K341,0)</f>
        <v>0</v>
      </c>
      <c r="AN341" s="80">
        <f>IF(AP341=21,K341,0)</f>
        <v>0</v>
      </c>
      <c r="AP341" s="56">
        <v>21</v>
      </c>
      <c r="AQ341" s="88">
        <f>H341*1</f>
        <v>0</v>
      </c>
      <c r="AR341" s="88">
        <f>H341*(1-1)</f>
        <v>0</v>
      </c>
      <c r="AS341" s="64" t="s">
        <v>2297</v>
      </c>
      <c r="AX341" s="56">
        <f>AY341+AZ341</f>
        <v>0</v>
      </c>
      <c r="AY341" s="56">
        <f>G341*AQ341</f>
        <v>0</v>
      </c>
      <c r="AZ341" s="56">
        <f>G341*AR341</f>
        <v>0</v>
      </c>
      <c r="BA341" s="21" t="s">
        <v>1554</v>
      </c>
      <c r="BB341" s="21" t="s">
        <v>233</v>
      </c>
      <c r="BC341" s="7" t="s">
        <v>1747</v>
      </c>
      <c r="BE341" s="56">
        <f>AY341+AZ341</f>
        <v>0</v>
      </c>
      <c r="BF341" s="56">
        <f>H341/(100-BG341)*100</f>
        <v>0</v>
      </c>
      <c r="BG341" s="56">
        <v>0</v>
      </c>
      <c r="BH341" s="56">
        <f>M341</f>
        <v>9.7290000000000001E-2</v>
      </c>
      <c r="BJ341" s="80">
        <f>G341*AQ341</f>
        <v>0</v>
      </c>
      <c r="BK341" s="80">
        <f>G341*AR341</f>
        <v>0</v>
      </c>
      <c r="BL341" s="80">
        <f>G341*H341</f>
        <v>0</v>
      </c>
      <c r="BM341" s="80"/>
      <c r="BN341" s="56">
        <v>64</v>
      </c>
    </row>
    <row r="342" spans="1:66" ht="15" customHeight="1">
      <c r="A342" s="36"/>
      <c r="B342" s="510"/>
      <c r="C342" s="535"/>
      <c r="D342" s="519" t="s">
        <v>873</v>
      </c>
      <c r="E342" s="520" t="s">
        <v>1597</v>
      </c>
      <c r="F342" s="510"/>
      <c r="G342" s="521">
        <v>9</v>
      </c>
      <c r="H342" s="510"/>
      <c r="I342" s="510"/>
      <c r="J342" s="510"/>
      <c r="K342" s="535"/>
      <c r="N342" s="19"/>
      <c r="P342" s="592"/>
      <c r="Q342" s="592"/>
      <c r="R342" s="592"/>
      <c r="S342" s="592"/>
      <c r="T342" s="592"/>
      <c r="U342" s="592"/>
      <c r="V342" s="592"/>
      <c r="W342" s="592"/>
      <c r="X342" s="592"/>
    </row>
    <row r="343" spans="1:66" ht="15" customHeight="1">
      <c r="A343" s="8" t="s">
        <v>1684</v>
      </c>
      <c r="B343" s="541" t="s">
        <v>1746</v>
      </c>
      <c r="C343" s="549" t="s">
        <v>1246</v>
      </c>
      <c r="D343" s="714" t="s">
        <v>22</v>
      </c>
      <c r="E343" s="714"/>
      <c r="F343" s="541" t="s">
        <v>564</v>
      </c>
      <c r="G343" s="542">
        <v>3</v>
      </c>
      <c r="H343" s="626"/>
      <c r="I343" s="542">
        <f>G343*AQ343</f>
        <v>0</v>
      </c>
      <c r="J343" s="542">
        <f>G343*AR343</f>
        <v>0</v>
      </c>
      <c r="K343" s="548">
        <f>G343*H343</f>
        <v>0</v>
      </c>
      <c r="L343" s="80">
        <v>1.107E-2</v>
      </c>
      <c r="M343" s="80">
        <f>G343*L343</f>
        <v>3.3210000000000003E-2</v>
      </c>
      <c r="N343" s="38" t="s">
        <v>1579</v>
      </c>
      <c r="P343" s="592"/>
      <c r="Q343" s="592">
        <f>K343</f>
        <v>0</v>
      </c>
      <c r="R343" s="592"/>
      <c r="S343" s="592"/>
      <c r="T343" s="592"/>
      <c r="U343" s="592"/>
      <c r="V343" s="592"/>
      <c r="W343" s="592"/>
      <c r="X343" s="592"/>
      <c r="AB343" s="56">
        <f>IF(AS343="5",BL343,0)</f>
        <v>0</v>
      </c>
      <c r="AD343" s="56">
        <f>IF(AS343="1",BJ343,0)</f>
        <v>0</v>
      </c>
      <c r="AE343" s="56">
        <f>IF(AS343="1",BK343,0)</f>
        <v>0</v>
      </c>
      <c r="AF343" s="56">
        <f>IF(AS343="7",BJ343,0)</f>
        <v>0</v>
      </c>
      <c r="AG343" s="56">
        <f>IF(AS343="7",BK343,0)</f>
        <v>0</v>
      </c>
      <c r="AH343" s="56">
        <f>IF(AS343="2",BJ343,0)</f>
        <v>0</v>
      </c>
      <c r="AI343" s="56">
        <f>IF(AS343="2",BK343,0)</f>
        <v>0</v>
      </c>
      <c r="AJ343" s="56">
        <f>IF(AS343="0",BL343,0)</f>
        <v>0</v>
      </c>
      <c r="AK343" s="7" t="s">
        <v>1746</v>
      </c>
      <c r="AL343" s="80">
        <f>IF(AP343=0,K343,0)</f>
        <v>0</v>
      </c>
      <c r="AM343" s="80">
        <f>IF(AP343=15,K343,0)</f>
        <v>0</v>
      </c>
      <c r="AN343" s="80">
        <f>IF(AP343=21,K343,0)</f>
        <v>0</v>
      </c>
      <c r="AP343" s="56">
        <v>21</v>
      </c>
      <c r="AQ343" s="88">
        <f>H343*1</f>
        <v>0</v>
      </c>
      <c r="AR343" s="88">
        <f>H343*(1-1)</f>
        <v>0</v>
      </c>
      <c r="AS343" s="64" t="s">
        <v>2297</v>
      </c>
      <c r="AX343" s="56">
        <f>AY343+AZ343</f>
        <v>0</v>
      </c>
      <c r="AY343" s="56">
        <f>G343*AQ343</f>
        <v>0</v>
      </c>
      <c r="AZ343" s="56">
        <f>G343*AR343</f>
        <v>0</v>
      </c>
      <c r="BA343" s="21" t="s">
        <v>1554</v>
      </c>
      <c r="BB343" s="21" t="s">
        <v>233</v>
      </c>
      <c r="BC343" s="7" t="s">
        <v>1747</v>
      </c>
      <c r="BE343" s="56">
        <f>AY343+AZ343</f>
        <v>0</v>
      </c>
      <c r="BF343" s="56">
        <f>H343/(100-BG343)*100</f>
        <v>0</v>
      </c>
      <c r="BG343" s="56">
        <v>0</v>
      </c>
      <c r="BH343" s="56">
        <f>M343</f>
        <v>3.3210000000000003E-2</v>
      </c>
      <c r="BJ343" s="80">
        <f>G343*AQ343</f>
        <v>0</v>
      </c>
      <c r="BK343" s="80">
        <f>G343*AR343</f>
        <v>0</v>
      </c>
      <c r="BL343" s="80">
        <f>G343*H343</f>
        <v>0</v>
      </c>
      <c r="BM343" s="80"/>
      <c r="BN343" s="56">
        <v>64</v>
      </c>
    </row>
    <row r="344" spans="1:66" ht="15" customHeight="1">
      <c r="A344" s="36"/>
      <c r="B344" s="510"/>
      <c r="C344" s="535"/>
      <c r="D344" s="519" t="s">
        <v>2007</v>
      </c>
      <c r="E344" s="520" t="s">
        <v>1597</v>
      </c>
      <c r="F344" s="510"/>
      <c r="G344" s="521">
        <v>3.0000000000000004</v>
      </c>
      <c r="H344" s="510"/>
      <c r="I344" s="510"/>
      <c r="J344" s="510"/>
      <c r="K344" s="535"/>
      <c r="N344" s="19"/>
      <c r="P344" s="592"/>
      <c r="Q344" s="592"/>
      <c r="R344" s="592"/>
      <c r="S344" s="592"/>
      <c r="T344" s="592"/>
      <c r="U344" s="592"/>
      <c r="V344" s="592"/>
      <c r="W344" s="592"/>
      <c r="X344" s="592"/>
    </row>
    <row r="345" spans="1:66" ht="15" customHeight="1">
      <c r="A345" s="8" t="s">
        <v>1112</v>
      </c>
      <c r="B345" s="541" t="s">
        <v>1746</v>
      </c>
      <c r="C345" s="549" t="s">
        <v>706</v>
      </c>
      <c r="D345" s="714" t="s">
        <v>2633</v>
      </c>
      <c r="E345" s="714"/>
      <c r="F345" s="541" t="s">
        <v>564</v>
      </c>
      <c r="G345" s="542">
        <v>7</v>
      </c>
      <c r="H345" s="626"/>
      <c r="I345" s="542">
        <f>G345*AQ345</f>
        <v>0</v>
      </c>
      <c r="J345" s="542">
        <f>G345*AR345</f>
        <v>0</v>
      </c>
      <c r="K345" s="548">
        <f>G345*H345</f>
        <v>0</v>
      </c>
      <c r="L345" s="80">
        <v>1.7000000000000001E-2</v>
      </c>
      <c r="M345" s="80">
        <f>G345*L345</f>
        <v>0.11900000000000001</v>
      </c>
      <c r="N345" s="38" t="s">
        <v>1579</v>
      </c>
      <c r="P345" s="592"/>
      <c r="Q345" s="592">
        <f>K345</f>
        <v>0</v>
      </c>
      <c r="R345" s="592"/>
      <c r="S345" s="592"/>
      <c r="T345" s="592"/>
      <c r="U345" s="592"/>
      <c r="V345" s="592"/>
      <c r="W345" s="592"/>
      <c r="X345" s="592"/>
      <c r="AB345" s="56">
        <f>IF(AS345="5",BL345,0)</f>
        <v>0</v>
      </c>
      <c r="AD345" s="56">
        <f>IF(AS345="1",BJ345,0)</f>
        <v>0</v>
      </c>
      <c r="AE345" s="56">
        <f>IF(AS345="1",BK345,0)</f>
        <v>0</v>
      </c>
      <c r="AF345" s="56">
        <f>IF(AS345="7",BJ345,0)</f>
        <v>0</v>
      </c>
      <c r="AG345" s="56">
        <f>IF(AS345="7",BK345,0)</f>
        <v>0</v>
      </c>
      <c r="AH345" s="56">
        <f>IF(AS345="2",BJ345,0)</f>
        <v>0</v>
      </c>
      <c r="AI345" s="56">
        <f>IF(AS345="2",BK345,0)</f>
        <v>0</v>
      </c>
      <c r="AJ345" s="56">
        <f>IF(AS345="0",BL345,0)</f>
        <v>0</v>
      </c>
      <c r="AK345" s="7" t="s">
        <v>1746</v>
      </c>
      <c r="AL345" s="80">
        <f>IF(AP345=0,K345,0)</f>
        <v>0</v>
      </c>
      <c r="AM345" s="80">
        <f>IF(AP345=15,K345,0)</f>
        <v>0</v>
      </c>
      <c r="AN345" s="80">
        <f>IF(AP345=21,K345,0)</f>
        <v>0</v>
      </c>
      <c r="AP345" s="56">
        <v>21</v>
      </c>
      <c r="AQ345" s="88">
        <f>H345*1</f>
        <v>0</v>
      </c>
      <c r="AR345" s="88">
        <f>H345*(1-1)</f>
        <v>0</v>
      </c>
      <c r="AS345" s="64" t="s">
        <v>2297</v>
      </c>
      <c r="AX345" s="56">
        <f>AY345+AZ345</f>
        <v>0</v>
      </c>
      <c r="AY345" s="56">
        <f>G345*AQ345</f>
        <v>0</v>
      </c>
      <c r="AZ345" s="56">
        <f>G345*AR345</f>
        <v>0</v>
      </c>
      <c r="BA345" s="21" t="s">
        <v>1554</v>
      </c>
      <c r="BB345" s="21" t="s">
        <v>233</v>
      </c>
      <c r="BC345" s="7" t="s">
        <v>1747</v>
      </c>
      <c r="BE345" s="56">
        <f>AY345+AZ345</f>
        <v>0</v>
      </c>
      <c r="BF345" s="56">
        <f>H345/(100-BG345)*100</f>
        <v>0</v>
      </c>
      <c r="BG345" s="56">
        <v>0</v>
      </c>
      <c r="BH345" s="56">
        <f>M345</f>
        <v>0.11900000000000001</v>
      </c>
      <c r="BJ345" s="80">
        <f>G345*AQ345</f>
        <v>0</v>
      </c>
      <c r="BK345" s="80">
        <f>G345*AR345</f>
        <v>0</v>
      </c>
      <c r="BL345" s="80">
        <f>G345*H345</f>
        <v>0</v>
      </c>
      <c r="BM345" s="80"/>
      <c r="BN345" s="56">
        <v>64</v>
      </c>
    </row>
    <row r="346" spans="1:66" ht="15" customHeight="1">
      <c r="A346" s="36"/>
      <c r="B346" s="510"/>
      <c r="C346" s="535"/>
      <c r="D346" s="519" t="s">
        <v>2311</v>
      </c>
      <c r="E346" s="520" t="s">
        <v>1597</v>
      </c>
      <c r="F346" s="510"/>
      <c r="G346" s="521">
        <v>7.0000000000000009</v>
      </c>
      <c r="H346" s="510"/>
      <c r="I346" s="510"/>
      <c r="J346" s="510"/>
      <c r="K346" s="535"/>
      <c r="N346" s="19"/>
      <c r="P346" s="592"/>
      <c r="Q346" s="592"/>
      <c r="R346" s="592"/>
      <c r="S346" s="592"/>
      <c r="T346" s="592"/>
      <c r="U346" s="592"/>
      <c r="V346" s="592"/>
      <c r="W346" s="592"/>
      <c r="X346" s="592"/>
    </row>
    <row r="347" spans="1:66" ht="15" customHeight="1">
      <c r="A347" s="8" t="s">
        <v>1683</v>
      </c>
      <c r="B347" s="541" t="s">
        <v>1746</v>
      </c>
      <c r="C347" s="549" t="s">
        <v>1718</v>
      </c>
      <c r="D347" s="714" t="s">
        <v>488</v>
      </c>
      <c r="E347" s="714"/>
      <c r="F347" s="541" t="s">
        <v>564</v>
      </c>
      <c r="G347" s="542">
        <v>9</v>
      </c>
      <c r="H347" s="626"/>
      <c r="I347" s="542">
        <f>G347*AQ347</f>
        <v>0</v>
      </c>
      <c r="J347" s="542">
        <f>G347*AR347</f>
        <v>0</v>
      </c>
      <c r="K347" s="548">
        <f>G347*H347</f>
        <v>0</v>
      </c>
      <c r="L347" s="80">
        <v>1.9E-2</v>
      </c>
      <c r="M347" s="80">
        <f>G347*L347</f>
        <v>0.17099999999999999</v>
      </c>
      <c r="N347" s="38" t="s">
        <v>1579</v>
      </c>
      <c r="P347" s="592"/>
      <c r="Q347" s="592">
        <f>K347</f>
        <v>0</v>
      </c>
      <c r="R347" s="592"/>
      <c r="S347" s="592"/>
      <c r="T347" s="592"/>
      <c r="U347" s="592"/>
      <c r="V347" s="592"/>
      <c r="W347" s="592"/>
      <c r="X347" s="592"/>
      <c r="AB347" s="56">
        <f>IF(AS347="5",BL347,0)</f>
        <v>0</v>
      </c>
      <c r="AD347" s="56">
        <f>IF(AS347="1",BJ347,0)</f>
        <v>0</v>
      </c>
      <c r="AE347" s="56">
        <f>IF(AS347="1",BK347,0)</f>
        <v>0</v>
      </c>
      <c r="AF347" s="56">
        <f>IF(AS347="7",BJ347,0)</f>
        <v>0</v>
      </c>
      <c r="AG347" s="56">
        <f>IF(AS347="7",BK347,0)</f>
        <v>0</v>
      </c>
      <c r="AH347" s="56">
        <f>IF(AS347="2",BJ347,0)</f>
        <v>0</v>
      </c>
      <c r="AI347" s="56">
        <f>IF(AS347="2",BK347,0)</f>
        <v>0</v>
      </c>
      <c r="AJ347" s="56">
        <f>IF(AS347="0",BL347,0)</f>
        <v>0</v>
      </c>
      <c r="AK347" s="7" t="s">
        <v>1746</v>
      </c>
      <c r="AL347" s="80">
        <f>IF(AP347=0,K347,0)</f>
        <v>0</v>
      </c>
      <c r="AM347" s="80">
        <f>IF(AP347=15,K347,0)</f>
        <v>0</v>
      </c>
      <c r="AN347" s="80">
        <f>IF(AP347=21,K347,0)</f>
        <v>0</v>
      </c>
      <c r="AP347" s="56">
        <v>21</v>
      </c>
      <c r="AQ347" s="88">
        <f>H347*1</f>
        <v>0</v>
      </c>
      <c r="AR347" s="88">
        <f>H347*(1-1)</f>
        <v>0</v>
      </c>
      <c r="AS347" s="64" t="s">
        <v>2297</v>
      </c>
      <c r="AX347" s="56">
        <f>AY347+AZ347</f>
        <v>0</v>
      </c>
      <c r="AY347" s="56">
        <f>G347*AQ347</f>
        <v>0</v>
      </c>
      <c r="AZ347" s="56">
        <f>G347*AR347</f>
        <v>0</v>
      </c>
      <c r="BA347" s="21" t="s">
        <v>1554</v>
      </c>
      <c r="BB347" s="21" t="s">
        <v>233</v>
      </c>
      <c r="BC347" s="7" t="s">
        <v>1747</v>
      </c>
      <c r="BE347" s="56">
        <f>AY347+AZ347</f>
        <v>0</v>
      </c>
      <c r="BF347" s="56">
        <f>H347/(100-BG347)*100</f>
        <v>0</v>
      </c>
      <c r="BG347" s="56">
        <v>0</v>
      </c>
      <c r="BH347" s="56">
        <f>M347</f>
        <v>0.17099999999999999</v>
      </c>
      <c r="BJ347" s="80">
        <f>G347*AQ347</f>
        <v>0</v>
      </c>
      <c r="BK347" s="80">
        <f>G347*AR347</f>
        <v>0</v>
      </c>
      <c r="BL347" s="80">
        <f>G347*H347</f>
        <v>0</v>
      </c>
      <c r="BM347" s="80"/>
      <c r="BN347" s="56">
        <v>64</v>
      </c>
    </row>
    <row r="348" spans="1:66" ht="15" customHeight="1">
      <c r="A348" s="36"/>
      <c r="B348" s="510"/>
      <c r="C348" s="535"/>
      <c r="D348" s="519" t="s">
        <v>873</v>
      </c>
      <c r="E348" s="520" t="s">
        <v>1597</v>
      </c>
      <c r="F348" s="510"/>
      <c r="G348" s="521">
        <v>9</v>
      </c>
      <c r="H348" s="510"/>
      <c r="I348" s="510"/>
      <c r="J348" s="510"/>
      <c r="K348" s="535"/>
      <c r="N348" s="19"/>
      <c r="P348" s="592"/>
      <c r="Q348" s="592"/>
      <c r="R348" s="592"/>
      <c r="S348" s="592"/>
      <c r="T348" s="592"/>
      <c r="U348" s="592"/>
      <c r="V348" s="592"/>
      <c r="W348" s="592"/>
      <c r="X348" s="592"/>
    </row>
    <row r="349" spans="1:66" ht="15" customHeight="1">
      <c r="A349" s="8" t="s">
        <v>757</v>
      </c>
      <c r="B349" s="541" t="s">
        <v>1746</v>
      </c>
      <c r="C349" s="549" t="s">
        <v>2223</v>
      </c>
      <c r="D349" s="714" t="s">
        <v>1252</v>
      </c>
      <c r="E349" s="714"/>
      <c r="F349" s="541" t="s">
        <v>564</v>
      </c>
      <c r="G349" s="542">
        <v>3</v>
      </c>
      <c r="H349" s="626"/>
      <c r="I349" s="542">
        <f>G349*AQ349</f>
        <v>0</v>
      </c>
      <c r="J349" s="542">
        <f>G349*AR349</f>
        <v>0</v>
      </c>
      <c r="K349" s="548">
        <f>G349*H349</f>
        <v>0</v>
      </c>
      <c r="L349" s="80">
        <v>2.1000000000000001E-2</v>
      </c>
      <c r="M349" s="80">
        <f>G349*L349</f>
        <v>6.3E-2</v>
      </c>
      <c r="N349" s="38" t="s">
        <v>1579</v>
      </c>
      <c r="P349" s="592"/>
      <c r="Q349" s="592">
        <f>K349</f>
        <v>0</v>
      </c>
      <c r="R349" s="592"/>
      <c r="S349" s="592"/>
      <c r="T349" s="592"/>
      <c r="U349" s="592"/>
      <c r="V349" s="592"/>
      <c r="W349" s="592"/>
      <c r="X349" s="592"/>
      <c r="AB349" s="56">
        <f>IF(AS349="5",BL349,0)</f>
        <v>0</v>
      </c>
      <c r="AD349" s="56">
        <f>IF(AS349="1",BJ349,0)</f>
        <v>0</v>
      </c>
      <c r="AE349" s="56">
        <f>IF(AS349="1",BK349,0)</f>
        <v>0</v>
      </c>
      <c r="AF349" s="56">
        <f>IF(AS349="7",BJ349,0)</f>
        <v>0</v>
      </c>
      <c r="AG349" s="56">
        <f>IF(AS349="7",BK349,0)</f>
        <v>0</v>
      </c>
      <c r="AH349" s="56">
        <f>IF(AS349="2",BJ349,0)</f>
        <v>0</v>
      </c>
      <c r="AI349" s="56">
        <f>IF(AS349="2",BK349,0)</f>
        <v>0</v>
      </c>
      <c r="AJ349" s="56">
        <f>IF(AS349="0",BL349,0)</f>
        <v>0</v>
      </c>
      <c r="AK349" s="7" t="s">
        <v>1746</v>
      </c>
      <c r="AL349" s="80">
        <f>IF(AP349=0,K349,0)</f>
        <v>0</v>
      </c>
      <c r="AM349" s="80">
        <f>IF(AP349=15,K349,0)</f>
        <v>0</v>
      </c>
      <c r="AN349" s="80">
        <f>IF(AP349=21,K349,0)</f>
        <v>0</v>
      </c>
      <c r="AP349" s="56">
        <v>21</v>
      </c>
      <c r="AQ349" s="88">
        <f>H349*1</f>
        <v>0</v>
      </c>
      <c r="AR349" s="88">
        <f>H349*(1-1)</f>
        <v>0</v>
      </c>
      <c r="AS349" s="64" t="s">
        <v>2297</v>
      </c>
      <c r="AX349" s="56">
        <f>AY349+AZ349</f>
        <v>0</v>
      </c>
      <c r="AY349" s="56">
        <f>G349*AQ349</f>
        <v>0</v>
      </c>
      <c r="AZ349" s="56">
        <f>G349*AR349</f>
        <v>0</v>
      </c>
      <c r="BA349" s="21" t="s">
        <v>1554</v>
      </c>
      <c r="BB349" s="21" t="s">
        <v>233</v>
      </c>
      <c r="BC349" s="7" t="s">
        <v>1747</v>
      </c>
      <c r="BE349" s="56">
        <f>AY349+AZ349</f>
        <v>0</v>
      </c>
      <c r="BF349" s="56">
        <f>H349/(100-BG349)*100</f>
        <v>0</v>
      </c>
      <c r="BG349" s="56">
        <v>0</v>
      </c>
      <c r="BH349" s="56">
        <f>M349</f>
        <v>6.3E-2</v>
      </c>
      <c r="BJ349" s="80">
        <f>G349*AQ349</f>
        <v>0</v>
      </c>
      <c r="BK349" s="80">
        <f>G349*AR349</f>
        <v>0</v>
      </c>
      <c r="BL349" s="80">
        <f>G349*H349</f>
        <v>0</v>
      </c>
      <c r="BM349" s="80"/>
      <c r="BN349" s="56">
        <v>64</v>
      </c>
    </row>
    <row r="350" spans="1:66" ht="15" customHeight="1">
      <c r="A350" s="36"/>
      <c r="B350" s="510"/>
      <c r="C350" s="535"/>
      <c r="D350" s="519" t="s">
        <v>2007</v>
      </c>
      <c r="E350" s="520" t="s">
        <v>1597</v>
      </c>
      <c r="F350" s="510"/>
      <c r="G350" s="521">
        <v>3.0000000000000004</v>
      </c>
      <c r="H350" s="510"/>
      <c r="I350" s="510"/>
      <c r="J350" s="510"/>
      <c r="K350" s="535"/>
      <c r="N350" s="19"/>
      <c r="P350" s="592"/>
      <c r="Q350" s="592"/>
      <c r="R350" s="592"/>
      <c r="S350" s="592"/>
      <c r="T350" s="592"/>
      <c r="U350" s="592"/>
      <c r="V350" s="592"/>
      <c r="W350" s="592"/>
      <c r="X350" s="592"/>
    </row>
    <row r="351" spans="1:66" ht="15" customHeight="1">
      <c r="A351" s="8" t="s">
        <v>1046</v>
      </c>
      <c r="B351" s="541" t="s">
        <v>1746</v>
      </c>
      <c r="C351" s="549" t="s">
        <v>1064</v>
      </c>
      <c r="D351" s="714" t="s">
        <v>1013</v>
      </c>
      <c r="E351" s="714"/>
      <c r="F351" s="541" t="s">
        <v>564</v>
      </c>
      <c r="G351" s="542">
        <v>1</v>
      </c>
      <c r="H351" s="626"/>
      <c r="I351" s="542">
        <f>G351*AQ351</f>
        <v>0</v>
      </c>
      <c r="J351" s="542">
        <f>G351*AR351</f>
        <v>0</v>
      </c>
      <c r="K351" s="548">
        <f>G351*H351</f>
        <v>0</v>
      </c>
      <c r="L351" s="80">
        <v>3.7999999999999999E-2</v>
      </c>
      <c r="M351" s="80">
        <f>G351*L351</f>
        <v>3.7999999999999999E-2</v>
      </c>
      <c r="N351" s="38" t="s">
        <v>1579</v>
      </c>
      <c r="P351" s="592"/>
      <c r="Q351" s="592">
        <f>K351</f>
        <v>0</v>
      </c>
      <c r="R351" s="592"/>
      <c r="S351" s="592"/>
      <c r="T351" s="592"/>
      <c r="U351" s="592"/>
      <c r="V351" s="592"/>
      <c r="W351" s="592"/>
      <c r="X351" s="592"/>
      <c r="AB351" s="56">
        <f>IF(AS351="5",BL351,0)</f>
        <v>0</v>
      </c>
      <c r="AD351" s="56">
        <f>IF(AS351="1",BJ351,0)</f>
        <v>0</v>
      </c>
      <c r="AE351" s="56">
        <f>IF(AS351="1",BK351,0)</f>
        <v>0</v>
      </c>
      <c r="AF351" s="56">
        <f>IF(AS351="7",BJ351,0)</f>
        <v>0</v>
      </c>
      <c r="AG351" s="56">
        <f>IF(AS351="7",BK351,0)</f>
        <v>0</v>
      </c>
      <c r="AH351" s="56">
        <f>IF(AS351="2",BJ351,0)</f>
        <v>0</v>
      </c>
      <c r="AI351" s="56">
        <f>IF(AS351="2",BK351,0)</f>
        <v>0</v>
      </c>
      <c r="AJ351" s="56">
        <f>IF(AS351="0",BL351,0)</f>
        <v>0</v>
      </c>
      <c r="AK351" s="7" t="s">
        <v>1746</v>
      </c>
      <c r="AL351" s="80">
        <f>IF(AP351=0,K351,0)</f>
        <v>0</v>
      </c>
      <c r="AM351" s="80">
        <f>IF(AP351=15,K351,0)</f>
        <v>0</v>
      </c>
      <c r="AN351" s="80">
        <f>IF(AP351=21,K351,0)</f>
        <v>0</v>
      </c>
      <c r="AP351" s="56">
        <v>21</v>
      </c>
      <c r="AQ351" s="88">
        <f>H351*1</f>
        <v>0</v>
      </c>
      <c r="AR351" s="88">
        <f>H351*(1-1)</f>
        <v>0</v>
      </c>
      <c r="AS351" s="64" t="s">
        <v>2297</v>
      </c>
      <c r="AX351" s="56">
        <f>AY351+AZ351</f>
        <v>0</v>
      </c>
      <c r="AY351" s="56">
        <f>G351*AQ351</f>
        <v>0</v>
      </c>
      <c r="AZ351" s="56">
        <f>G351*AR351</f>
        <v>0</v>
      </c>
      <c r="BA351" s="21" t="s">
        <v>1554</v>
      </c>
      <c r="BB351" s="21" t="s">
        <v>233</v>
      </c>
      <c r="BC351" s="7" t="s">
        <v>1747</v>
      </c>
      <c r="BE351" s="56">
        <f>AY351+AZ351</f>
        <v>0</v>
      </c>
      <c r="BF351" s="56">
        <f>H351/(100-BG351)*100</f>
        <v>0</v>
      </c>
      <c r="BG351" s="56">
        <v>0</v>
      </c>
      <c r="BH351" s="56">
        <f>M351</f>
        <v>3.7999999999999999E-2</v>
      </c>
      <c r="BJ351" s="80">
        <f>G351*AQ351</f>
        <v>0</v>
      </c>
      <c r="BK351" s="80">
        <f>G351*AR351</f>
        <v>0</v>
      </c>
      <c r="BL351" s="80">
        <f>G351*H351</f>
        <v>0</v>
      </c>
      <c r="BM351" s="80"/>
      <c r="BN351" s="56">
        <v>64</v>
      </c>
    </row>
    <row r="352" spans="1:66" ht="15" customHeight="1">
      <c r="A352" s="36"/>
      <c r="D352" s="45" t="s">
        <v>2297</v>
      </c>
      <c r="E352" s="104" t="s">
        <v>329</v>
      </c>
      <c r="G352" s="13">
        <v>1</v>
      </c>
      <c r="N352" s="19"/>
      <c r="P352" s="592"/>
      <c r="Q352" s="592"/>
      <c r="R352" s="592"/>
      <c r="S352" s="592"/>
      <c r="T352" s="592"/>
      <c r="U352" s="592"/>
      <c r="V352" s="592"/>
      <c r="W352" s="592"/>
      <c r="X352" s="592"/>
    </row>
    <row r="353" spans="1:66" ht="15" customHeight="1">
      <c r="A353" s="24" t="s">
        <v>653</v>
      </c>
      <c r="B353" s="12" t="s">
        <v>1746</v>
      </c>
      <c r="C353" s="527" t="s">
        <v>1194</v>
      </c>
      <c r="D353" s="630" t="s">
        <v>426</v>
      </c>
      <c r="E353" s="630"/>
      <c r="F353" s="12" t="s">
        <v>564</v>
      </c>
      <c r="G353" s="56">
        <v>8</v>
      </c>
      <c r="H353" s="625"/>
      <c r="I353" s="56">
        <f>G353*AQ353</f>
        <v>0</v>
      </c>
      <c r="J353" s="56">
        <f>G353*AR353</f>
        <v>0</v>
      </c>
      <c r="K353" s="528">
        <f>G353*H353</f>
        <v>0</v>
      </c>
      <c r="L353" s="56">
        <v>3.7719999999999997E-2</v>
      </c>
      <c r="M353" s="56">
        <f>G353*L353</f>
        <v>0.30175999999999997</v>
      </c>
      <c r="N353" s="31" t="s">
        <v>1579</v>
      </c>
      <c r="P353" s="592"/>
      <c r="Q353" s="592">
        <f>K353</f>
        <v>0</v>
      </c>
      <c r="R353" s="592"/>
      <c r="S353" s="592"/>
      <c r="T353" s="592"/>
      <c r="U353" s="592"/>
      <c r="V353" s="592"/>
      <c r="W353" s="592"/>
      <c r="X353" s="592"/>
      <c r="AB353" s="56">
        <f>IF(AS353="5",BL353,0)</f>
        <v>0</v>
      </c>
      <c r="AD353" s="56">
        <f>IF(AS353="1",BJ353,0)</f>
        <v>0</v>
      </c>
      <c r="AE353" s="56">
        <f>IF(AS353="1",BK353,0)</f>
        <v>0</v>
      </c>
      <c r="AF353" s="56">
        <f>IF(AS353="7",BJ353,0)</f>
        <v>0</v>
      </c>
      <c r="AG353" s="56">
        <f>IF(AS353="7",BK353,0)</f>
        <v>0</v>
      </c>
      <c r="AH353" s="56">
        <f>IF(AS353="2",BJ353,0)</f>
        <v>0</v>
      </c>
      <c r="AI353" s="56">
        <f>IF(AS353="2",BK353,0)</f>
        <v>0</v>
      </c>
      <c r="AJ353" s="56">
        <f>IF(AS353="0",BL353,0)</f>
        <v>0</v>
      </c>
      <c r="AK353" s="7" t="s">
        <v>1746</v>
      </c>
      <c r="AL353" s="56">
        <f>IF(AP353=0,K353,0)</f>
        <v>0</v>
      </c>
      <c r="AM353" s="56">
        <f>IF(AP353=15,K353,0)</f>
        <v>0</v>
      </c>
      <c r="AN353" s="56">
        <f>IF(AP353=21,K353,0)</f>
        <v>0</v>
      </c>
      <c r="AP353" s="56">
        <v>21</v>
      </c>
      <c r="AQ353" s="88">
        <f>H353*0.034762604096809</f>
        <v>0</v>
      </c>
      <c r="AR353" s="88">
        <f>H353*(1-0.034762604096809)</f>
        <v>0</v>
      </c>
      <c r="AS353" s="21" t="s">
        <v>2297</v>
      </c>
      <c r="AX353" s="56">
        <f>AY353+AZ353</f>
        <v>0</v>
      </c>
      <c r="AY353" s="56">
        <f>G353*AQ353</f>
        <v>0</v>
      </c>
      <c r="AZ353" s="56">
        <f>G353*AR353</f>
        <v>0</v>
      </c>
      <c r="BA353" s="21" t="s">
        <v>1554</v>
      </c>
      <c r="BB353" s="21" t="s">
        <v>233</v>
      </c>
      <c r="BC353" s="7" t="s">
        <v>1747</v>
      </c>
      <c r="BE353" s="56">
        <f>AY353+AZ353</f>
        <v>0</v>
      </c>
      <c r="BF353" s="56">
        <f>H353/(100-BG353)*100</f>
        <v>0</v>
      </c>
      <c r="BG353" s="56">
        <v>0</v>
      </c>
      <c r="BH353" s="56">
        <f>M353</f>
        <v>0.30175999999999997</v>
      </c>
      <c r="BJ353" s="56">
        <f>G353*AQ353</f>
        <v>0</v>
      </c>
      <c r="BK353" s="56">
        <f>G353*AR353</f>
        <v>0</v>
      </c>
      <c r="BL353" s="56">
        <f>G353*H353</f>
        <v>0</v>
      </c>
      <c r="BM353" s="56"/>
      <c r="BN353" s="56">
        <v>64</v>
      </c>
    </row>
    <row r="354" spans="1:66" ht="15" customHeight="1">
      <c r="A354" s="36"/>
      <c r="D354" s="45" t="s">
        <v>402</v>
      </c>
      <c r="E354" s="104" t="s">
        <v>1597</v>
      </c>
      <c r="G354" s="13">
        <v>8</v>
      </c>
      <c r="N354" s="19"/>
      <c r="P354" s="592"/>
      <c r="Q354" s="592"/>
      <c r="R354" s="592"/>
      <c r="S354" s="592"/>
      <c r="T354" s="592"/>
      <c r="U354" s="592"/>
      <c r="V354" s="592"/>
      <c r="W354" s="592"/>
      <c r="X354" s="592"/>
    </row>
    <row r="355" spans="1:66" ht="15" customHeight="1">
      <c r="A355" s="8" t="s">
        <v>612</v>
      </c>
      <c r="B355" s="541" t="s">
        <v>1746</v>
      </c>
      <c r="C355" s="549" t="s">
        <v>2065</v>
      </c>
      <c r="D355" s="714" t="s">
        <v>172</v>
      </c>
      <c r="E355" s="714"/>
      <c r="F355" s="541" t="s">
        <v>564</v>
      </c>
      <c r="G355" s="542">
        <v>1</v>
      </c>
      <c r="H355" s="626"/>
      <c r="I355" s="542">
        <f>G355*AQ355</f>
        <v>0</v>
      </c>
      <c r="J355" s="542">
        <f>G355*AR355</f>
        <v>0</v>
      </c>
      <c r="K355" s="548">
        <f>G355*H355</f>
        <v>0</v>
      </c>
      <c r="L355" s="80">
        <v>1.4489999999999999E-2</v>
      </c>
      <c r="M355" s="80">
        <f>G355*L355</f>
        <v>1.4489999999999999E-2</v>
      </c>
      <c r="N355" s="38" t="s">
        <v>1579</v>
      </c>
      <c r="P355" s="592"/>
      <c r="Q355" s="592">
        <f>K355</f>
        <v>0</v>
      </c>
      <c r="R355" s="592"/>
      <c r="S355" s="592"/>
      <c r="T355" s="592"/>
      <c r="U355" s="592"/>
      <c r="V355" s="592"/>
      <c r="W355" s="592"/>
      <c r="X355" s="592"/>
      <c r="AB355" s="56">
        <f>IF(AS355="5",BL355,0)</f>
        <v>0</v>
      </c>
      <c r="AD355" s="56">
        <f>IF(AS355="1",BJ355,0)</f>
        <v>0</v>
      </c>
      <c r="AE355" s="56">
        <f>IF(AS355="1",BK355,0)</f>
        <v>0</v>
      </c>
      <c r="AF355" s="56">
        <f>IF(AS355="7",BJ355,0)</f>
        <v>0</v>
      </c>
      <c r="AG355" s="56">
        <f>IF(AS355="7",BK355,0)</f>
        <v>0</v>
      </c>
      <c r="AH355" s="56">
        <f>IF(AS355="2",BJ355,0)</f>
        <v>0</v>
      </c>
      <c r="AI355" s="56">
        <f>IF(AS355="2",BK355,0)</f>
        <v>0</v>
      </c>
      <c r="AJ355" s="56">
        <f>IF(AS355="0",BL355,0)</f>
        <v>0</v>
      </c>
      <c r="AK355" s="7" t="s">
        <v>1746</v>
      </c>
      <c r="AL355" s="80">
        <f>IF(AP355=0,K355,0)</f>
        <v>0</v>
      </c>
      <c r="AM355" s="80">
        <f>IF(AP355=15,K355,0)</f>
        <v>0</v>
      </c>
      <c r="AN355" s="80">
        <f>IF(AP355=21,K355,0)</f>
        <v>0</v>
      </c>
      <c r="AP355" s="56">
        <v>21</v>
      </c>
      <c r="AQ355" s="88">
        <f>H355*1</f>
        <v>0</v>
      </c>
      <c r="AR355" s="88">
        <f>H355*(1-1)</f>
        <v>0</v>
      </c>
      <c r="AS355" s="64" t="s">
        <v>2297</v>
      </c>
      <c r="AX355" s="56">
        <f>AY355+AZ355</f>
        <v>0</v>
      </c>
      <c r="AY355" s="56">
        <f>G355*AQ355</f>
        <v>0</v>
      </c>
      <c r="AZ355" s="56">
        <f>G355*AR355</f>
        <v>0</v>
      </c>
      <c r="BA355" s="21" t="s">
        <v>1554</v>
      </c>
      <c r="BB355" s="21" t="s">
        <v>233</v>
      </c>
      <c r="BC355" s="7" t="s">
        <v>1747</v>
      </c>
      <c r="BE355" s="56">
        <f>AY355+AZ355</f>
        <v>0</v>
      </c>
      <c r="BF355" s="56">
        <f>H355/(100-BG355)*100</f>
        <v>0</v>
      </c>
      <c r="BG355" s="56">
        <v>0</v>
      </c>
      <c r="BH355" s="56">
        <f>M355</f>
        <v>1.4489999999999999E-2</v>
      </c>
      <c r="BJ355" s="80">
        <f>G355*AQ355</f>
        <v>0</v>
      </c>
      <c r="BK355" s="80">
        <f>G355*AR355</f>
        <v>0</v>
      </c>
      <c r="BL355" s="80">
        <f>G355*H355</f>
        <v>0</v>
      </c>
      <c r="BM355" s="80"/>
      <c r="BN355" s="56">
        <v>64</v>
      </c>
    </row>
    <row r="356" spans="1:66" ht="15" customHeight="1">
      <c r="A356" s="36"/>
      <c r="B356" s="510"/>
      <c r="C356" s="535"/>
      <c r="D356" s="519" t="s">
        <v>2297</v>
      </c>
      <c r="E356" s="520" t="s">
        <v>1597</v>
      </c>
      <c r="F356" s="510"/>
      <c r="G356" s="521">
        <v>1</v>
      </c>
      <c r="H356" s="510"/>
      <c r="I356" s="510"/>
      <c r="J356" s="510"/>
      <c r="K356" s="535"/>
      <c r="N356" s="19"/>
      <c r="P356" s="592"/>
      <c r="Q356" s="592"/>
      <c r="R356" s="592"/>
      <c r="S356" s="592"/>
      <c r="T356" s="592"/>
      <c r="U356" s="592"/>
      <c r="V356" s="592"/>
      <c r="W356" s="592"/>
      <c r="X356" s="592"/>
    </row>
    <row r="357" spans="1:66" ht="15" customHeight="1">
      <c r="A357" s="8" t="s">
        <v>2350</v>
      </c>
      <c r="B357" s="541" t="s">
        <v>1746</v>
      </c>
      <c r="C357" s="549" t="s">
        <v>848</v>
      </c>
      <c r="D357" s="714" t="s">
        <v>966</v>
      </c>
      <c r="E357" s="714"/>
      <c r="F357" s="541" t="s">
        <v>564</v>
      </c>
      <c r="G357" s="542">
        <v>1</v>
      </c>
      <c r="H357" s="626"/>
      <c r="I357" s="542">
        <f>G357*AQ357</f>
        <v>0</v>
      </c>
      <c r="J357" s="542">
        <f>G357*AR357</f>
        <v>0</v>
      </c>
      <c r="K357" s="548">
        <f>G357*H357</f>
        <v>0</v>
      </c>
      <c r="L357" s="80">
        <v>1.396E-2</v>
      </c>
      <c r="M357" s="80">
        <f>G357*L357</f>
        <v>1.396E-2</v>
      </c>
      <c r="N357" s="38" t="s">
        <v>1579</v>
      </c>
      <c r="P357" s="592"/>
      <c r="Q357" s="592">
        <f>K357</f>
        <v>0</v>
      </c>
      <c r="R357" s="592"/>
      <c r="S357" s="592"/>
      <c r="T357" s="592"/>
      <c r="U357" s="592"/>
      <c r="V357" s="592"/>
      <c r="W357" s="592"/>
      <c r="X357" s="592"/>
      <c r="AB357" s="56">
        <f>IF(AS357="5",BL357,0)</f>
        <v>0</v>
      </c>
      <c r="AD357" s="56">
        <f>IF(AS357="1",BJ357,0)</f>
        <v>0</v>
      </c>
      <c r="AE357" s="56">
        <f>IF(AS357="1",BK357,0)</f>
        <v>0</v>
      </c>
      <c r="AF357" s="56">
        <f>IF(AS357="7",BJ357,0)</f>
        <v>0</v>
      </c>
      <c r="AG357" s="56">
        <f>IF(AS357="7",BK357,0)</f>
        <v>0</v>
      </c>
      <c r="AH357" s="56">
        <f>IF(AS357="2",BJ357,0)</f>
        <v>0</v>
      </c>
      <c r="AI357" s="56">
        <f>IF(AS357="2",BK357,0)</f>
        <v>0</v>
      </c>
      <c r="AJ357" s="56">
        <f>IF(AS357="0",BL357,0)</f>
        <v>0</v>
      </c>
      <c r="AK357" s="7" t="s">
        <v>1746</v>
      </c>
      <c r="AL357" s="80">
        <f>IF(AP357=0,K357,0)</f>
        <v>0</v>
      </c>
      <c r="AM357" s="80">
        <f>IF(AP357=15,K357,0)</f>
        <v>0</v>
      </c>
      <c r="AN357" s="80">
        <f>IF(AP357=21,K357,0)</f>
        <v>0</v>
      </c>
      <c r="AP357" s="56">
        <v>21</v>
      </c>
      <c r="AQ357" s="88">
        <f>H357*1</f>
        <v>0</v>
      </c>
      <c r="AR357" s="88">
        <f>H357*(1-1)</f>
        <v>0</v>
      </c>
      <c r="AS357" s="64" t="s">
        <v>2297</v>
      </c>
      <c r="AX357" s="56">
        <f>AY357+AZ357</f>
        <v>0</v>
      </c>
      <c r="AY357" s="56">
        <f>G357*AQ357</f>
        <v>0</v>
      </c>
      <c r="AZ357" s="56">
        <f>G357*AR357</f>
        <v>0</v>
      </c>
      <c r="BA357" s="21" t="s">
        <v>1554</v>
      </c>
      <c r="BB357" s="21" t="s">
        <v>233</v>
      </c>
      <c r="BC357" s="7" t="s">
        <v>1747</v>
      </c>
      <c r="BE357" s="56">
        <f>AY357+AZ357</f>
        <v>0</v>
      </c>
      <c r="BF357" s="56">
        <f>H357/(100-BG357)*100</f>
        <v>0</v>
      </c>
      <c r="BG357" s="56">
        <v>0</v>
      </c>
      <c r="BH357" s="56">
        <f>M357</f>
        <v>1.396E-2</v>
      </c>
      <c r="BJ357" s="80">
        <f>G357*AQ357</f>
        <v>0</v>
      </c>
      <c r="BK357" s="80">
        <f>G357*AR357</f>
        <v>0</v>
      </c>
      <c r="BL357" s="80">
        <f>G357*H357</f>
        <v>0</v>
      </c>
      <c r="BM357" s="80"/>
      <c r="BN357" s="56">
        <v>64</v>
      </c>
    </row>
    <row r="358" spans="1:66" ht="15" customHeight="1">
      <c r="A358" s="36"/>
      <c r="B358" s="510"/>
      <c r="C358" s="535"/>
      <c r="D358" s="519" t="s">
        <v>2297</v>
      </c>
      <c r="E358" s="520" t="s">
        <v>1597</v>
      </c>
      <c r="F358" s="510"/>
      <c r="G358" s="521">
        <v>1</v>
      </c>
      <c r="H358" s="510"/>
      <c r="I358" s="510"/>
      <c r="J358" s="510"/>
      <c r="K358" s="535"/>
      <c r="N358" s="19"/>
      <c r="P358" s="592"/>
      <c r="Q358" s="592"/>
      <c r="R358" s="592"/>
      <c r="S358" s="592"/>
      <c r="T358" s="592"/>
      <c r="U358" s="592"/>
      <c r="V358" s="592"/>
      <c r="W358" s="592"/>
      <c r="X358" s="592"/>
    </row>
    <row r="359" spans="1:66" ht="15" customHeight="1">
      <c r="A359" s="8" t="s">
        <v>842</v>
      </c>
      <c r="B359" s="541" t="s">
        <v>1746</v>
      </c>
      <c r="C359" s="549" t="s">
        <v>1736</v>
      </c>
      <c r="D359" s="714" t="s">
        <v>2347</v>
      </c>
      <c r="E359" s="714"/>
      <c r="F359" s="541" t="s">
        <v>564</v>
      </c>
      <c r="G359" s="542">
        <v>4</v>
      </c>
      <c r="H359" s="626"/>
      <c r="I359" s="542">
        <f>G359*AQ359</f>
        <v>0</v>
      </c>
      <c r="J359" s="542">
        <f>G359*AR359</f>
        <v>0</v>
      </c>
      <c r="K359" s="548">
        <f>G359*H359</f>
        <v>0</v>
      </c>
      <c r="L359" s="80">
        <v>1.324E-2</v>
      </c>
      <c r="M359" s="80">
        <f>G359*L359</f>
        <v>5.296E-2</v>
      </c>
      <c r="N359" s="38" t="s">
        <v>1579</v>
      </c>
      <c r="P359" s="592"/>
      <c r="Q359" s="592">
        <f>K359</f>
        <v>0</v>
      </c>
      <c r="R359" s="592"/>
      <c r="S359" s="592"/>
      <c r="T359" s="592"/>
      <c r="U359" s="592"/>
      <c r="V359" s="592"/>
      <c r="W359" s="592"/>
      <c r="X359" s="592"/>
      <c r="AB359" s="56">
        <f>IF(AS359="5",BL359,0)</f>
        <v>0</v>
      </c>
      <c r="AD359" s="56">
        <f>IF(AS359="1",BJ359,0)</f>
        <v>0</v>
      </c>
      <c r="AE359" s="56">
        <f>IF(AS359="1",BK359,0)</f>
        <v>0</v>
      </c>
      <c r="AF359" s="56">
        <f>IF(AS359="7",BJ359,0)</f>
        <v>0</v>
      </c>
      <c r="AG359" s="56">
        <f>IF(AS359="7",BK359,0)</f>
        <v>0</v>
      </c>
      <c r="AH359" s="56">
        <f>IF(AS359="2",BJ359,0)</f>
        <v>0</v>
      </c>
      <c r="AI359" s="56">
        <f>IF(AS359="2",BK359,0)</f>
        <v>0</v>
      </c>
      <c r="AJ359" s="56">
        <f>IF(AS359="0",BL359,0)</f>
        <v>0</v>
      </c>
      <c r="AK359" s="7" t="s">
        <v>1746</v>
      </c>
      <c r="AL359" s="80">
        <f>IF(AP359=0,K359,0)</f>
        <v>0</v>
      </c>
      <c r="AM359" s="80">
        <f>IF(AP359=15,K359,0)</f>
        <v>0</v>
      </c>
      <c r="AN359" s="80">
        <f>IF(AP359=21,K359,0)</f>
        <v>0</v>
      </c>
      <c r="AP359" s="56">
        <v>21</v>
      </c>
      <c r="AQ359" s="88">
        <f>H359*1</f>
        <v>0</v>
      </c>
      <c r="AR359" s="88">
        <f>H359*(1-1)</f>
        <v>0</v>
      </c>
      <c r="AS359" s="64" t="s">
        <v>2297</v>
      </c>
      <c r="AX359" s="56">
        <f>AY359+AZ359</f>
        <v>0</v>
      </c>
      <c r="AY359" s="56">
        <f>G359*AQ359</f>
        <v>0</v>
      </c>
      <c r="AZ359" s="56">
        <f>G359*AR359</f>
        <v>0</v>
      </c>
      <c r="BA359" s="21" t="s">
        <v>1554</v>
      </c>
      <c r="BB359" s="21" t="s">
        <v>233</v>
      </c>
      <c r="BC359" s="7" t="s">
        <v>1747</v>
      </c>
      <c r="BE359" s="56">
        <f>AY359+AZ359</f>
        <v>0</v>
      </c>
      <c r="BF359" s="56">
        <f>H359/(100-BG359)*100</f>
        <v>0</v>
      </c>
      <c r="BG359" s="56">
        <v>0</v>
      </c>
      <c r="BH359" s="56">
        <f>M359</f>
        <v>5.296E-2</v>
      </c>
      <c r="BJ359" s="80">
        <f>G359*AQ359</f>
        <v>0</v>
      </c>
      <c r="BK359" s="80">
        <f>G359*AR359</f>
        <v>0</v>
      </c>
      <c r="BL359" s="80">
        <f>G359*H359</f>
        <v>0</v>
      </c>
      <c r="BM359" s="80"/>
      <c r="BN359" s="56">
        <v>64</v>
      </c>
    </row>
    <row r="360" spans="1:66" ht="15" customHeight="1">
      <c r="A360" s="36"/>
      <c r="B360" s="510"/>
      <c r="C360" s="535"/>
      <c r="D360" s="519" t="s">
        <v>258</v>
      </c>
      <c r="E360" s="520" t="s">
        <v>1597</v>
      </c>
      <c r="F360" s="510"/>
      <c r="G360" s="521">
        <v>4</v>
      </c>
      <c r="H360" s="510"/>
      <c r="I360" s="510"/>
      <c r="J360" s="510"/>
      <c r="K360" s="535"/>
      <c r="N360" s="19"/>
      <c r="P360" s="592"/>
      <c r="Q360" s="592"/>
      <c r="R360" s="592"/>
      <c r="S360" s="592"/>
      <c r="T360" s="592"/>
      <c r="U360" s="592"/>
      <c r="V360" s="592"/>
      <c r="W360" s="592"/>
      <c r="X360" s="592"/>
    </row>
    <row r="361" spans="1:66" ht="15" customHeight="1">
      <c r="A361" s="8" t="s">
        <v>632</v>
      </c>
      <c r="B361" s="541" t="s">
        <v>1746</v>
      </c>
      <c r="C361" s="549" t="s">
        <v>2238</v>
      </c>
      <c r="D361" s="714" t="s">
        <v>2521</v>
      </c>
      <c r="E361" s="714"/>
      <c r="F361" s="541" t="s">
        <v>564</v>
      </c>
      <c r="G361" s="542">
        <v>2</v>
      </c>
      <c r="H361" s="626"/>
      <c r="I361" s="542">
        <f>G361*AQ361</f>
        <v>0</v>
      </c>
      <c r="J361" s="542">
        <f>G361*AR361</f>
        <v>0</v>
      </c>
      <c r="K361" s="548">
        <f>G361*H361</f>
        <v>0</v>
      </c>
      <c r="L361" s="80">
        <v>1.158E-2</v>
      </c>
      <c r="M361" s="80">
        <f>G361*L361</f>
        <v>2.316E-2</v>
      </c>
      <c r="N361" s="38" t="s">
        <v>1579</v>
      </c>
      <c r="P361" s="592"/>
      <c r="Q361" s="592">
        <f>K361</f>
        <v>0</v>
      </c>
      <c r="R361" s="592"/>
      <c r="S361" s="592"/>
      <c r="T361" s="592"/>
      <c r="U361" s="592"/>
      <c r="V361" s="592"/>
      <c r="W361" s="592"/>
      <c r="X361" s="592"/>
      <c r="AB361" s="56">
        <f>IF(AS361="5",BL361,0)</f>
        <v>0</v>
      </c>
      <c r="AD361" s="56">
        <f>IF(AS361="1",BJ361,0)</f>
        <v>0</v>
      </c>
      <c r="AE361" s="56">
        <f>IF(AS361="1",BK361,0)</f>
        <v>0</v>
      </c>
      <c r="AF361" s="56">
        <f>IF(AS361="7",BJ361,0)</f>
        <v>0</v>
      </c>
      <c r="AG361" s="56">
        <f>IF(AS361="7",BK361,0)</f>
        <v>0</v>
      </c>
      <c r="AH361" s="56">
        <f>IF(AS361="2",BJ361,0)</f>
        <v>0</v>
      </c>
      <c r="AI361" s="56">
        <f>IF(AS361="2",BK361,0)</f>
        <v>0</v>
      </c>
      <c r="AJ361" s="56">
        <f>IF(AS361="0",BL361,0)</f>
        <v>0</v>
      </c>
      <c r="AK361" s="7" t="s">
        <v>1746</v>
      </c>
      <c r="AL361" s="80">
        <f>IF(AP361=0,K361,0)</f>
        <v>0</v>
      </c>
      <c r="AM361" s="80">
        <f>IF(AP361=15,K361,0)</f>
        <v>0</v>
      </c>
      <c r="AN361" s="80">
        <f>IF(AP361=21,K361,0)</f>
        <v>0</v>
      </c>
      <c r="AP361" s="56">
        <v>21</v>
      </c>
      <c r="AQ361" s="88">
        <f>H361*1</f>
        <v>0</v>
      </c>
      <c r="AR361" s="88">
        <f>H361*(1-1)</f>
        <v>0</v>
      </c>
      <c r="AS361" s="64" t="s">
        <v>2297</v>
      </c>
      <c r="AX361" s="56">
        <f>AY361+AZ361</f>
        <v>0</v>
      </c>
      <c r="AY361" s="56">
        <f>G361*AQ361</f>
        <v>0</v>
      </c>
      <c r="AZ361" s="56">
        <f>G361*AR361</f>
        <v>0</v>
      </c>
      <c r="BA361" s="21" t="s">
        <v>1554</v>
      </c>
      <c r="BB361" s="21" t="s">
        <v>233</v>
      </c>
      <c r="BC361" s="7" t="s">
        <v>1747</v>
      </c>
      <c r="BE361" s="56">
        <f>AY361+AZ361</f>
        <v>0</v>
      </c>
      <c r="BF361" s="56">
        <f>H361/(100-BG361)*100</f>
        <v>0</v>
      </c>
      <c r="BG361" s="56">
        <v>0</v>
      </c>
      <c r="BH361" s="56">
        <f>M361</f>
        <v>2.316E-2</v>
      </c>
      <c r="BJ361" s="80">
        <f>G361*AQ361</f>
        <v>0</v>
      </c>
      <c r="BK361" s="80">
        <f>G361*AR361</f>
        <v>0</v>
      </c>
      <c r="BL361" s="80">
        <f>G361*H361</f>
        <v>0</v>
      </c>
      <c r="BM361" s="80"/>
      <c r="BN361" s="56">
        <v>64</v>
      </c>
    </row>
    <row r="362" spans="1:66" ht="15" customHeight="1">
      <c r="A362" s="36"/>
      <c r="B362" s="510"/>
      <c r="C362" s="535"/>
      <c r="D362" s="519" t="s">
        <v>1589</v>
      </c>
      <c r="E362" s="520" t="s">
        <v>1597</v>
      </c>
      <c r="F362" s="510"/>
      <c r="G362" s="521">
        <v>2</v>
      </c>
      <c r="H362" s="510"/>
      <c r="I362" s="510"/>
      <c r="J362" s="510"/>
      <c r="K362" s="535"/>
      <c r="N362" s="19"/>
      <c r="P362" s="592"/>
      <c r="Q362" s="592"/>
      <c r="R362" s="592"/>
      <c r="S362" s="592"/>
      <c r="T362" s="592"/>
      <c r="U362" s="592"/>
      <c r="V362" s="592"/>
      <c r="W362" s="592"/>
      <c r="X362" s="592"/>
    </row>
    <row r="363" spans="1:66" ht="15" customHeight="1">
      <c r="A363" s="8" t="s">
        <v>1743</v>
      </c>
      <c r="B363" s="541" t="s">
        <v>1746</v>
      </c>
      <c r="C363" s="549" t="s">
        <v>445</v>
      </c>
      <c r="D363" s="714" t="s">
        <v>1237</v>
      </c>
      <c r="E363" s="714"/>
      <c r="F363" s="541" t="s">
        <v>564</v>
      </c>
      <c r="G363" s="542">
        <v>2</v>
      </c>
      <c r="H363" s="626"/>
      <c r="I363" s="542">
        <f>G363*AQ363</f>
        <v>0</v>
      </c>
      <c r="J363" s="542">
        <f>G363*AR363</f>
        <v>0</v>
      </c>
      <c r="K363" s="548">
        <f>G363*H363</f>
        <v>0</v>
      </c>
      <c r="L363" s="80">
        <v>3.2000000000000001E-2</v>
      </c>
      <c r="M363" s="80">
        <f>G363*L363</f>
        <v>6.4000000000000001E-2</v>
      </c>
      <c r="N363" s="38" t="s">
        <v>1579</v>
      </c>
      <c r="P363" s="592"/>
      <c r="Q363" s="592">
        <f>K363</f>
        <v>0</v>
      </c>
      <c r="R363" s="592"/>
      <c r="S363" s="592"/>
      <c r="T363" s="592"/>
      <c r="U363" s="592"/>
      <c r="V363" s="592"/>
      <c r="W363" s="592"/>
      <c r="X363" s="592"/>
      <c r="AB363" s="56">
        <f>IF(AS363="5",BL363,0)</f>
        <v>0</v>
      </c>
      <c r="AD363" s="56">
        <f>IF(AS363="1",BJ363,0)</f>
        <v>0</v>
      </c>
      <c r="AE363" s="56">
        <f>IF(AS363="1",BK363,0)</f>
        <v>0</v>
      </c>
      <c r="AF363" s="56">
        <f>IF(AS363="7",BJ363,0)</f>
        <v>0</v>
      </c>
      <c r="AG363" s="56">
        <f>IF(AS363="7",BK363,0)</f>
        <v>0</v>
      </c>
      <c r="AH363" s="56">
        <f>IF(AS363="2",BJ363,0)</f>
        <v>0</v>
      </c>
      <c r="AI363" s="56">
        <f>IF(AS363="2",BK363,0)</f>
        <v>0</v>
      </c>
      <c r="AJ363" s="56">
        <f>IF(AS363="0",BL363,0)</f>
        <v>0</v>
      </c>
      <c r="AK363" s="7" t="s">
        <v>1746</v>
      </c>
      <c r="AL363" s="80">
        <f>IF(AP363=0,K363,0)</f>
        <v>0</v>
      </c>
      <c r="AM363" s="80">
        <f>IF(AP363=15,K363,0)</f>
        <v>0</v>
      </c>
      <c r="AN363" s="80">
        <f>IF(AP363=21,K363,0)</f>
        <v>0</v>
      </c>
      <c r="AP363" s="56">
        <v>21</v>
      </c>
      <c r="AQ363" s="88">
        <f>H363*1</f>
        <v>0</v>
      </c>
      <c r="AR363" s="88">
        <f>H363*(1-1)</f>
        <v>0</v>
      </c>
      <c r="AS363" s="64" t="s">
        <v>2297</v>
      </c>
      <c r="AX363" s="56">
        <f>AY363+AZ363</f>
        <v>0</v>
      </c>
      <c r="AY363" s="56">
        <f>G363*AQ363</f>
        <v>0</v>
      </c>
      <c r="AZ363" s="56">
        <f>G363*AR363</f>
        <v>0</v>
      </c>
      <c r="BA363" s="21" t="s">
        <v>1554</v>
      </c>
      <c r="BB363" s="21" t="s">
        <v>233</v>
      </c>
      <c r="BC363" s="7" t="s">
        <v>1747</v>
      </c>
      <c r="BE363" s="56">
        <f>AY363+AZ363</f>
        <v>0</v>
      </c>
      <c r="BF363" s="56">
        <f>H363/(100-BG363)*100</f>
        <v>0</v>
      </c>
      <c r="BG363" s="56">
        <v>0</v>
      </c>
      <c r="BH363" s="56">
        <f>M363</f>
        <v>6.4000000000000001E-2</v>
      </c>
      <c r="BJ363" s="80">
        <f>G363*AQ363</f>
        <v>0</v>
      </c>
      <c r="BK363" s="80">
        <f>G363*AR363</f>
        <v>0</v>
      </c>
      <c r="BL363" s="80">
        <f>G363*H363</f>
        <v>0</v>
      </c>
      <c r="BM363" s="80"/>
      <c r="BN363" s="56">
        <v>64</v>
      </c>
    </row>
    <row r="364" spans="1:66" ht="15" customHeight="1">
      <c r="A364" s="36"/>
      <c r="B364" s="510"/>
      <c r="C364" s="535"/>
      <c r="D364" s="519" t="s">
        <v>1589</v>
      </c>
      <c r="E364" s="520" t="s">
        <v>1597</v>
      </c>
      <c r="F364" s="510"/>
      <c r="G364" s="521">
        <v>2</v>
      </c>
      <c r="H364" s="510"/>
      <c r="I364" s="510"/>
      <c r="J364" s="510"/>
      <c r="K364" s="535"/>
      <c r="N364" s="19"/>
      <c r="P364" s="592"/>
      <c r="Q364" s="592"/>
      <c r="R364" s="592"/>
      <c r="S364" s="592"/>
      <c r="T364" s="592"/>
      <c r="U364" s="592"/>
      <c r="V364" s="592"/>
      <c r="W364" s="592"/>
      <c r="X364" s="592"/>
    </row>
    <row r="365" spans="1:66" ht="15" customHeight="1">
      <c r="A365" s="8" t="s">
        <v>293</v>
      </c>
      <c r="B365" s="541" t="s">
        <v>1746</v>
      </c>
      <c r="C365" s="549" t="s">
        <v>1972</v>
      </c>
      <c r="D365" s="714" t="s">
        <v>1226</v>
      </c>
      <c r="E365" s="714"/>
      <c r="F365" s="541" t="s">
        <v>564</v>
      </c>
      <c r="G365" s="542">
        <v>4</v>
      </c>
      <c r="H365" s="626"/>
      <c r="I365" s="542">
        <f>G365*AQ365</f>
        <v>0</v>
      </c>
      <c r="J365" s="542">
        <f>G365*AR365</f>
        <v>0</v>
      </c>
      <c r="K365" s="548">
        <f>G365*H365</f>
        <v>0</v>
      </c>
      <c r="L365" s="80">
        <v>3.4000000000000002E-2</v>
      </c>
      <c r="M365" s="80">
        <f>G365*L365</f>
        <v>0.13600000000000001</v>
      </c>
      <c r="N365" s="38" t="s">
        <v>1579</v>
      </c>
      <c r="P365" s="592"/>
      <c r="Q365" s="592">
        <f>K365</f>
        <v>0</v>
      </c>
      <c r="R365" s="592"/>
      <c r="S365" s="592"/>
      <c r="T365" s="592"/>
      <c r="U365" s="592"/>
      <c r="V365" s="592"/>
      <c r="W365" s="592"/>
      <c r="X365" s="592"/>
      <c r="AB365" s="56">
        <f>IF(AS365="5",BL365,0)</f>
        <v>0</v>
      </c>
      <c r="AD365" s="56">
        <f>IF(AS365="1",BJ365,0)</f>
        <v>0</v>
      </c>
      <c r="AE365" s="56">
        <f>IF(AS365="1",BK365,0)</f>
        <v>0</v>
      </c>
      <c r="AF365" s="56">
        <f>IF(AS365="7",BJ365,0)</f>
        <v>0</v>
      </c>
      <c r="AG365" s="56">
        <f>IF(AS365="7",BK365,0)</f>
        <v>0</v>
      </c>
      <c r="AH365" s="56">
        <f>IF(AS365="2",BJ365,0)</f>
        <v>0</v>
      </c>
      <c r="AI365" s="56">
        <f>IF(AS365="2",BK365,0)</f>
        <v>0</v>
      </c>
      <c r="AJ365" s="56">
        <f>IF(AS365="0",BL365,0)</f>
        <v>0</v>
      </c>
      <c r="AK365" s="7" t="s">
        <v>1746</v>
      </c>
      <c r="AL365" s="80">
        <f>IF(AP365=0,K365,0)</f>
        <v>0</v>
      </c>
      <c r="AM365" s="80">
        <f>IF(AP365=15,K365,0)</f>
        <v>0</v>
      </c>
      <c r="AN365" s="80">
        <f>IF(AP365=21,K365,0)</f>
        <v>0</v>
      </c>
      <c r="AP365" s="56">
        <v>21</v>
      </c>
      <c r="AQ365" s="88">
        <f>H365*1</f>
        <v>0</v>
      </c>
      <c r="AR365" s="88">
        <f>H365*(1-1)</f>
        <v>0</v>
      </c>
      <c r="AS365" s="64" t="s">
        <v>2297</v>
      </c>
      <c r="AX365" s="56">
        <f>AY365+AZ365</f>
        <v>0</v>
      </c>
      <c r="AY365" s="56">
        <f>G365*AQ365</f>
        <v>0</v>
      </c>
      <c r="AZ365" s="56">
        <f>G365*AR365</f>
        <v>0</v>
      </c>
      <c r="BA365" s="21" t="s">
        <v>1554</v>
      </c>
      <c r="BB365" s="21" t="s">
        <v>233</v>
      </c>
      <c r="BC365" s="7" t="s">
        <v>1747</v>
      </c>
      <c r="BE365" s="56">
        <f>AY365+AZ365</f>
        <v>0</v>
      </c>
      <c r="BF365" s="56">
        <f>H365/(100-BG365)*100</f>
        <v>0</v>
      </c>
      <c r="BG365" s="56">
        <v>0</v>
      </c>
      <c r="BH365" s="56">
        <f>M365</f>
        <v>0.13600000000000001</v>
      </c>
      <c r="BJ365" s="80">
        <f>G365*AQ365</f>
        <v>0</v>
      </c>
      <c r="BK365" s="80">
        <f>G365*AR365</f>
        <v>0</v>
      </c>
      <c r="BL365" s="80">
        <f>G365*H365</f>
        <v>0</v>
      </c>
      <c r="BM365" s="80"/>
      <c r="BN365" s="56">
        <v>64</v>
      </c>
    </row>
    <row r="366" spans="1:66" ht="15" customHeight="1">
      <c r="A366" s="36"/>
      <c r="B366" s="510"/>
      <c r="C366" s="535"/>
      <c r="D366" s="519" t="s">
        <v>258</v>
      </c>
      <c r="E366" s="520" t="s">
        <v>1597</v>
      </c>
      <c r="F366" s="510"/>
      <c r="G366" s="521">
        <v>4</v>
      </c>
      <c r="H366" s="510"/>
      <c r="I366" s="510"/>
      <c r="J366" s="510"/>
      <c r="K366" s="535"/>
      <c r="N366" s="19"/>
      <c r="P366" s="592"/>
      <c r="Q366" s="592"/>
      <c r="R366" s="592"/>
      <c r="S366" s="592"/>
      <c r="T366" s="592"/>
      <c r="U366" s="592"/>
      <c r="V366" s="592"/>
      <c r="W366" s="592"/>
      <c r="X366" s="592"/>
    </row>
    <row r="367" spans="1:66" ht="15" customHeight="1">
      <c r="A367" s="8" t="s">
        <v>2155</v>
      </c>
      <c r="B367" s="541" t="s">
        <v>1746</v>
      </c>
      <c r="C367" s="549" t="s">
        <v>311</v>
      </c>
      <c r="D367" s="714" t="s">
        <v>2557</v>
      </c>
      <c r="E367" s="714"/>
      <c r="F367" s="541" t="s">
        <v>564</v>
      </c>
      <c r="G367" s="542">
        <v>1</v>
      </c>
      <c r="H367" s="626"/>
      <c r="I367" s="542">
        <f>G367*AQ367</f>
        <v>0</v>
      </c>
      <c r="J367" s="542">
        <f>G367*AR367</f>
        <v>0</v>
      </c>
      <c r="K367" s="548">
        <f>G367*H367</f>
        <v>0</v>
      </c>
      <c r="L367" s="80">
        <v>4.3999999999999997E-2</v>
      </c>
      <c r="M367" s="80">
        <f>G367*L367</f>
        <v>4.3999999999999997E-2</v>
      </c>
      <c r="N367" s="38" t="s">
        <v>1579</v>
      </c>
      <c r="P367" s="592"/>
      <c r="Q367" s="592">
        <f>K367</f>
        <v>0</v>
      </c>
      <c r="R367" s="592"/>
      <c r="S367" s="592"/>
      <c r="T367" s="592"/>
      <c r="U367" s="592"/>
      <c r="V367" s="592"/>
      <c r="W367" s="592"/>
      <c r="X367" s="592"/>
      <c r="AB367" s="56">
        <f>IF(AS367="5",BL367,0)</f>
        <v>0</v>
      </c>
      <c r="AD367" s="56">
        <f>IF(AS367="1",BJ367,0)</f>
        <v>0</v>
      </c>
      <c r="AE367" s="56">
        <f>IF(AS367="1",BK367,0)</f>
        <v>0</v>
      </c>
      <c r="AF367" s="56">
        <f>IF(AS367="7",BJ367,0)</f>
        <v>0</v>
      </c>
      <c r="AG367" s="56">
        <f>IF(AS367="7",BK367,0)</f>
        <v>0</v>
      </c>
      <c r="AH367" s="56">
        <f>IF(AS367="2",BJ367,0)</f>
        <v>0</v>
      </c>
      <c r="AI367" s="56">
        <f>IF(AS367="2",BK367,0)</f>
        <v>0</v>
      </c>
      <c r="AJ367" s="56">
        <f>IF(AS367="0",BL367,0)</f>
        <v>0</v>
      </c>
      <c r="AK367" s="7" t="s">
        <v>1746</v>
      </c>
      <c r="AL367" s="80">
        <f>IF(AP367=0,K367,0)</f>
        <v>0</v>
      </c>
      <c r="AM367" s="80">
        <f>IF(AP367=15,K367,0)</f>
        <v>0</v>
      </c>
      <c r="AN367" s="80">
        <f>IF(AP367=21,K367,0)</f>
        <v>0</v>
      </c>
      <c r="AP367" s="56">
        <v>21</v>
      </c>
      <c r="AQ367" s="88">
        <f>H367*1</f>
        <v>0</v>
      </c>
      <c r="AR367" s="88">
        <f>H367*(1-1)</f>
        <v>0</v>
      </c>
      <c r="AS367" s="64" t="s">
        <v>2297</v>
      </c>
      <c r="AX367" s="56">
        <f>AY367+AZ367</f>
        <v>0</v>
      </c>
      <c r="AY367" s="56">
        <f>G367*AQ367</f>
        <v>0</v>
      </c>
      <c r="AZ367" s="56">
        <f>G367*AR367</f>
        <v>0</v>
      </c>
      <c r="BA367" s="21" t="s">
        <v>1554</v>
      </c>
      <c r="BB367" s="21" t="s">
        <v>233</v>
      </c>
      <c r="BC367" s="7" t="s">
        <v>1747</v>
      </c>
      <c r="BE367" s="56">
        <f>AY367+AZ367</f>
        <v>0</v>
      </c>
      <c r="BF367" s="56">
        <f>H367/(100-BG367)*100</f>
        <v>0</v>
      </c>
      <c r="BG367" s="56">
        <v>0</v>
      </c>
      <c r="BH367" s="56">
        <f>M367</f>
        <v>4.3999999999999997E-2</v>
      </c>
      <c r="BJ367" s="80">
        <f>G367*AQ367</f>
        <v>0</v>
      </c>
      <c r="BK367" s="80">
        <f>G367*AR367</f>
        <v>0</v>
      </c>
      <c r="BL367" s="80">
        <f>G367*H367</f>
        <v>0</v>
      </c>
      <c r="BM367" s="80"/>
      <c r="BN367" s="56">
        <v>64</v>
      </c>
    </row>
    <row r="368" spans="1:66" ht="15" customHeight="1">
      <c r="A368" s="36"/>
      <c r="B368" s="510"/>
      <c r="C368" s="535"/>
      <c r="D368" s="519" t="s">
        <v>2297</v>
      </c>
      <c r="E368" s="520" t="s">
        <v>1597</v>
      </c>
      <c r="F368" s="510"/>
      <c r="G368" s="521">
        <v>1</v>
      </c>
      <c r="H368" s="510"/>
      <c r="I368" s="510"/>
      <c r="J368" s="510"/>
      <c r="K368" s="535"/>
      <c r="N368" s="19"/>
      <c r="P368" s="592"/>
      <c r="Q368" s="592"/>
      <c r="R368" s="592"/>
      <c r="S368" s="592"/>
      <c r="T368" s="592"/>
      <c r="U368" s="592"/>
      <c r="V368" s="592"/>
      <c r="W368" s="592"/>
      <c r="X368" s="592"/>
    </row>
    <row r="369" spans="1:66" ht="15" customHeight="1">
      <c r="A369" s="8" t="s">
        <v>547</v>
      </c>
      <c r="B369" s="541" t="s">
        <v>1746</v>
      </c>
      <c r="C369" s="549" t="s">
        <v>1779</v>
      </c>
      <c r="D369" s="714" t="s">
        <v>673</v>
      </c>
      <c r="E369" s="714"/>
      <c r="F369" s="541" t="s">
        <v>564</v>
      </c>
      <c r="G369" s="542">
        <v>1</v>
      </c>
      <c r="H369" s="626"/>
      <c r="I369" s="542">
        <f>G369*AQ369</f>
        <v>0</v>
      </c>
      <c r="J369" s="542">
        <f>G369*AR369</f>
        <v>0</v>
      </c>
      <c r="K369" s="548">
        <f>G369*H369</f>
        <v>0</v>
      </c>
      <c r="L369" s="80">
        <v>4.2999999999999997E-2</v>
      </c>
      <c r="M369" s="80">
        <f>G369*L369</f>
        <v>4.2999999999999997E-2</v>
      </c>
      <c r="N369" s="38" t="s">
        <v>1579</v>
      </c>
      <c r="P369" s="592"/>
      <c r="Q369" s="592">
        <f>K369</f>
        <v>0</v>
      </c>
      <c r="R369" s="592"/>
      <c r="S369" s="592"/>
      <c r="T369" s="592"/>
      <c r="U369" s="592"/>
      <c r="V369" s="592"/>
      <c r="W369" s="592"/>
      <c r="X369" s="592"/>
      <c r="AB369" s="56">
        <f>IF(AS369="5",BL369,0)</f>
        <v>0</v>
      </c>
      <c r="AD369" s="56">
        <f>IF(AS369="1",BJ369,0)</f>
        <v>0</v>
      </c>
      <c r="AE369" s="56">
        <f>IF(AS369="1",BK369,0)</f>
        <v>0</v>
      </c>
      <c r="AF369" s="56">
        <f>IF(AS369="7",BJ369,0)</f>
        <v>0</v>
      </c>
      <c r="AG369" s="56">
        <f>IF(AS369="7",BK369,0)</f>
        <v>0</v>
      </c>
      <c r="AH369" s="56">
        <f>IF(AS369="2",BJ369,0)</f>
        <v>0</v>
      </c>
      <c r="AI369" s="56">
        <f>IF(AS369="2",BK369,0)</f>
        <v>0</v>
      </c>
      <c r="AJ369" s="56">
        <f>IF(AS369="0",BL369,0)</f>
        <v>0</v>
      </c>
      <c r="AK369" s="7" t="s">
        <v>1746</v>
      </c>
      <c r="AL369" s="80">
        <f>IF(AP369=0,K369,0)</f>
        <v>0</v>
      </c>
      <c r="AM369" s="80">
        <f>IF(AP369=15,K369,0)</f>
        <v>0</v>
      </c>
      <c r="AN369" s="80">
        <f>IF(AP369=21,K369,0)</f>
        <v>0</v>
      </c>
      <c r="AP369" s="56">
        <v>21</v>
      </c>
      <c r="AQ369" s="88">
        <f>H369*1</f>
        <v>0</v>
      </c>
      <c r="AR369" s="88">
        <f>H369*(1-1)</f>
        <v>0</v>
      </c>
      <c r="AS369" s="64" t="s">
        <v>2297</v>
      </c>
      <c r="AX369" s="56">
        <f>AY369+AZ369</f>
        <v>0</v>
      </c>
      <c r="AY369" s="56">
        <f>G369*AQ369</f>
        <v>0</v>
      </c>
      <c r="AZ369" s="56">
        <f>G369*AR369</f>
        <v>0</v>
      </c>
      <c r="BA369" s="21" t="s">
        <v>1554</v>
      </c>
      <c r="BB369" s="21" t="s">
        <v>233</v>
      </c>
      <c r="BC369" s="7" t="s">
        <v>1747</v>
      </c>
      <c r="BE369" s="56">
        <f>AY369+AZ369</f>
        <v>0</v>
      </c>
      <c r="BF369" s="56">
        <f>H369/(100-BG369)*100</f>
        <v>0</v>
      </c>
      <c r="BG369" s="56">
        <v>0</v>
      </c>
      <c r="BH369" s="56">
        <f>M369</f>
        <v>4.2999999999999997E-2</v>
      </c>
      <c r="BJ369" s="80">
        <f>G369*AQ369</f>
        <v>0</v>
      </c>
      <c r="BK369" s="80">
        <f>G369*AR369</f>
        <v>0</v>
      </c>
      <c r="BL369" s="80">
        <f>G369*H369</f>
        <v>0</v>
      </c>
      <c r="BM369" s="80"/>
      <c r="BN369" s="56">
        <v>64</v>
      </c>
    </row>
    <row r="370" spans="1:66" ht="15" customHeight="1">
      <c r="A370" s="36"/>
      <c r="D370" s="45" t="s">
        <v>2297</v>
      </c>
      <c r="E370" s="104" t="s">
        <v>1597</v>
      </c>
      <c r="G370" s="13">
        <v>1</v>
      </c>
      <c r="N370" s="19"/>
      <c r="P370" s="592"/>
      <c r="Q370" s="592"/>
      <c r="R370" s="592"/>
      <c r="S370" s="592"/>
      <c r="T370" s="592"/>
      <c r="U370" s="592"/>
      <c r="V370" s="592"/>
      <c r="W370" s="592"/>
      <c r="X370" s="592"/>
    </row>
    <row r="371" spans="1:66" ht="15" customHeight="1">
      <c r="A371" s="24" t="s">
        <v>348</v>
      </c>
      <c r="B371" s="507" t="s">
        <v>1746</v>
      </c>
      <c r="C371" s="527" t="s">
        <v>2062</v>
      </c>
      <c r="D371" s="715" t="s">
        <v>628</v>
      </c>
      <c r="E371" s="715"/>
      <c r="F371" s="507" t="s">
        <v>564</v>
      </c>
      <c r="G371" s="508">
        <v>1</v>
      </c>
      <c r="H371" s="625"/>
      <c r="I371" s="508">
        <f>G371*AQ371</f>
        <v>0</v>
      </c>
      <c r="J371" s="508">
        <f>G371*AR371</f>
        <v>0</v>
      </c>
      <c r="K371" s="528">
        <f>G371*H371</f>
        <v>0</v>
      </c>
      <c r="L371" s="56">
        <v>3.04E-2</v>
      </c>
      <c r="M371" s="56">
        <f>G371*L371</f>
        <v>3.04E-2</v>
      </c>
      <c r="N371" s="31" t="s">
        <v>1579</v>
      </c>
      <c r="P371" s="592"/>
      <c r="Q371" s="592">
        <f>K371</f>
        <v>0</v>
      </c>
      <c r="R371" s="592"/>
      <c r="S371" s="592"/>
      <c r="T371" s="592"/>
      <c r="U371" s="592"/>
      <c r="V371" s="592"/>
      <c r="W371" s="592"/>
      <c r="X371" s="592"/>
      <c r="AB371" s="56">
        <f>IF(AS371="5",BL371,0)</f>
        <v>0</v>
      </c>
      <c r="AD371" s="56">
        <f>IF(AS371="1",BJ371,0)</f>
        <v>0</v>
      </c>
      <c r="AE371" s="56">
        <f>IF(AS371="1",BK371,0)</f>
        <v>0</v>
      </c>
      <c r="AF371" s="56">
        <f>IF(AS371="7",BJ371,0)</f>
        <v>0</v>
      </c>
      <c r="AG371" s="56">
        <f>IF(AS371="7",BK371,0)</f>
        <v>0</v>
      </c>
      <c r="AH371" s="56">
        <f>IF(AS371="2",BJ371,0)</f>
        <v>0</v>
      </c>
      <c r="AI371" s="56">
        <f>IF(AS371="2",BK371,0)</f>
        <v>0</v>
      </c>
      <c r="AJ371" s="56">
        <f>IF(AS371="0",BL371,0)</f>
        <v>0</v>
      </c>
      <c r="AK371" s="7" t="s">
        <v>1746</v>
      </c>
      <c r="AL371" s="56">
        <f>IF(AP371=0,K371,0)</f>
        <v>0</v>
      </c>
      <c r="AM371" s="56">
        <f>IF(AP371=15,K371,0)</f>
        <v>0</v>
      </c>
      <c r="AN371" s="56">
        <f>IF(AP371=21,K371,0)</f>
        <v>0</v>
      </c>
      <c r="AP371" s="56">
        <v>21</v>
      </c>
      <c r="AQ371" s="88">
        <f>H371*0.120566388115135</f>
        <v>0</v>
      </c>
      <c r="AR371" s="88">
        <f>H371*(1-0.120566388115135)</f>
        <v>0</v>
      </c>
      <c r="AS371" s="21" t="s">
        <v>2297</v>
      </c>
      <c r="AX371" s="56">
        <f>AY371+AZ371</f>
        <v>0</v>
      </c>
      <c r="AY371" s="56">
        <f>G371*AQ371</f>
        <v>0</v>
      </c>
      <c r="AZ371" s="56">
        <f>G371*AR371</f>
        <v>0</v>
      </c>
      <c r="BA371" s="21" t="s">
        <v>1554</v>
      </c>
      <c r="BB371" s="21" t="s">
        <v>233</v>
      </c>
      <c r="BC371" s="7" t="s">
        <v>1747</v>
      </c>
      <c r="BE371" s="56">
        <f>AY371+AZ371</f>
        <v>0</v>
      </c>
      <c r="BF371" s="56">
        <f>H371/(100-BG371)*100</f>
        <v>0</v>
      </c>
      <c r="BG371" s="56">
        <v>0</v>
      </c>
      <c r="BH371" s="56">
        <f>M371</f>
        <v>3.04E-2</v>
      </c>
      <c r="BJ371" s="56">
        <f>G371*AQ371</f>
        <v>0</v>
      </c>
      <c r="BK371" s="56">
        <f>G371*AR371</f>
        <v>0</v>
      </c>
      <c r="BL371" s="56">
        <f>G371*H371</f>
        <v>0</v>
      </c>
      <c r="BM371" s="56"/>
      <c r="BN371" s="56">
        <v>64</v>
      </c>
    </row>
    <row r="372" spans="1:66" ht="15" customHeight="1">
      <c r="A372" s="36"/>
      <c r="B372" s="510"/>
      <c r="C372" s="535"/>
      <c r="D372" s="519" t="s">
        <v>2297</v>
      </c>
      <c r="E372" s="520" t="s">
        <v>1597</v>
      </c>
      <c r="F372" s="510"/>
      <c r="G372" s="521">
        <v>1</v>
      </c>
      <c r="H372" s="510"/>
      <c r="I372" s="510"/>
      <c r="J372" s="510"/>
      <c r="K372" s="535"/>
      <c r="N372" s="19"/>
      <c r="P372" s="592"/>
      <c r="Q372" s="592"/>
      <c r="R372" s="592"/>
      <c r="S372" s="592"/>
      <c r="T372" s="592"/>
      <c r="U372" s="592"/>
      <c r="V372" s="592"/>
      <c r="W372" s="592"/>
      <c r="X372" s="592"/>
    </row>
    <row r="373" spans="1:66" ht="15" customHeight="1">
      <c r="A373" s="8" t="s">
        <v>650</v>
      </c>
      <c r="B373" s="541" t="s">
        <v>1746</v>
      </c>
      <c r="C373" s="549" t="s">
        <v>1753</v>
      </c>
      <c r="D373" s="714" t="s">
        <v>1752</v>
      </c>
      <c r="E373" s="714"/>
      <c r="F373" s="541" t="s">
        <v>564</v>
      </c>
      <c r="G373" s="542">
        <v>1</v>
      </c>
      <c r="H373" s="626"/>
      <c r="I373" s="542">
        <f>G373*AQ373</f>
        <v>0</v>
      </c>
      <c r="J373" s="542">
        <f>G373*AR373</f>
        <v>0</v>
      </c>
      <c r="K373" s="548">
        <f>G373*H373</f>
        <v>0</v>
      </c>
      <c r="L373" s="80">
        <v>2.9999999999999997E-4</v>
      </c>
      <c r="M373" s="80">
        <f>G373*L373</f>
        <v>2.9999999999999997E-4</v>
      </c>
      <c r="N373" s="38" t="s">
        <v>1579</v>
      </c>
      <c r="P373" s="592"/>
      <c r="Q373" s="592">
        <f>K373</f>
        <v>0</v>
      </c>
      <c r="R373" s="592"/>
      <c r="S373" s="592"/>
      <c r="T373" s="592"/>
      <c r="U373" s="592"/>
      <c r="V373" s="592"/>
      <c r="W373" s="592"/>
      <c r="X373" s="592"/>
      <c r="AB373" s="56">
        <f>IF(AS373="5",BL373,0)</f>
        <v>0</v>
      </c>
      <c r="AD373" s="56">
        <f>IF(AS373="1",BJ373,0)</f>
        <v>0</v>
      </c>
      <c r="AE373" s="56">
        <f>IF(AS373="1",BK373,0)</f>
        <v>0</v>
      </c>
      <c r="AF373" s="56">
        <f>IF(AS373="7",BJ373,0)</f>
        <v>0</v>
      </c>
      <c r="AG373" s="56">
        <f>IF(AS373="7",BK373,0)</f>
        <v>0</v>
      </c>
      <c r="AH373" s="56">
        <f>IF(AS373="2",BJ373,0)</f>
        <v>0</v>
      </c>
      <c r="AI373" s="56">
        <f>IF(AS373="2",BK373,0)</f>
        <v>0</v>
      </c>
      <c r="AJ373" s="56">
        <f>IF(AS373="0",BL373,0)</f>
        <v>0</v>
      </c>
      <c r="AK373" s="7" t="s">
        <v>1746</v>
      </c>
      <c r="AL373" s="80">
        <f>IF(AP373=0,K373,0)</f>
        <v>0</v>
      </c>
      <c r="AM373" s="80">
        <f>IF(AP373=15,K373,0)</f>
        <v>0</v>
      </c>
      <c r="AN373" s="80">
        <f>IF(AP373=21,K373,0)</f>
        <v>0</v>
      </c>
      <c r="AP373" s="56">
        <v>21</v>
      </c>
      <c r="AQ373" s="88">
        <f>H373*1</f>
        <v>0</v>
      </c>
      <c r="AR373" s="88">
        <f>H373*(1-1)</f>
        <v>0</v>
      </c>
      <c r="AS373" s="64" t="s">
        <v>2297</v>
      </c>
      <c r="AX373" s="56">
        <f>AY373+AZ373</f>
        <v>0</v>
      </c>
      <c r="AY373" s="56">
        <f>G373*AQ373</f>
        <v>0</v>
      </c>
      <c r="AZ373" s="56">
        <f>G373*AR373</f>
        <v>0</v>
      </c>
      <c r="BA373" s="21" t="s">
        <v>1554</v>
      </c>
      <c r="BB373" s="21" t="s">
        <v>233</v>
      </c>
      <c r="BC373" s="7" t="s">
        <v>1747</v>
      </c>
      <c r="BE373" s="56">
        <f>AY373+AZ373</f>
        <v>0</v>
      </c>
      <c r="BF373" s="56">
        <f>H373/(100-BG373)*100</f>
        <v>0</v>
      </c>
      <c r="BG373" s="56">
        <v>0</v>
      </c>
      <c r="BH373" s="56">
        <f>M373</f>
        <v>2.9999999999999997E-4</v>
      </c>
      <c r="BJ373" s="80">
        <f>G373*AQ373</f>
        <v>0</v>
      </c>
      <c r="BK373" s="80">
        <f>G373*AR373</f>
        <v>0</v>
      </c>
      <c r="BL373" s="80">
        <f>G373*H373</f>
        <v>0</v>
      </c>
      <c r="BM373" s="80"/>
      <c r="BN373" s="56">
        <v>64</v>
      </c>
    </row>
    <row r="374" spans="1:66" ht="15" customHeight="1">
      <c r="A374" s="36"/>
      <c r="B374" s="510"/>
      <c r="C374" s="535"/>
      <c r="D374" s="519" t="s">
        <v>2297</v>
      </c>
      <c r="E374" s="520" t="s">
        <v>1401</v>
      </c>
      <c r="F374" s="510"/>
      <c r="G374" s="521">
        <v>1</v>
      </c>
      <c r="H374" s="510"/>
      <c r="I374" s="510"/>
      <c r="J374" s="510"/>
      <c r="K374" s="535"/>
      <c r="N374" s="19"/>
      <c r="P374" s="592"/>
      <c r="Q374" s="592"/>
      <c r="R374" s="592"/>
      <c r="S374" s="592"/>
      <c r="T374" s="592"/>
      <c r="U374" s="592"/>
      <c r="V374" s="592"/>
      <c r="W374" s="592"/>
      <c r="X374" s="592"/>
    </row>
    <row r="375" spans="1:66" ht="15" customHeight="1">
      <c r="A375" s="24" t="s">
        <v>723</v>
      </c>
      <c r="B375" s="12" t="s">
        <v>1746</v>
      </c>
      <c r="C375" s="513" t="s">
        <v>847</v>
      </c>
      <c r="D375" s="696" t="s">
        <v>2630</v>
      </c>
      <c r="E375" s="696"/>
      <c r="F375" s="12" t="s">
        <v>564</v>
      </c>
      <c r="G375" s="56">
        <v>1</v>
      </c>
      <c r="H375" s="625"/>
      <c r="I375" s="56">
        <f>G375*AQ375</f>
        <v>0</v>
      </c>
      <c r="J375" s="56">
        <f>G375*AR375</f>
        <v>0</v>
      </c>
      <c r="K375" s="517">
        <f>G375*H375</f>
        <v>0</v>
      </c>
      <c r="L375" s="56">
        <v>0.12522</v>
      </c>
      <c r="M375" s="56">
        <f>G375*L375</f>
        <v>0.12522</v>
      </c>
      <c r="N375" s="31" t="s">
        <v>1579</v>
      </c>
      <c r="P375" s="592">
        <f>K375</f>
        <v>0</v>
      </c>
      <c r="Q375" s="592"/>
      <c r="R375" s="592"/>
      <c r="S375" s="592"/>
      <c r="T375" s="592"/>
      <c r="U375" s="592"/>
      <c r="V375" s="592"/>
      <c r="W375" s="592"/>
      <c r="X375" s="592"/>
      <c r="AB375" s="56">
        <f>IF(AS375="5",BL375,0)</f>
        <v>0</v>
      </c>
      <c r="AD375" s="56">
        <f>IF(AS375="1",BJ375,0)</f>
        <v>0</v>
      </c>
      <c r="AE375" s="56">
        <f>IF(AS375="1",BK375,0)</f>
        <v>0</v>
      </c>
      <c r="AF375" s="56">
        <f>IF(AS375="7",BJ375,0)</f>
        <v>0</v>
      </c>
      <c r="AG375" s="56">
        <f>IF(AS375="7",BK375,0)</f>
        <v>0</v>
      </c>
      <c r="AH375" s="56">
        <f>IF(AS375="2",BJ375,0)</f>
        <v>0</v>
      </c>
      <c r="AI375" s="56">
        <f>IF(AS375="2",BK375,0)</f>
        <v>0</v>
      </c>
      <c r="AJ375" s="56">
        <f>IF(AS375="0",BL375,0)</f>
        <v>0</v>
      </c>
      <c r="AK375" s="7" t="s">
        <v>1746</v>
      </c>
      <c r="AL375" s="56">
        <f>IF(AP375=0,K375,0)</f>
        <v>0</v>
      </c>
      <c r="AM375" s="56">
        <f>IF(AP375=15,K375,0)</f>
        <v>0</v>
      </c>
      <c r="AN375" s="56">
        <f>IF(AP375=21,K375,0)</f>
        <v>0</v>
      </c>
      <c r="AP375" s="56">
        <v>21</v>
      </c>
      <c r="AQ375" s="88">
        <f>H375*0.071014312383323</f>
        <v>0</v>
      </c>
      <c r="AR375" s="88">
        <f>H375*(1-0.071014312383323)</f>
        <v>0</v>
      </c>
      <c r="AS375" s="21" t="s">
        <v>2297</v>
      </c>
      <c r="AX375" s="56">
        <f>AY375+AZ375</f>
        <v>0</v>
      </c>
      <c r="AY375" s="56">
        <f>G375*AQ375</f>
        <v>0</v>
      </c>
      <c r="AZ375" s="56">
        <f>G375*AR375</f>
        <v>0</v>
      </c>
      <c r="BA375" s="21" t="s">
        <v>1554</v>
      </c>
      <c r="BB375" s="21" t="s">
        <v>233</v>
      </c>
      <c r="BC375" s="7" t="s">
        <v>1747</v>
      </c>
      <c r="BE375" s="56">
        <f>AY375+AZ375</f>
        <v>0</v>
      </c>
      <c r="BF375" s="56">
        <f>H375/(100-BG375)*100</f>
        <v>0</v>
      </c>
      <c r="BG375" s="56">
        <v>0</v>
      </c>
      <c r="BH375" s="56">
        <f>M375</f>
        <v>0.12522</v>
      </c>
      <c r="BJ375" s="56">
        <f>G375*AQ375</f>
        <v>0</v>
      </c>
      <c r="BK375" s="56">
        <f>G375*AR375</f>
        <v>0</v>
      </c>
      <c r="BL375" s="56">
        <f>G375*H375</f>
        <v>0</v>
      </c>
      <c r="BM375" s="56"/>
      <c r="BN375" s="56">
        <v>64</v>
      </c>
    </row>
    <row r="376" spans="1:66" ht="15" customHeight="1">
      <c r="A376" s="36"/>
      <c r="C376" s="522"/>
      <c r="D376" s="533" t="s">
        <v>2297</v>
      </c>
      <c r="E376" s="525" t="s">
        <v>1934</v>
      </c>
      <c r="G376" s="13">
        <v>1</v>
      </c>
      <c r="K376" s="522"/>
      <c r="N376" s="19"/>
      <c r="P376" s="592"/>
      <c r="Q376" s="592"/>
      <c r="R376" s="592"/>
      <c r="S376" s="592"/>
      <c r="T376" s="592"/>
      <c r="U376" s="592"/>
      <c r="V376" s="592"/>
      <c r="W376" s="592"/>
      <c r="X376" s="592"/>
    </row>
    <row r="377" spans="1:66" ht="15" customHeight="1">
      <c r="A377" s="1" t="s">
        <v>490</v>
      </c>
      <c r="B377" s="68" t="s">
        <v>1746</v>
      </c>
      <c r="C377" s="532" t="s">
        <v>1950</v>
      </c>
      <c r="D377" s="713" t="s">
        <v>2177</v>
      </c>
      <c r="E377" s="713"/>
      <c r="F377" s="68" t="s">
        <v>564</v>
      </c>
      <c r="G377" s="86">
        <v>1</v>
      </c>
      <c r="H377" s="626"/>
      <c r="I377" s="86">
        <f>G377*AQ377</f>
        <v>0</v>
      </c>
      <c r="J377" s="86">
        <f>G377*AR377</f>
        <v>0</v>
      </c>
      <c r="K377" s="523">
        <f>G377*H377</f>
        <v>0</v>
      </c>
      <c r="L377" s="86">
        <v>6.6000000000000003E-2</v>
      </c>
      <c r="M377" s="86">
        <f>G377*L377</f>
        <v>6.6000000000000003E-2</v>
      </c>
      <c r="N377" s="40" t="s">
        <v>1579</v>
      </c>
      <c r="P377" s="592">
        <f>K377</f>
        <v>0</v>
      </c>
      <c r="Q377" s="592"/>
      <c r="R377" s="592"/>
      <c r="S377" s="592"/>
      <c r="T377" s="592"/>
      <c r="U377" s="592"/>
      <c r="V377" s="592"/>
      <c r="W377" s="592"/>
      <c r="X377" s="592"/>
      <c r="AB377" s="56">
        <f>IF(AS377="5",BL377,0)</f>
        <v>0</v>
      </c>
      <c r="AD377" s="56">
        <f>IF(AS377="1",BJ377,0)</f>
        <v>0</v>
      </c>
      <c r="AE377" s="56">
        <f>IF(AS377="1",BK377,0)</f>
        <v>0</v>
      </c>
      <c r="AF377" s="56">
        <f>IF(AS377="7",BJ377,0)</f>
        <v>0</v>
      </c>
      <c r="AG377" s="56">
        <f>IF(AS377="7",BK377,0)</f>
        <v>0</v>
      </c>
      <c r="AH377" s="56">
        <f>IF(AS377="2",BJ377,0)</f>
        <v>0</v>
      </c>
      <c r="AI377" s="56">
        <f>IF(AS377="2",BK377,0)</f>
        <v>0</v>
      </c>
      <c r="AJ377" s="56">
        <f>IF(AS377="0",BL377,0)</f>
        <v>0</v>
      </c>
      <c r="AK377" s="7" t="s">
        <v>1746</v>
      </c>
      <c r="AL377" s="80">
        <f>IF(AP377=0,K377,0)</f>
        <v>0</v>
      </c>
      <c r="AM377" s="80">
        <f>IF(AP377=15,K377,0)</f>
        <v>0</v>
      </c>
      <c r="AN377" s="80">
        <f>IF(AP377=21,K377,0)</f>
        <v>0</v>
      </c>
      <c r="AP377" s="56">
        <v>21</v>
      </c>
      <c r="AQ377" s="88">
        <f>H377*1</f>
        <v>0</v>
      </c>
      <c r="AR377" s="88">
        <f>H377*(1-1)</f>
        <v>0</v>
      </c>
      <c r="AS377" s="64" t="s">
        <v>2297</v>
      </c>
      <c r="AX377" s="56">
        <f>AY377+AZ377</f>
        <v>0</v>
      </c>
      <c r="AY377" s="56">
        <f>G377*AQ377</f>
        <v>0</v>
      </c>
      <c r="AZ377" s="56">
        <f>G377*AR377</f>
        <v>0</v>
      </c>
      <c r="BA377" s="21" t="s">
        <v>1554</v>
      </c>
      <c r="BB377" s="21" t="s">
        <v>233</v>
      </c>
      <c r="BC377" s="7" t="s">
        <v>1747</v>
      </c>
      <c r="BE377" s="56">
        <f>AY377+AZ377</f>
        <v>0</v>
      </c>
      <c r="BF377" s="56">
        <f>H377/(100-BG377)*100</f>
        <v>0</v>
      </c>
      <c r="BG377" s="56">
        <v>0</v>
      </c>
      <c r="BH377" s="56">
        <f>M377</f>
        <v>6.6000000000000003E-2</v>
      </c>
      <c r="BJ377" s="80">
        <f>G377*AQ377</f>
        <v>0</v>
      </c>
      <c r="BK377" s="80">
        <f>G377*AR377</f>
        <v>0</v>
      </c>
      <c r="BL377" s="80">
        <f>G377*H377</f>
        <v>0</v>
      </c>
      <c r="BM377" s="80"/>
      <c r="BN377" s="56">
        <v>64</v>
      </c>
    </row>
    <row r="378" spans="1:66" ht="15" customHeight="1">
      <c r="A378" s="35"/>
      <c r="B378" s="100"/>
      <c r="C378" s="556"/>
      <c r="D378" s="533" t="s">
        <v>2297</v>
      </c>
      <c r="E378" s="525" t="s">
        <v>3684</v>
      </c>
      <c r="F378" s="100"/>
      <c r="G378" s="37">
        <v>1</v>
      </c>
      <c r="H378" s="100"/>
      <c r="I378" s="100"/>
      <c r="J378" s="100"/>
      <c r="K378" s="556"/>
      <c r="L378" s="100"/>
      <c r="M378" s="100"/>
      <c r="N378" s="103"/>
      <c r="P378" s="592"/>
      <c r="Q378" s="592"/>
      <c r="R378" s="592"/>
      <c r="S378" s="592"/>
      <c r="T378" s="592"/>
      <c r="U378" s="592"/>
      <c r="V378" s="592"/>
      <c r="W378" s="592"/>
      <c r="X378" s="592"/>
    </row>
    <row r="379" spans="1:66" ht="15" customHeight="1">
      <c r="A379" s="24" t="s">
        <v>930</v>
      </c>
      <c r="B379" s="12" t="s">
        <v>1746</v>
      </c>
      <c r="C379" s="513" t="s">
        <v>847</v>
      </c>
      <c r="D379" s="696" t="s">
        <v>2228</v>
      </c>
      <c r="E379" s="696"/>
      <c r="F379" s="12" t="s">
        <v>564</v>
      </c>
      <c r="G379" s="56">
        <v>4</v>
      </c>
      <c r="H379" s="625"/>
      <c r="I379" s="56">
        <f>G379*AQ379</f>
        <v>0</v>
      </c>
      <c r="J379" s="56">
        <f>G379*AR379</f>
        <v>0</v>
      </c>
      <c r="K379" s="517">
        <f>G379*H379</f>
        <v>0</v>
      </c>
      <c r="L379" s="56">
        <v>0.12522</v>
      </c>
      <c r="M379" s="56">
        <f>G379*L379</f>
        <v>0.50087999999999999</v>
      </c>
      <c r="N379" s="31" t="s">
        <v>1579</v>
      </c>
      <c r="P379" s="592">
        <f>K379</f>
        <v>0</v>
      </c>
      <c r="Q379" s="592"/>
      <c r="R379" s="592"/>
      <c r="S379" s="592"/>
      <c r="T379" s="592"/>
      <c r="U379" s="592"/>
      <c r="V379" s="592"/>
      <c r="W379" s="592"/>
      <c r="X379" s="592"/>
      <c r="AB379" s="56">
        <f>IF(AS379="5",BL379,0)</f>
        <v>0</v>
      </c>
      <c r="AD379" s="56">
        <f>IF(AS379="1",BJ379,0)</f>
        <v>0</v>
      </c>
      <c r="AE379" s="56">
        <f>IF(AS379="1",BK379,0)</f>
        <v>0</v>
      </c>
      <c r="AF379" s="56">
        <f>IF(AS379="7",BJ379,0)</f>
        <v>0</v>
      </c>
      <c r="AG379" s="56">
        <f>IF(AS379="7",BK379,0)</f>
        <v>0</v>
      </c>
      <c r="AH379" s="56">
        <f>IF(AS379="2",BJ379,0)</f>
        <v>0</v>
      </c>
      <c r="AI379" s="56">
        <f>IF(AS379="2",BK379,0)</f>
        <v>0</v>
      </c>
      <c r="AJ379" s="56">
        <f>IF(AS379="0",BL379,0)</f>
        <v>0</v>
      </c>
      <c r="AK379" s="7" t="s">
        <v>1746</v>
      </c>
      <c r="AL379" s="56">
        <f>IF(AP379=0,K379,0)</f>
        <v>0</v>
      </c>
      <c r="AM379" s="56">
        <f>IF(AP379=15,K379,0)</f>
        <v>0</v>
      </c>
      <c r="AN379" s="56">
        <f>IF(AP379=21,K379,0)</f>
        <v>0</v>
      </c>
      <c r="AP379" s="56">
        <v>21</v>
      </c>
      <c r="AQ379" s="88">
        <f>H379*0.071014312383323</f>
        <v>0</v>
      </c>
      <c r="AR379" s="88">
        <f>H379*(1-0.071014312383323)</f>
        <v>0</v>
      </c>
      <c r="AS379" s="21" t="s">
        <v>2297</v>
      </c>
      <c r="AX379" s="56">
        <f>AY379+AZ379</f>
        <v>0</v>
      </c>
      <c r="AY379" s="56">
        <f>G379*AQ379</f>
        <v>0</v>
      </c>
      <c r="AZ379" s="56">
        <f>G379*AR379</f>
        <v>0</v>
      </c>
      <c r="BA379" s="21" t="s">
        <v>1554</v>
      </c>
      <c r="BB379" s="21" t="s">
        <v>233</v>
      </c>
      <c r="BC379" s="7" t="s">
        <v>1747</v>
      </c>
      <c r="BE379" s="56">
        <f>AY379+AZ379</f>
        <v>0</v>
      </c>
      <c r="BF379" s="56">
        <f>H379/(100-BG379)*100</f>
        <v>0</v>
      </c>
      <c r="BG379" s="56">
        <v>0</v>
      </c>
      <c r="BH379" s="56">
        <f>M379</f>
        <v>0.50087999999999999</v>
      </c>
      <c r="BJ379" s="56">
        <f>G379*AQ379</f>
        <v>0</v>
      </c>
      <c r="BK379" s="56">
        <f>G379*AR379</f>
        <v>0</v>
      </c>
      <c r="BL379" s="56">
        <f>G379*H379</f>
        <v>0</v>
      </c>
      <c r="BM379" s="56"/>
      <c r="BN379" s="56">
        <v>64</v>
      </c>
    </row>
    <row r="380" spans="1:66" ht="15" customHeight="1">
      <c r="A380" s="36"/>
      <c r="C380" s="522"/>
      <c r="D380" s="533" t="s">
        <v>2297</v>
      </c>
      <c r="E380" s="525" t="s">
        <v>701</v>
      </c>
      <c r="G380" s="13">
        <v>1</v>
      </c>
      <c r="K380" s="522"/>
      <c r="N380" s="19"/>
      <c r="P380" s="592"/>
      <c r="Q380" s="592"/>
      <c r="R380" s="592"/>
      <c r="S380" s="592"/>
      <c r="T380" s="592"/>
      <c r="U380" s="592"/>
      <c r="V380" s="592"/>
      <c r="W380" s="592"/>
      <c r="X380" s="592"/>
    </row>
    <row r="381" spans="1:66" ht="15" customHeight="1">
      <c r="A381" s="36"/>
      <c r="C381" s="522"/>
      <c r="D381" s="533" t="s">
        <v>2297</v>
      </c>
      <c r="E381" s="525" t="s">
        <v>768</v>
      </c>
      <c r="G381" s="13">
        <v>1</v>
      </c>
      <c r="K381" s="522"/>
      <c r="N381" s="19"/>
      <c r="P381" s="592"/>
      <c r="Q381" s="592"/>
      <c r="R381" s="592"/>
      <c r="S381" s="592"/>
      <c r="T381" s="592"/>
      <c r="U381" s="592"/>
      <c r="V381" s="592"/>
      <c r="W381" s="592"/>
      <c r="X381" s="592"/>
    </row>
    <row r="382" spans="1:66" ht="15" customHeight="1">
      <c r="A382" s="36"/>
      <c r="C382" s="522"/>
      <c r="D382" s="533" t="s">
        <v>2297</v>
      </c>
      <c r="E382" s="525" t="s">
        <v>395</v>
      </c>
      <c r="G382" s="13">
        <v>1</v>
      </c>
      <c r="K382" s="522"/>
      <c r="N382" s="19"/>
      <c r="P382" s="592"/>
      <c r="Q382" s="592"/>
      <c r="R382" s="592"/>
      <c r="S382" s="592"/>
      <c r="T382" s="592"/>
      <c r="U382" s="592"/>
      <c r="V382" s="592"/>
      <c r="W382" s="592"/>
      <c r="X382" s="592"/>
    </row>
    <row r="383" spans="1:66" ht="15" customHeight="1">
      <c r="A383" s="36"/>
      <c r="C383" s="522"/>
      <c r="D383" s="533" t="s">
        <v>2297</v>
      </c>
      <c r="E383" s="525" t="s">
        <v>76</v>
      </c>
      <c r="G383" s="13">
        <v>1</v>
      </c>
      <c r="K383" s="522"/>
      <c r="N383" s="19"/>
      <c r="P383" s="592"/>
      <c r="Q383" s="592"/>
      <c r="R383" s="592"/>
      <c r="S383" s="592"/>
      <c r="T383" s="592"/>
      <c r="U383" s="592"/>
      <c r="V383" s="592"/>
      <c r="W383" s="592"/>
      <c r="X383" s="592"/>
    </row>
    <row r="384" spans="1:66" ht="15" customHeight="1">
      <c r="A384" s="8" t="s">
        <v>895</v>
      </c>
      <c r="B384" s="75" t="s">
        <v>1746</v>
      </c>
      <c r="C384" s="532" t="s">
        <v>853</v>
      </c>
      <c r="D384" s="713" t="s">
        <v>3685</v>
      </c>
      <c r="E384" s="713"/>
      <c r="F384" s="75" t="s">
        <v>564</v>
      </c>
      <c r="G384" s="80">
        <v>1</v>
      </c>
      <c r="H384" s="626"/>
      <c r="I384" s="80">
        <f>G384*AQ384</f>
        <v>0</v>
      </c>
      <c r="J384" s="80">
        <f>G384*AR384</f>
        <v>0</v>
      </c>
      <c r="K384" s="523">
        <f>G384*H384</f>
        <v>0</v>
      </c>
      <c r="L384" s="80">
        <v>6.6000000000000003E-2</v>
      </c>
      <c r="M384" s="80">
        <f>G384*L384</f>
        <v>6.6000000000000003E-2</v>
      </c>
      <c r="N384" s="38" t="s">
        <v>1579</v>
      </c>
      <c r="P384" s="592">
        <f>K384</f>
        <v>0</v>
      </c>
      <c r="Q384" s="592"/>
      <c r="R384" s="592"/>
      <c r="S384" s="592"/>
      <c r="T384" s="592"/>
      <c r="U384" s="592"/>
      <c r="V384" s="592"/>
      <c r="W384" s="592"/>
      <c r="X384" s="592"/>
      <c r="AB384" s="56">
        <f>IF(AS384="5",BL384,0)</f>
        <v>0</v>
      </c>
      <c r="AD384" s="56">
        <f>IF(AS384="1",BJ384,0)</f>
        <v>0</v>
      </c>
      <c r="AE384" s="56">
        <f>IF(AS384="1",BK384,0)</f>
        <v>0</v>
      </c>
      <c r="AF384" s="56">
        <f>IF(AS384="7",BJ384,0)</f>
        <v>0</v>
      </c>
      <c r="AG384" s="56">
        <f>IF(AS384="7",BK384,0)</f>
        <v>0</v>
      </c>
      <c r="AH384" s="56">
        <f>IF(AS384="2",BJ384,0)</f>
        <v>0</v>
      </c>
      <c r="AI384" s="56">
        <f>IF(AS384="2",BK384,0)</f>
        <v>0</v>
      </c>
      <c r="AJ384" s="56">
        <f>IF(AS384="0",BL384,0)</f>
        <v>0</v>
      </c>
      <c r="AK384" s="7" t="s">
        <v>1746</v>
      </c>
      <c r="AL384" s="80">
        <f>IF(AP384=0,K384,0)</f>
        <v>0</v>
      </c>
      <c r="AM384" s="80">
        <f>IF(AP384=15,K384,0)</f>
        <v>0</v>
      </c>
      <c r="AN384" s="80">
        <f>IF(AP384=21,K384,0)</f>
        <v>0</v>
      </c>
      <c r="AP384" s="56">
        <v>21</v>
      </c>
      <c r="AQ384" s="88">
        <f>H384*1</f>
        <v>0</v>
      </c>
      <c r="AR384" s="88">
        <f>H384*(1-1)</f>
        <v>0</v>
      </c>
      <c r="AS384" s="64" t="s">
        <v>2297</v>
      </c>
      <c r="AX384" s="56">
        <f>AY384+AZ384</f>
        <v>0</v>
      </c>
      <c r="AY384" s="56">
        <f>G384*AQ384</f>
        <v>0</v>
      </c>
      <c r="AZ384" s="56">
        <f>G384*AR384</f>
        <v>0</v>
      </c>
      <c r="BA384" s="21" t="s">
        <v>1554</v>
      </c>
      <c r="BB384" s="21" t="s">
        <v>233</v>
      </c>
      <c r="BC384" s="7" t="s">
        <v>1747</v>
      </c>
      <c r="BE384" s="56">
        <f>AY384+AZ384</f>
        <v>0</v>
      </c>
      <c r="BF384" s="56">
        <f>H384/(100-BG384)*100</f>
        <v>0</v>
      </c>
      <c r="BG384" s="56">
        <v>0</v>
      </c>
      <c r="BH384" s="56">
        <f>M384</f>
        <v>6.6000000000000003E-2</v>
      </c>
      <c r="BJ384" s="80">
        <f>G384*AQ384</f>
        <v>0</v>
      </c>
      <c r="BK384" s="80">
        <f>G384*AR384</f>
        <v>0</v>
      </c>
      <c r="BL384" s="80">
        <f>G384*H384</f>
        <v>0</v>
      </c>
      <c r="BM384" s="80"/>
      <c r="BN384" s="56">
        <v>64</v>
      </c>
    </row>
    <row r="385" spans="1:66" ht="15" customHeight="1">
      <c r="A385" s="36"/>
      <c r="C385" s="522"/>
      <c r="D385" s="533" t="s">
        <v>2297</v>
      </c>
      <c r="E385" s="525" t="s">
        <v>491</v>
      </c>
      <c r="G385" s="13">
        <v>1</v>
      </c>
      <c r="K385" s="522"/>
      <c r="N385" s="19"/>
      <c r="P385" s="592"/>
      <c r="Q385" s="592"/>
      <c r="R385" s="592"/>
      <c r="S385" s="592"/>
      <c r="T385" s="592"/>
      <c r="U385" s="592"/>
      <c r="V385" s="592"/>
      <c r="W385" s="592"/>
      <c r="X385" s="592"/>
    </row>
    <row r="386" spans="1:66" ht="15" customHeight="1">
      <c r="A386" s="8" t="s">
        <v>1256</v>
      </c>
      <c r="B386" s="75" t="s">
        <v>1746</v>
      </c>
      <c r="C386" s="532" t="s">
        <v>616</v>
      </c>
      <c r="D386" s="713" t="s">
        <v>3686</v>
      </c>
      <c r="E386" s="713"/>
      <c r="F386" s="75" t="s">
        <v>564</v>
      </c>
      <c r="G386" s="80">
        <v>1</v>
      </c>
      <c r="H386" s="626"/>
      <c r="I386" s="80">
        <f>G386*AQ386</f>
        <v>0</v>
      </c>
      <c r="J386" s="80">
        <f>G386*AR386</f>
        <v>0</v>
      </c>
      <c r="K386" s="523">
        <f>G386*H386</f>
        <v>0</v>
      </c>
      <c r="L386" s="80">
        <v>6.6000000000000003E-2</v>
      </c>
      <c r="M386" s="80">
        <f>G386*L386</f>
        <v>6.6000000000000003E-2</v>
      </c>
      <c r="N386" s="38" t="s">
        <v>1579</v>
      </c>
      <c r="P386" s="592">
        <f>K386</f>
        <v>0</v>
      </c>
      <c r="Q386" s="592"/>
      <c r="R386" s="592"/>
      <c r="S386" s="592"/>
      <c r="T386" s="592"/>
      <c r="U386" s="592"/>
      <c r="V386" s="592"/>
      <c r="W386" s="592"/>
      <c r="X386" s="592"/>
      <c r="AB386" s="56">
        <f>IF(AS386="5",BL386,0)</f>
        <v>0</v>
      </c>
      <c r="AD386" s="56">
        <f>IF(AS386="1",BJ386,0)</f>
        <v>0</v>
      </c>
      <c r="AE386" s="56">
        <f>IF(AS386="1",BK386,0)</f>
        <v>0</v>
      </c>
      <c r="AF386" s="56">
        <f>IF(AS386="7",BJ386,0)</f>
        <v>0</v>
      </c>
      <c r="AG386" s="56">
        <f>IF(AS386="7",BK386,0)</f>
        <v>0</v>
      </c>
      <c r="AH386" s="56">
        <f>IF(AS386="2",BJ386,0)</f>
        <v>0</v>
      </c>
      <c r="AI386" s="56">
        <f>IF(AS386="2",BK386,0)</f>
        <v>0</v>
      </c>
      <c r="AJ386" s="56">
        <f>IF(AS386="0",BL386,0)</f>
        <v>0</v>
      </c>
      <c r="AK386" s="7" t="s">
        <v>1746</v>
      </c>
      <c r="AL386" s="80">
        <f>IF(AP386=0,K386,0)</f>
        <v>0</v>
      </c>
      <c r="AM386" s="80">
        <f>IF(AP386=15,K386,0)</f>
        <v>0</v>
      </c>
      <c r="AN386" s="80">
        <f>IF(AP386=21,K386,0)</f>
        <v>0</v>
      </c>
      <c r="AP386" s="56">
        <v>21</v>
      </c>
      <c r="AQ386" s="88">
        <f>H386*1</f>
        <v>0</v>
      </c>
      <c r="AR386" s="88">
        <f>H386*(1-1)</f>
        <v>0</v>
      </c>
      <c r="AS386" s="64" t="s">
        <v>2297</v>
      </c>
      <c r="AX386" s="56">
        <f>AY386+AZ386</f>
        <v>0</v>
      </c>
      <c r="AY386" s="56">
        <f>G386*AQ386</f>
        <v>0</v>
      </c>
      <c r="AZ386" s="56">
        <f>G386*AR386</f>
        <v>0</v>
      </c>
      <c r="BA386" s="21" t="s">
        <v>1554</v>
      </c>
      <c r="BB386" s="21" t="s">
        <v>233</v>
      </c>
      <c r="BC386" s="7" t="s">
        <v>1747</v>
      </c>
      <c r="BE386" s="56">
        <f>AY386+AZ386</f>
        <v>0</v>
      </c>
      <c r="BF386" s="56">
        <f>H386/(100-BG386)*100</f>
        <v>0</v>
      </c>
      <c r="BG386" s="56">
        <v>0</v>
      </c>
      <c r="BH386" s="56">
        <f>M386</f>
        <v>6.6000000000000003E-2</v>
      </c>
      <c r="BJ386" s="80">
        <f>G386*AQ386</f>
        <v>0</v>
      </c>
      <c r="BK386" s="80">
        <f>G386*AR386</f>
        <v>0</v>
      </c>
      <c r="BL386" s="80">
        <f>G386*H386</f>
        <v>0</v>
      </c>
      <c r="BM386" s="80"/>
      <c r="BN386" s="56">
        <v>64</v>
      </c>
    </row>
    <row r="387" spans="1:66" ht="15" customHeight="1">
      <c r="A387" s="36"/>
      <c r="C387" s="522"/>
      <c r="D387" s="533" t="s">
        <v>2297</v>
      </c>
      <c r="E387" s="525" t="s">
        <v>491</v>
      </c>
      <c r="G387" s="13">
        <v>1</v>
      </c>
      <c r="K387" s="522"/>
      <c r="N387" s="19"/>
      <c r="P387" s="592"/>
      <c r="Q387" s="592"/>
      <c r="R387" s="592"/>
      <c r="S387" s="592"/>
      <c r="T387" s="592"/>
      <c r="U387" s="592"/>
      <c r="V387" s="592"/>
      <c r="W387" s="592"/>
      <c r="X387" s="592"/>
    </row>
    <row r="388" spans="1:66" ht="15" customHeight="1">
      <c r="A388" s="8" t="s">
        <v>266</v>
      </c>
      <c r="B388" s="75" t="s">
        <v>1746</v>
      </c>
      <c r="C388" s="532" t="s">
        <v>248</v>
      </c>
      <c r="D388" s="713" t="s">
        <v>3687</v>
      </c>
      <c r="E388" s="713"/>
      <c r="F388" s="75" t="s">
        <v>564</v>
      </c>
      <c r="G388" s="80">
        <v>1</v>
      </c>
      <c r="H388" s="626"/>
      <c r="I388" s="80">
        <f>G388*AQ388</f>
        <v>0</v>
      </c>
      <c r="J388" s="80">
        <f>G388*AR388</f>
        <v>0</v>
      </c>
      <c r="K388" s="523">
        <f>G388*H388</f>
        <v>0</v>
      </c>
      <c r="L388" s="80">
        <v>6.6000000000000003E-2</v>
      </c>
      <c r="M388" s="80">
        <f>G388*L388</f>
        <v>6.6000000000000003E-2</v>
      </c>
      <c r="N388" s="38" t="s">
        <v>1579</v>
      </c>
      <c r="P388" s="592">
        <f>K388</f>
        <v>0</v>
      </c>
      <c r="Q388" s="592"/>
      <c r="R388" s="592"/>
      <c r="S388" s="592"/>
      <c r="T388" s="592"/>
      <c r="U388" s="592"/>
      <c r="V388" s="592"/>
      <c r="W388" s="592"/>
      <c r="X388" s="592"/>
      <c r="AB388" s="56">
        <f>IF(AS388="5",BL388,0)</f>
        <v>0</v>
      </c>
      <c r="AD388" s="56">
        <f>IF(AS388="1",BJ388,0)</f>
        <v>0</v>
      </c>
      <c r="AE388" s="56">
        <f>IF(AS388="1",BK388,0)</f>
        <v>0</v>
      </c>
      <c r="AF388" s="56">
        <f>IF(AS388="7",BJ388,0)</f>
        <v>0</v>
      </c>
      <c r="AG388" s="56">
        <f>IF(AS388="7",BK388,0)</f>
        <v>0</v>
      </c>
      <c r="AH388" s="56">
        <f>IF(AS388="2",BJ388,0)</f>
        <v>0</v>
      </c>
      <c r="AI388" s="56">
        <f>IF(AS388="2",BK388,0)</f>
        <v>0</v>
      </c>
      <c r="AJ388" s="56">
        <f>IF(AS388="0",BL388,0)</f>
        <v>0</v>
      </c>
      <c r="AK388" s="7" t="s">
        <v>1746</v>
      </c>
      <c r="AL388" s="80">
        <f>IF(AP388=0,K388,0)</f>
        <v>0</v>
      </c>
      <c r="AM388" s="80">
        <f>IF(AP388=15,K388,0)</f>
        <v>0</v>
      </c>
      <c r="AN388" s="80">
        <f>IF(AP388=21,K388,0)</f>
        <v>0</v>
      </c>
      <c r="AP388" s="56">
        <v>21</v>
      </c>
      <c r="AQ388" s="88">
        <f>H388*1</f>
        <v>0</v>
      </c>
      <c r="AR388" s="88">
        <f>H388*(1-1)</f>
        <v>0</v>
      </c>
      <c r="AS388" s="64" t="s">
        <v>2297</v>
      </c>
      <c r="AX388" s="56">
        <f>AY388+AZ388</f>
        <v>0</v>
      </c>
      <c r="AY388" s="56">
        <f>G388*AQ388</f>
        <v>0</v>
      </c>
      <c r="AZ388" s="56">
        <f>G388*AR388</f>
        <v>0</v>
      </c>
      <c r="BA388" s="21" t="s">
        <v>1554</v>
      </c>
      <c r="BB388" s="21" t="s">
        <v>233</v>
      </c>
      <c r="BC388" s="7" t="s">
        <v>1747</v>
      </c>
      <c r="BE388" s="56">
        <f>AY388+AZ388</f>
        <v>0</v>
      </c>
      <c r="BF388" s="56">
        <f>H388/(100-BG388)*100</f>
        <v>0</v>
      </c>
      <c r="BG388" s="56">
        <v>0</v>
      </c>
      <c r="BH388" s="56">
        <f>M388</f>
        <v>6.6000000000000003E-2</v>
      </c>
      <c r="BJ388" s="80">
        <f>G388*AQ388</f>
        <v>0</v>
      </c>
      <c r="BK388" s="80">
        <f>G388*AR388</f>
        <v>0</v>
      </c>
      <c r="BL388" s="80">
        <f>G388*H388</f>
        <v>0</v>
      </c>
      <c r="BM388" s="80"/>
      <c r="BN388" s="56">
        <v>64</v>
      </c>
    </row>
    <row r="389" spans="1:66" ht="15" customHeight="1">
      <c r="A389" s="36"/>
      <c r="C389" s="522"/>
      <c r="D389" s="533" t="s">
        <v>2297</v>
      </c>
      <c r="E389" s="525" t="s">
        <v>1473</v>
      </c>
      <c r="G389" s="13">
        <v>1</v>
      </c>
      <c r="K389" s="522"/>
      <c r="N389" s="19"/>
      <c r="P389" s="592"/>
      <c r="Q389" s="592"/>
      <c r="R389" s="592"/>
      <c r="S389" s="592"/>
      <c r="T389" s="592"/>
      <c r="U389" s="592"/>
      <c r="V389" s="592"/>
      <c r="W389" s="592"/>
      <c r="X389" s="592"/>
    </row>
    <row r="390" spans="1:66" ht="15" customHeight="1">
      <c r="A390" s="8" t="s">
        <v>1214</v>
      </c>
      <c r="B390" s="75" t="s">
        <v>1746</v>
      </c>
      <c r="C390" s="532" t="s">
        <v>738</v>
      </c>
      <c r="D390" s="713" t="s">
        <v>3688</v>
      </c>
      <c r="E390" s="713"/>
      <c r="F390" s="75" t="s">
        <v>564</v>
      </c>
      <c r="G390" s="80">
        <v>1</v>
      </c>
      <c r="H390" s="626"/>
      <c r="I390" s="80">
        <f>G390*AQ390</f>
        <v>0</v>
      </c>
      <c r="J390" s="80">
        <f>G390*AR390</f>
        <v>0</v>
      </c>
      <c r="K390" s="523">
        <f>G390*H390</f>
        <v>0</v>
      </c>
      <c r="L390" s="80">
        <v>6.6000000000000003E-2</v>
      </c>
      <c r="M390" s="80">
        <f>G390*L390</f>
        <v>6.6000000000000003E-2</v>
      </c>
      <c r="N390" s="38" t="s">
        <v>1579</v>
      </c>
      <c r="P390" s="592">
        <f>K390</f>
        <v>0</v>
      </c>
      <c r="Q390" s="592"/>
      <c r="R390" s="592"/>
      <c r="S390" s="592"/>
      <c r="T390" s="592"/>
      <c r="U390" s="592"/>
      <c r="V390" s="592"/>
      <c r="W390" s="592"/>
      <c r="X390" s="592"/>
      <c r="AB390" s="56">
        <f>IF(AS390="5",BL390,0)</f>
        <v>0</v>
      </c>
      <c r="AD390" s="56">
        <f>IF(AS390="1",BJ390,0)</f>
        <v>0</v>
      </c>
      <c r="AE390" s="56">
        <f>IF(AS390="1",BK390,0)</f>
        <v>0</v>
      </c>
      <c r="AF390" s="56">
        <f>IF(AS390="7",BJ390,0)</f>
        <v>0</v>
      </c>
      <c r="AG390" s="56">
        <f>IF(AS390="7",BK390,0)</f>
        <v>0</v>
      </c>
      <c r="AH390" s="56">
        <f>IF(AS390="2",BJ390,0)</f>
        <v>0</v>
      </c>
      <c r="AI390" s="56">
        <f>IF(AS390="2",BK390,0)</f>
        <v>0</v>
      </c>
      <c r="AJ390" s="56">
        <f>IF(AS390="0",BL390,0)</f>
        <v>0</v>
      </c>
      <c r="AK390" s="7" t="s">
        <v>1746</v>
      </c>
      <c r="AL390" s="80">
        <f>IF(AP390=0,K390,0)</f>
        <v>0</v>
      </c>
      <c r="AM390" s="80">
        <f>IF(AP390=15,K390,0)</f>
        <v>0</v>
      </c>
      <c r="AN390" s="80">
        <f>IF(AP390=21,K390,0)</f>
        <v>0</v>
      </c>
      <c r="AP390" s="56">
        <v>21</v>
      </c>
      <c r="AQ390" s="88">
        <f>H390*1</f>
        <v>0</v>
      </c>
      <c r="AR390" s="88">
        <f>H390*(1-1)</f>
        <v>0</v>
      </c>
      <c r="AS390" s="64" t="s">
        <v>2297</v>
      </c>
      <c r="AX390" s="56">
        <f>AY390+AZ390</f>
        <v>0</v>
      </c>
      <c r="AY390" s="56">
        <f>G390*AQ390</f>
        <v>0</v>
      </c>
      <c r="AZ390" s="56">
        <f>G390*AR390</f>
        <v>0</v>
      </c>
      <c r="BA390" s="21" t="s">
        <v>1554</v>
      </c>
      <c r="BB390" s="21" t="s">
        <v>233</v>
      </c>
      <c r="BC390" s="7" t="s">
        <v>1747</v>
      </c>
      <c r="BE390" s="56">
        <f>AY390+AZ390</f>
        <v>0</v>
      </c>
      <c r="BF390" s="56">
        <f>H390/(100-BG390)*100</f>
        <v>0</v>
      </c>
      <c r="BG390" s="56">
        <v>0</v>
      </c>
      <c r="BH390" s="56">
        <f>M390</f>
        <v>6.6000000000000003E-2</v>
      </c>
      <c r="BJ390" s="80">
        <f>G390*AQ390</f>
        <v>0</v>
      </c>
      <c r="BK390" s="80">
        <f>G390*AR390</f>
        <v>0</v>
      </c>
      <c r="BL390" s="80">
        <f>G390*H390</f>
        <v>0</v>
      </c>
      <c r="BM390" s="80"/>
      <c r="BN390" s="56">
        <v>64</v>
      </c>
    </row>
    <row r="391" spans="1:66" ht="15" customHeight="1">
      <c r="A391" s="36"/>
      <c r="C391" s="522"/>
      <c r="D391" s="533" t="s">
        <v>2297</v>
      </c>
      <c r="E391" s="525" t="s">
        <v>491</v>
      </c>
      <c r="G391" s="13">
        <v>1</v>
      </c>
      <c r="K391" s="522"/>
      <c r="N391" s="19"/>
      <c r="P391" s="592"/>
      <c r="Q391" s="592"/>
      <c r="R391" s="592"/>
      <c r="S391" s="592"/>
      <c r="T391" s="592"/>
      <c r="U391" s="592"/>
      <c r="V391" s="592"/>
      <c r="W391" s="592"/>
      <c r="X391" s="592"/>
    </row>
    <row r="392" spans="1:66" ht="15" customHeight="1">
      <c r="A392" s="24" t="s">
        <v>165</v>
      </c>
      <c r="B392" s="12" t="s">
        <v>1746</v>
      </c>
      <c r="C392" s="513" t="s">
        <v>2263</v>
      </c>
      <c r="D392" s="696" t="s">
        <v>485</v>
      </c>
      <c r="E392" s="696"/>
      <c r="F392" s="12" t="s">
        <v>564</v>
      </c>
      <c r="G392" s="56">
        <v>5</v>
      </c>
      <c r="H392" s="625"/>
      <c r="I392" s="56">
        <f>G392*AQ392</f>
        <v>0</v>
      </c>
      <c r="J392" s="56">
        <f>G392*AR392</f>
        <v>0</v>
      </c>
      <c r="K392" s="517">
        <f>G392*H392</f>
        <v>0</v>
      </c>
      <c r="L392" s="56">
        <v>1.8970000000000001E-2</v>
      </c>
      <c r="M392" s="56">
        <f>G392*L392</f>
        <v>9.4850000000000004E-2</v>
      </c>
      <c r="N392" s="31" t="s">
        <v>1579</v>
      </c>
      <c r="P392" s="592">
        <f>K392</f>
        <v>0</v>
      </c>
      <c r="Q392" s="592"/>
      <c r="R392" s="592"/>
      <c r="S392" s="592"/>
      <c r="T392" s="592"/>
      <c r="U392" s="592"/>
      <c r="V392" s="592"/>
      <c r="W392" s="592"/>
      <c r="X392" s="592"/>
      <c r="AB392" s="56">
        <f>IF(AS392="5",BL392,0)</f>
        <v>0</v>
      </c>
      <c r="AD392" s="56">
        <f>IF(AS392="1",BJ392,0)</f>
        <v>0</v>
      </c>
      <c r="AE392" s="56">
        <f>IF(AS392="1",BK392,0)</f>
        <v>0</v>
      </c>
      <c r="AF392" s="56">
        <f>IF(AS392="7",BJ392,0)</f>
        <v>0</v>
      </c>
      <c r="AG392" s="56">
        <f>IF(AS392="7",BK392,0)</f>
        <v>0</v>
      </c>
      <c r="AH392" s="56">
        <f>IF(AS392="2",BJ392,0)</f>
        <v>0</v>
      </c>
      <c r="AI392" s="56">
        <f>IF(AS392="2",BK392,0)</f>
        <v>0</v>
      </c>
      <c r="AJ392" s="56">
        <f>IF(AS392="0",BL392,0)</f>
        <v>0</v>
      </c>
      <c r="AK392" s="7" t="s">
        <v>1746</v>
      </c>
      <c r="AL392" s="56">
        <f>IF(AP392=0,K392,0)</f>
        <v>0</v>
      </c>
      <c r="AM392" s="56">
        <f>IF(AP392=15,K392,0)</f>
        <v>0</v>
      </c>
      <c r="AN392" s="56">
        <f>IF(AP392=21,K392,0)</f>
        <v>0</v>
      </c>
      <c r="AP392" s="56">
        <v>21</v>
      </c>
      <c r="AQ392" s="88">
        <f>H392*0.020925341745531</f>
        <v>0</v>
      </c>
      <c r="AR392" s="88">
        <f>H392*(1-0.020925341745531)</f>
        <v>0</v>
      </c>
      <c r="AS392" s="21" t="s">
        <v>2297</v>
      </c>
      <c r="AX392" s="56">
        <f>AY392+AZ392</f>
        <v>0</v>
      </c>
      <c r="AY392" s="56">
        <f>G392*AQ392</f>
        <v>0</v>
      </c>
      <c r="AZ392" s="56">
        <f>G392*AR392</f>
        <v>0</v>
      </c>
      <c r="BA392" s="21" t="s">
        <v>1554</v>
      </c>
      <c r="BB392" s="21" t="s">
        <v>233</v>
      </c>
      <c r="BC392" s="7" t="s">
        <v>1747</v>
      </c>
      <c r="BE392" s="56">
        <f>AY392+AZ392</f>
        <v>0</v>
      </c>
      <c r="BF392" s="56">
        <f>H392/(100-BG392)*100</f>
        <v>0</v>
      </c>
      <c r="BG392" s="56">
        <v>0</v>
      </c>
      <c r="BH392" s="56">
        <f>M392</f>
        <v>9.4850000000000004E-2</v>
      </c>
      <c r="BJ392" s="56">
        <f>G392*AQ392</f>
        <v>0</v>
      </c>
      <c r="BK392" s="56">
        <f>G392*AR392</f>
        <v>0</v>
      </c>
      <c r="BL392" s="56">
        <f>G392*H392</f>
        <v>0</v>
      </c>
      <c r="BM392" s="56"/>
      <c r="BN392" s="56">
        <v>64</v>
      </c>
    </row>
    <row r="393" spans="1:66" ht="15" customHeight="1">
      <c r="A393" s="36"/>
      <c r="C393" s="522"/>
      <c r="D393" s="533" t="s">
        <v>1640</v>
      </c>
      <c r="E393" s="525" t="s">
        <v>1597</v>
      </c>
      <c r="G393" s="13">
        <v>5</v>
      </c>
      <c r="K393" s="522"/>
      <c r="N393" s="19"/>
      <c r="P393" s="592"/>
      <c r="Q393" s="592"/>
      <c r="R393" s="592"/>
      <c r="S393" s="592"/>
      <c r="T393" s="592"/>
      <c r="U393" s="592"/>
      <c r="V393" s="592"/>
      <c r="W393" s="592"/>
      <c r="X393" s="592"/>
    </row>
    <row r="394" spans="1:66" ht="15" customHeight="1">
      <c r="A394" s="8" t="s">
        <v>2527</v>
      </c>
      <c r="B394" s="75" t="s">
        <v>1746</v>
      </c>
      <c r="C394" s="532" t="s">
        <v>1534</v>
      </c>
      <c r="D394" s="713" t="s">
        <v>3705</v>
      </c>
      <c r="E394" s="713"/>
      <c r="F394" s="75" t="s">
        <v>564</v>
      </c>
      <c r="G394" s="80">
        <v>1</v>
      </c>
      <c r="H394" s="626"/>
      <c r="I394" s="80">
        <f>G394*AQ394</f>
        <v>0</v>
      </c>
      <c r="J394" s="80">
        <f>G394*AR394</f>
        <v>0</v>
      </c>
      <c r="K394" s="523">
        <f>G394*H394</f>
        <v>0</v>
      </c>
      <c r="L394" s="80">
        <v>3.5999999999999997E-2</v>
      </c>
      <c r="M394" s="80">
        <f>G394*L394</f>
        <v>3.5999999999999997E-2</v>
      </c>
      <c r="N394" s="38" t="s">
        <v>1579</v>
      </c>
      <c r="P394" s="592">
        <f>K394</f>
        <v>0</v>
      </c>
      <c r="Q394" s="592"/>
      <c r="R394" s="592"/>
      <c r="S394" s="592"/>
      <c r="T394" s="592"/>
      <c r="U394" s="592"/>
      <c r="V394" s="592"/>
      <c r="W394" s="592"/>
      <c r="X394" s="592"/>
      <c r="AB394" s="56">
        <f>IF(AS394="5",BL394,0)</f>
        <v>0</v>
      </c>
      <c r="AD394" s="56">
        <f>IF(AS394="1",BJ394,0)</f>
        <v>0</v>
      </c>
      <c r="AE394" s="56">
        <f>IF(AS394="1",BK394,0)</f>
        <v>0</v>
      </c>
      <c r="AF394" s="56">
        <f>IF(AS394="7",BJ394,0)</f>
        <v>0</v>
      </c>
      <c r="AG394" s="56">
        <f>IF(AS394="7",BK394,0)</f>
        <v>0</v>
      </c>
      <c r="AH394" s="56">
        <f>IF(AS394="2",BJ394,0)</f>
        <v>0</v>
      </c>
      <c r="AI394" s="56">
        <f>IF(AS394="2",BK394,0)</f>
        <v>0</v>
      </c>
      <c r="AJ394" s="56">
        <f>IF(AS394="0",BL394,0)</f>
        <v>0</v>
      </c>
      <c r="AK394" s="7" t="s">
        <v>1746</v>
      </c>
      <c r="AL394" s="80">
        <f>IF(AP394=0,K394,0)</f>
        <v>0</v>
      </c>
      <c r="AM394" s="80">
        <f>IF(AP394=15,K394,0)</f>
        <v>0</v>
      </c>
      <c r="AN394" s="80">
        <f>IF(AP394=21,K394,0)</f>
        <v>0</v>
      </c>
      <c r="AP394" s="56">
        <v>21</v>
      </c>
      <c r="AQ394" s="88">
        <f>H394*1</f>
        <v>0</v>
      </c>
      <c r="AR394" s="88">
        <f>H394*(1-1)</f>
        <v>0</v>
      </c>
      <c r="AS394" s="64" t="s">
        <v>2297</v>
      </c>
      <c r="AX394" s="56">
        <f>AY394+AZ394</f>
        <v>0</v>
      </c>
      <c r="AY394" s="56">
        <f>G394*AQ394</f>
        <v>0</v>
      </c>
      <c r="AZ394" s="56">
        <f>G394*AR394</f>
        <v>0</v>
      </c>
      <c r="BA394" s="21" t="s">
        <v>1554</v>
      </c>
      <c r="BB394" s="21" t="s">
        <v>233</v>
      </c>
      <c r="BC394" s="7" t="s">
        <v>1747</v>
      </c>
      <c r="BE394" s="56">
        <f>AY394+AZ394</f>
        <v>0</v>
      </c>
      <c r="BF394" s="56">
        <f>H394/(100-BG394)*100</f>
        <v>0</v>
      </c>
      <c r="BG394" s="56">
        <v>0</v>
      </c>
      <c r="BH394" s="56">
        <f>M394</f>
        <v>3.5999999999999997E-2</v>
      </c>
      <c r="BJ394" s="80">
        <f>G394*AQ394</f>
        <v>0</v>
      </c>
      <c r="BK394" s="80">
        <f>G394*AR394</f>
        <v>0</v>
      </c>
      <c r="BL394" s="80">
        <f>G394*H394</f>
        <v>0</v>
      </c>
      <c r="BM394" s="80"/>
      <c r="BN394" s="56">
        <v>64</v>
      </c>
    </row>
    <row r="395" spans="1:66" ht="15" customHeight="1">
      <c r="A395" s="36"/>
      <c r="C395" s="522"/>
      <c r="D395" s="533" t="s">
        <v>2297</v>
      </c>
      <c r="E395" s="525" t="s">
        <v>3706</v>
      </c>
      <c r="G395" s="13">
        <v>1</v>
      </c>
      <c r="K395" s="522"/>
      <c r="N395" s="19"/>
      <c r="P395" s="592"/>
      <c r="Q395" s="592"/>
      <c r="R395" s="592"/>
      <c r="S395" s="592"/>
      <c r="T395" s="592"/>
      <c r="U395" s="592"/>
      <c r="V395" s="592"/>
      <c r="W395" s="592"/>
      <c r="X395" s="592"/>
    </row>
    <row r="396" spans="1:66" ht="15" customHeight="1">
      <c r="A396" s="8" t="s">
        <v>1349</v>
      </c>
      <c r="B396" s="75" t="s">
        <v>1746</v>
      </c>
      <c r="C396" s="532" t="s">
        <v>1165</v>
      </c>
      <c r="D396" s="713" t="s">
        <v>3707</v>
      </c>
      <c r="E396" s="713"/>
      <c r="F396" s="75" t="s">
        <v>564</v>
      </c>
      <c r="G396" s="80">
        <v>1</v>
      </c>
      <c r="H396" s="626"/>
      <c r="I396" s="80">
        <f>G396*AQ396</f>
        <v>0</v>
      </c>
      <c r="J396" s="80">
        <f>G396*AR396</f>
        <v>0</v>
      </c>
      <c r="K396" s="523">
        <f>G396*H396</f>
        <v>0</v>
      </c>
      <c r="L396" s="80">
        <v>6.6000000000000003E-2</v>
      </c>
      <c r="M396" s="80">
        <f>G396*L396</f>
        <v>6.6000000000000003E-2</v>
      </c>
      <c r="N396" s="38" t="s">
        <v>1579</v>
      </c>
      <c r="P396" s="592">
        <f>K396</f>
        <v>0</v>
      </c>
      <c r="Q396" s="592"/>
      <c r="R396" s="592"/>
      <c r="S396" s="592"/>
      <c r="T396" s="592"/>
      <c r="U396" s="592"/>
      <c r="V396" s="592"/>
      <c r="W396" s="592"/>
      <c r="X396" s="592"/>
      <c r="AB396" s="56">
        <f>IF(AS396="5",BL396,0)</f>
        <v>0</v>
      </c>
      <c r="AD396" s="56">
        <f>IF(AS396="1",BJ396,0)</f>
        <v>0</v>
      </c>
      <c r="AE396" s="56">
        <f>IF(AS396="1",BK396,0)</f>
        <v>0</v>
      </c>
      <c r="AF396" s="56">
        <f>IF(AS396="7",BJ396,0)</f>
        <v>0</v>
      </c>
      <c r="AG396" s="56">
        <f>IF(AS396="7",BK396,0)</f>
        <v>0</v>
      </c>
      <c r="AH396" s="56">
        <f>IF(AS396="2",BJ396,0)</f>
        <v>0</v>
      </c>
      <c r="AI396" s="56">
        <f>IF(AS396="2",BK396,0)</f>
        <v>0</v>
      </c>
      <c r="AJ396" s="56">
        <f>IF(AS396="0",BL396,0)</f>
        <v>0</v>
      </c>
      <c r="AK396" s="7" t="s">
        <v>1746</v>
      </c>
      <c r="AL396" s="80">
        <f>IF(AP396=0,K396,0)</f>
        <v>0</v>
      </c>
      <c r="AM396" s="80">
        <f>IF(AP396=15,K396,0)</f>
        <v>0</v>
      </c>
      <c r="AN396" s="80">
        <f>IF(AP396=21,K396,0)</f>
        <v>0</v>
      </c>
      <c r="AP396" s="56">
        <v>21</v>
      </c>
      <c r="AQ396" s="88">
        <f>H396*1</f>
        <v>0</v>
      </c>
      <c r="AR396" s="88">
        <f>H396*(1-1)</f>
        <v>0</v>
      </c>
      <c r="AS396" s="64" t="s">
        <v>2297</v>
      </c>
      <c r="AX396" s="56">
        <f>AY396+AZ396</f>
        <v>0</v>
      </c>
      <c r="AY396" s="56">
        <f>G396*AQ396</f>
        <v>0</v>
      </c>
      <c r="AZ396" s="56">
        <f>G396*AR396</f>
        <v>0</v>
      </c>
      <c r="BA396" s="21" t="s">
        <v>1554</v>
      </c>
      <c r="BB396" s="21" t="s">
        <v>233</v>
      </c>
      <c r="BC396" s="7" t="s">
        <v>1747</v>
      </c>
      <c r="BE396" s="56">
        <f>AY396+AZ396</f>
        <v>0</v>
      </c>
      <c r="BF396" s="56">
        <f>H396/(100-BG396)*100</f>
        <v>0</v>
      </c>
      <c r="BG396" s="56">
        <v>0</v>
      </c>
      <c r="BH396" s="56">
        <f>M396</f>
        <v>6.6000000000000003E-2</v>
      </c>
      <c r="BJ396" s="80">
        <f>G396*AQ396</f>
        <v>0</v>
      </c>
      <c r="BK396" s="80">
        <f>G396*AR396</f>
        <v>0</v>
      </c>
      <c r="BL396" s="80">
        <f>G396*H396</f>
        <v>0</v>
      </c>
      <c r="BM396" s="80"/>
      <c r="BN396" s="56">
        <v>64</v>
      </c>
    </row>
    <row r="397" spans="1:66" ht="15" customHeight="1">
      <c r="A397" s="36"/>
      <c r="C397" s="522"/>
      <c r="D397" s="533" t="s">
        <v>2297</v>
      </c>
      <c r="E397" s="525" t="s">
        <v>3689</v>
      </c>
      <c r="G397" s="13">
        <v>1</v>
      </c>
      <c r="K397" s="522"/>
      <c r="N397" s="19"/>
      <c r="P397" s="592"/>
      <c r="Q397" s="592"/>
      <c r="R397" s="592"/>
      <c r="S397" s="592"/>
      <c r="T397" s="592"/>
      <c r="U397" s="592"/>
      <c r="V397" s="592"/>
      <c r="W397" s="592"/>
      <c r="X397" s="592"/>
    </row>
    <row r="398" spans="1:66" ht="15" customHeight="1">
      <c r="A398" s="8" t="s">
        <v>940</v>
      </c>
      <c r="B398" s="75" t="s">
        <v>1746</v>
      </c>
      <c r="C398" s="532" t="s">
        <v>1271</v>
      </c>
      <c r="D398" s="713" t="s">
        <v>3690</v>
      </c>
      <c r="E398" s="713"/>
      <c r="F398" s="75" t="s">
        <v>564</v>
      </c>
      <c r="G398" s="80">
        <v>1</v>
      </c>
      <c r="H398" s="626"/>
      <c r="I398" s="80">
        <f>G398*AQ398</f>
        <v>0</v>
      </c>
      <c r="J398" s="80">
        <f>G398*AR398</f>
        <v>0</v>
      </c>
      <c r="K398" s="523">
        <f>G398*H398</f>
        <v>0</v>
      </c>
      <c r="L398" s="80">
        <v>5.8999999999999997E-2</v>
      </c>
      <c r="M398" s="80">
        <f>G398*L398</f>
        <v>5.8999999999999997E-2</v>
      </c>
      <c r="N398" s="38" t="s">
        <v>1579</v>
      </c>
      <c r="P398" s="592">
        <f>K398</f>
        <v>0</v>
      </c>
      <c r="Q398" s="592"/>
      <c r="R398" s="592"/>
      <c r="S398" s="592"/>
      <c r="T398" s="592"/>
      <c r="U398" s="592"/>
      <c r="V398" s="592"/>
      <c r="W398" s="592"/>
      <c r="X398" s="592"/>
      <c r="AB398" s="56">
        <f>IF(AS398="5",BL398,0)</f>
        <v>0</v>
      </c>
      <c r="AD398" s="56">
        <f>IF(AS398="1",BJ398,0)</f>
        <v>0</v>
      </c>
      <c r="AE398" s="56">
        <f>IF(AS398="1",BK398,0)</f>
        <v>0</v>
      </c>
      <c r="AF398" s="56">
        <f>IF(AS398="7",BJ398,0)</f>
        <v>0</v>
      </c>
      <c r="AG398" s="56">
        <f>IF(AS398="7",BK398,0)</f>
        <v>0</v>
      </c>
      <c r="AH398" s="56">
        <f>IF(AS398="2",BJ398,0)</f>
        <v>0</v>
      </c>
      <c r="AI398" s="56">
        <f>IF(AS398="2",BK398,0)</f>
        <v>0</v>
      </c>
      <c r="AJ398" s="56">
        <f>IF(AS398="0",BL398,0)</f>
        <v>0</v>
      </c>
      <c r="AK398" s="7" t="s">
        <v>1746</v>
      </c>
      <c r="AL398" s="80">
        <f>IF(AP398=0,K398,0)</f>
        <v>0</v>
      </c>
      <c r="AM398" s="80">
        <f>IF(AP398=15,K398,0)</f>
        <v>0</v>
      </c>
      <c r="AN398" s="80">
        <f>IF(AP398=21,K398,0)</f>
        <v>0</v>
      </c>
      <c r="AP398" s="56">
        <v>21</v>
      </c>
      <c r="AQ398" s="88">
        <f>H398*1</f>
        <v>0</v>
      </c>
      <c r="AR398" s="88">
        <f>H398*(1-1)</f>
        <v>0</v>
      </c>
      <c r="AS398" s="64" t="s">
        <v>2297</v>
      </c>
      <c r="AX398" s="56">
        <f>AY398+AZ398</f>
        <v>0</v>
      </c>
      <c r="AY398" s="56">
        <f>G398*AQ398</f>
        <v>0</v>
      </c>
      <c r="AZ398" s="56">
        <f>G398*AR398</f>
        <v>0</v>
      </c>
      <c r="BA398" s="21" t="s">
        <v>1554</v>
      </c>
      <c r="BB398" s="21" t="s">
        <v>233</v>
      </c>
      <c r="BC398" s="7" t="s">
        <v>1747</v>
      </c>
      <c r="BE398" s="56">
        <f>AY398+AZ398</f>
        <v>0</v>
      </c>
      <c r="BF398" s="56">
        <f>H398/(100-BG398)*100</f>
        <v>0</v>
      </c>
      <c r="BG398" s="56">
        <v>0</v>
      </c>
      <c r="BH398" s="56">
        <f>M398</f>
        <v>5.8999999999999997E-2</v>
      </c>
      <c r="BJ398" s="80">
        <f>G398*AQ398</f>
        <v>0</v>
      </c>
      <c r="BK398" s="80">
        <f>G398*AR398</f>
        <v>0</v>
      </c>
      <c r="BL398" s="80">
        <f>G398*H398</f>
        <v>0</v>
      </c>
      <c r="BM398" s="80"/>
      <c r="BN398" s="56">
        <v>64</v>
      </c>
    </row>
    <row r="399" spans="1:66" ht="15" customHeight="1">
      <c r="A399" s="36"/>
      <c r="C399" s="522"/>
      <c r="D399" s="533" t="s">
        <v>2297</v>
      </c>
      <c r="E399" s="525" t="s">
        <v>1597</v>
      </c>
      <c r="G399" s="13">
        <v>1</v>
      </c>
      <c r="K399" s="522"/>
      <c r="N399" s="19"/>
      <c r="P399" s="592"/>
      <c r="Q399" s="592"/>
      <c r="R399" s="592"/>
      <c r="S399" s="592"/>
      <c r="T399" s="592"/>
      <c r="U399" s="592"/>
      <c r="V399" s="592"/>
      <c r="W399" s="592"/>
      <c r="X399" s="592"/>
    </row>
    <row r="400" spans="1:66" ht="15" customHeight="1">
      <c r="A400" s="8" t="s">
        <v>657</v>
      </c>
      <c r="B400" s="75" t="s">
        <v>1746</v>
      </c>
      <c r="C400" s="532" t="s">
        <v>2358</v>
      </c>
      <c r="D400" s="713" t="s">
        <v>3691</v>
      </c>
      <c r="E400" s="713"/>
      <c r="F400" s="75" t="s">
        <v>564</v>
      </c>
      <c r="G400" s="80">
        <v>1</v>
      </c>
      <c r="H400" s="626"/>
      <c r="I400" s="80">
        <f>G400*AQ400</f>
        <v>0</v>
      </c>
      <c r="J400" s="80">
        <f>G400*AR400</f>
        <v>0</v>
      </c>
      <c r="K400" s="523">
        <f>G400*H400</f>
        <v>0</v>
      </c>
      <c r="L400" s="80">
        <v>3.5999999999999997E-2</v>
      </c>
      <c r="M400" s="80">
        <f>G400*L400</f>
        <v>3.5999999999999997E-2</v>
      </c>
      <c r="N400" s="38" t="s">
        <v>1579</v>
      </c>
      <c r="P400" s="592">
        <f>K400</f>
        <v>0</v>
      </c>
      <c r="Q400" s="592"/>
      <c r="R400" s="592"/>
      <c r="S400" s="592"/>
      <c r="T400" s="592"/>
      <c r="U400" s="592"/>
      <c r="V400" s="592"/>
      <c r="W400" s="592"/>
      <c r="X400" s="592"/>
      <c r="AB400" s="56">
        <f>IF(AS400="5",BL400,0)</f>
        <v>0</v>
      </c>
      <c r="AD400" s="56">
        <f>IF(AS400="1",BJ400,0)</f>
        <v>0</v>
      </c>
      <c r="AE400" s="56">
        <f>IF(AS400="1",BK400,0)</f>
        <v>0</v>
      </c>
      <c r="AF400" s="56">
        <f>IF(AS400="7",BJ400,0)</f>
        <v>0</v>
      </c>
      <c r="AG400" s="56">
        <f>IF(AS400="7",BK400,0)</f>
        <v>0</v>
      </c>
      <c r="AH400" s="56">
        <f>IF(AS400="2",BJ400,0)</f>
        <v>0</v>
      </c>
      <c r="AI400" s="56">
        <f>IF(AS400="2",BK400,0)</f>
        <v>0</v>
      </c>
      <c r="AJ400" s="56">
        <f>IF(AS400="0",BL400,0)</f>
        <v>0</v>
      </c>
      <c r="AK400" s="7" t="s">
        <v>1746</v>
      </c>
      <c r="AL400" s="80">
        <f>IF(AP400=0,K400,0)</f>
        <v>0</v>
      </c>
      <c r="AM400" s="80">
        <f>IF(AP400=15,K400,0)</f>
        <v>0</v>
      </c>
      <c r="AN400" s="80">
        <f>IF(AP400=21,K400,0)</f>
        <v>0</v>
      </c>
      <c r="AP400" s="56">
        <v>21</v>
      </c>
      <c r="AQ400" s="88">
        <f>H400*1</f>
        <v>0</v>
      </c>
      <c r="AR400" s="88">
        <f>H400*(1-1)</f>
        <v>0</v>
      </c>
      <c r="AS400" s="64" t="s">
        <v>2297</v>
      </c>
      <c r="AX400" s="56">
        <f>AY400+AZ400</f>
        <v>0</v>
      </c>
      <c r="AY400" s="56">
        <f>G400*AQ400</f>
        <v>0</v>
      </c>
      <c r="AZ400" s="56">
        <f>G400*AR400</f>
        <v>0</v>
      </c>
      <c r="BA400" s="21" t="s">
        <v>1554</v>
      </c>
      <c r="BB400" s="21" t="s">
        <v>233</v>
      </c>
      <c r="BC400" s="7" t="s">
        <v>1747</v>
      </c>
      <c r="BE400" s="56">
        <f>AY400+AZ400</f>
        <v>0</v>
      </c>
      <c r="BF400" s="56">
        <f>H400/(100-BG400)*100</f>
        <v>0</v>
      </c>
      <c r="BG400" s="56">
        <v>0</v>
      </c>
      <c r="BH400" s="56">
        <f>M400</f>
        <v>3.5999999999999997E-2</v>
      </c>
      <c r="BJ400" s="80">
        <f>G400*AQ400</f>
        <v>0</v>
      </c>
      <c r="BK400" s="80">
        <f>G400*AR400</f>
        <v>0</v>
      </c>
      <c r="BL400" s="80">
        <f>G400*H400</f>
        <v>0</v>
      </c>
      <c r="BM400" s="80"/>
      <c r="BN400" s="56">
        <v>64</v>
      </c>
    </row>
    <row r="401" spans="1:66" ht="15" customHeight="1">
      <c r="A401" s="36"/>
      <c r="C401" s="522"/>
      <c r="D401" s="533" t="s">
        <v>2297</v>
      </c>
      <c r="E401" s="525" t="s">
        <v>1597</v>
      </c>
      <c r="G401" s="13">
        <v>1</v>
      </c>
      <c r="K401" s="522"/>
      <c r="N401" s="19"/>
      <c r="P401" s="592"/>
      <c r="Q401" s="592"/>
      <c r="R401" s="592"/>
      <c r="S401" s="592"/>
      <c r="T401" s="592"/>
      <c r="U401" s="592"/>
      <c r="V401" s="592"/>
      <c r="W401" s="592"/>
      <c r="X401" s="592"/>
    </row>
    <row r="402" spans="1:66" ht="15" customHeight="1">
      <c r="A402" s="8" t="s">
        <v>1603</v>
      </c>
      <c r="B402" s="75" t="s">
        <v>1746</v>
      </c>
      <c r="C402" s="532" t="s">
        <v>1506</v>
      </c>
      <c r="D402" s="713" t="s">
        <v>3692</v>
      </c>
      <c r="E402" s="713"/>
      <c r="F402" s="75" t="s">
        <v>564</v>
      </c>
      <c r="G402" s="80">
        <v>1</v>
      </c>
      <c r="H402" s="626"/>
      <c r="I402" s="80">
        <f>G402*AQ402</f>
        <v>0</v>
      </c>
      <c r="J402" s="80">
        <f>G402*AR402</f>
        <v>0</v>
      </c>
      <c r="K402" s="523">
        <f>G402*H402</f>
        <v>0</v>
      </c>
      <c r="L402" s="80">
        <v>5.8999999999999997E-2</v>
      </c>
      <c r="M402" s="80">
        <f>G402*L402</f>
        <v>5.8999999999999997E-2</v>
      </c>
      <c r="N402" s="38" t="s">
        <v>1579</v>
      </c>
      <c r="P402" s="592">
        <f>K402</f>
        <v>0</v>
      </c>
      <c r="Q402" s="592"/>
      <c r="R402" s="592"/>
      <c r="S402" s="592"/>
      <c r="T402" s="592"/>
      <c r="U402" s="592"/>
      <c r="V402" s="592"/>
      <c r="W402" s="592"/>
      <c r="X402" s="592"/>
      <c r="AB402" s="56">
        <f>IF(AS402="5",BL402,0)</f>
        <v>0</v>
      </c>
      <c r="AD402" s="56">
        <f>IF(AS402="1",BJ402,0)</f>
        <v>0</v>
      </c>
      <c r="AE402" s="56">
        <f>IF(AS402="1",BK402,0)</f>
        <v>0</v>
      </c>
      <c r="AF402" s="56">
        <f>IF(AS402="7",BJ402,0)</f>
        <v>0</v>
      </c>
      <c r="AG402" s="56">
        <f>IF(AS402="7",BK402,0)</f>
        <v>0</v>
      </c>
      <c r="AH402" s="56">
        <f>IF(AS402="2",BJ402,0)</f>
        <v>0</v>
      </c>
      <c r="AI402" s="56">
        <f>IF(AS402="2",BK402,0)</f>
        <v>0</v>
      </c>
      <c r="AJ402" s="56">
        <f>IF(AS402="0",BL402,0)</f>
        <v>0</v>
      </c>
      <c r="AK402" s="7" t="s">
        <v>1746</v>
      </c>
      <c r="AL402" s="80">
        <f>IF(AP402=0,K402,0)</f>
        <v>0</v>
      </c>
      <c r="AM402" s="80">
        <f>IF(AP402=15,K402,0)</f>
        <v>0</v>
      </c>
      <c r="AN402" s="80">
        <f>IF(AP402=21,K402,0)</f>
        <v>0</v>
      </c>
      <c r="AP402" s="56">
        <v>21</v>
      </c>
      <c r="AQ402" s="88">
        <f>H402*1</f>
        <v>0</v>
      </c>
      <c r="AR402" s="88">
        <f>H402*(1-1)</f>
        <v>0</v>
      </c>
      <c r="AS402" s="64" t="s">
        <v>2297</v>
      </c>
      <c r="AX402" s="56">
        <f>AY402+AZ402</f>
        <v>0</v>
      </c>
      <c r="AY402" s="56">
        <f>G402*AQ402</f>
        <v>0</v>
      </c>
      <c r="AZ402" s="56">
        <f>G402*AR402</f>
        <v>0</v>
      </c>
      <c r="BA402" s="21" t="s">
        <v>1554</v>
      </c>
      <c r="BB402" s="21" t="s">
        <v>233</v>
      </c>
      <c r="BC402" s="7" t="s">
        <v>1747</v>
      </c>
      <c r="BE402" s="56">
        <f>AY402+AZ402</f>
        <v>0</v>
      </c>
      <c r="BF402" s="56">
        <f>H402/(100-BG402)*100</f>
        <v>0</v>
      </c>
      <c r="BG402" s="56">
        <v>0</v>
      </c>
      <c r="BH402" s="56">
        <f>M402</f>
        <v>5.8999999999999997E-2</v>
      </c>
      <c r="BJ402" s="80">
        <f>G402*AQ402</f>
        <v>0</v>
      </c>
      <c r="BK402" s="80">
        <f>G402*AR402</f>
        <v>0</v>
      </c>
      <c r="BL402" s="80">
        <f>G402*H402</f>
        <v>0</v>
      </c>
      <c r="BM402" s="80"/>
      <c r="BN402" s="56">
        <v>64</v>
      </c>
    </row>
    <row r="403" spans="1:66" ht="15" customHeight="1">
      <c r="A403" s="36"/>
      <c r="C403" s="522"/>
      <c r="D403" s="533" t="s">
        <v>2297</v>
      </c>
      <c r="E403" s="525" t="s">
        <v>1597</v>
      </c>
      <c r="G403" s="13">
        <v>1</v>
      </c>
      <c r="K403" s="522"/>
      <c r="N403" s="19"/>
      <c r="P403" s="592"/>
      <c r="Q403" s="592"/>
      <c r="R403" s="592"/>
      <c r="S403" s="592"/>
      <c r="T403" s="592"/>
      <c r="U403" s="592"/>
      <c r="V403" s="592"/>
      <c r="W403" s="592"/>
      <c r="X403" s="592"/>
    </row>
    <row r="404" spans="1:66" ht="15" customHeight="1">
      <c r="A404" s="24" t="s">
        <v>2159</v>
      </c>
      <c r="B404" s="12" t="s">
        <v>1746</v>
      </c>
      <c r="C404" s="513" t="s">
        <v>1710</v>
      </c>
      <c r="D404" s="696" t="s">
        <v>3621</v>
      </c>
      <c r="E404" s="696"/>
      <c r="F404" s="12" t="s">
        <v>564</v>
      </c>
      <c r="G404" s="56">
        <v>5</v>
      </c>
      <c r="H404" s="625"/>
      <c r="I404" s="56">
        <f>G404*AQ404</f>
        <v>0</v>
      </c>
      <c r="J404" s="56">
        <f>G404*AR404</f>
        <v>0</v>
      </c>
      <c r="K404" s="517">
        <f>G404*H404</f>
        <v>0</v>
      </c>
      <c r="L404" s="56">
        <v>6.0600000000000001E-2</v>
      </c>
      <c r="M404" s="56">
        <f>G404*L404</f>
        <v>0.30299999999999999</v>
      </c>
      <c r="N404" s="31" t="s">
        <v>1579</v>
      </c>
      <c r="P404" s="592">
        <f>K404</f>
        <v>0</v>
      </c>
      <c r="Q404" s="592"/>
      <c r="R404" s="592"/>
      <c r="S404" s="592"/>
      <c r="T404" s="592"/>
      <c r="U404" s="592"/>
      <c r="V404" s="592"/>
      <c r="W404" s="592"/>
      <c r="X404" s="592"/>
      <c r="AB404" s="56">
        <f>IF(AS404="5",BL404,0)</f>
        <v>0</v>
      </c>
      <c r="AD404" s="56">
        <f>IF(AS404="1",BJ404,0)</f>
        <v>0</v>
      </c>
      <c r="AE404" s="56">
        <f>IF(AS404="1",BK404,0)</f>
        <v>0</v>
      </c>
      <c r="AF404" s="56">
        <f>IF(AS404="7",BJ404,0)</f>
        <v>0</v>
      </c>
      <c r="AG404" s="56">
        <f>IF(AS404="7",BK404,0)</f>
        <v>0</v>
      </c>
      <c r="AH404" s="56">
        <f>IF(AS404="2",BJ404,0)</f>
        <v>0</v>
      </c>
      <c r="AI404" s="56">
        <f>IF(AS404="2",BK404,0)</f>
        <v>0</v>
      </c>
      <c r="AJ404" s="56">
        <f>IF(AS404="0",BL404,0)</f>
        <v>0</v>
      </c>
      <c r="AK404" s="7" t="s">
        <v>1746</v>
      </c>
      <c r="AL404" s="56">
        <f>IF(AP404=0,K404,0)</f>
        <v>0</v>
      </c>
      <c r="AM404" s="56">
        <f>IF(AP404=15,K404,0)</f>
        <v>0</v>
      </c>
      <c r="AN404" s="56">
        <f>IF(AP404=21,K404,0)</f>
        <v>0</v>
      </c>
      <c r="AP404" s="56">
        <v>21</v>
      </c>
      <c r="AQ404" s="88">
        <f>H404*0.271333333333333</f>
        <v>0</v>
      </c>
      <c r="AR404" s="88">
        <f>H404*(1-0.271333333333333)</f>
        <v>0</v>
      </c>
      <c r="AS404" s="21" t="s">
        <v>2297</v>
      </c>
      <c r="AX404" s="56">
        <f>AY404+AZ404</f>
        <v>0</v>
      </c>
      <c r="AY404" s="56">
        <f>G404*AQ404</f>
        <v>0</v>
      </c>
      <c r="AZ404" s="56">
        <f>G404*AR404</f>
        <v>0</v>
      </c>
      <c r="BA404" s="21" t="s">
        <v>1554</v>
      </c>
      <c r="BB404" s="21" t="s">
        <v>233</v>
      </c>
      <c r="BC404" s="7" t="s">
        <v>1747</v>
      </c>
      <c r="BE404" s="56">
        <f>AY404+AZ404</f>
        <v>0</v>
      </c>
      <c r="BF404" s="56">
        <f>H404/(100-BG404)*100</f>
        <v>0</v>
      </c>
      <c r="BG404" s="56">
        <v>0</v>
      </c>
      <c r="BH404" s="56">
        <f>M404</f>
        <v>0.30299999999999999</v>
      </c>
      <c r="BJ404" s="56">
        <f>G404*AQ404</f>
        <v>0</v>
      </c>
      <c r="BK404" s="56">
        <f>G404*AR404</f>
        <v>0</v>
      </c>
      <c r="BL404" s="56">
        <f>G404*H404</f>
        <v>0</v>
      </c>
      <c r="BM404" s="56"/>
      <c r="BN404" s="56">
        <v>64</v>
      </c>
    </row>
    <row r="405" spans="1:66" ht="15" customHeight="1">
      <c r="A405" s="36"/>
      <c r="C405" s="522"/>
      <c r="D405" s="533" t="s">
        <v>2266</v>
      </c>
      <c r="E405" s="525" t="s">
        <v>1597</v>
      </c>
      <c r="G405" s="13">
        <v>5</v>
      </c>
      <c r="K405" s="522"/>
      <c r="N405" s="19"/>
      <c r="P405" s="592"/>
      <c r="Q405" s="592"/>
      <c r="R405" s="592"/>
      <c r="S405" s="592"/>
      <c r="T405" s="592"/>
      <c r="U405" s="592"/>
      <c r="V405" s="592"/>
      <c r="W405" s="592"/>
      <c r="X405" s="592"/>
    </row>
    <row r="406" spans="1:66" ht="15" customHeight="1">
      <c r="A406" s="8" t="s">
        <v>537</v>
      </c>
      <c r="B406" s="75" t="s">
        <v>1746</v>
      </c>
      <c r="C406" s="532" t="s">
        <v>2526</v>
      </c>
      <c r="D406" s="713" t="s">
        <v>3693</v>
      </c>
      <c r="E406" s="713"/>
      <c r="F406" s="75" t="s">
        <v>564</v>
      </c>
      <c r="G406" s="80">
        <v>1</v>
      </c>
      <c r="H406" s="626"/>
      <c r="I406" s="80">
        <f>G406*AQ406</f>
        <v>0</v>
      </c>
      <c r="J406" s="80">
        <f>G406*AR406</f>
        <v>0</v>
      </c>
      <c r="K406" s="523">
        <f>G406*H406</f>
        <v>0</v>
      </c>
      <c r="L406" s="80">
        <v>8.8999999999999996E-2</v>
      </c>
      <c r="M406" s="80">
        <f>G406*L406</f>
        <v>8.8999999999999996E-2</v>
      </c>
      <c r="N406" s="38" t="s">
        <v>1579</v>
      </c>
      <c r="P406" s="592">
        <f>K406</f>
        <v>0</v>
      </c>
      <c r="Q406" s="592"/>
      <c r="R406" s="592"/>
      <c r="S406" s="592"/>
      <c r="T406" s="592"/>
      <c r="U406" s="592"/>
      <c r="V406" s="592"/>
      <c r="W406" s="592"/>
      <c r="X406" s="592"/>
      <c r="AB406" s="56">
        <f>IF(AS406="5",BL406,0)</f>
        <v>0</v>
      </c>
      <c r="AD406" s="56">
        <f>IF(AS406="1",BJ406,0)</f>
        <v>0</v>
      </c>
      <c r="AE406" s="56">
        <f>IF(AS406="1",BK406,0)</f>
        <v>0</v>
      </c>
      <c r="AF406" s="56">
        <f>IF(AS406="7",BJ406,0)</f>
        <v>0</v>
      </c>
      <c r="AG406" s="56">
        <f>IF(AS406="7",BK406,0)</f>
        <v>0</v>
      </c>
      <c r="AH406" s="56">
        <f>IF(AS406="2",BJ406,0)</f>
        <v>0</v>
      </c>
      <c r="AI406" s="56">
        <f>IF(AS406="2",BK406,0)</f>
        <v>0</v>
      </c>
      <c r="AJ406" s="56">
        <f>IF(AS406="0",BL406,0)</f>
        <v>0</v>
      </c>
      <c r="AK406" s="7" t="s">
        <v>1746</v>
      </c>
      <c r="AL406" s="80">
        <f>IF(AP406=0,K406,0)</f>
        <v>0</v>
      </c>
      <c r="AM406" s="80">
        <f>IF(AP406=15,K406,0)</f>
        <v>0</v>
      </c>
      <c r="AN406" s="80">
        <f>IF(AP406=21,K406,0)</f>
        <v>0</v>
      </c>
      <c r="AP406" s="56">
        <v>21</v>
      </c>
      <c r="AQ406" s="88">
        <f>H406*1</f>
        <v>0</v>
      </c>
      <c r="AR406" s="88">
        <f>H406*(1-1)</f>
        <v>0</v>
      </c>
      <c r="AS406" s="64" t="s">
        <v>2297</v>
      </c>
      <c r="AX406" s="56">
        <f>AY406+AZ406</f>
        <v>0</v>
      </c>
      <c r="AY406" s="56">
        <f>G406*AQ406</f>
        <v>0</v>
      </c>
      <c r="AZ406" s="56">
        <f>G406*AR406</f>
        <v>0</v>
      </c>
      <c r="BA406" s="21" t="s">
        <v>1554</v>
      </c>
      <c r="BB406" s="21" t="s">
        <v>233</v>
      </c>
      <c r="BC406" s="7" t="s">
        <v>1747</v>
      </c>
      <c r="BE406" s="56">
        <f>AY406+AZ406</f>
        <v>0</v>
      </c>
      <c r="BF406" s="56">
        <f>H406/(100-BG406)*100</f>
        <v>0</v>
      </c>
      <c r="BG406" s="56">
        <v>0</v>
      </c>
      <c r="BH406" s="56">
        <f>M406</f>
        <v>8.8999999999999996E-2</v>
      </c>
      <c r="BJ406" s="80">
        <f>G406*AQ406</f>
        <v>0</v>
      </c>
      <c r="BK406" s="80">
        <f>G406*AR406</f>
        <v>0</v>
      </c>
      <c r="BL406" s="80">
        <f>G406*H406</f>
        <v>0</v>
      </c>
      <c r="BM406" s="80"/>
      <c r="BN406" s="56">
        <v>64</v>
      </c>
    </row>
    <row r="407" spans="1:66" ht="15" customHeight="1">
      <c r="A407" s="36"/>
      <c r="C407" s="522"/>
      <c r="D407" s="533" t="s">
        <v>2297</v>
      </c>
      <c r="E407" s="525" t="s">
        <v>491</v>
      </c>
      <c r="G407" s="13">
        <v>1</v>
      </c>
      <c r="K407" s="522"/>
      <c r="N407" s="19"/>
      <c r="P407" s="592"/>
      <c r="Q407" s="592"/>
      <c r="R407" s="592"/>
      <c r="S407" s="592"/>
      <c r="T407" s="592"/>
      <c r="U407" s="592"/>
      <c r="V407" s="592"/>
      <c r="W407" s="592"/>
      <c r="X407" s="592"/>
    </row>
    <row r="408" spans="1:66" ht="15" customHeight="1">
      <c r="A408" s="8" t="s">
        <v>2467</v>
      </c>
      <c r="B408" s="75" t="s">
        <v>1746</v>
      </c>
      <c r="C408" s="532" t="s">
        <v>2287</v>
      </c>
      <c r="D408" s="713" t="s">
        <v>3694</v>
      </c>
      <c r="E408" s="713"/>
      <c r="F408" s="75" t="s">
        <v>564</v>
      </c>
      <c r="G408" s="80">
        <v>1</v>
      </c>
      <c r="H408" s="626"/>
      <c r="I408" s="80">
        <f>G408*AQ408</f>
        <v>0</v>
      </c>
      <c r="J408" s="80">
        <f>G408*AR408</f>
        <v>0</v>
      </c>
      <c r="K408" s="523">
        <f>G408*H408</f>
        <v>0</v>
      </c>
      <c r="L408" s="80">
        <v>7.3999999999999996E-2</v>
      </c>
      <c r="M408" s="80">
        <f>G408*L408</f>
        <v>7.3999999999999996E-2</v>
      </c>
      <c r="N408" s="38" t="s">
        <v>1579</v>
      </c>
      <c r="P408" s="592">
        <f>K408</f>
        <v>0</v>
      </c>
      <c r="Q408" s="592"/>
      <c r="R408" s="592"/>
      <c r="S408" s="592"/>
      <c r="T408" s="592"/>
      <c r="U408" s="592"/>
      <c r="V408" s="592"/>
      <c r="W408" s="592"/>
      <c r="X408" s="592"/>
      <c r="AB408" s="56">
        <f>IF(AS408="5",BL408,0)</f>
        <v>0</v>
      </c>
      <c r="AD408" s="56">
        <f>IF(AS408="1",BJ408,0)</f>
        <v>0</v>
      </c>
      <c r="AE408" s="56">
        <f>IF(AS408="1",BK408,0)</f>
        <v>0</v>
      </c>
      <c r="AF408" s="56">
        <f>IF(AS408="7",BJ408,0)</f>
        <v>0</v>
      </c>
      <c r="AG408" s="56">
        <f>IF(AS408="7",BK408,0)</f>
        <v>0</v>
      </c>
      <c r="AH408" s="56">
        <f>IF(AS408="2",BJ408,0)</f>
        <v>0</v>
      </c>
      <c r="AI408" s="56">
        <f>IF(AS408="2",BK408,0)</f>
        <v>0</v>
      </c>
      <c r="AJ408" s="56">
        <f>IF(AS408="0",BL408,0)</f>
        <v>0</v>
      </c>
      <c r="AK408" s="7" t="s">
        <v>1746</v>
      </c>
      <c r="AL408" s="80">
        <f>IF(AP408=0,K408,0)</f>
        <v>0</v>
      </c>
      <c r="AM408" s="80">
        <f>IF(AP408=15,K408,0)</f>
        <v>0</v>
      </c>
      <c r="AN408" s="80">
        <f>IF(AP408=21,K408,0)</f>
        <v>0</v>
      </c>
      <c r="AP408" s="56">
        <v>21</v>
      </c>
      <c r="AQ408" s="88">
        <f>H408*1</f>
        <v>0</v>
      </c>
      <c r="AR408" s="88">
        <f>H408*(1-1)</f>
        <v>0</v>
      </c>
      <c r="AS408" s="64" t="s">
        <v>2297</v>
      </c>
      <c r="AX408" s="56">
        <f>AY408+AZ408</f>
        <v>0</v>
      </c>
      <c r="AY408" s="56">
        <f>G408*AQ408</f>
        <v>0</v>
      </c>
      <c r="AZ408" s="56">
        <f>G408*AR408</f>
        <v>0</v>
      </c>
      <c r="BA408" s="21" t="s">
        <v>1554</v>
      </c>
      <c r="BB408" s="21" t="s">
        <v>233</v>
      </c>
      <c r="BC408" s="7" t="s">
        <v>1747</v>
      </c>
      <c r="BE408" s="56">
        <f>AY408+AZ408</f>
        <v>0</v>
      </c>
      <c r="BF408" s="56">
        <f>H408/(100-BG408)*100</f>
        <v>0</v>
      </c>
      <c r="BG408" s="56">
        <v>0</v>
      </c>
      <c r="BH408" s="56">
        <f>M408</f>
        <v>7.3999999999999996E-2</v>
      </c>
      <c r="BJ408" s="80">
        <f>G408*AQ408</f>
        <v>0</v>
      </c>
      <c r="BK408" s="80">
        <f>G408*AR408</f>
        <v>0</v>
      </c>
      <c r="BL408" s="80">
        <f>G408*H408</f>
        <v>0</v>
      </c>
      <c r="BM408" s="80"/>
      <c r="BN408" s="56">
        <v>64</v>
      </c>
    </row>
    <row r="409" spans="1:66" ht="15" customHeight="1">
      <c r="A409" s="36"/>
      <c r="C409" s="522"/>
      <c r="D409" s="533" t="s">
        <v>2297</v>
      </c>
      <c r="E409" s="525" t="s">
        <v>2025</v>
      </c>
      <c r="G409" s="13">
        <v>1</v>
      </c>
      <c r="K409" s="522"/>
      <c r="N409" s="19"/>
      <c r="P409" s="592"/>
      <c r="Q409" s="592"/>
      <c r="R409" s="592"/>
      <c r="S409" s="592"/>
      <c r="T409" s="592"/>
      <c r="U409" s="592"/>
      <c r="V409" s="592"/>
      <c r="W409" s="592"/>
      <c r="X409" s="592"/>
    </row>
    <row r="410" spans="1:66" ht="15" customHeight="1">
      <c r="A410" s="8" t="s">
        <v>934</v>
      </c>
      <c r="B410" s="75" t="s">
        <v>1746</v>
      </c>
      <c r="C410" s="532" t="s">
        <v>1764</v>
      </c>
      <c r="D410" s="713" t="s">
        <v>3695</v>
      </c>
      <c r="E410" s="713"/>
      <c r="F410" s="75" t="s">
        <v>564</v>
      </c>
      <c r="G410" s="80">
        <v>2</v>
      </c>
      <c r="H410" s="626"/>
      <c r="I410" s="80">
        <f>G410*AQ410</f>
        <v>0</v>
      </c>
      <c r="J410" s="80">
        <f>G410*AR410</f>
        <v>0</v>
      </c>
      <c r="K410" s="523">
        <f>G410*H410</f>
        <v>0</v>
      </c>
      <c r="L410" s="80">
        <v>7.0000000000000007E-2</v>
      </c>
      <c r="M410" s="80">
        <f>G410*L410</f>
        <v>0.14000000000000001</v>
      </c>
      <c r="N410" s="38" t="s">
        <v>1579</v>
      </c>
      <c r="P410" s="592">
        <f>K410</f>
        <v>0</v>
      </c>
      <c r="Q410" s="592"/>
      <c r="R410" s="592"/>
      <c r="S410" s="592"/>
      <c r="T410" s="592"/>
      <c r="U410" s="592"/>
      <c r="V410" s="592"/>
      <c r="W410" s="592"/>
      <c r="X410" s="592"/>
      <c r="AB410" s="56">
        <f>IF(AS410="5",BL410,0)</f>
        <v>0</v>
      </c>
      <c r="AD410" s="56">
        <f>IF(AS410="1",BJ410,0)</f>
        <v>0</v>
      </c>
      <c r="AE410" s="56">
        <f>IF(AS410="1",BK410,0)</f>
        <v>0</v>
      </c>
      <c r="AF410" s="56">
        <f>IF(AS410="7",BJ410,0)</f>
        <v>0</v>
      </c>
      <c r="AG410" s="56">
        <f>IF(AS410="7",BK410,0)</f>
        <v>0</v>
      </c>
      <c r="AH410" s="56">
        <f>IF(AS410="2",BJ410,0)</f>
        <v>0</v>
      </c>
      <c r="AI410" s="56">
        <f>IF(AS410="2",BK410,0)</f>
        <v>0</v>
      </c>
      <c r="AJ410" s="56">
        <f>IF(AS410="0",BL410,0)</f>
        <v>0</v>
      </c>
      <c r="AK410" s="7" t="s">
        <v>1746</v>
      </c>
      <c r="AL410" s="80">
        <f>IF(AP410=0,K410,0)</f>
        <v>0</v>
      </c>
      <c r="AM410" s="80">
        <f>IF(AP410=15,K410,0)</f>
        <v>0</v>
      </c>
      <c r="AN410" s="80">
        <f>IF(AP410=21,K410,0)</f>
        <v>0</v>
      </c>
      <c r="AP410" s="56">
        <v>21</v>
      </c>
      <c r="AQ410" s="88">
        <f>H410*1</f>
        <v>0</v>
      </c>
      <c r="AR410" s="88">
        <f>H410*(1-1)</f>
        <v>0</v>
      </c>
      <c r="AS410" s="64" t="s">
        <v>2297</v>
      </c>
      <c r="AX410" s="56">
        <f>AY410+AZ410</f>
        <v>0</v>
      </c>
      <c r="AY410" s="56">
        <f>G410*AQ410</f>
        <v>0</v>
      </c>
      <c r="AZ410" s="56">
        <f>G410*AR410</f>
        <v>0</v>
      </c>
      <c r="BA410" s="21" t="s">
        <v>1554</v>
      </c>
      <c r="BB410" s="21" t="s">
        <v>233</v>
      </c>
      <c r="BC410" s="7" t="s">
        <v>1747</v>
      </c>
      <c r="BE410" s="56">
        <f>AY410+AZ410</f>
        <v>0</v>
      </c>
      <c r="BF410" s="56">
        <f>H410/(100-BG410)*100</f>
        <v>0</v>
      </c>
      <c r="BG410" s="56">
        <v>0</v>
      </c>
      <c r="BH410" s="56">
        <f>M410</f>
        <v>0.14000000000000001</v>
      </c>
      <c r="BJ410" s="80">
        <f>G410*AQ410</f>
        <v>0</v>
      </c>
      <c r="BK410" s="80">
        <f>G410*AR410</f>
        <v>0</v>
      </c>
      <c r="BL410" s="80">
        <f>G410*H410</f>
        <v>0</v>
      </c>
      <c r="BM410" s="80"/>
      <c r="BN410" s="56">
        <v>64</v>
      </c>
    </row>
    <row r="411" spans="1:66" ht="15" customHeight="1">
      <c r="A411" s="36"/>
      <c r="C411" s="522"/>
      <c r="D411" s="533" t="s">
        <v>1589</v>
      </c>
      <c r="E411" s="525" t="s">
        <v>1597</v>
      </c>
      <c r="G411" s="13">
        <v>2</v>
      </c>
      <c r="K411" s="522"/>
      <c r="N411" s="19"/>
      <c r="P411" s="592"/>
      <c r="Q411" s="592"/>
      <c r="R411" s="592"/>
      <c r="S411" s="592"/>
      <c r="T411" s="592"/>
      <c r="U411" s="592"/>
      <c r="V411" s="592"/>
      <c r="W411" s="592"/>
      <c r="X411" s="592"/>
    </row>
    <row r="412" spans="1:66" ht="15" customHeight="1">
      <c r="A412" s="8" t="s">
        <v>2125</v>
      </c>
      <c r="B412" s="75" t="s">
        <v>1746</v>
      </c>
      <c r="C412" s="532" t="s">
        <v>697</v>
      </c>
      <c r="D412" s="713" t="s">
        <v>3696</v>
      </c>
      <c r="E412" s="713"/>
      <c r="F412" s="75" t="s">
        <v>564</v>
      </c>
      <c r="G412" s="80">
        <v>1</v>
      </c>
      <c r="H412" s="626"/>
      <c r="I412" s="80">
        <f>G412*AQ412</f>
        <v>0</v>
      </c>
      <c r="J412" s="80">
        <f>G412*AR412</f>
        <v>0</v>
      </c>
      <c r="K412" s="523">
        <f>G412*H412</f>
        <v>0</v>
      </c>
      <c r="L412" s="80">
        <v>8.1000000000000003E-2</v>
      </c>
      <c r="M412" s="80">
        <f>G412*L412</f>
        <v>8.1000000000000003E-2</v>
      </c>
      <c r="N412" s="38" t="s">
        <v>1579</v>
      </c>
      <c r="P412" s="592">
        <f>K412</f>
        <v>0</v>
      </c>
      <c r="Q412" s="592"/>
      <c r="R412" s="592"/>
      <c r="S412" s="592"/>
      <c r="T412" s="592"/>
      <c r="U412" s="592"/>
      <c r="V412" s="592"/>
      <c r="W412" s="592"/>
      <c r="X412" s="592"/>
      <c r="AB412" s="56">
        <f>IF(AS412="5",BL412,0)</f>
        <v>0</v>
      </c>
      <c r="AD412" s="56">
        <f>IF(AS412="1",BJ412,0)</f>
        <v>0</v>
      </c>
      <c r="AE412" s="56">
        <f>IF(AS412="1",BK412,0)</f>
        <v>0</v>
      </c>
      <c r="AF412" s="56">
        <f>IF(AS412="7",BJ412,0)</f>
        <v>0</v>
      </c>
      <c r="AG412" s="56">
        <f>IF(AS412="7",BK412,0)</f>
        <v>0</v>
      </c>
      <c r="AH412" s="56">
        <f>IF(AS412="2",BJ412,0)</f>
        <v>0</v>
      </c>
      <c r="AI412" s="56">
        <f>IF(AS412="2",BK412,0)</f>
        <v>0</v>
      </c>
      <c r="AJ412" s="56">
        <f>IF(AS412="0",BL412,0)</f>
        <v>0</v>
      </c>
      <c r="AK412" s="7" t="s">
        <v>1746</v>
      </c>
      <c r="AL412" s="80">
        <f>IF(AP412=0,K412,0)</f>
        <v>0</v>
      </c>
      <c r="AM412" s="80">
        <f>IF(AP412=15,K412,0)</f>
        <v>0</v>
      </c>
      <c r="AN412" s="80">
        <f>IF(AP412=21,K412,0)</f>
        <v>0</v>
      </c>
      <c r="AP412" s="56">
        <v>21</v>
      </c>
      <c r="AQ412" s="88">
        <f>H412*1</f>
        <v>0</v>
      </c>
      <c r="AR412" s="88">
        <f>H412*(1-1)</f>
        <v>0</v>
      </c>
      <c r="AS412" s="64" t="s">
        <v>2297</v>
      </c>
      <c r="AX412" s="56">
        <f>AY412+AZ412</f>
        <v>0</v>
      </c>
      <c r="AY412" s="56">
        <f>G412*AQ412</f>
        <v>0</v>
      </c>
      <c r="AZ412" s="56">
        <f>G412*AR412</f>
        <v>0</v>
      </c>
      <c r="BA412" s="21" t="s">
        <v>1554</v>
      </c>
      <c r="BB412" s="21" t="s">
        <v>233</v>
      </c>
      <c r="BC412" s="7" t="s">
        <v>1747</v>
      </c>
      <c r="BE412" s="56">
        <f>AY412+AZ412</f>
        <v>0</v>
      </c>
      <c r="BF412" s="56">
        <f>H412/(100-BG412)*100</f>
        <v>0</v>
      </c>
      <c r="BG412" s="56">
        <v>0</v>
      </c>
      <c r="BH412" s="56">
        <f>M412</f>
        <v>8.1000000000000003E-2</v>
      </c>
      <c r="BJ412" s="80">
        <f>G412*AQ412</f>
        <v>0</v>
      </c>
      <c r="BK412" s="80">
        <f>G412*AR412</f>
        <v>0</v>
      </c>
      <c r="BL412" s="80">
        <f>G412*H412</f>
        <v>0</v>
      </c>
      <c r="BM412" s="80"/>
      <c r="BN412" s="56">
        <v>64</v>
      </c>
    </row>
    <row r="413" spans="1:66" ht="15" customHeight="1">
      <c r="A413" s="36"/>
      <c r="D413" s="533" t="s">
        <v>2297</v>
      </c>
      <c r="E413" s="525" t="s">
        <v>1561</v>
      </c>
      <c r="G413" s="13">
        <v>1</v>
      </c>
      <c r="N413" s="19"/>
      <c r="P413" s="592"/>
      <c r="Q413" s="592"/>
      <c r="R413" s="592"/>
      <c r="S413" s="592"/>
      <c r="T413" s="592"/>
      <c r="U413" s="592"/>
      <c r="V413" s="592"/>
      <c r="W413" s="592"/>
      <c r="X413" s="592"/>
    </row>
    <row r="414" spans="1:66" ht="15" customHeight="1">
      <c r="A414" s="32" t="s">
        <v>1597</v>
      </c>
      <c r="B414" s="26" t="s">
        <v>1746</v>
      </c>
      <c r="C414" s="512" t="s">
        <v>142</v>
      </c>
      <c r="D414" s="709" t="s">
        <v>2620</v>
      </c>
      <c r="E414" s="709"/>
      <c r="F414" s="46" t="s">
        <v>2144</v>
      </c>
      <c r="G414" s="46" t="s">
        <v>2144</v>
      </c>
      <c r="H414" s="46" t="s">
        <v>2144</v>
      </c>
      <c r="I414" s="17">
        <f>SUM(I415:I446)</f>
        <v>0</v>
      </c>
      <c r="J414" s="17">
        <f>SUM(J415:J446)</f>
        <v>0</v>
      </c>
      <c r="K414" s="515">
        <f>SUM(K415:K446)</f>
        <v>0</v>
      </c>
      <c r="L414" s="7" t="s">
        <v>1597</v>
      </c>
      <c r="M414" s="17">
        <f>SUM(M415:M446)</f>
        <v>1.8484465999999999</v>
      </c>
      <c r="N414" s="20" t="s">
        <v>1597</v>
      </c>
      <c r="P414" s="592">
        <f>K414</f>
        <v>0</v>
      </c>
      <c r="Q414" s="592"/>
      <c r="R414" s="592"/>
      <c r="S414" s="592"/>
      <c r="T414" s="592"/>
      <c r="U414" s="592"/>
      <c r="V414" s="592"/>
      <c r="W414" s="592"/>
      <c r="X414" s="592"/>
      <c r="AK414" s="7" t="s">
        <v>1746</v>
      </c>
      <c r="AU414" s="17">
        <f>SUM(AL415:AL446)</f>
        <v>0</v>
      </c>
      <c r="AV414" s="17">
        <f>SUM(AM415:AM446)</f>
        <v>0</v>
      </c>
      <c r="AW414" s="17">
        <f>SUM(AN415:AN446)</f>
        <v>0</v>
      </c>
    </row>
    <row r="415" spans="1:66" ht="15" customHeight="1">
      <c r="A415" s="24" t="s">
        <v>1692</v>
      </c>
      <c r="B415" s="12" t="s">
        <v>1746</v>
      </c>
      <c r="C415" s="12" t="s">
        <v>917</v>
      </c>
      <c r="D415" s="630" t="s">
        <v>2380</v>
      </c>
      <c r="E415" s="630"/>
      <c r="F415" s="12" t="s">
        <v>2274</v>
      </c>
      <c r="G415" s="56">
        <v>525.73</v>
      </c>
      <c r="H415" s="625"/>
      <c r="I415" s="56">
        <f>G415*AQ415</f>
        <v>0</v>
      </c>
      <c r="J415" s="56">
        <f>G415*AR415</f>
        <v>0</v>
      </c>
      <c r="K415" s="56">
        <f>G415*H415</f>
        <v>0</v>
      </c>
      <c r="L415" s="56">
        <v>0</v>
      </c>
      <c r="M415" s="56">
        <f>G415*L415</f>
        <v>0</v>
      </c>
      <c r="N415" s="31" t="s">
        <v>1579</v>
      </c>
      <c r="P415" s="592"/>
      <c r="Q415" s="592"/>
      <c r="R415" s="592"/>
      <c r="S415" s="592"/>
      <c r="T415" s="592"/>
      <c r="U415" s="592"/>
      <c r="V415" s="592"/>
      <c r="W415" s="592"/>
      <c r="X415" s="592"/>
      <c r="AB415" s="56">
        <f>IF(AS415="5",BL415,0)</f>
        <v>0</v>
      </c>
      <c r="AD415" s="56">
        <f>IF(AS415="1",BJ415,0)</f>
        <v>0</v>
      </c>
      <c r="AE415" s="56">
        <f>IF(AS415="1",BK415,0)</f>
        <v>0</v>
      </c>
      <c r="AF415" s="56">
        <f>IF(AS415="7",BJ415,0)</f>
        <v>0</v>
      </c>
      <c r="AG415" s="56">
        <f>IF(AS415="7",BK415,0)</f>
        <v>0</v>
      </c>
      <c r="AH415" s="56">
        <f>IF(AS415="2",BJ415,0)</f>
        <v>0</v>
      </c>
      <c r="AI415" s="56">
        <f>IF(AS415="2",BK415,0)</f>
        <v>0</v>
      </c>
      <c r="AJ415" s="56">
        <f>IF(AS415="0",BL415,0)</f>
        <v>0</v>
      </c>
      <c r="AK415" s="7" t="s">
        <v>1746</v>
      </c>
      <c r="AL415" s="56">
        <f>IF(AP415=0,K415,0)</f>
        <v>0</v>
      </c>
      <c r="AM415" s="56">
        <f>IF(AP415=15,K415,0)</f>
        <v>0</v>
      </c>
      <c r="AN415" s="56">
        <f>IF(AP415=21,K415,0)</f>
        <v>0</v>
      </c>
      <c r="AP415" s="56">
        <v>21</v>
      </c>
      <c r="AQ415" s="88">
        <f>H415*0</f>
        <v>0</v>
      </c>
      <c r="AR415" s="88">
        <f>H415*(1-0)</f>
        <v>0</v>
      </c>
      <c r="AS415" s="21" t="s">
        <v>2311</v>
      </c>
      <c r="AX415" s="56">
        <f>AY415+AZ415</f>
        <v>0</v>
      </c>
      <c r="AY415" s="56">
        <f>G415*AQ415</f>
        <v>0</v>
      </c>
      <c r="AZ415" s="56">
        <f>G415*AR415</f>
        <v>0</v>
      </c>
      <c r="BA415" s="21" t="s">
        <v>2019</v>
      </c>
      <c r="BB415" s="21" t="s">
        <v>279</v>
      </c>
      <c r="BC415" s="7" t="s">
        <v>1747</v>
      </c>
      <c r="BE415" s="56">
        <f>AY415+AZ415</f>
        <v>0</v>
      </c>
      <c r="BF415" s="56">
        <f>H415/(100-BG415)*100</f>
        <v>0</v>
      </c>
      <c r="BG415" s="56">
        <v>0</v>
      </c>
      <c r="BH415" s="56">
        <f>M415</f>
        <v>0</v>
      </c>
      <c r="BJ415" s="56">
        <f>G415*AQ415</f>
        <v>0</v>
      </c>
      <c r="BK415" s="56">
        <f>G415*AR415</f>
        <v>0</v>
      </c>
      <c r="BL415" s="56">
        <f>G415*H415</f>
        <v>0</v>
      </c>
      <c r="BM415" s="56"/>
      <c r="BN415" s="56">
        <v>711</v>
      </c>
    </row>
    <row r="416" spans="1:66" ht="15" customHeight="1">
      <c r="A416" s="36"/>
      <c r="D416" s="45" t="s">
        <v>1392</v>
      </c>
      <c r="E416" s="104" t="s">
        <v>550</v>
      </c>
      <c r="G416" s="13">
        <v>243.03000000000003</v>
      </c>
      <c r="N416" s="19"/>
      <c r="P416" s="592"/>
      <c r="Q416" s="592"/>
      <c r="R416" s="592"/>
      <c r="S416" s="592"/>
      <c r="T416" s="592"/>
      <c r="U416" s="592"/>
      <c r="V416" s="592"/>
      <c r="W416" s="592"/>
      <c r="X416" s="592"/>
    </row>
    <row r="417" spans="1:66" ht="15" customHeight="1">
      <c r="A417" s="36"/>
      <c r="D417" s="45" t="s">
        <v>2020</v>
      </c>
      <c r="E417" s="104" t="s">
        <v>2647</v>
      </c>
      <c r="G417" s="13">
        <v>14.700000000000001</v>
      </c>
      <c r="N417" s="19"/>
      <c r="P417" s="592"/>
      <c r="Q417" s="592"/>
      <c r="R417" s="592"/>
      <c r="S417" s="592"/>
      <c r="T417" s="592"/>
      <c r="U417" s="592"/>
      <c r="V417" s="592"/>
      <c r="W417" s="592"/>
      <c r="X417" s="592"/>
    </row>
    <row r="418" spans="1:66" ht="15" customHeight="1">
      <c r="A418" s="36"/>
      <c r="D418" s="45" t="s">
        <v>334</v>
      </c>
      <c r="E418" s="104" t="s">
        <v>1655</v>
      </c>
      <c r="G418" s="13">
        <v>268</v>
      </c>
      <c r="N418" s="19"/>
      <c r="P418" s="592"/>
      <c r="Q418" s="592"/>
      <c r="R418" s="592"/>
      <c r="S418" s="592"/>
      <c r="T418" s="592"/>
      <c r="U418" s="592"/>
      <c r="V418" s="592"/>
      <c r="W418" s="592"/>
      <c r="X418" s="592"/>
    </row>
    <row r="419" spans="1:66" ht="15" customHeight="1">
      <c r="A419" s="8" t="s">
        <v>2176</v>
      </c>
      <c r="B419" s="75" t="s">
        <v>1746</v>
      </c>
      <c r="C419" s="75" t="s">
        <v>2402</v>
      </c>
      <c r="D419" s="710" t="s">
        <v>1251</v>
      </c>
      <c r="E419" s="710"/>
      <c r="F419" s="75" t="s">
        <v>2274</v>
      </c>
      <c r="G419" s="80">
        <v>631.20000000000005</v>
      </c>
      <c r="H419" s="626"/>
      <c r="I419" s="80">
        <f>G419*AQ419</f>
        <v>0</v>
      </c>
      <c r="J419" s="80">
        <f>G419*AR419</f>
        <v>0</v>
      </c>
      <c r="K419" s="80">
        <f>G419*H419</f>
        <v>0</v>
      </c>
      <c r="L419" s="80">
        <v>2.9999999999999997E-4</v>
      </c>
      <c r="M419" s="80">
        <f>G419*L419</f>
        <v>0.18936</v>
      </c>
      <c r="N419" s="38" t="s">
        <v>1579</v>
      </c>
      <c r="P419" s="592"/>
      <c r="Q419" s="592"/>
      <c r="R419" s="592"/>
      <c r="S419" s="592"/>
      <c r="T419" s="592"/>
      <c r="U419" s="592"/>
      <c r="V419" s="592"/>
      <c r="W419" s="592"/>
      <c r="X419" s="592"/>
      <c r="AB419" s="56">
        <f>IF(AS419="5",BL419,0)</f>
        <v>0</v>
      </c>
      <c r="AD419" s="56">
        <f>IF(AS419="1",BJ419,0)</f>
        <v>0</v>
      </c>
      <c r="AE419" s="56">
        <f>IF(AS419="1",BK419,0)</f>
        <v>0</v>
      </c>
      <c r="AF419" s="56">
        <f>IF(AS419="7",BJ419,0)</f>
        <v>0</v>
      </c>
      <c r="AG419" s="56">
        <f>IF(AS419="7",BK419,0)</f>
        <v>0</v>
      </c>
      <c r="AH419" s="56">
        <f>IF(AS419="2",BJ419,0)</f>
        <v>0</v>
      </c>
      <c r="AI419" s="56">
        <f>IF(AS419="2",BK419,0)</f>
        <v>0</v>
      </c>
      <c r="AJ419" s="56">
        <f>IF(AS419="0",BL419,0)</f>
        <v>0</v>
      </c>
      <c r="AK419" s="7" t="s">
        <v>1746</v>
      </c>
      <c r="AL419" s="80">
        <f>IF(AP419=0,K419,0)</f>
        <v>0</v>
      </c>
      <c r="AM419" s="80">
        <f>IF(AP419=15,K419,0)</f>
        <v>0</v>
      </c>
      <c r="AN419" s="80">
        <f>IF(AP419=21,K419,0)</f>
        <v>0</v>
      </c>
      <c r="AP419" s="56">
        <v>21</v>
      </c>
      <c r="AQ419" s="88">
        <f>H419*1</f>
        <v>0</v>
      </c>
      <c r="AR419" s="88">
        <f>H419*(1-1)</f>
        <v>0</v>
      </c>
      <c r="AS419" s="64" t="s">
        <v>2311</v>
      </c>
      <c r="AX419" s="56">
        <f>AY419+AZ419</f>
        <v>0</v>
      </c>
      <c r="AY419" s="56">
        <f>G419*AQ419</f>
        <v>0</v>
      </c>
      <c r="AZ419" s="56">
        <f>G419*AR419</f>
        <v>0</v>
      </c>
      <c r="BA419" s="21" t="s">
        <v>2019</v>
      </c>
      <c r="BB419" s="21" t="s">
        <v>279</v>
      </c>
      <c r="BC419" s="7" t="s">
        <v>1747</v>
      </c>
      <c r="BE419" s="56">
        <f>AY419+AZ419</f>
        <v>0</v>
      </c>
      <c r="BF419" s="56">
        <f>H419/(100-BG419)*100</f>
        <v>0</v>
      </c>
      <c r="BG419" s="56">
        <v>0</v>
      </c>
      <c r="BH419" s="56">
        <f>M419</f>
        <v>0.18936</v>
      </c>
      <c r="BJ419" s="80">
        <f>G419*AQ419</f>
        <v>0</v>
      </c>
      <c r="BK419" s="80">
        <f>G419*AR419</f>
        <v>0</v>
      </c>
      <c r="BL419" s="80">
        <f>G419*H419</f>
        <v>0</v>
      </c>
      <c r="BM419" s="80"/>
      <c r="BN419" s="56">
        <v>711</v>
      </c>
    </row>
    <row r="420" spans="1:66" ht="15" customHeight="1">
      <c r="A420" s="36"/>
      <c r="D420" s="45" t="s">
        <v>1931</v>
      </c>
      <c r="E420" s="104" t="s">
        <v>1597</v>
      </c>
      <c r="G420" s="13">
        <v>526</v>
      </c>
      <c r="N420" s="19"/>
      <c r="P420" s="592"/>
      <c r="Q420" s="592"/>
      <c r="R420" s="592"/>
      <c r="S420" s="592"/>
      <c r="T420" s="592"/>
      <c r="U420" s="592"/>
      <c r="V420" s="592"/>
      <c r="W420" s="592"/>
      <c r="X420" s="592"/>
    </row>
    <row r="421" spans="1:66" ht="15" customHeight="1">
      <c r="A421" s="36"/>
      <c r="D421" s="45" t="s">
        <v>979</v>
      </c>
      <c r="E421" s="104" t="s">
        <v>1597</v>
      </c>
      <c r="G421" s="13">
        <v>105.2</v>
      </c>
      <c r="N421" s="19"/>
      <c r="P421" s="592"/>
      <c r="Q421" s="592"/>
      <c r="R421" s="592"/>
      <c r="S421" s="592"/>
      <c r="T421" s="592"/>
      <c r="U421" s="592"/>
      <c r="V421" s="592"/>
      <c r="W421" s="592"/>
      <c r="X421" s="592"/>
    </row>
    <row r="422" spans="1:66" ht="15" customHeight="1">
      <c r="A422" s="24" t="s">
        <v>422</v>
      </c>
      <c r="B422" s="12" t="s">
        <v>1746</v>
      </c>
      <c r="C422" s="12" t="s">
        <v>655</v>
      </c>
      <c r="D422" s="630" t="s">
        <v>381</v>
      </c>
      <c r="E422" s="630"/>
      <c r="F422" s="12" t="s">
        <v>2274</v>
      </c>
      <c r="G422" s="56">
        <v>480</v>
      </c>
      <c r="H422" s="625"/>
      <c r="I422" s="56">
        <f>G422*AQ422</f>
        <v>0</v>
      </c>
      <c r="J422" s="56">
        <f>G422*AR422</f>
        <v>0</v>
      </c>
      <c r="K422" s="56">
        <f>G422*H422</f>
        <v>0</v>
      </c>
      <c r="L422" s="56">
        <v>0</v>
      </c>
      <c r="M422" s="56">
        <f>G422*L422</f>
        <v>0</v>
      </c>
      <c r="N422" s="31" t="s">
        <v>1579</v>
      </c>
      <c r="P422" s="592"/>
      <c r="Q422" s="592"/>
      <c r="R422" s="592"/>
      <c r="S422" s="592"/>
      <c r="T422" s="592"/>
      <c r="U422" s="592"/>
      <c r="V422" s="592"/>
      <c r="W422" s="592"/>
      <c r="X422" s="592"/>
      <c r="AB422" s="56">
        <f>IF(AS422="5",BL422,0)</f>
        <v>0</v>
      </c>
      <c r="AD422" s="56">
        <f>IF(AS422="1",BJ422,0)</f>
        <v>0</v>
      </c>
      <c r="AE422" s="56">
        <f>IF(AS422="1",BK422,0)</f>
        <v>0</v>
      </c>
      <c r="AF422" s="56">
        <f>IF(AS422="7",BJ422,0)</f>
        <v>0</v>
      </c>
      <c r="AG422" s="56">
        <f>IF(AS422="7",BK422,0)</f>
        <v>0</v>
      </c>
      <c r="AH422" s="56">
        <f>IF(AS422="2",BJ422,0)</f>
        <v>0</v>
      </c>
      <c r="AI422" s="56">
        <f>IF(AS422="2",BK422,0)</f>
        <v>0</v>
      </c>
      <c r="AJ422" s="56">
        <f>IF(AS422="0",BL422,0)</f>
        <v>0</v>
      </c>
      <c r="AK422" s="7" t="s">
        <v>1746</v>
      </c>
      <c r="AL422" s="56">
        <f>IF(AP422=0,K422,0)</f>
        <v>0</v>
      </c>
      <c r="AM422" s="56">
        <f>IF(AP422=15,K422,0)</f>
        <v>0</v>
      </c>
      <c r="AN422" s="56">
        <f>IF(AP422=21,K422,0)</f>
        <v>0</v>
      </c>
      <c r="AP422" s="56">
        <v>21</v>
      </c>
      <c r="AQ422" s="88">
        <f>H422*0</f>
        <v>0</v>
      </c>
      <c r="AR422" s="88">
        <f>H422*(1-0)</f>
        <v>0</v>
      </c>
      <c r="AS422" s="21" t="s">
        <v>2311</v>
      </c>
      <c r="AX422" s="56">
        <f>AY422+AZ422</f>
        <v>0</v>
      </c>
      <c r="AY422" s="56">
        <f>G422*AQ422</f>
        <v>0</v>
      </c>
      <c r="AZ422" s="56">
        <f>G422*AR422</f>
        <v>0</v>
      </c>
      <c r="BA422" s="21" t="s">
        <v>2019</v>
      </c>
      <c r="BB422" s="21" t="s">
        <v>279</v>
      </c>
      <c r="BC422" s="7" t="s">
        <v>1747</v>
      </c>
      <c r="BE422" s="56">
        <f>AY422+AZ422</f>
        <v>0</v>
      </c>
      <c r="BF422" s="56">
        <f>H422/(100-BG422)*100</f>
        <v>0</v>
      </c>
      <c r="BG422" s="56">
        <v>0</v>
      </c>
      <c r="BH422" s="56">
        <f>M422</f>
        <v>0</v>
      </c>
      <c r="BJ422" s="56">
        <f>G422*AQ422</f>
        <v>0</v>
      </c>
      <c r="BK422" s="56">
        <f>G422*AR422</f>
        <v>0</v>
      </c>
      <c r="BL422" s="56">
        <f>G422*H422</f>
        <v>0</v>
      </c>
      <c r="BM422" s="56"/>
      <c r="BN422" s="56">
        <v>711</v>
      </c>
    </row>
    <row r="423" spans="1:66" ht="15" customHeight="1">
      <c r="A423" s="36"/>
      <c r="D423" s="45" t="s">
        <v>1102</v>
      </c>
      <c r="E423" s="104" t="s">
        <v>73</v>
      </c>
      <c r="G423" s="13">
        <v>243.00000000000003</v>
      </c>
      <c r="N423" s="19"/>
      <c r="P423" s="592"/>
      <c r="Q423" s="592"/>
      <c r="R423" s="592"/>
      <c r="S423" s="592"/>
      <c r="T423" s="592"/>
      <c r="U423" s="592"/>
      <c r="V423" s="592"/>
      <c r="W423" s="592"/>
      <c r="X423" s="592"/>
    </row>
    <row r="424" spans="1:66" ht="15" customHeight="1">
      <c r="A424" s="36"/>
      <c r="D424" s="45" t="s">
        <v>114</v>
      </c>
      <c r="E424" s="104" t="s">
        <v>1629</v>
      </c>
      <c r="G424" s="13">
        <v>237.00000000000003</v>
      </c>
      <c r="N424" s="19"/>
      <c r="P424" s="592"/>
      <c r="Q424" s="592"/>
      <c r="R424" s="592"/>
      <c r="S424" s="592"/>
      <c r="T424" s="592"/>
      <c r="U424" s="592"/>
      <c r="V424" s="592"/>
      <c r="W424" s="592"/>
      <c r="X424" s="592"/>
    </row>
    <row r="425" spans="1:66" ht="15" customHeight="1">
      <c r="A425" s="8" t="s">
        <v>1094</v>
      </c>
      <c r="B425" s="75" t="s">
        <v>1746</v>
      </c>
      <c r="C425" s="75" t="s">
        <v>2433</v>
      </c>
      <c r="D425" s="710" t="s">
        <v>1017</v>
      </c>
      <c r="E425" s="710"/>
      <c r="F425" s="75" t="s">
        <v>564</v>
      </c>
      <c r="G425" s="80">
        <v>60</v>
      </c>
      <c r="H425" s="626"/>
      <c r="I425" s="80">
        <f>G425*AQ425</f>
        <v>0</v>
      </c>
      <c r="J425" s="80">
        <f>G425*AR425</f>
        <v>0</v>
      </c>
      <c r="K425" s="80">
        <f>G425*H425</f>
        <v>0</v>
      </c>
      <c r="L425" s="80">
        <v>5.4000000000000001E-4</v>
      </c>
      <c r="M425" s="80">
        <f>G425*L425</f>
        <v>3.2399999999999998E-2</v>
      </c>
      <c r="N425" s="38" t="s">
        <v>1579</v>
      </c>
      <c r="P425" s="592"/>
      <c r="Q425" s="592"/>
      <c r="R425" s="592"/>
      <c r="S425" s="592"/>
      <c r="T425" s="592"/>
      <c r="U425" s="592"/>
      <c r="V425" s="592"/>
      <c r="W425" s="592"/>
      <c r="X425" s="592"/>
      <c r="AB425" s="56">
        <f>IF(AS425="5",BL425,0)</f>
        <v>0</v>
      </c>
      <c r="AD425" s="56">
        <f>IF(AS425="1",BJ425,0)</f>
        <v>0</v>
      </c>
      <c r="AE425" s="56">
        <f>IF(AS425="1",BK425,0)</f>
        <v>0</v>
      </c>
      <c r="AF425" s="56">
        <f>IF(AS425="7",BJ425,0)</f>
        <v>0</v>
      </c>
      <c r="AG425" s="56">
        <f>IF(AS425="7",BK425,0)</f>
        <v>0</v>
      </c>
      <c r="AH425" s="56">
        <f>IF(AS425="2",BJ425,0)</f>
        <v>0</v>
      </c>
      <c r="AI425" s="56">
        <f>IF(AS425="2",BK425,0)</f>
        <v>0</v>
      </c>
      <c r="AJ425" s="56">
        <f>IF(AS425="0",BL425,0)</f>
        <v>0</v>
      </c>
      <c r="AK425" s="7" t="s">
        <v>1746</v>
      </c>
      <c r="AL425" s="80">
        <f>IF(AP425=0,K425,0)</f>
        <v>0</v>
      </c>
      <c r="AM425" s="80">
        <f>IF(AP425=15,K425,0)</f>
        <v>0</v>
      </c>
      <c r="AN425" s="80">
        <f>IF(AP425=21,K425,0)</f>
        <v>0</v>
      </c>
      <c r="AP425" s="56">
        <v>21</v>
      </c>
      <c r="AQ425" s="88">
        <f>H425*1</f>
        <v>0</v>
      </c>
      <c r="AR425" s="88">
        <f>H425*(1-1)</f>
        <v>0</v>
      </c>
      <c r="AS425" s="64" t="s">
        <v>2311</v>
      </c>
      <c r="AX425" s="56">
        <f>AY425+AZ425</f>
        <v>0</v>
      </c>
      <c r="AY425" s="56">
        <f>G425*AQ425</f>
        <v>0</v>
      </c>
      <c r="AZ425" s="56">
        <f>G425*AR425</f>
        <v>0</v>
      </c>
      <c r="BA425" s="21" t="s">
        <v>2019</v>
      </c>
      <c r="BB425" s="21" t="s">
        <v>279</v>
      </c>
      <c r="BC425" s="7" t="s">
        <v>1747</v>
      </c>
      <c r="BE425" s="56">
        <f>AY425+AZ425</f>
        <v>0</v>
      </c>
      <c r="BF425" s="56">
        <f>H425/(100-BG425)*100</f>
        <v>0</v>
      </c>
      <c r="BG425" s="56">
        <v>0</v>
      </c>
      <c r="BH425" s="56">
        <f>M425</f>
        <v>3.2399999999999998E-2</v>
      </c>
      <c r="BJ425" s="80">
        <f>G425*AQ425</f>
        <v>0</v>
      </c>
      <c r="BK425" s="80">
        <f>G425*AR425</f>
        <v>0</v>
      </c>
      <c r="BL425" s="80">
        <f>G425*H425</f>
        <v>0</v>
      </c>
      <c r="BM425" s="80"/>
      <c r="BN425" s="56">
        <v>711</v>
      </c>
    </row>
    <row r="426" spans="1:66" ht="15" customHeight="1">
      <c r="A426" s="36"/>
      <c r="D426" s="45" t="s">
        <v>1721</v>
      </c>
      <c r="E426" s="104" t="s">
        <v>1597</v>
      </c>
      <c r="G426" s="13">
        <v>60.000000000000007</v>
      </c>
      <c r="N426" s="19"/>
      <c r="P426" s="592"/>
      <c r="Q426" s="592"/>
      <c r="R426" s="592"/>
      <c r="S426" s="592"/>
      <c r="T426" s="592"/>
      <c r="U426" s="592"/>
      <c r="V426" s="592"/>
      <c r="W426" s="592"/>
      <c r="X426" s="592"/>
    </row>
    <row r="427" spans="1:66" ht="15" customHeight="1">
      <c r="A427" s="8" t="s">
        <v>1278</v>
      </c>
      <c r="B427" s="75" t="s">
        <v>1746</v>
      </c>
      <c r="C427" s="75" t="s">
        <v>1043</v>
      </c>
      <c r="D427" s="710" t="s">
        <v>4</v>
      </c>
      <c r="E427" s="710"/>
      <c r="F427" s="75" t="s">
        <v>2274</v>
      </c>
      <c r="G427" s="80">
        <v>552</v>
      </c>
      <c r="H427" s="626"/>
      <c r="I427" s="80">
        <f>G427*AQ427</f>
        <v>0</v>
      </c>
      <c r="J427" s="80">
        <f>G427*AR427</f>
        <v>0</v>
      </c>
      <c r="K427" s="80">
        <f>G427*H427</f>
        <v>0</v>
      </c>
      <c r="L427" s="80">
        <v>1.2700000000000001E-3</v>
      </c>
      <c r="M427" s="80">
        <f>G427*L427</f>
        <v>0.70104</v>
      </c>
      <c r="N427" s="38" t="s">
        <v>1579</v>
      </c>
      <c r="P427" s="592"/>
      <c r="Q427" s="592"/>
      <c r="R427" s="592"/>
      <c r="S427" s="592"/>
      <c r="T427" s="592"/>
      <c r="U427" s="592"/>
      <c r="V427" s="592"/>
      <c r="W427" s="592"/>
      <c r="X427" s="592"/>
      <c r="AB427" s="56">
        <f>IF(AS427="5",BL427,0)</f>
        <v>0</v>
      </c>
      <c r="AD427" s="56">
        <f>IF(AS427="1",BJ427,0)</f>
        <v>0</v>
      </c>
      <c r="AE427" s="56">
        <f>IF(AS427="1",BK427,0)</f>
        <v>0</v>
      </c>
      <c r="AF427" s="56">
        <f>IF(AS427="7",BJ427,0)</f>
        <v>0</v>
      </c>
      <c r="AG427" s="56">
        <f>IF(AS427="7",BK427,0)</f>
        <v>0</v>
      </c>
      <c r="AH427" s="56">
        <f>IF(AS427="2",BJ427,0)</f>
        <v>0</v>
      </c>
      <c r="AI427" s="56">
        <f>IF(AS427="2",BK427,0)</f>
        <v>0</v>
      </c>
      <c r="AJ427" s="56">
        <f>IF(AS427="0",BL427,0)</f>
        <v>0</v>
      </c>
      <c r="AK427" s="7" t="s">
        <v>1746</v>
      </c>
      <c r="AL427" s="80">
        <f>IF(AP427=0,K427,0)</f>
        <v>0</v>
      </c>
      <c r="AM427" s="80">
        <f>IF(AP427=15,K427,0)</f>
        <v>0</v>
      </c>
      <c r="AN427" s="80">
        <f>IF(AP427=21,K427,0)</f>
        <v>0</v>
      </c>
      <c r="AP427" s="56">
        <v>21</v>
      </c>
      <c r="AQ427" s="88">
        <f>H427*1</f>
        <v>0</v>
      </c>
      <c r="AR427" s="88">
        <f>H427*(1-1)</f>
        <v>0</v>
      </c>
      <c r="AS427" s="64" t="s">
        <v>2311</v>
      </c>
      <c r="AX427" s="56">
        <f>AY427+AZ427</f>
        <v>0</v>
      </c>
      <c r="AY427" s="56">
        <f>G427*AQ427</f>
        <v>0</v>
      </c>
      <c r="AZ427" s="56">
        <f>G427*AR427</f>
        <v>0</v>
      </c>
      <c r="BA427" s="21" t="s">
        <v>2019</v>
      </c>
      <c r="BB427" s="21" t="s">
        <v>279</v>
      </c>
      <c r="BC427" s="7" t="s">
        <v>1747</v>
      </c>
      <c r="BE427" s="56">
        <f>AY427+AZ427</f>
        <v>0</v>
      </c>
      <c r="BF427" s="56">
        <f>H427/(100-BG427)*100</f>
        <v>0</v>
      </c>
      <c r="BG427" s="56">
        <v>0</v>
      </c>
      <c r="BH427" s="56">
        <f>M427</f>
        <v>0.70104</v>
      </c>
      <c r="BJ427" s="80">
        <f>G427*AQ427</f>
        <v>0</v>
      </c>
      <c r="BK427" s="80">
        <f>G427*AR427</f>
        <v>0</v>
      </c>
      <c r="BL427" s="80">
        <f>G427*H427</f>
        <v>0</v>
      </c>
      <c r="BM427" s="80"/>
      <c r="BN427" s="56">
        <v>711</v>
      </c>
    </row>
    <row r="428" spans="1:66" ht="15" customHeight="1">
      <c r="A428" s="36"/>
      <c r="D428" s="45" t="s">
        <v>1495</v>
      </c>
      <c r="E428" s="104" t="s">
        <v>1597</v>
      </c>
      <c r="G428" s="13">
        <v>480.00000000000006</v>
      </c>
      <c r="N428" s="19"/>
      <c r="P428" s="592"/>
      <c r="Q428" s="592"/>
      <c r="R428" s="592"/>
      <c r="S428" s="592"/>
      <c r="T428" s="592"/>
      <c r="U428" s="592"/>
      <c r="V428" s="592"/>
      <c r="W428" s="592"/>
      <c r="X428" s="592"/>
    </row>
    <row r="429" spans="1:66" ht="15" customHeight="1">
      <c r="A429" s="36"/>
      <c r="D429" s="45" t="s">
        <v>1470</v>
      </c>
      <c r="E429" s="104" t="s">
        <v>1597</v>
      </c>
      <c r="G429" s="13">
        <v>72</v>
      </c>
      <c r="N429" s="19"/>
      <c r="P429" s="592"/>
      <c r="Q429" s="592"/>
      <c r="R429" s="592"/>
      <c r="S429" s="592"/>
      <c r="T429" s="592"/>
      <c r="U429" s="592"/>
      <c r="V429" s="592"/>
      <c r="W429" s="592"/>
      <c r="X429" s="592"/>
    </row>
    <row r="430" spans="1:66" ht="15" customHeight="1">
      <c r="A430" s="24" t="s">
        <v>2090</v>
      </c>
      <c r="B430" s="12" t="s">
        <v>1746</v>
      </c>
      <c r="C430" s="12" t="s">
        <v>819</v>
      </c>
      <c r="D430" s="630" t="s">
        <v>2085</v>
      </c>
      <c r="E430" s="630"/>
      <c r="F430" s="12" t="s">
        <v>2274</v>
      </c>
      <c r="G430" s="56">
        <v>37.5</v>
      </c>
      <c r="H430" s="625"/>
      <c r="I430" s="56">
        <f>G430*AQ430</f>
        <v>0</v>
      </c>
      <c r="J430" s="56">
        <f>G430*AR430</f>
        <v>0</v>
      </c>
      <c r="K430" s="56">
        <f>G430*H430</f>
        <v>0</v>
      </c>
      <c r="L430" s="56">
        <v>0</v>
      </c>
      <c r="M430" s="56">
        <f>G430*L430</f>
        <v>0</v>
      </c>
      <c r="N430" s="31" t="s">
        <v>1579</v>
      </c>
      <c r="P430" s="592"/>
      <c r="Q430" s="592"/>
      <c r="R430" s="592"/>
      <c r="S430" s="592"/>
      <c r="T430" s="592"/>
      <c r="U430" s="592"/>
      <c r="V430" s="592"/>
      <c r="W430" s="592"/>
      <c r="X430" s="592"/>
      <c r="AB430" s="56">
        <f>IF(AS430="5",BL430,0)</f>
        <v>0</v>
      </c>
      <c r="AD430" s="56">
        <f>IF(AS430="1",BJ430,0)</f>
        <v>0</v>
      </c>
      <c r="AE430" s="56">
        <f>IF(AS430="1",BK430,0)</f>
        <v>0</v>
      </c>
      <c r="AF430" s="56">
        <f>IF(AS430="7",BJ430,0)</f>
        <v>0</v>
      </c>
      <c r="AG430" s="56">
        <f>IF(AS430="7",BK430,0)</f>
        <v>0</v>
      </c>
      <c r="AH430" s="56">
        <f>IF(AS430="2",BJ430,0)</f>
        <v>0</v>
      </c>
      <c r="AI430" s="56">
        <f>IF(AS430="2",BK430,0)</f>
        <v>0</v>
      </c>
      <c r="AJ430" s="56">
        <f>IF(AS430="0",BL430,0)</f>
        <v>0</v>
      </c>
      <c r="AK430" s="7" t="s">
        <v>1746</v>
      </c>
      <c r="AL430" s="56">
        <f>IF(AP430=0,K430,0)</f>
        <v>0</v>
      </c>
      <c r="AM430" s="56">
        <f>IF(AP430=15,K430,0)</f>
        <v>0</v>
      </c>
      <c r="AN430" s="56">
        <f>IF(AP430=21,K430,0)</f>
        <v>0</v>
      </c>
      <c r="AP430" s="56">
        <v>21</v>
      </c>
      <c r="AQ430" s="88">
        <f>H430*0</f>
        <v>0</v>
      </c>
      <c r="AR430" s="88">
        <f>H430*(1-0)</f>
        <v>0</v>
      </c>
      <c r="AS430" s="21" t="s">
        <v>2311</v>
      </c>
      <c r="AX430" s="56">
        <f>AY430+AZ430</f>
        <v>0</v>
      </c>
      <c r="AY430" s="56">
        <f>G430*AQ430</f>
        <v>0</v>
      </c>
      <c r="AZ430" s="56">
        <f>G430*AR430</f>
        <v>0</v>
      </c>
      <c r="BA430" s="21" t="s">
        <v>2019</v>
      </c>
      <c r="BB430" s="21" t="s">
        <v>279</v>
      </c>
      <c r="BC430" s="7" t="s">
        <v>1747</v>
      </c>
      <c r="BE430" s="56">
        <f>AY430+AZ430</f>
        <v>0</v>
      </c>
      <c r="BF430" s="56">
        <f>H430/(100-BG430)*100</f>
        <v>0</v>
      </c>
      <c r="BG430" s="56">
        <v>0</v>
      </c>
      <c r="BH430" s="56">
        <f>M430</f>
        <v>0</v>
      </c>
      <c r="BJ430" s="56">
        <f>G430*AQ430</f>
        <v>0</v>
      </c>
      <c r="BK430" s="56">
        <f>G430*AR430</f>
        <v>0</v>
      </c>
      <c r="BL430" s="56">
        <f>G430*H430</f>
        <v>0</v>
      </c>
      <c r="BM430" s="56"/>
      <c r="BN430" s="56">
        <v>711</v>
      </c>
    </row>
    <row r="431" spans="1:66" ht="15" customHeight="1">
      <c r="A431" s="36"/>
      <c r="D431" s="45" t="s">
        <v>2193</v>
      </c>
      <c r="E431" s="104" t="s">
        <v>1597</v>
      </c>
      <c r="G431" s="13">
        <v>37.5</v>
      </c>
      <c r="N431" s="19"/>
      <c r="P431" s="592"/>
      <c r="Q431" s="592"/>
      <c r="R431" s="592"/>
      <c r="S431" s="592"/>
      <c r="T431" s="592"/>
      <c r="U431" s="592"/>
      <c r="V431" s="592"/>
      <c r="W431" s="592"/>
      <c r="X431" s="592"/>
    </row>
    <row r="432" spans="1:66" ht="15" customHeight="1">
      <c r="A432" s="8" t="s">
        <v>2345</v>
      </c>
      <c r="B432" s="75" t="s">
        <v>1746</v>
      </c>
      <c r="C432" s="75" t="s">
        <v>1043</v>
      </c>
      <c r="D432" s="710" t="s">
        <v>4</v>
      </c>
      <c r="E432" s="710"/>
      <c r="F432" s="75" t="s">
        <v>2274</v>
      </c>
      <c r="G432" s="80">
        <v>47.5</v>
      </c>
      <c r="H432" s="626"/>
      <c r="I432" s="80">
        <f>G432*AQ432</f>
        <v>0</v>
      </c>
      <c r="J432" s="80">
        <f>G432*AR432</f>
        <v>0</v>
      </c>
      <c r="K432" s="80">
        <f>G432*H432</f>
        <v>0</v>
      </c>
      <c r="L432" s="80">
        <v>1.2700000000000001E-3</v>
      </c>
      <c r="M432" s="80">
        <f>G432*L432</f>
        <v>6.0325000000000004E-2</v>
      </c>
      <c r="N432" s="38" t="s">
        <v>1579</v>
      </c>
      <c r="P432" s="592"/>
      <c r="Q432" s="592"/>
      <c r="R432" s="592"/>
      <c r="S432" s="592"/>
      <c r="T432" s="592"/>
      <c r="U432" s="592"/>
      <c r="V432" s="592"/>
      <c r="W432" s="592"/>
      <c r="X432" s="592"/>
      <c r="AB432" s="56">
        <f>IF(AS432="5",BL432,0)</f>
        <v>0</v>
      </c>
      <c r="AD432" s="56">
        <f>IF(AS432="1",BJ432,0)</f>
        <v>0</v>
      </c>
      <c r="AE432" s="56">
        <f>IF(AS432="1",BK432,0)</f>
        <v>0</v>
      </c>
      <c r="AF432" s="56">
        <f>IF(AS432="7",BJ432,0)</f>
        <v>0</v>
      </c>
      <c r="AG432" s="56">
        <f>IF(AS432="7",BK432,0)</f>
        <v>0</v>
      </c>
      <c r="AH432" s="56">
        <f>IF(AS432="2",BJ432,0)</f>
        <v>0</v>
      </c>
      <c r="AI432" s="56">
        <f>IF(AS432="2",BK432,0)</f>
        <v>0</v>
      </c>
      <c r="AJ432" s="56">
        <f>IF(AS432="0",BL432,0)</f>
        <v>0</v>
      </c>
      <c r="AK432" s="7" t="s">
        <v>1746</v>
      </c>
      <c r="AL432" s="80">
        <f>IF(AP432=0,K432,0)</f>
        <v>0</v>
      </c>
      <c r="AM432" s="80">
        <f>IF(AP432=15,K432,0)</f>
        <v>0</v>
      </c>
      <c r="AN432" s="80">
        <f>IF(AP432=21,K432,0)</f>
        <v>0</v>
      </c>
      <c r="AP432" s="56">
        <v>21</v>
      </c>
      <c r="AQ432" s="88">
        <f>H432*1</f>
        <v>0</v>
      </c>
      <c r="AR432" s="88">
        <f>H432*(1-1)</f>
        <v>0</v>
      </c>
      <c r="AS432" s="64" t="s">
        <v>2311</v>
      </c>
      <c r="AX432" s="56">
        <f>AY432+AZ432</f>
        <v>0</v>
      </c>
      <c r="AY432" s="56">
        <f>G432*AQ432</f>
        <v>0</v>
      </c>
      <c r="AZ432" s="56">
        <f>G432*AR432</f>
        <v>0</v>
      </c>
      <c r="BA432" s="21" t="s">
        <v>2019</v>
      </c>
      <c r="BB432" s="21" t="s">
        <v>279</v>
      </c>
      <c r="BC432" s="7" t="s">
        <v>1747</v>
      </c>
      <c r="BE432" s="56">
        <f>AY432+AZ432</f>
        <v>0</v>
      </c>
      <c r="BF432" s="56">
        <f>H432/(100-BG432)*100</f>
        <v>0</v>
      </c>
      <c r="BG432" s="56">
        <v>0</v>
      </c>
      <c r="BH432" s="56">
        <f>M432</f>
        <v>6.0325000000000004E-2</v>
      </c>
      <c r="BJ432" s="80">
        <f>G432*AQ432</f>
        <v>0</v>
      </c>
      <c r="BK432" s="80">
        <f>G432*AR432</f>
        <v>0</v>
      </c>
      <c r="BL432" s="80">
        <f>G432*H432</f>
        <v>0</v>
      </c>
      <c r="BM432" s="80"/>
      <c r="BN432" s="56">
        <v>711</v>
      </c>
    </row>
    <row r="433" spans="1:66" ht="15" customHeight="1">
      <c r="A433" s="36"/>
      <c r="D433" s="45" t="s">
        <v>1400</v>
      </c>
      <c r="E433" s="104" t="s">
        <v>1597</v>
      </c>
      <c r="G433" s="13">
        <v>38</v>
      </c>
      <c r="N433" s="19"/>
      <c r="P433" s="592"/>
      <c r="Q433" s="592"/>
      <c r="R433" s="592"/>
      <c r="S433" s="592"/>
      <c r="T433" s="592"/>
      <c r="U433" s="592"/>
      <c r="V433" s="592"/>
      <c r="W433" s="592"/>
      <c r="X433" s="592"/>
    </row>
    <row r="434" spans="1:66" ht="15" customHeight="1">
      <c r="A434" s="36"/>
      <c r="D434" s="45" t="s">
        <v>2105</v>
      </c>
      <c r="E434" s="104" t="s">
        <v>1597</v>
      </c>
      <c r="G434" s="13">
        <v>9.5</v>
      </c>
      <c r="N434" s="19"/>
      <c r="P434" s="592"/>
      <c r="Q434" s="592"/>
      <c r="R434" s="592"/>
      <c r="S434" s="592"/>
      <c r="T434" s="592"/>
      <c r="U434" s="592"/>
      <c r="V434" s="592"/>
      <c r="W434" s="592"/>
      <c r="X434" s="592"/>
    </row>
    <row r="435" spans="1:66" ht="15" customHeight="1">
      <c r="A435" s="8" t="s">
        <v>11</v>
      </c>
      <c r="B435" s="75" t="s">
        <v>1746</v>
      </c>
      <c r="C435" s="75" t="s">
        <v>997</v>
      </c>
      <c r="D435" s="710" t="s">
        <v>1330</v>
      </c>
      <c r="E435" s="710"/>
      <c r="F435" s="75" t="s">
        <v>564</v>
      </c>
      <c r="G435" s="80">
        <v>60</v>
      </c>
      <c r="H435" s="626"/>
      <c r="I435" s="80">
        <f>G435*AQ435</f>
        <v>0</v>
      </c>
      <c r="J435" s="80">
        <f>G435*AR435</f>
        <v>0</v>
      </c>
      <c r="K435" s="80">
        <f>G435*H435</f>
        <v>0</v>
      </c>
      <c r="L435" s="80">
        <v>5.4000000000000001E-4</v>
      </c>
      <c r="M435" s="80">
        <f>G435*L435</f>
        <v>3.2399999999999998E-2</v>
      </c>
      <c r="N435" s="38" t="s">
        <v>1579</v>
      </c>
      <c r="P435" s="592"/>
      <c r="Q435" s="592"/>
      <c r="R435" s="592"/>
      <c r="S435" s="592"/>
      <c r="T435" s="592"/>
      <c r="U435" s="592"/>
      <c r="V435" s="592"/>
      <c r="W435" s="592"/>
      <c r="X435" s="592"/>
      <c r="AB435" s="56">
        <f>IF(AS435="5",BL435,0)</f>
        <v>0</v>
      </c>
      <c r="AD435" s="56">
        <f>IF(AS435="1",BJ435,0)</f>
        <v>0</v>
      </c>
      <c r="AE435" s="56">
        <f>IF(AS435="1",BK435,0)</f>
        <v>0</v>
      </c>
      <c r="AF435" s="56">
        <f>IF(AS435="7",BJ435,0)</f>
        <v>0</v>
      </c>
      <c r="AG435" s="56">
        <f>IF(AS435="7",BK435,0)</f>
        <v>0</v>
      </c>
      <c r="AH435" s="56">
        <f>IF(AS435="2",BJ435,0)</f>
        <v>0</v>
      </c>
      <c r="AI435" s="56">
        <f>IF(AS435="2",BK435,0)</f>
        <v>0</v>
      </c>
      <c r="AJ435" s="56">
        <f>IF(AS435="0",BL435,0)</f>
        <v>0</v>
      </c>
      <c r="AK435" s="7" t="s">
        <v>1746</v>
      </c>
      <c r="AL435" s="80">
        <f>IF(AP435=0,K435,0)</f>
        <v>0</v>
      </c>
      <c r="AM435" s="80">
        <f>IF(AP435=15,K435,0)</f>
        <v>0</v>
      </c>
      <c r="AN435" s="80">
        <f>IF(AP435=21,K435,0)</f>
        <v>0</v>
      </c>
      <c r="AP435" s="56">
        <v>21</v>
      </c>
      <c r="AQ435" s="88">
        <f>H435*1</f>
        <v>0</v>
      </c>
      <c r="AR435" s="88">
        <f>H435*(1-1)</f>
        <v>0</v>
      </c>
      <c r="AS435" s="64" t="s">
        <v>2311</v>
      </c>
      <c r="AX435" s="56">
        <f>AY435+AZ435</f>
        <v>0</v>
      </c>
      <c r="AY435" s="56">
        <f>G435*AQ435</f>
        <v>0</v>
      </c>
      <c r="AZ435" s="56">
        <f>G435*AR435</f>
        <v>0</v>
      </c>
      <c r="BA435" s="21" t="s">
        <v>2019</v>
      </c>
      <c r="BB435" s="21" t="s">
        <v>279</v>
      </c>
      <c r="BC435" s="7" t="s">
        <v>1747</v>
      </c>
      <c r="BE435" s="56">
        <f>AY435+AZ435</f>
        <v>0</v>
      </c>
      <c r="BF435" s="56">
        <f>H435/(100-BG435)*100</f>
        <v>0</v>
      </c>
      <c r="BG435" s="56">
        <v>0</v>
      </c>
      <c r="BH435" s="56">
        <f>M435</f>
        <v>3.2399999999999998E-2</v>
      </c>
      <c r="BJ435" s="80">
        <f>G435*AQ435</f>
        <v>0</v>
      </c>
      <c r="BK435" s="80">
        <f>G435*AR435</f>
        <v>0</v>
      </c>
      <c r="BL435" s="80">
        <f>G435*H435</f>
        <v>0</v>
      </c>
      <c r="BM435" s="80"/>
      <c r="BN435" s="56">
        <v>711</v>
      </c>
    </row>
    <row r="436" spans="1:66" ht="15" customHeight="1">
      <c r="A436" s="36"/>
      <c r="D436" s="45" t="s">
        <v>1721</v>
      </c>
      <c r="E436" s="104" t="s">
        <v>1597</v>
      </c>
      <c r="G436" s="13">
        <v>60.000000000000007</v>
      </c>
      <c r="N436" s="19"/>
      <c r="P436" s="592"/>
      <c r="Q436" s="592"/>
      <c r="R436" s="592"/>
      <c r="S436" s="592"/>
      <c r="T436" s="592"/>
      <c r="U436" s="592"/>
      <c r="V436" s="592"/>
      <c r="W436" s="592"/>
      <c r="X436" s="592"/>
    </row>
    <row r="437" spans="1:66" ht="15" customHeight="1">
      <c r="A437" s="24" t="s">
        <v>85</v>
      </c>
      <c r="B437" s="12" t="s">
        <v>1746</v>
      </c>
      <c r="C437" s="12" t="s">
        <v>655</v>
      </c>
      <c r="D437" s="630" t="s">
        <v>2102</v>
      </c>
      <c r="E437" s="630"/>
      <c r="F437" s="12" t="s">
        <v>2274</v>
      </c>
      <c r="G437" s="56">
        <v>268.39999999999998</v>
      </c>
      <c r="H437" s="625"/>
      <c r="I437" s="56">
        <f>G437*AQ437</f>
        <v>0</v>
      </c>
      <c r="J437" s="56">
        <f>G437*AR437</f>
        <v>0</v>
      </c>
      <c r="K437" s="56">
        <f>G437*H437</f>
        <v>0</v>
      </c>
      <c r="L437" s="56">
        <v>0</v>
      </c>
      <c r="M437" s="56">
        <f>G437*L437</f>
        <v>0</v>
      </c>
      <c r="N437" s="31" t="s">
        <v>1579</v>
      </c>
      <c r="P437" s="592"/>
      <c r="Q437" s="592"/>
      <c r="R437" s="592"/>
      <c r="S437" s="592"/>
      <c r="T437" s="592"/>
      <c r="U437" s="592"/>
      <c r="V437" s="592"/>
      <c r="W437" s="592"/>
      <c r="X437" s="592"/>
      <c r="AB437" s="56">
        <f>IF(AS437="5",BL437,0)</f>
        <v>0</v>
      </c>
      <c r="AD437" s="56">
        <f>IF(AS437="1",BJ437,0)</f>
        <v>0</v>
      </c>
      <c r="AE437" s="56">
        <f>IF(AS437="1",BK437,0)</f>
        <v>0</v>
      </c>
      <c r="AF437" s="56">
        <f>IF(AS437="7",BJ437,0)</f>
        <v>0</v>
      </c>
      <c r="AG437" s="56">
        <f>IF(AS437="7",BK437,0)</f>
        <v>0</v>
      </c>
      <c r="AH437" s="56">
        <f>IF(AS437="2",BJ437,0)</f>
        <v>0</v>
      </c>
      <c r="AI437" s="56">
        <f>IF(AS437="2",BK437,0)</f>
        <v>0</v>
      </c>
      <c r="AJ437" s="56">
        <f>IF(AS437="0",BL437,0)</f>
        <v>0</v>
      </c>
      <c r="AK437" s="7" t="s">
        <v>1746</v>
      </c>
      <c r="AL437" s="56">
        <f>IF(AP437=0,K437,0)</f>
        <v>0</v>
      </c>
      <c r="AM437" s="56">
        <f>IF(AP437=15,K437,0)</f>
        <v>0</v>
      </c>
      <c r="AN437" s="56">
        <f>IF(AP437=21,K437,0)</f>
        <v>0</v>
      </c>
      <c r="AP437" s="56">
        <v>21</v>
      </c>
      <c r="AQ437" s="88">
        <f>H437*0</f>
        <v>0</v>
      </c>
      <c r="AR437" s="88">
        <f>H437*(1-0)</f>
        <v>0</v>
      </c>
      <c r="AS437" s="21" t="s">
        <v>2311</v>
      </c>
      <c r="AX437" s="56">
        <f>AY437+AZ437</f>
        <v>0</v>
      </c>
      <c r="AY437" s="56">
        <f>G437*AQ437</f>
        <v>0</v>
      </c>
      <c r="AZ437" s="56">
        <f>G437*AR437</f>
        <v>0</v>
      </c>
      <c r="BA437" s="21" t="s">
        <v>2019</v>
      </c>
      <c r="BB437" s="21" t="s">
        <v>279</v>
      </c>
      <c r="BC437" s="7" t="s">
        <v>1747</v>
      </c>
      <c r="BE437" s="56">
        <f>AY437+AZ437</f>
        <v>0</v>
      </c>
      <c r="BF437" s="56">
        <f>H437/(100-BG437)*100</f>
        <v>0</v>
      </c>
      <c r="BG437" s="56">
        <v>0</v>
      </c>
      <c r="BH437" s="56">
        <f>M437</f>
        <v>0</v>
      </c>
      <c r="BJ437" s="56">
        <f>G437*AQ437</f>
        <v>0</v>
      </c>
      <c r="BK437" s="56">
        <f>G437*AR437</f>
        <v>0</v>
      </c>
      <c r="BL437" s="56">
        <f>G437*H437</f>
        <v>0</v>
      </c>
      <c r="BM437" s="56"/>
      <c r="BN437" s="56">
        <v>711</v>
      </c>
    </row>
    <row r="438" spans="1:66" ht="15" customHeight="1">
      <c r="A438" s="36"/>
      <c r="D438" s="45" t="s">
        <v>761</v>
      </c>
      <c r="E438" s="104" t="s">
        <v>2382</v>
      </c>
      <c r="G438" s="13">
        <v>268.40000000000003</v>
      </c>
      <c r="N438" s="19"/>
      <c r="P438" s="592"/>
      <c r="Q438" s="592"/>
      <c r="R438" s="592"/>
      <c r="S438" s="592"/>
      <c r="T438" s="592"/>
      <c r="U438" s="592"/>
      <c r="V438" s="592"/>
      <c r="W438" s="592"/>
      <c r="X438" s="592"/>
    </row>
    <row r="439" spans="1:66" ht="15" customHeight="1">
      <c r="A439" s="8" t="s">
        <v>140</v>
      </c>
      <c r="B439" s="75" t="s">
        <v>1746</v>
      </c>
      <c r="C439" s="75" t="s">
        <v>1996</v>
      </c>
      <c r="D439" s="710" t="s">
        <v>1549</v>
      </c>
      <c r="E439" s="710"/>
      <c r="F439" s="75" t="s">
        <v>1062</v>
      </c>
      <c r="G439" s="80">
        <v>1.24</v>
      </c>
      <c r="H439" s="626"/>
      <c r="I439" s="80">
        <f>G439*AQ439</f>
        <v>0</v>
      </c>
      <c r="J439" s="80">
        <f>G439*AR439</f>
        <v>0</v>
      </c>
      <c r="K439" s="80">
        <f>G439*H439</f>
        <v>0</v>
      </c>
      <c r="L439" s="80">
        <v>2.8400000000000001E-3</v>
      </c>
      <c r="M439" s="80">
        <f>G439*L439</f>
        <v>3.5216000000000002E-3</v>
      </c>
      <c r="N439" s="38" t="s">
        <v>1579</v>
      </c>
      <c r="P439" s="592"/>
      <c r="Q439" s="592"/>
      <c r="R439" s="592"/>
      <c r="S439" s="592"/>
      <c r="T439" s="592"/>
      <c r="U439" s="592"/>
      <c r="V439" s="592"/>
      <c r="W439" s="592"/>
      <c r="X439" s="592"/>
      <c r="AB439" s="56">
        <f>IF(AS439="5",BL439,0)</f>
        <v>0</v>
      </c>
      <c r="AD439" s="56">
        <f>IF(AS439="1",BJ439,0)</f>
        <v>0</v>
      </c>
      <c r="AE439" s="56">
        <f>IF(AS439="1",BK439,0)</f>
        <v>0</v>
      </c>
      <c r="AF439" s="56">
        <f>IF(AS439="7",BJ439,0)</f>
        <v>0</v>
      </c>
      <c r="AG439" s="56">
        <f>IF(AS439="7",BK439,0)</f>
        <v>0</v>
      </c>
      <c r="AH439" s="56">
        <f>IF(AS439="2",BJ439,0)</f>
        <v>0</v>
      </c>
      <c r="AI439" s="56">
        <f>IF(AS439="2",BK439,0)</f>
        <v>0</v>
      </c>
      <c r="AJ439" s="56">
        <f>IF(AS439="0",BL439,0)</f>
        <v>0</v>
      </c>
      <c r="AK439" s="7" t="s">
        <v>1746</v>
      </c>
      <c r="AL439" s="80">
        <f>IF(AP439=0,K439,0)</f>
        <v>0</v>
      </c>
      <c r="AM439" s="80">
        <f>IF(AP439=15,K439,0)</f>
        <v>0</v>
      </c>
      <c r="AN439" s="80">
        <f>IF(AP439=21,K439,0)</f>
        <v>0</v>
      </c>
      <c r="AP439" s="56">
        <v>21</v>
      </c>
      <c r="AQ439" s="88">
        <f>H439*1</f>
        <v>0</v>
      </c>
      <c r="AR439" s="88">
        <f>H439*(1-1)</f>
        <v>0</v>
      </c>
      <c r="AS439" s="64" t="s">
        <v>2311</v>
      </c>
      <c r="AX439" s="56">
        <f>AY439+AZ439</f>
        <v>0</v>
      </c>
      <c r="AY439" s="56">
        <f>G439*AQ439</f>
        <v>0</v>
      </c>
      <c r="AZ439" s="56">
        <f>G439*AR439</f>
        <v>0</v>
      </c>
      <c r="BA439" s="21" t="s">
        <v>2019</v>
      </c>
      <c r="BB439" s="21" t="s">
        <v>279</v>
      </c>
      <c r="BC439" s="7" t="s">
        <v>1747</v>
      </c>
      <c r="BE439" s="56">
        <f>AY439+AZ439</f>
        <v>0</v>
      </c>
      <c r="BF439" s="56">
        <f>H439/(100-BG439)*100</f>
        <v>0</v>
      </c>
      <c r="BG439" s="56">
        <v>0</v>
      </c>
      <c r="BH439" s="56">
        <f>M439</f>
        <v>3.5216000000000002E-3</v>
      </c>
      <c r="BJ439" s="80">
        <f>G439*AQ439</f>
        <v>0</v>
      </c>
      <c r="BK439" s="80">
        <f>G439*AR439</f>
        <v>0</v>
      </c>
      <c r="BL439" s="80">
        <f>G439*H439</f>
        <v>0</v>
      </c>
      <c r="BM439" s="80"/>
      <c r="BN439" s="56">
        <v>711</v>
      </c>
    </row>
    <row r="440" spans="1:66" ht="15" customHeight="1">
      <c r="A440" s="36"/>
      <c r="D440" s="45" t="s">
        <v>1230</v>
      </c>
      <c r="E440" s="104" t="s">
        <v>690</v>
      </c>
      <c r="G440" s="13">
        <v>1.24</v>
      </c>
      <c r="N440" s="19"/>
      <c r="P440" s="592"/>
      <c r="Q440" s="592"/>
      <c r="R440" s="592"/>
      <c r="S440" s="592"/>
      <c r="T440" s="592"/>
      <c r="U440" s="592"/>
      <c r="V440" s="592"/>
      <c r="W440" s="592"/>
      <c r="X440" s="592"/>
    </row>
    <row r="441" spans="1:66" ht="15" customHeight="1">
      <c r="A441" s="8" t="s">
        <v>1717</v>
      </c>
      <c r="B441" s="75" t="s">
        <v>1746</v>
      </c>
      <c r="C441" s="75" t="s">
        <v>2373</v>
      </c>
      <c r="D441" s="710" t="s">
        <v>496</v>
      </c>
      <c r="E441" s="710"/>
      <c r="F441" s="75" t="s">
        <v>2274</v>
      </c>
      <c r="G441" s="80">
        <v>308.2</v>
      </c>
      <c r="H441" s="626"/>
      <c r="I441" s="80">
        <f>G441*AQ441</f>
        <v>0</v>
      </c>
      <c r="J441" s="80">
        <f>G441*AR441</f>
        <v>0</v>
      </c>
      <c r="K441" s="80">
        <f>G441*H441</f>
        <v>0</v>
      </c>
      <c r="L441" s="80">
        <v>2.3E-3</v>
      </c>
      <c r="M441" s="80">
        <f>G441*L441</f>
        <v>0.70885999999999993</v>
      </c>
      <c r="N441" s="38" t="s">
        <v>1579</v>
      </c>
      <c r="P441" s="592"/>
      <c r="Q441" s="592"/>
      <c r="R441" s="592"/>
      <c r="S441" s="592"/>
      <c r="T441" s="592"/>
      <c r="U441" s="592"/>
      <c r="V441" s="592"/>
      <c r="W441" s="592"/>
      <c r="X441" s="592"/>
      <c r="AB441" s="56">
        <f>IF(AS441="5",BL441,0)</f>
        <v>0</v>
      </c>
      <c r="AD441" s="56">
        <f>IF(AS441="1",BJ441,0)</f>
        <v>0</v>
      </c>
      <c r="AE441" s="56">
        <f>IF(AS441="1",BK441,0)</f>
        <v>0</v>
      </c>
      <c r="AF441" s="56">
        <f>IF(AS441="7",BJ441,0)</f>
        <v>0</v>
      </c>
      <c r="AG441" s="56">
        <f>IF(AS441="7",BK441,0)</f>
        <v>0</v>
      </c>
      <c r="AH441" s="56">
        <f>IF(AS441="2",BJ441,0)</f>
        <v>0</v>
      </c>
      <c r="AI441" s="56">
        <f>IF(AS441="2",BK441,0)</f>
        <v>0</v>
      </c>
      <c r="AJ441" s="56">
        <f>IF(AS441="0",BL441,0)</f>
        <v>0</v>
      </c>
      <c r="AK441" s="7" t="s">
        <v>1746</v>
      </c>
      <c r="AL441" s="80">
        <f>IF(AP441=0,K441,0)</f>
        <v>0</v>
      </c>
      <c r="AM441" s="80">
        <f>IF(AP441=15,K441,0)</f>
        <v>0</v>
      </c>
      <c r="AN441" s="80">
        <f>IF(AP441=21,K441,0)</f>
        <v>0</v>
      </c>
      <c r="AP441" s="56">
        <v>21</v>
      </c>
      <c r="AQ441" s="88">
        <f>H441*1</f>
        <v>0</v>
      </c>
      <c r="AR441" s="88">
        <f>H441*(1-1)</f>
        <v>0</v>
      </c>
      <c r="AS441" s="64" t="s">
        <v>2311</v>
      </c>
      <c r="AX441" s="56">
        <f>AY441+AZ441</f>
        <v>0</v>
      </c>
      <c r="AY441" s="56">
        <f>G441*AQ441</f>
        <v>0</v>
      </c>
      <c r="AZ441" s="56">
        <f>G441*AR441</f>
        <v>0</v>
      </c>
      <c r="BA441" s="21" t="s">
        <v>2019</v>
      </c>
      <c r="BB441" s="21" t="s">
        <v>279</v>
      </c>
      <c r="BC441" s="7" t="s">
        <v>1747</v>
      </c>
      <c r="BE441" s="56">
        <f>AY441+AZ441</f>
        <v>0</v>
      </c>
      <c r="BF441" s="56">
        <f>H441/(100-BG441)*100</f>
        <v>0</v>
      </c>
      <c r="BG441" s="56">
        <v>0</v>
      </c>
      <c r="BH441" s="56">
        <f>M441</f>
        <v>0.70885999999999993</v>
      </c>
      <c r="BJ441" s="80">
        <f>G441*AQ441</f>
        <v>0</v>
      </c>
      <c r="BK441" s="80">
        <f>G441*AR441</f>
        <v>0</v>
      </c>
      <c r="BL441" s="80">
        <f>G441*H441</f>
        <v>0</v>
      </c>
      <c r="BM441" s="80"/>
      <c r="BN441" s="56">
        <v>711</v>
      </c>
    </row>
    <row r="442" spans="1:66" ht="15" customHeight="1">
      <c r="A442" s="36"/>
      <c r="D442" s="45" t="s">
        <v>334</v>
      </c>
      <c r="E442" s="104" t="s">
        <v>1597</v>
      </c>
      <c r="G442" s="13">
        <v>268</v>
      </c>
      <c r="N442" s="19"/>
      <c r="P442" s="592"/>
      <c r="Q442" s="592"/>
      <c r="R442" s="592"/>
      <c r="S442" s="592"/>
      <c r="T442" s="592"/>
      <c r="U442" s="592"/>
      <c r="V442" s="592"/>
      <c r="W442" s="592"/>
      <c r="X442" s="592"/>
    </row>
    <row r="443" spans="1:66" ht="15" customHeight="1">
      <c r="A443" s="36"/>
      <c r="D443" s="45" t="s">
        <v>90</v>
      </c>
      <c r="E443" s="104" t="s">
        <v>1597</v>
      </c>
      <c r="G443" s="13">
        <v>40.200000000000003</v>
      </c>
      <c r="N443" s="19"/>
      <c r="P443" s="592"/>
      <c r="Q443" s="592"/>
      <c r="R443" s="592"/>
      <c r="S443" s="592"/>
      <c r="T443" s="592"/>
      <c r="U443" s="592"/>
      <c r="V443" s="592"/>
      <c r="W443" s="592"/>
      <c r="X443" s="592"/>
    </row>
    <row r="444" spans="1:66" ht="15" customHeight="1">
      <c r="A444" s="24" t="s">
        <v>2589</v>
      </c>
      <c r="B444" s="12" t="s">
        <v>1746</v>
      </c>
      <c r="C444" s="12" t="s">
        <v>2502</v>
      </c>
      <c r="D444" s="630" t="s">
        <v>1619</v>
      </c>
      <c r="E444" s="630"/>
      <c r="F444" s="12" t="s">
        <v>2274</v>
      </c>
      <c r="G444" s="56">
        <v>82</v>
      </c>
      <c r="H444" s="625"/>
      <c r="I444" s="56">
        <f>G444*AQ444</f>
        <v>0</v>
      </c>
      <c r="J444" s="56">
        <f>G444*AR444</f>
        <v>0</v>
      </c>
      <c r="K444" s="56">
        <f>G444*H444</f>
        <v>0</v>
      </c>
      <c r="L444" s="56">
        <v>2.1000000000000001E-4</v>
      </c>
      <c r="M444" s="56">
        <f>G444*L444</f>
        <v>1.7219999999999999E-2</v>
      </c>
      <c r="N444" s="31" t="s">
        <v>1579</v>
      </c>
      <c r="P444" s="592"/>
      <c r="Q444" s="592"/>
      <c r="R444" s="592"/>
      <c r="S444" s="592"/>
      <c r="T444" s="592"/>
      <c r="U444" s="592"/>
      <c r="V444" s="592"/>
      <c r="W444" s="592"/>
      <c r="X444" s="592"/>
      <c r="AB444" s="56">
        <f>IF(AS444="5",BL444,0)</f>
        <v>0</v>
      </c>
      <c r="AD444" s="56">
        <f>IF(AS444="1",BJ444,0)</f>
        <v>0</v>
      </c>
      <c r="AE444" s="56">
        <f>IF(AS444="1",BK444,0)</f>
        <v>0</v>
      </c>
      <c r="AF444" s="56">
        <f>IF(AS444="7",BJ444,0)</f>
        <v>0</v>
      </c>
      <c r="AG444" s="56">
        <f>IF(AS444="7",BK444,0)</f>
        <v>0</v>
      </c>
      <c r="AH444" s="56">
        <f>IF(AS444="2",BJ444,0)</f>
        <v>0</v>
      </c>
      <c r="AI444" s="56">
        <f>IF(AS444="2",BK444,0)</f>
        <v>0</v>
      </c>
      <c r="AJ444" s="56">
        <f>IF(AS444="0",BL444,0)</f>
        <v>0</v>
      </c>
      <c r="AK444" s="7" t="s">
        <v>1746</v>
      </c>
      <c r="AL444" s="56">
        <f>IF(AP444=0,K444,0)</f>
        <v>0</v>
      </c>
      <c r="AM444" s="56">
        <f>IF(AP444=15,K444,0)</f>
        <v>0</v>
      </c>
      <c r="AN444" s="56">
        <f>IF(AP444=21,K444,0)</f>
        <v>0</v>
      </c>
      <c r="AP444" s="56">
        <v>21</v>
      </c>
      <c r="AQ444" s="88">
        <f>H444*0.345867768595041</f>
        <v>0</v>
      </c>
      <c r="AR444" s="88">
        <f>H444*(1-0.345867768595041)</f>
        <v>0</v>
      </c>
      <c r="AS444" s="21" t="s">
        <v>2311</v>
      </c>
      <c r="AX444" s="56">
        <f>AY444+AZ444</f>
        <v>0</v>
      </c>
      <c r="AY444" s="56">
        <f>G444*AQ444</f>
        <v>0</v>
      </c>
      <c r="AZ444" s="56">
        <f>G444*AR444</f>
        <v>0</v>
      </c>
      <c r="BA444" s="21" t="s">
        <v>2019</v>
      </c>
      <c r="BB444" s="21" t="s">
        <v>279</v>
      </c>
      <c r="BC444" s="7" t="s">
        <v>1747</v>
      </c>
      <c r="BE444" s="56">
        <f>AY444+AZ444</f>
        <v>0</v>
      </c>
      <c r="BF444" s="56">
        <f>H444/(100-BG444)*100</f>
        <v>0</v>
      </c>
      <c r="BG444" s="56">
        <v>0</v>
      </c>
      <c r="BH444" s="56">
        <f>M444</f>
        <v>1.7219999999999999E-2</v>
      </c>
      <c r="BJ444" s="56">
        <f>G444*AQ444</f>
        <v>0</v>
      </c>
      <c r="BK444" s="56">
        <f>G444*AR444</f>
        <v>0</v>
      </c>
      <c r="BL444" s="56">
        <f>G444*H444</f>
        <v>0</v>
      </c>
      <c r="BM444" s="56"/>
      <c r="BN444" s="56">
        <v>711</v>
      </c>
    </row>
    <row r="445" spans="1:66" ht="15" customHeight="1">
      <c r="A445" s="36"/>
      <c r="D445" s="45" t="s">
        <v>436</v>
      </c>
      <c r="E445" s="104" t="s">
        <v>1597</v>
      </c>
      <c r="G445" s="13">
        <v>82</v>
      </c>
      <c r="N445" s="19"/>
      <c r="P445" s="592"/>
      <c r="Q445" s="592"/>
      <c r="R445" s="592"/>
      <c r="S445" s="592"/>
      <c r="T445" s="592"/>
      <c r="U445" s="592"/>
      <c r="V445" s="592"/>
      <c r="W445" s="592"/>
      <c r="X445" s="592"/>
    </row>
    <row r="446" spans="1:66" ht="15" customHeight="1">
      <c r="A446" s="24" t="s">
        <v>641</v>
      </c>
      <c r="B446" s="12" t="s">
        <v>1746</v>
      </c>
      <c r="C446" s="12" t="s">
        <v>861</v>
      </c>
      <c r="D446" s="630" t="s">
        <v>1694</v>
      </c>
      <c r="E446" s="630"/>
      <c r="F446" s="12" t="s">
        <v>2274</v>
      </c>
      <c r="G446" s="56">
        <v>82</v>
      </c>
      <c r="H446" s="625"/>
      <c r="I446" s="56">
        <f>G446*AQ446</f>
        <v>0</v>
      </c>
      <c r="J446" s="56">
        <f>G446*AR446</f>
        <v>0</v>
      </c>
      <c r="K446" s="56">
        <f>G446*H446</f>
        <v>0</v>
      </c>
      <c r="L446" s="56">
        <v>1.2600000000000001E-3</v>
      </c>
      <c r="M446" s="56">
        <f>G446*L446</f>
        <v>0.10332000000000001</v>
      </c>
      <c r="N446" s="31" t="s">
        <v>1579</v>
      </c>
      <c r="P446" s="592"/>
      <c r="Q446" s="592"/>
      <c r="R446" s="592"/>
      <c r="S446" s="592"/>
      <c r="T446" s="592"/>
      <c r="U446" s="592"/>
      <c r="V446" s="592"/>
      <c r="W446" s="592"/>
      <c r="X446" s="592"/>
      <c r="AB446" s="56">
        <f>IF(AS446="5",BL446,0)</f>
        <v>0</v>
      </c>
      <c r="AD446" s="56">
        <f>IF(AS446="1",BJ446,0)</f>
        <v>0</v>
      </c>
      <c r="AE446" s="56">
        <f>IF(AS446="1",BK446,0)</f>
        <v>0</v>
      </c>
      <c r="AF446" s="56">
        <f>IF(AS446="7",BJ446,0)</f>
        <v>0</v>
      </c>
      <c r="AG446" s="56">
        <f>IF(AS446="7",BK446,0)</f>
        <v>0</v>
      </c>
      <c r="AH446" s="56">
        <f>IF(AS446="2",BJ446,0)</f>
        <v>0</v>
      </c>
      <c r="AI446" s="56">
        <f>IF(AS446="2",BK446,0)</f>
        <v>0</v>
      </c>
      <c r="AJ446" s="56">
        <f>IF(AS446="0",BL446,0)</f>
        <v>0</v>
      </c>
      <c r="AK446" s="7" t="s">
        <v>1746</v>
      </c>
      <c r="AL446" s="56">
        <f>IF(AP446=0,K446,0)</f>
        <v>0</v>
      </c>
      <c r="AM446" s="56">
        <f>IF(AP446=15,K446,0)</f>
        <v>0</v>
      </c>
      <c r="AN446" s="56">
        <f>IF(AP446=21,K446,0)</f>
        <v>0</v>
      </c>
      <c r="AP446" s="56">
        <v>21</v>
      </c>
      <c r="AQ446" s="88">
        <f>H446*0.635066059607274</f>
        <v>0</v>
      </c>
      <c r="AR446" s="88">
        <f>H446*(1-0.635066059607274)</f>
        <v>0</v>
      </c>
      <c r="AS446" s="21" t="s">
        <v>2311</v>
      </c>
      <c r="AX446" s="56">
        <f>AY446+AZ446</f>
        <v>0</v>
      </c>
      <c r="AY446" s="56">
        <f>G446*AQ446</f>
        <v>0</v>
      </c>
      <c r="AZ446" s="56">
        <f>G446*AR446</f>
        <v>0</v>
      </c>
      <c r="BA446" s="21" t="s">
        <v>2019</v>
      </c>
      <c r="BB446" s="21" t="s">
        <v>279</v>
      </c>
      <c r="BC446" s="7" t="s">
        <v>1747</v>
      </c>
      <c r="BE446" s="56">
        <f>AY446+AZ446</f>
        <v>0</v>
      </c>
      <c r="BF446" s="56">
        <f>H446/(100-BG446)*100</f>
        <v>0</v>
      </c>
      <c r="BG446" s="56">
        <v>0</v>
      </c>
      <c r="BH446" s="56">
        <f>M446</f>
        <v>0.10332000000000001</v>
      </c>
      <c r="BJ446" s="56">
        <f>G446*AQ446</f>
        <v>0</v>
      </c>
      <c r="BK446" s="56">
        <f>G446*AR446</f>
        <v>0</v>
      </c>
      <c r="BL446" s="56">
        <f>G446*H446</f>
        <v>0</v>
      </c>
      <c r="BM446" s="56"/>
      <c r="BN446" s="56">
        <v>711</v>
      </c>
    </row>
    <row r="447" spans="1:66" ht="15" customHeight="1">
      <c r="A447" s="36"/>
      <c r="D447" s="45" t="s">
        <v>436</v>
      </c>
      <c r="E447" s="104" t="s">
        <v>666</v>
      </c>
      <c r="G447" s="13">
        <v>82</v>
      </c>
      <c r="N447" s="19"/>
      <c r="P447" s="592"/>
      <c r="Q447" s="592"/>
      <c r="R447" s="592"/>
      <c r="S447" s="592"/>
      <c r="T447" s="592"/>
      <c r="U447" s="592"/>
      <c r="V447" s="592"/>
      <c r="W447" s="592"/>
      <c r="X447" s="592"/>
    </row>
    <row r="448" spans="1:66" ht="15" customHeight="1">
      <c r="A448" s="32" t="s">
        <v>1597</v>
      </c>
      <c r="B448" s="26" t="s">
        <v>1746</v>
      </c>
      <c r="C448" s="512" t="s">
        <v>1861</v>
      </c>
      <c r="D448" s="709" t="s">
        <v>1993</v>
      </c>
      <c r="E448" s="709"/>
      <c r="F448" s="46" t="s">
        <v>2144</v>
      </c>
      <c r="G448" s="46" t="s">
        <v>2144</v>
      </c>
      <c r="H448" s="46" t="s">
        <v>2144</v>
      </c>
      <c r="I448" s="17">
        <f>SUM(I449:I476)</f>
        <v>0</v>
      </c>
      <c r="J448" s="17">
        <f>SUM(J449:J476)</f>
        <v>0</v>
      </c>
      <c r="K448" s="515">
        <f>SUM(K449:K476)</f>
        <v>0</v>
      </c>
      <c r="L448" s="7" t="s">
        <v>1597</v>
      </c>
      <c r="M448" s="17">
        <f>SUM(M449:M476)</f>
        <v>28.33999</v>
      </c>
      <c r="N448" s="20" t="s">
        <v>1597</v>
      </c>
      <c r="P448" s="592">
        <f>K448</f>
        <v>0</v>
      </c>
      <c r="Q448" s="592"/>
      <c r="R448" s="592"/>
      <c r="S448" s="592"/>
      <c r="T448" s="592"/>
      <c r="U448" s="592"/>
      <c r="V448" s="592"/>
      <c r="W448" s="592"/>
      <c r="X448" s="592"/>
      <c r="AK448" s="7" t="s">
        <v>1746</v>
      </c>
      <c r="AU448" s="17">
        <f>SUM(AL449:AL476)</f>
        <v>0</v>
      </c>
      <c r="AV448" s="17">
        <f>SUM(AM449:AM476)</f>
        <v>0</v>
      </c>
      <c r="AW448" s="17">
        <f>SUM(AN449:AN476)</f>
        <v>0</v>
      </c>
    </row>
    <row r="449" spans="1:66" ht="15" customHeight="1">
      <c r="A449" s="24" t="s">
        <v>164</v>
      </c>
      <c r="B449" s="12" t="s">
        <v>1746</v>
      </c>
      <c r="C449" s="12" t="s">
        <v>1845</v>
      </c>
      <c r="D449" s="630" t="s">
        <v>397</v>
      </c>
      <c r="E449" s="630"/>
      <c r="F449" s="12" t="s">
        <v>2274</v>
      </c>
      <c r="G449" s="56">
        <v>328.25</v>
      </c>
      <c r="H449" s="625"/>
      <c r="I449" s="56">
        <f>G449*AQ449</f>
        <v>0</v>
      </c>
      <c r="J449" s="56">
        <f>G449*AR449</f>
        <v>0</v>
      </c>
      <c r="K449" s="56">
        <f>G449*H449</f>
        <v>0</v>
      </c>
      <c r="L449" s="56">
        <v>0</v>
      </c>
      <c r="M449" s="56">
        <f>G449*L449</f>
        <v>0</v>
      </c>
      <c r="N449" s="31" t="s">
        <v>1579</v>
      </c>
      <c r="P449" s="592"/>
      <c r="Q449" s="592"/>
      <c r="R449" s="592"/>
      <c r="S449" s="592"/>
      <c r="T449" s="592"/>
      <c r="U449" s="592"/>
      <c r="V449" s="592"/>
      <c r="W449" s="592"/>
      <c r="X449" s="592"/>
      <c r="AB449" s="56">
        <f>IF(AS449="5",BL449,0)</f>
        <v>0</v>
      </c>
      <c r="AD449" s="56">
        <f>IF(AS449="1",BJ449,0)</f>
        <v>0</v>
      </c>
      <c r="AE449" s="56">
        <f>IF(AS449="1",BK449,0)</f>
        <v>0</v>
      </c>
      <c r="AF449" s="56">
        <f>IF(AS449="7",BJ449,0)</f>
        <v>0</v>
      </c>
      <c r="AG449" s="56">
        <f>IF(AS449="7",BK449,0)</f>
        <v>0</v>
      </c>
      <c r="AH449" s="56">
        <f>IF(AS449="2",BJ449,0)</f>
        <v>0</v>
      </c>
      <c r="AI449" s="56">
        <f>IF(AS449="2",BK449,0)</f>
        <v>0</v>
      </c>
      <c r="AJ449" s="56">
        <f>IF(AS449="0",BL449,0)</f>
        <v>0</v>
      </c>
      <c r="AK449" s="7" t="s">
        <v>1746</v>
      </c>
      <c r="AL449" s="56">
        <f>IF(AP449=0,K449,0)</f>
        <v>0</v>
      </c>
      <c r="AM449" s="56">
        <f>IF(AP449=15,K449,0)</f>
        <v>0</v>
      </c>
      <c r="AN449" s="56">
        <f>IF(AP449=21,K449,0)</f>
        <v>0</v>
      </c>
      <c r="AP449" s="56">
        <v>21</v>
      </c>
      <c r="AQ449" s="88">
        <f>H449*0</f>
        <v>0</v>
      </c>
      <c r="AR449" s="88">
        <f>H449*(1-0)</f>
        <v>0</v>
      </c>
      <c r="AS449" s="21" t="s">
        <v>2311</v>
      </c>
      <c r="AX449" s="56">
        <f>AY449+AZ449</f>
        <v>0</v>
      </c>
      <c r="AY449" s="56">
        <f>G449*AQ449</f>
        <v>0</v>
      </c>
      <c r="AZ449" s="56">
        <f>G449*AR449</f>
        <v>0</v>
      </c>
      <c r="BA449" s="21" t="s">
        <v>1804</v>
      </c>
      <c r="BB449" s="21" t="s">
        <v>279</v>
      </c>
      <c r="BC449" s="7" t="s">
        <v>1747</v>
      </c>
      <c r="BE449" s="56">
        <f>AY449+AZ449</f>
        <v>0</v>
      </c>
      <c r="BF449" s="56">
        <f>H449/(100-BG449)*100</f>
        <v>0</v>
      </c>
      <c r="BG449" s="56">
        <v>0</v>
      </c>
      <c r="BH449" s="56">
        <f>M449</f>
        <v>0</v>
      </c>
      <c r="BJ449" s="56">
        <f>G449*AQ449</f>
        <v>0</v>
      </c>
      <c r="BK449" s="56">
        <f>G449*AR449</f>
        <v>0</v>
      </c>
      <c r="BL449" s="56">
        <f>G449*H449</f>
        <v>0</v>
      </c>
      <c r="BM449" s="56"/>
      <c r="BN449" s="56">
        <v>713</v>
      </c>
    </row>
    <row r="450" spans="1:66" ht="15" customHeight="1">
      <c r="A450" s="36"/>
      <c r="D450" s="45" t="s">
        <v>694</v>
      </c>
      <c r="E450" s="104" t="s">
        <v>385</v>
      </c>
      <c r="G450" s="13">
        <v>325</v>
      </c>
      <c r="N450" s="19"/>
      <c r="P450" s="592"/>
      <c r="Q450" s="592"/>
      <c r="R450" s="592"/>
      <c r="S450" s="592"/>
      <c r="T450" s="592"/>
      <c r="U450" s="592"/>
      <c r="V450" s="592"/>
      <c r="W450" s="592"/>
      <c r="X450" s="592"/>
    </row>
    <row r="451" spans="1:66" ht="15" customHeight="1">
      <c r="A451" s="36"/>
      <c r="D451" s="45" t="s">
        <v>146</v>
      </c>
      <c r="E451" s="104" t="s">
        <v>1597</v>
      </c>
      <c r="G451" s="13">
        <v>3.2500000000000004</v>
      </c>
      <c r="N451" s="19"/>
      <c r="P451" s="592"/>
      <c r="Q451" s="592"/>
      <c r="R451" s="592"/>
      <c r="S451" s="592"/>
      <c r="T451" s="592"/>
      <c r="U451" s="592"/>
      <c r="V451" s="592"/>
      <c r="W451" s="592"/>
      <c r="X451" s="592"/>
    </row>
    <row r="452" spans="1:66" ht="15" customHeight="1">
      <c r="A452" s="1" t="s">
        <v>361</v>
      </c>
      <c r="B452" s="68" t="s">
        <v>1746</v>
      </c>
      <c r="C452" s="68" t="s">
        <v>1238</v>
      </c>
      <c r="D452" s="718" t="s">
        <v>2389</v>
      </c>
      <c r="E452" s="718"/>
      <c r="F452" s="68" t="s">
        <v>2236</v>
      </c>
      <c r="G452" s="86">
        <v>164.13</v>
      </c>
      <c r="H452" s="626"/>
      <c r="I452" s="86">
        <f>G452*AQ452</f>
        <v>0</v>
      </c>
      <c r="J452" s="86">
        <f>G452*AR452</f>
        <v>0</v>
      </c>
      <c r="K452" s="86">
        <f>G452*H452</f>
        <v>0</v>
      </c>
      <c r="L452" s="86">
        <v>0.16</v>
      </c>
      <c r="M452" s="86">
        <f>G452*L452</f>
        <v>26.2608</v>
      </c>
      <c r="N452" s="40" t="s">
        <v>1579</v>
      </c>
      <c r="P452" s="592"/>
      <c r="Q452" s="592"/>
      <c r="R452" s="592"/>
      <c r="S452" s="592"/>
      <c r="T452" s="592"/>
      <c r="U452" s="592"/>
      <c r="V452" s="592"/>
      <c r="W452" s="592"/>
      <c r="X452" s="592"/>
      <c r="AB452" s="56">
        <f>IF(AS452="5",BL452,0)</f>
        <v>0</v>
      </c>
      <c r="AD452" s="56">
        <f>IF(AS452="1",BJ452,0)</f>
        <v>0</v>
      </c>
      <c r="AE452" s="56">
        <f>IF(AS452="1",BK452,0)</f>
        <v>0</v>
      </c>
      <c r="AF452" s="56">
        <f>IF(AS452="7",BJ452,0)</f>
        <v>0</v>
      </c>
      <c r="AG452" s="56">
        <f>IF(AS452="7",BK452,0)</f>
        <v>0</v>
      </c>
      <c r="AH452" s="56">
        <f>IF(AS452="2",BJ452,0)</f>
        <v>0</v>
      </c>
      <c r="AI452" s="56">
        <f>IF(AS452="2",BK452,0)</f>
        <v>0</v>
      </c>
      <c r="AJ452" s="56">
        <f>IF(AS452="0",BL452,0)</f>
        <v>0</v>
      </c>
      <c r="AK452" s="7" t="s">
        <v>1746</v>
      </c>
      <c r="AL452" s="80">
        <f>IF(AP452=0,K452,0)</f>
        <v>0</v>
      </c>
      <c r="AM452" s="80">
        <f>IF(AP452=15,K452,0)</f>
        <v>0</v>
      </c>
      <c r="AN452" s="80">
        <f>IF(AP452=21,K452,0)</f>
        <v>0</v>
      </c>
      <c r="AP452" s="56">
        <v>21</v>
      </c>
      <c r="AQ452" s="88">
        <f>H452*1</f>
        <v>0</v>
      </c>
      <c r="AR452" s="88">
        <f>H452*(1-1)</f>
        <v>0</v>
      </c>
      <c r="AS452" s="64" t="s">
        <v>2311</v>
      </c>
      <c r="AX452" s="56">
        <f>AY452+AZ452</f>
        <v>0</v>
      </c>
      <c r="AY452" s="56">
        <f>G452*AQ452</f>
        <v>0</v>
      </c>
      <c r="AZ452" s="56">
        <f>G452*AR452</f>
        <v>0</v>
      </c>
      <c r="BA452" s="21" t="s">
        <v>1804</v>
      </c>
      <c r="BB452" s="21" t="s">
        <v>279</v>
      </c>
      <c r="BC452" s="7" t="s">
        <v>1747</v>
      </c>
      <c r="BE452" s="56">
        <f>AY452+AZ452</f>
        <v>0</v>
      </c>
      <c r="BF452" s="56">
        <f>H452/(100-BG452)*100</f>
        <v>0</v>
      </c>
      <c r="BG452" s="56">
        <v>0</v>
      </c>
      <c r="BH452" s="56">
        <f>M452</f>
        <v>26.2608</v>
      </c>
      <c r="BJ452" s="80">
        <f>G452*AQ452</f>
        <v>0</v>
      </c>
      <c r="BK452" s="80">
        <f>G452*AR452</f>
        <v>0</v>
      </c>
      <c r="BL452" s="80">
        <f>G452*H452</f>
        <v>0</v>
      </c>
      <c r="BM452" s="80"/>
      <c r="BN452" s="56">
        <v>713</v>
      </c>
    </row>
    <row r="453" spans="1:66" ht="15" customHeight="1">
      <c r="A453" s="35"/>
      <c r="B453" s="100"/>
      <c r="C453" s="100"/>
      <c r="D453" s="25" t="s">
        <v>2537</v>
      </c>
      <c r="E453" s="89" t="s">
        <v>1597</v>
      </c>
      <c r="F453" s="100"/>
      <c r="G453" s="37">
        <v>162.5</v>
      </c>
      <c r="H453" s="100"/>
      <c r="I453" s="100"/>
      <c r="J453" s="100"/>
      <c r="K453" s="100"/>
      <c r="L453" s="100"/>
      <c r="M453" s="100"/>
      <c r="N453" s="103"/>
      <c r="P453" s="592"/>
      <c r="Q453" s="592"/>
      <c r="R453" s="592"/>
      <c r="S453" s="592"/>
      <c r="T453" s="592"/>
      <c r="U453" s="592"/>
      <c r="V453" s="592"/>
      <c r="W453" s="592"/>
      <c r="X453" s="592"/>
    </row>
    <row r="454" spans="1:66" ht="15" customHeight="1">
      <c r="A454" s="35"/>
      <c r="B454" s="100"/>
      <c r="C454" s="100"/>
      <c r="D454" s="25" t="s">
        <v>782</v>
      </c>
      <c r="E454" s="89" t="s">
        <v>1597</v>
      </c>
      <c r="F454" s="100"/>
      <c r="G454" s="37">
        <v>1.6300000000000001</v>
      </c>
      <c r="H454" s="100"/>
      <c r="I454" s="100"/>
      <c r="J454" s="100"/>
      <c r="K454" s="100"/>
      <c r="L454" s="100"/>
      <c r="M454" s="100"/>
      <c r="N454" s="103"/>
      <c r="P454" s="592"/>
      <c r="Q454" s="592"/>
      <c r="R454" s="592"/>
      <c r="S454" s="592"/>
      <c r="T454" s="592"/>
      <c r="U454" s="592"/>
      <c r="V454" s="592"/>
      <c r="W454" s="592"/>
      <c r="X454" s="592"/>
    </row>
    <row r="455" spans="1:66" ht="15" customHeight="1">
      <c r="A455" s="24" t="s">
        <v>2118</v>
      </c>
      <c r="B455" s="12" t="s">
        <v>1746</v>
      </c>
      <c r="C455" s="12" t="s">
        <v>1133</v>
      </c>
      <c r="D455" s="630" t="s">
        <v>372</v>
      </c>
      <c r="E455" s="630"/>
      <c r="F455" s="12" t="s">
        <v>2274</v>
      </c>
      <c r="G455" s="56">
        <v>470</v>
      </c>
      <c r="H455" s="625"/>
      <c r="I455" s="56">
        <f>G455*AQ455</f>
        <v>0</v>
      </c>
      <c r="J455" s="56">
        <f>G455*AR455</f>
        <v>0</v>
      </c>
      <c r="K455" s="56">
        <f>G455*H455</f>
        <v>0</v>
      </c>
      <c r="L455" s="56">
        <v>0</v>
      </c>
      <c r="M455" s="56">
        <f>G455*L455</f>
        <v>0</v>
      </c>
      <c r="N455" s="31" t="s">
        <v>1579</v>
      </c>
      <c r="P455" s="592"/>
      <c r="Q455" s="592"/>
      <c r="R455" s="592"/>
      <c r="S455" s="592"/>
      <c r="T455" s="592"/>
      <c r="U455" s="592"/>
      <c r="V455" s="592"/>
      <c r="W455" s="592"/>
      <c r="X455" s="592"/>
      <c r="AB455" s="56">
        <f>IF(AS455="5",BL455,0)</f>
        <v>0</v>
      </c>
      <c r="AD455" s="56">
        <f>IF(AS455="1",BJ455,0)</f>
        <v>0</v>
      </c>
      <c r="AE455" s="56">
        <f>IF(AS455="1",BK455,0)</f>
        <v>0</v>
      </c>
      <c r="AF455" s="56">
        <f>IF(AS455="7",BJ455,0)</f>
        <v>0</v>
      </c>
      <c r="AG455" s="56">
        <f>IF(AS455="7",BK455,0)</f>
        <v>0</v>
      </c>
      <c r="AH455" s="56">
        <f>IF(AS455="2",BJ455,0)</f>
        <v>0</v>
      </c>
      <c r="AI455" s="56">
        <f>IF(AS455="2",BK455,0)</f>
        <v>0</v>
      </c>
      <c r="AJ455" s="56">
        <f>IF(AS455="0",BL455,0)</f>
        <v>0</v>
      </c>
      <c r="AK455" s="7" t="s">
        <v>1746</v>
      </c>
      <c r="AL455" s="56">
        <f>IF(AP455=0,K455,0)</f>
        <v>0</v>
      </c>
      <c r="AM455" s="56">
        <f>IF(AP455=15,K455,0)</f>
        <v>0</v>
      </c>
      <c r="AN455" s="56">
        <f>IF(AP455=21,K455,0)</f>
        <v>0</v>
      </c>
      <c r="AP455" s="56">
        <v>21</v>
      </c>
      <c r="AQ455" s="88">
        <f>H455*0</f>
        <v>0</v>
      </c>
      <c r="AR455" s="88">
        <f>H455*(1-0)</f>
        <v>0</v>
      </c>
      <c r="AS455" s="21" t="s">
        <v>2311</v>
      </c>
      <c r="AX455" s="56">
        <f>AY455+AZ455</f>
        <v>0</v>
      </c>
      <c r="AY455" s="56">
        <f>G455*AQ455</f>
        <v>0</v>
      </c>
      <c r="AZ455" s="56">
        <f>G455*AR455</f>
        <v>0</v>
      </c>
      <c r="BA455" s="21" t="s">
        <v>1804</v>
      </c>
      <c r="BB455" s="21" t="s">
        <v>279</v>
      </c>
      <c r="BC455" s="7" t="s">
        <v>1747</v>
      </c>
      <c r="BE455" s="56">
        <f>AY455+AZ455</f>
        <v>0</v>
      </c>
      <c r="BF455" s="56">
        <f>H455/(100-BG455)*100</f>
        <v>0</v>
      </c>
      <c r="BG455" s="56">
        <v>0</v>
      </c>
      <c r="BH455" s="56">
        <f>M455</f>
        <v>0</v>
      </c>
      <c r="BJ455" s="56">
        <f>G455*AQ455</f>
        <v>0</v>
      </c>
      <c r="BK455" s="56">
        <f>G455*AR455</f>
        <v>0</v>
      </c>
      <c r="BL455" s="56">
        <f>G455*H455</f>
        <v>0</v>
      </c>
      <c r="BM455" s="56"/>
      <c r="BN455" s="56">
        <v>713</v>
      </c>
    </row>
    <row r="456" spans="1:66" ht="15" customHeight="1">
      <c r="A456" s="36"/>
      <c r="D456" s="45" t="s">
        <v>946</v>
      </c>
      <c r="E456" s="104" t="s">
        <v>2036</v>
      </c>
      <c r="G456" s="13">
        <v>260</v>
      </c>
      <c r="N456" s="19"/>
      <c r="P456" s="592"/>
      <c r="Q456" s="592"/>
      <c r="R456" s="592"/>
      <c r="S456" s="592"/>
      <c r="T456" s="592"/>
      <c r="U456" s="592"/>
      <c r="V456" s="592"/>
      <c r="W456" s="592"/>
      <c r="X456" s="592"/>
    </row>
    <row r="457" spans="1:66" ht="15" customHeight="1">
      <c r="A457" s="36"/>
      <c r="D457" s="45" t="s">
        <v>2475</v>
      </c>
      <c r="E457" s="104" t="s">
        <v>2145</v>
      </c>
      <c r="G457" s="13">
        <v>210.00000000000003</v>
      </c>
      <c r="N457" s="19"/>
      <c r="P457" s="592"/>
      <c r="Q457" s="592"/>
      <c r="R457" s="592"/>
      <c r="S457" s="592"/>
      <c r="T457" s="592"/>
      <c r="U457" s="592"/>
      <c r="V457" s="592"/>
      <c r="W457" s="592"/>
      <c r="X457" s="592"/>
    </row>
    <row r="458" spans="1:66" ht="15" customHeight="1">
      <c r="A458" s="8" t="s">
        <v>1412</v>
      </c>
      <c r="B458" s="75" t="s">
        <v>1746</v>
      </c>
      <c r="C458" s="75" t="s">
        <v>1574</v>
      </c>
      <c r="D458" s="710" t="s">
        <v>1713</v>
      </c>
      <c r="E458" s="710"/>
      <c r="F458" s="75" t="s">
        <v>2274</v>
      </c>
      <c r="G458" s="80">
        <v>231</v>
      </c>
      <c r="H458" s="626"/>
      <c r="I458" s="80">
        <f>G458*AQ458</f>
        <v>0</v>
      </c>
      <c r="J458" s="80">
        <f>G458*AR458</f>
        <v>0</v>
      </c>
      <c r="K458" s="80">
        <f>G458*H458</f>
        <v>0</v>
      </c>
      <c r="L458" s="80">
        <v>8.0000000000000004E-4</v>
      </c>
      <c r="M458" s="80">
        <f>G458*L458</f>
        <v>0.18480000000000002</v>
      </c>
      <c r="N458" s="38" t="s">
        <v>1579</v>
      </c>
      <c r="P458" s="592"/>
      <c r="Q458" s="592"/>
      <c r="R458" s="592"/>
      <c r="S458" s="592"/>
      <c r="T458" s="592"/>
      <c r="U458" s="592"/>
      <c r="V458" s="592"/>
      <c r="W458" s="592"/>
      <c r="X458" s="592"/>
      <c r="AB458" s="56">
        <f>IF(AS458="5",BL458,0)</f>
        <v>0</v>
      </c>
      <c r="AD458" s="56">
        <f>IF(AS458="1",BJ458,0)</f>
        <v>0</v>
      </c>
      <c r="AE458" s="56">
        <f>IF(AS458="1",BK458,0)</f>
        <v>0</v>
      </c>
      <c r="AF458" s="56">
        <f>IF(AS458="7",BJ458,0)</f>
        <v>0</v>
      </c>
      <c r="AG458" s="56">
        <f>IF(AS458="7",BK458,0)</f>
        <v>0</v>
      </c>
      <c r="AH458" s="56">
        <f>IF(AS458="2",BJ458,0)</f>
        <v>0</v>
      </c>
      <c r="AI458" s="56">
        <f>IF(AS458="2",BK458,0)</f>
        <v>0</v>
      </c>
      <c r="AJ458" s="56">
        <f>IF(AS458="0",BL458,0)</f>
        <v>0</v>
      </c>
      <c r="AK458" s="7" t="s">
        <v>1746</v>
      </c>
      <c r="AL458" s="80">
        <f>IF(AP458=0,K458,0)</f>
        <v>0</v>
      </c>
      <c r="AM458" s="80">
        <f>IF(AP458=15,K458,0)</f>
        <v>0</v>
      </c>
      <c r="AN458" s="80">
        <f>IF(AP458=21,K458,0)</f>
        <v>0</v>
      </c>
      <c r="AP458" s="56">
        <v>21</v>
      </c>
      <c r="AQ458" s="88">
        <f>H458*1</f>
        <v>0</v>
      </c>
      <c r="AR458" s="88">
        <f>H458*(1-1)</f>
        <v>0</v>
      </c>
      <c r="AS458" s="64" t="s">
        <v>2311</v>
      </c>
      <c r="AX458" s="56">
        <f>AY458+AZ458</f>
        <v>0</v>
      </c>
      <c r="AY458" s="56">
        <f>G458*AQ458</f>
        <v>0</v>
      </c>
      <c r="AZ458" s="56">
        <f>G458*AR458</f>
        <v>0</v>
      </c>
      <c r="BA458" s="21" t="s">
        <v>1804</v>
      </c>
      <c r="BB458" s="21" t="s">
        <v>279</v>
      </c>
      <c r="BC458" s="7" t="s">
        <v>1747</v>
      </c>
      <c r="BE458" s="56">
        <f>AY458+AZ458</f>
        <v>0</v>
      </c>
      <c r="BF458" s="56">
        <f>H458/(100-BG458)*100</f>
        <v>0</v>
      </c>
      <c r="BG458" s="56">
        <v>0</v>
      </c>
      <c r="BH458" s="56">
        <f>M458</f>
        <v>0.18480000000000002</v>
      </c>
      <c r="BJ458" s="80">
        <f>G458*AQ458</f>
        <v>0</v>
      </c>
      <c r="BK458" s="80">
        <f>G458*AR458</f>
        <v>0</v>
      </c>
      <c r="BL458" s="80">
        <f>G458*H458</f>
        <v>0</v>
      </c>
      <c r="BM458" s="80"/>
      <c r="BN458" s="56">
        <v>713</v>
      </c>
    </row>
    <row r="459" spans="1:66" ht="15" customHeight="1">
      <c r="A459" s="36"/>
      <c r="D459" s="45" t="s">
        <v>2475</v>
      </c>
      <c r="E459" s="104" t="s">
        <v>1597</v>
      </c>
      <c r="G459" s="13">
        <v>210.00000000000003</v>
      </c>
      <c r="N459" s="19"/>
      <c r="P459" s="592"/>
      <c r="Q459" s="592"/>
      <c r="R459" s="592"/>
      <c r="S459" s="592"/>
      <c r="T459" s="592"/>
      <c r="U459" s="592"/>
      <c r="V459" s="592"/>
      <c r="W459" s="592"/>
      <c r="X459" s="592"/>
    </row>
    <row r="460" spans="1:66" ht="15" customHeight="1">
      <c r="A460" s="36"/>
      <c r="D460" s="45" t="s">
        <v>1658</v>
      </c>
      <c r="E460" s="104" t="s">
        <v>1597</v>
      </c>
      <c r="G460" s="13">
        <v>21</v>
      </c>
      <c r="N460" s="19"/>
      <c r="P460" s="592"/>
      <c r="Q460" s="592"/>
      <c r="R460" s="592"/>
      <c r="S460" s="592"/>
      <c r="T460" s="592"/>
      <c r="U460" s="592"/>
      <c r="V460" s="592"/>
      <c r="W460" s="592"/>
      <c r="X460" s="592"/>
    </row>
    <row r="461" spans="1:66" ht="15" customHeight="1">
      <c r="A461" s="8" t="s">
        <v>638</v>
      </c>
      <c r="B461" s="75" t="s">
        <v>1746</v>
      </c>
      <c r="C461" s="75" t="s">
        <v>204</v>
      </c>
      <c r="D461" s="710" t="s">
        <v>282</v>
      </c>
      <c r="E461" s="710"/>
      <c r="F461" s="75" t="s">
        <v>2274</v>
      </c>
      <c r="G461" s="80">
        <v>231</v>
      </c>
      <c r="H461" s="626"/>
      <c r="I461" s="80">
        <f>G461*AQ461</f>
        <v>0</v>
      </c>
      <c r="J461" s="80">
        <f>G461*AR461</f>
        <v>0</v>
      </c>
      <c r="K461" s="80">
        <f>G461*H461</f>
        <v>0</v>
      </c>
      <c r="L461" s="80">
        <v>2.0999999999999999E-3</v>
      </c>
      <c r="M461" s="80">
        <f>G461*L461</f>
        <v>0.48509999999999998</v>
      </c>
      <c r="N461" s="38" t="s">
        <v>1579</v>
      </c>
      <c r="P461" s="592"/>
      <c r="Q461" s="592"/>
      <c r="R461" s="592"/>
      <c r="S461" s="592"/>
      <c r="T461" s="592"/>
      <c r="U461" s="592"/>
      <c r="V461" s="592"/>
      <c r="W461" s="592"/>
      <c r="X461" s="592"/>
      <c r="AB461" s="56">
        <f>IF(AS461="5",BL461,0)</f>
        <v>0</v>
      </c>
      <c r="AD461" s="56">
        <f>IF(AS461="1",BJ461,0)</f>
        <v>0</v>
      </c>
      <c r="AE461" s="56">
        <f>IF(AS461="1",BK461,0)</f>
        <v>0</v>
      </c>
      <c r="AF461" s="56">
        <f>IF(AS461="7",BJ461,0)</f>
        <v>0</v>
      </c>
      <c r="AG461" s="56">
        <f>IF(AS461="7",BK461,0)</f>
        <v>0</v>
      </c>
      <c r="AH461" s="56">
        <f>IF(AS461="2",BJ461,0)</f>
        <v>0</v>
      </c>
      <c r="AI461" s="56">
        <f>IF(AS461="2",BK461,0)</f>
        <v>0</v>
      </c>
      <c r="AJ461" s="56">
        <f>IF(AS461="0",BL461,0)</f>
        <v>0</v>
      </c>
      <c r="AK461" s="7" t="s">
        <v>1746</v>
      </c>
      <c r="AL461" s="80">
        <f>IF(AP461=0,K461,0)</f>
        <v>0</v>
      </c>
      <c r="AM461" s="80">
        <f>IF(AP461=15,K461,0)</f>
        <v>0</v>
      </c>
      <c r="AN461" s="80">
        <f>IF(AP461=21,K461,0)</f>
        <v>0</v>
      </c>
      <c r="AP461" s="56">
        <v>21</v>
      </c>
      <c r="AQ461" s="88">
        <f>H461*1</f>
        <v>0</v>
      </c>
      <c r="AR461" s="88">
        <f>H461*(1-1)</f>
        <v>0</v>
      </c>
      <c r="AS461" s="64" t="s">
        <v>2311</v>
      </c>
      <c r="AX461" s="56">
        <f>AY461+AZ461</f>
        <v>0</v>
      </c>
      <c r="AY461" s="56">
        <f>G461*AQ461</f>
        <v>0</v>
      </c>
      <c r="AZ461" s="56">
        <f>G461*AR461</f>
        <v>0</v>
      </c>
      <c r="BA461" s="21" t="s">
        <v>1804</v>
      </c>
      <c r="BB461" s="21" t="s">
        <v>279</v>
      </c>
      <c r="BC461" s="7" t="s">
        <v>1747</v>
      </c>
      <c r="BE461" s="56">
        <f>AY461+AZ461</f>
        <v>0</v>
      </c>
      <c r="BF461" s="56">
        <f>H461/(100-BG461)*100</f>
        <v>0</v>
      </c>
      <c r="BG461" s="56">
        <v>0</v>
      </c>
      <c r="BH461" s="56">
        <f>M461</f>
        <v>0.48509999999999998</v>
      </c>
      <c r="BJ461" s="80">
        <f>G461*AQ461</f>
        <v>0</v>
      </c>
      <c r="BK461" s="80">
        <f>G461*AR461</f>
        <v>0</v>
      </c>
      <c r="BL461" s="80">
        <f>G461*H461</f>
        <v>0</v>
      </c>
      <c r="BM461" s="80"/>
      <c r="BN461" s="56">
        <v>713</v>
      </c>
    </row>
    <row r="462" spans="1:66" ht="15" customHeight="1">
      <c r="A462" s="36"/>
      <c r="D462" s="45" t="s">
        <v>2475</v>
      </c>
      <c r="E462" s="104" t="s">
        <v>1597</v>
      </c>
      <c r="G462" s="13">
        <v>210.00000000000003</v>
      </c>
      <c r="N462" s="19"/>
      <c r="P462" s="592"/>
      <c r="Q462" s="592"/>
      <c r="R462" s="592"/>
      <c r="S462" s="592"/>
      <c r="T462" s="592"/>
      <c r="U462" s="592"/>
      <c r="V462" s="592"/>
      <c r="W462" s="592"/>
      <c r="X462" s="592"/>
    </row>
    <row r="463" spans="1:66" ht="15" customHeight="1">
      <c r="A463" s="36"/>
      <c r="D463" s="45" t="s">
        <v>1658</v>
      </c>
      <c r="E463" s="104" t="s">
        <v>1597</v>
      </c>
      <c r="G463" s="13">
        <v>21</v>
      </c>
      <c r="N463" s="19"/>
      <c r="P463" s="592"/>
      <c r="Q463" s="592"/>
      <c r="R463" s="592"/>
      <c r="S463" s="592"/>
      <c r="T463" s="592"/>
      <c r="U463" s="592"/>
      <c r="V463" s="592"/>
      <c r="W463" s="592"/>
      <c r="X463" s="592"/>
    </row>
    <row r="464" spans="1:66" ht="15" customHeight="1">
      <c r="A464" s="24" t="s">
        <v>1889</v>
      </c>
      <c r="B464" s="12" t="s">
        <v>1746</v>
      </c>
      <c r="C464" s="12" t="s">
        <v>1232</v>
      </c>
      <c r="D464" s="630" t="s">
        <v>475</v>
      </c>
      <c r="E464" s="630"/>
      <c r="F464" s="12" t="s">
        <v>2274</v>
      </c>
      <c r="G464" s="56">
        <v>632</v>
      </c>
      <c r="H464" s="625"/>
      <c r="I464" s="56">
        <f>G464*AQ464</f>
        <v>0</v>
      </c>
      <c r="J464" s="56">
        <f>G464*AR464</f>
        <v>0</v>
      </c>
      <c r="K464" s="56">
        <f>G464*H464</f>
        <v>0</v>
      </c>
      <c r="L464" s="56">
        <v>0</v>
      </c>
      <c r="M464" s="56">
        <f>G464*L464</f>
        <v>0</v>
      </c>
      <c r="N464" s="31" t="s">
        <v>1579</v>
      </c>
      <c r="P464" s="592"/>
      <c r="Q464" s="592"/>
      <c r="R464" s="592"/>
      <c r="S464" s="592"/>
      <c r="T464" s="592"/>
      <c r="U464" s="592"/>
      <c r="V464" s="592"/>
      <c r="W464" s="592"/>
      <c r="X464" s="592"/>
      <c r="AB464" s="56">
        <f>IF(AS464="5",BL464,0)</f>
        <v>0</v>
      </c>
      <c r="AD464" s="56">
        <f>IF(AS464="1",BJ464,0)</f>
        <v>0</v>
      </c>
      <c r="AE464" s="56">
        <f>IF(AS464="1",BK464,0)</f>
        <v>0</v>
      </c>
      <c r="AF464" s="56">
        <f>IF(AS464="7",BJ464,0)</f>
        <v>0</v>
      </c>
      <c r="AG464" s="56">
        <f>IF(AS464="7",BK464,0)</f>
        <v>0</v>
      </c>
      <c r="AH464" s="56">
        <f>IF(AS464="2",BJ464,0)</f>
        <v>0</v>
      </c>
      <c r="AI464" s="56">
        <f>IF(AS464="2",BK464,0)</f>
        <v>0</v>
      </c>
      <c r="AJ464" s="56">
        <f>IF(AS464="0",BL464,0)</f>
        <v>0</v>
      </c>
      <c r="AK464" s="7" t="s">
        <v>1746</v>
      </c>
      <c r="AL464" s="56">
        <f>IF(AP464=0,K464,0)</f>
        <v>0</v>
      </c>
      <c r="AM464" s="56">
        <f>IF(AP464=15,K464,0)</f>
        <v>0</v>
      </c>
      <c r="AN464" s="56">
        <f>IF(AP464=21,K464,0)</f>
        <v>0</v>
      </c>
      <c r="AP464" s="56">
        <v>21</v>
      </c>
      <c r="AQ464" s="88">
        <f>H464*0</f>
        <v>0</v>
      </c>
      <c r="AR464" s="88">
        <f>H464*(1-0)</f>
        <v>0</v>
      </c>
      <c r="AS464" s="21" t="s">
        <v>2311</v>
      </c>
      <c r="AX464" s="56">
        <f>AY464+AZ464</f>
        <v>0</v>
      </c>
      <c r="AY464" s="56">
        <f>G464*AQ464</f>
        <v>0</v>
      </c>
      <c r="AZ464" s="56">
        <f>G464*AR464</f>
        <v>0</v>
      </c>
      <c r="BA464" s="21" t="s">
        <v>1804</v>
      </c>
      <c r="BB464" s="21" t="s">
        <v>279</v>
      </c>
      <c r="BC464" s="7" t="s">
        <v>1747</v>
      </c>
      <c r="BE464" s="56">
        <f>AY464+AZ464</f>
        <v>0</v>
      </c>
      <c r="BF464" s="56">
        <f>H464/(100-BG464)*100</f>
        <v>0</v>
      </c>
      <c r="BG464" s="56">
        <v>0</v>
      </c>
      <c r="BH464" s="56">
        <f>M464</f>
        <v>0</v>
      </c>
      <c r="BJ464" s="56">
        <f>G464*AQ464</f>
        <v>0</v>
      </c>
      <c r="BK464" s="56">
        <f>G464*AR464</f>
        <v>0</v>
      </c>
      <c r="BL464" s="56">
        <f>G464*H464</f>
        <v>0</v>
      </c>
      <c r="BM464" s="56"/>
      <c r="BN464" s="56">
        <v>713</v>
      </c>
    </row>
    <row r="465" spans="1:66" ht="15" customHeight="1">
      <c r="A465" s="36"/>
      <c r="D465" s="45" t="s">
        <v>2129</v>
      </c>
      <c r="E465" s="104" t="s">
        <v>1597</v>
      </c>
      <c r="G465" s="13">
        <v>632</v>
      </c>
      <c r="N465" s="19"/>
      <c r="P465" s="592"/>
      <c r="Q465" s="592"/>
      <c r="R465" s="592"/>
      <c r="S465" s="592"/>
      <c r="T465" s="592"/>
      <c r="U465" s="592"/>
      <c r="V465" s="592"/>
      <c r="W465" s="592"/>
      <c r="X465" s="592"/>
    </row>
    <row r="466" spans="1:66" ht="15" customHeight="1">
      <c r="A466" s="8" t="s">
        <v>2427</v>
      </c>
      <c r="B466" s="75" t="s">
        <v>1746</v>
      </c>
      <c r="C466" s="75" t="s">
        <v>462</v>
      </c>
      <c r="D466" s="710" t="s">
        <v>2442</v>
      </c>
      <c r="E466" s="710"/>
      <c r="F466" s="75" t="s">
        <v>2274</v>
      </c>
      <c r="G466" s="80">
        <v>587.5</v>
      </c>
      <c r="H466" s="626"/>
      <c r="I466" s="80">
        <f>G466*AQ466</f>
        <v>0</v>
      </c>
      <c r="J466" s="80">
        <f>G466*AR466</f>
        <v>0</v>
      </c>
      <c r="K466" s="80">
        <f>G466*H466</f>
        <v>0</v>
      </c>
      <c r="L466" s="80">
        <v>1E-4</v>
      </c>
      <c r="M466" s="80">
        <f>G466*L466</f>
        <v>5.8750000000000004E-2</v>
      </c>
      <c r="N466" s="38" t="s">
        <v>1579</v>
      </c>
      <c r="P466" s="592"/>
      <c r="Q466" s="592"/>
      <c r="R466" s="592"/>
      <c r="S466" s="592"/>
      <c r="T466" s="592"/>
      <c r="U466" s="592"/>
      <c r="V466" s="592"/>
      <c r="W466" s="592"/>
      <c r="X466" s="592"/>
      <c r="AB466" s="56">
        <f>IF(AS466="5",BL466,0)</f>
        <v>0</v>
      </c>
      <c r="AD466" s="56">
        <f>IF(AS466="1",BJ466,0)</f>
        <v>0</v>
      </c>
      <c r="AE466" s="56">
        <f>IF(AS466="1",BK466,0)</f>
        <v>0</v>
      </c>
      <c r="AF466" s="56">
        <f>IF(AS466="7",BJ466,0)</f>
        <v>0</v>
      </c>
      <c r="AG466" s="56">
        <f>IF(AS466="7",BK466,0)</f>
        <v>0</v>
      </c>
      <c r="AH466" s="56">
        <f>IF(AS466="2",BJ466,0)</f>
        <v>0</v>
      </c>
      <c r="AI466" s="56">
        <f>IF(AS466="2",BK466,0)</f>
        <v>0</v>
      </c>
      <c r="AJ466" s="56">
        <f>IF(AS466="0",BL466,0)</f>
        <v>0</v>
      </c>
      <c r="AK466" s="7" t="s">
        <v>1746</v>
      </c>
      <c r="AL466" s="80">
        <f>IF(AP466=0,K466,0)</f>
        <v>0</v>
      </c>
      <c r="AM466" s="80">
        <f>IF(AP466=15,K466,0)</f>
        <v>0</v>
      </c>
      <c r="AN466" s="80">
        <f>IF(AP466=21,K466,0)</f>
        <v>0</v>
      </c>
      <c r="AP466" s="56">
        <v>21</v>
      </c>
      <c r="AQ466" s="88">
        <f>H466*1</f>
        <v>0</v>
      </c>
      <c r="AR466" s="88">
        <f>H466*(1-1)</f>
        <v>0</v>
      </c>
      <c r="AS466" s="64" t="s">
        <v>2311</v>
      </c>
      <c r="AX466" s="56">
        <f>AY466+AZ466</f>
        <v>0</v>
      </c>
      <c r="AY466" s="56">
        <f>G466*AQ466</f>
        <v>0</v>
      </c>
      <c r="AZ466" s="56">
        <f>G466*AR466</f>
        <v>0</v>
      </c>
      <c r="BA466" s="21" t="s">
        <v>1804</v>
      </c>
      <c r="BB466" s="21" t="s">
        <v>279</v>
      </c>
      <c r="BC466" s="7" t="s">
        <v>1747</v>
      </c>
      <c r="BE466" s="56">
        <f>AY466+AZ466</f>
        <v>0</v>
      </c>
      <c r="BF466" s="56">
        <f>H466/(100-BG466)*100</f>
        <v>0</v>
      </c>
      <c r="BG466" s="56">
        <v>0</v>
      </c>
      <c r="BH466" s="56">
        <f>M466</f>
        <v>5.8750000000000004E-2</v>
      </c>
      <c r="BJ466" s="80">
        <f>G466*AQ466</f>
        <v>0</v>
      </c>
      <c r="BK466" s="80">
        <f>G466*AR466</f>
        <v>0</v>
      </c>
      <c r="BL466" s="80">
        <f>G466*H466</f>
        <v>0</v>
      </c>
      <c r="BM466" s="80"/>
      <c r="BN466" s="56">
        <v>713</v>
      </c>
    </row>
    <row r="467" spans="1:66" ht="15" customHeight="1">
      <c r="A467" s="36"/>
      <c r="D467" s="45" t="s">
        <v>2575</v>
      </c>
      <c r="E467" s="104" t="s">
        <v>2619</v>
      </c>
      <c r="G467" s="13">
        <v>470.00000000000006</v>
      </c>
      <c r="N467" s="19"/>
      <c r="P467" s="592"/>
      <c r="Q467" s="592"/>
      <c r="R467" s="592"/>
      <c r="S467" s="592"/>
      <c r="T467" s="592"/>
      <c r="U467" s="592"/>
      <c r="V467" s="592"/>
      <c r="W467" s="592"/>
      <c r="X467" s="592"/>
    </row>
    <row r="468" spans="1:66" ht="15" customHeight="1">
      <c r="A468" s="36"/>
      <c r="D468" s="45" t="s">
        <v>2142</v>
      </c>
      <c r="E468" s="104" t="s">
        <v>1597</v>
      </c>
      <c r="G468" s="13">
        <v>117.50000000000001</v>
      </c>
      <c r="N468" s="19"/>
      <c r="P468" s="592"/>
      <c r="Q468" s="592"/>
      <c r="R468" s="592"/>
      <c r="S468" s="592"/>
      <c r="T468" s="592"/>
      <c r="U468" s="592"/>
      <c r="V468" s="592"/>
      <c r="W468" s="592"/>
      <c r="X468" s="592"/>
    </row>
    <row r="469" spans="1:66" ht="15" customHeight="1">
      <c r="A469" s="24" t="s">
        <v>554</v>
      </c>
      <c r="B469" s="12" t="s">
        <v>1746</v>
      </c>
      <c r="C469" s="12" t="s">
        <v>602</v>
      </c>
      <c r="D469" s="630" t="s">
        <v>624</v>
      </c>
      <c r="E469" s="630"/>
      <c r="F469" s="12" t="s">
        <v>2274</v>
      </c>
      <c r="G469" s="56">
        <v>324</v>
      </c>
      <c r="H469" s="625"/>
      <c r="I469" s="56">
        <f>G469*AQ469</f>
        <v>0</v>
      </c>
      <c r="J469" s="56">
        <f>G469*AR469</f>
        <v>0</v>
      </c>
      <c r="K469" s="56">
        <f>G469*H469</f>
        <v>0</v>
      </c>
      <c r="L469" s="56">
        <v>0</v>
      </c>
      <c r="M469" s="56">
        <f>G469*L469</f>
        <v>0</v>
      </c>
      <c r="N469" s="31" t="s">
        <v>1579</v>
      </c>
      <c r="P469" s="592"/>
      <c r="Q469" s="592"/>
      <c r="R469" s="592"/>
      <c r="S469" s="592"/>
      <c r="T469" s="592"/>
      <c r="U469" s="592"/>
      <c r="V469" s="592"/>
      <c r="W469" s="592"/>
      <c r="X469" s="592"/>
      <c r="AB469" s="56">
        <f>IF(AS469="5",BL469,0)</f>
        <v>0</v>
      </c>
      <c r="AD469" s="56">
        <f>IF(AS469="1",BJ469,0)</f>
        <v>0</v>
      </c>
      <c r="AE469" s="56">
        <f>IF(AS469="1",BK469,0)</f>
        <v>0</v>
      </c>
      <c r="AF469" s="56">
        <f>IF(AS469="7",BJ469,0)</f>
        <v>0</v>
      </c>
      <c r="AG469" s="56">
        <f>IF(AS469="7",BK469,0)</f>
        <v>0</v>
      </c>
      <c r="AH469" s="56">
        <f>IF(AS469="2",BJ469,0)</f>
        <v>0</v>
      </c>
      <c r="AI469" s="56">
        <f>IF(AS469="2",BK469,0)</f>
        <v>0</v>
      </c>
      <c r="AJ469" s="56">
        <f>IF(AS469="0",BL469,0)</f>
        <v>0</v>
      </c>
      <c r="AK469" s="7" t="s">
        <v>1746</v>
      </c>
      <c r="AL469" s="56">
        <f>IF(AP469=0,K469,0)</f>
        <v>0</v>
      </c>
      <c r="AM469" s="56">
        <f>IF(AP469=15,K469,0)</f>
        <v>0</v>
      </c>
      <c r="AN469" s="56">
        <f>IF(AP469=21,K469,0)</f>
        <v>0</v>
      </c>
      <c r="AP469" s="56">
        <v>21</v>
      </c>
      <c r="AQ469" s="88">
        <f>H469*0</f>
        <v>0</v>
      </c>
      <c r="AR469" s="88">
        <f>H469*(1-0)</f>
        <v>0</v>
      </c>
      <c r="AS469" s="21" t="s">
        <v>2311</v>
      </c>
      <c r="AX469" s="56">
        <f>AY469+AZ469</f>
        <v>0</v>
      </c>
      <c r="AY469" s="56">
        <f>G469*AQ469</f>
        <v>0</v>
      </c>
      <c r="AZ469" s="56">
        <f>G469*AR469</f>
        <v>0</v>
      </c>
      <c r="BA469" s="21" t="s">
        <v>1804</v>
      </c>
      <c r="BB469" s="21" t="s">
        <v>279</v>
      </c>
      <c r="BC469" s="7" t="s">
        <v>1747</v>
      </c>
      <c r="BE469" s="56">
        <f>AY469+AZ469</f>
        <v>0</v>
      </c>
      <c r="BF469" s="56">
        <f>H469/(100-BG469)*100</f>
        <v>0</v>
      </c>
      <c r="BG469" s="56">
        <v>0</v>
      </c>
      <c r="BH469" s="56">
        <f>M469</f>
        <v>0</v>
      </c>
      <c r="BJ469" s="56">
        <f>G469*AQ469</f>
        <v>0</v>
      </c>
      <c r="BK469" s="56">
        <f>G469*AR469</f>
        <v>0</v>
      </c>
      <c r="BL469" s="56">
        <f>G469*H469</f>
        <v>0</v>
      </c>
      <c r="BM469" s="56"/>
      <c r="BN469" s="56">
        <v>713</v>
      </c>
    </row>
    <row r="470" spans="1:66" ht="15" customHeight="1">
      <c r="A470" s="36"/>
      <c r="D470" s="45" t="s">
        <v>1300</v>
      </c>
      <c r="E470" s="104" t="s">
        <v>2328</v>
      </c>
      <c r="G470" s="13">
        <v>324</v>
      </c>
      <c r="N470" s="19"/>
      <c r="P470" s="592"/>
      <c r="Q470" s="592"/>
      <c r="R470" s="592"/>
      <c r="S470" s="592"/>
      <c r="T470" s="592"/>
      <c r="U470" s="592"/>
      <c r="V470" s="592"/>
      <c r="W470" s="592"/>
      <c r="X470" s="592"/>
    </row>
    <row r="471" spans="1:66" ht="15" customHeight="1">
      <c r="A471" s="8" t="s">
        <v>2499</v>
      </c>
      <c r="B471" s="75" t="s">
        <v>1746</v>
      </c>
      <c r="C471" s="75" t="s">
        <v>1706</v>
      </c>
      <c r="D471" s="710" t="s">
        <v>2047</v>
      </c>
      <c r="E471" s="710"/>
      <c r="F471" s="75" t="s">
        <v>2274</v>
      </c>
      <c r="G471" s="80">
        <v>330.48</v>
      </c>
      <c r="H471" s="626"/>
      <c r="I471" s="80">
        <f>G471*AQ471</f>
        <v>0</v>
      </c>
      <c r="J471" s="80">
        <f>G471*AR471</f>
        <v>0</v>
      </c>
      <c r="K471" s="80">
        <f>G471*H471</f>
        <v>0</v>
      </c>
      <c r="L471" s="80">
        <v>3.0000000000000001E-3</v>
      </c>
      <c r="M471" s="80">
        <f>G471*L471</f>
        <v>0.9914400000000001</v>
      </c>
      <c r="N471" s="38" t="s">
        <v>1579</v>
      </c>
      <c r="P471" s="592"/>
      <c r="Q471" s="592"/>
      <c r="R471" s="592"/>
      <c r="S471" s="592"/>
      <c r="T471" s="592"/>
      <c r="U471" s="592"/>
      <c r="V471" s="592"/>
      <c r="W471" s="592"/>
      <c r="X471" s="592"/>
      <c r="AB471" s="56">
        <f>IF(AS471="5",BL471,0)</f>
        <v>0</v>
      </c>
      <c r="AD471" s="56">
        <f>IF(AS471="1",BJ471,0)</f>
        <v>0</v>
      </c>
      <c r="AE471" s="56">
        <f>IF(AS471="1",BK471,0)</f>
        <v>0</v>
      </c>
      <c r="AF471" s="56">
        <f>IF(AS471="7",BJ471,0)</f>
        <v>0</v>
      </c>
      <c r="AG471" s="56">
        <f>IF(AS471="7",BK471,0)</f>
        <v>0</v>
      </c>
      <c r="AH471" s="56">
        <f>IF(AS471="2",BJ471,0)</f>
        <v>0</v>
      </c>
      <c r="AI471" s="56">
        <f>IF(AS471="2",BK471,0)</f>
        <v>0</v>
      </c>
      <c r="AJ471" s="56">
        <f>IF(AS471="0",BL471,0)</f>
        <v>0</v>
      </c>
      <c r="AK471" s="7" t="s">
        <v>1746</v>
      </c>
      <c r="AL471" s="80">
        <f>IF(AP471=0,K471,0)</f>
        <v>0</v>
      </c>
      <c r="AM471" s="80">
        <f>IF(AP471=15,K471,0)</f>
        <v>0</v>
      </c>
      <c r="AN471" s="80">
        <f>IF(AP471=21,K471,0)</f>
        <v>0</v>
      </c>
      <c r="AP471" s="56">
        <v>21</v>
      </c>
      <c r="AQ471" s="88">
        <f>H471*1</f>
        <v>0</v>
      </c>
      <c r="AR471" s="88">
        <f>H471*(1-1)</f>
        <v>0</v>
      </c>
      <c r="AS471" s="64" t="s">
        <v>2311</v>
      </c>
      <c r="AX471" s="56">
        <f>AY471+AZ471</f>
        <v>0</v>
      </c>
      <c r="AY471" s="56">
        <f>G471*AQ471</f>
        <v>0</v>
      </c>
      <c r="AZ471" s="56">
        <f>G471*AR471</f>
        <v>0</v>
      </c>
      <c r="BA471" s="21" t="s">
        <v>1804</v>
      </c>
      <c r="BB471" s="21" t="s">
        <v>279</v>
      </c>
      <c r="BC471" s="7" t="s">
        <v>1747</v>
      </c>
      <c r="BE471" s="56">
        <f>AY471+AZ471</f>
        <v>0</v>
      </c>
      <c r="BF471" s="56">
        <f>H471/(100-BG471)*100</f>
        <v>0</v>
      </c>
      <c r="BG471" s="56">
        <v>0</v>
      </c>
      <c r="BH471" s="56">
        <f>M471</f>
        <v>0.9914400000000001</v>
      </c>
      <c r="BJ471" s="80">
        <f>G471*AQ471</f>
        <v>0</v>
      </c>
      <c r="BK471" s="80">
        <f>G471*AR471</f>
        <v>0</v>
      </c>
      <c r="BL471" s="80">
        <f>G471*H471</f>
        <v>0</v>
      </c>
      <c r="BM471" s="80"/>
      <c r="BN471" s="56">
        <v>713</v>
      </c>
    </row>
    <row r="472" spans="1:66" ht="15" customHeight="1">
      <c r="A472" s="36"/>
      <c r="D472" s="45" t="s">
        <v>1300</v>
      </c>
      <c r="E472" s="104" t="s">
        <v>1597</v>
      </c>
      <c r="G472" s="13">
        <v>324</v>
      </c>
      <c r="N472" s="19"/>
      <c r="P472" s="592"/>
      <c r="Q472" s="592"/>
      <c r="R472" s="592"/>
      <c r="S472" s="592"/>
      <c r="T472" s="592"/>
      <c r="U472" s="592"/>
      <c r="V472" s="592"/>
      <c r="W472" s="592"/>
      <c r="X472" s="592"/>
    </row>
    <row r="473" spans="1:66" ht="15" customHeight="1">
      <c r="A473" s="36"/>
      <c r="D473" s="45" t="s">
        <v>2601</v>
      </c>
      <c r="E473" s="104" t="s">
        <v>1597</v>
      </c>
      <c r="G473" s="13">
        <v>6.48</v>
      </c>
      <c r="N473" s="19"/>
      <c r="P473" s="592"/>
      <c r="Q473" s="592"/>
      <c r="R473" s="592"/>
      <c r="S473" s="592"/>
      <c r="T473" s="592"/>
      <c r="U473" s="592"/>
      <c r="V473" s="592"/>
      <c r="W473" s="592"/>
      <c r="X473" s="592"/>
    </row>
    <row r="474" spans="1:66" ht="15" customHeight="1">
      <c r="A474" s="24" t="s">
        <v>740</v>
      </c>
      <c r="B474" s="12" t="s">
        <v>1746</v>
      </c>
      <c r="C474" s="12" t="s">
        <v>1133</v>
      </c>
      <c r="D474" s="630" t="s">
        <v>1636</v>
      </c>
      <c r="E474" s="630"/>
      <c r="F474" s="12" t="s">
        <v>2274</v>
      </c>
      <c r="G474" s="56">
        <v>114</v>
      </c>
      <c r="H474" s="625"/>
      <c r="I474" s="56">
        <f>G474*AQ474</f>
        <v>0</v>
      </c>
      <c r="J474" s="56">
        <f>G474*AR474</f>
        <v>0</v>
      </c>
      <c r="K474" s="56">
        <f>G474*H474</f>
        <v>0</v>
      </c>
      <c r="L474" s="56">
        <v>0</v>
      </c>
      <c r="M474" s="56">
        <f>G474*L474</f>
        <v>0</v>
      </c>
      <c r="N474" s="31" t="s">
        <v>1579</v>
      </c>
      <c r="P474" s="592"/>
      <c r="Q474" s="592"/>
      <c r="R474" s="592"/>
      <c r="S474" s="592"/>
      <c r="T474" s="592"/>
      <c r="U474" s="592"/>
      <c r="V474" s="592"/>
      <c r="W474" s="592"/>
      <c r="X474" s="592"/>
      <c r="AB474" s="56">
        <f>IF(AS474="5",BL474,0)</f>
        <v>0</v>
      </c>
      <c r="AD474" s="56">
        <f>IF(AS474="1",BJ474,0)</f>
        <v>0</v>
      </c>
      <c r="AE474" s="56">
        <f>IF(AS474="1",BK474,0)</f>
        <v>0</v>
      </c>
      <c r="AF474" s="56">
        <f>IF(AS474="7",BJ474,0)</f>
        <v>0</v>
      </c>
      <c r="AG474" s="56">
        <f>IF(AS474="7",BK474,0)</f>
        <v>0</v>
      </c>
      <c r="AH474" s="56">
        <f>IF(AS474="2",BJ474,0)</f>
        <v>0</v>
      </c>
      <c r="AI474" s="56">
        <f>IF(AS474="2",BK474,0)</f>
        <v>0</v>
      </c>
      <c r="AJ474" s="56">
        <f>IF(AS474="0",BL474,0)</f>
        <v>0</v>
      </c>
      <c r="AK474" s="7" t="s">
        <v>1746</v>
      </c>
      <c r="AL474" s="56">
        <f>IF(AP474=0,K474,0)</f>
        <v>0</v>
      </c>
      <c r="AM474" s="56">
        <f>IF(AP474=15,K474,0)</f>
        <v>0</v>
      </c>
      <c r="AN474" s="56">
        <f>IF(AP474=21,K474,0)</f>
        <v>0</v>
      </c>
      <c r="AP474" s="56">
        <v>21</v>
      </c>
      <c r="AQ474" s="88">
        <f>H474*0</f>
        <v>0</v>
      </c>
      <c r="AR474" s="88">
        <f>H474*(1-0)</f>
        <v>0</v>
      </c>
      <c r="AS474" s="21" t="s">
        <v>2311</v>
      </c>
      <c r="AX474" s="56">
        <f>AY474+AZ474</f>
        <v>0</v>
      </c>
      <c r="AY474" s="56">
        <f>G474*AQ474</f>
        <v>0</v>
      </c>
      <c r="AZ474" s="56">
        <f>G474*AR474</f>
        <v>0</v>
      </c>
      <c r="BA474" s="21" t="s">
        <v>1804</v>
      </c>
      <c r="BB474" s="21" t="s">
        <v>279</v>
      </c>
      <c r="BC474" s="7" t="s">
        <v>1747</v>
      </c>
      <c r="BE474" s="56">
        <f>AY474+AZ474</f>
        <v>0</v>
      </c>
      <c r="BF474" s="56">
        <f>H474/(100-BG474)*100</f>
        <v>0</v>
      </c>
      <c r="BG474" s="56">
        <v>0</v>
      </c>
      <c r="BH474" s="56">
        <f>M474</f>
        <v>0</v>
      </c>
      <c r="BJ474" s="56">
        <f>G474*AQ474</f>
        <v>0</v>
      </c>
      <c r="BK474" s="56">
        <f>G474*AR474</f>
        <v>0</v>
      </c>
      <c r="BL474" s="56">
        <f>G474*H474</f>
        <v>0</v>
      </c>
      <c r="BM474" s="56"/>
      <c r="BN474" s="56">
        <v>713</v>
      </c>
    </row>
    <row r="475" spans="1:66" ht="15" customHeight="1">
      <c r="A475" s="36"/>
      <c r="D475" s="45" t="s">
        <v>2379</v>
      </c>
      <c r="E475" s="104" t="s">
        <v>2255</v>
      </c>
      <c r="G475" s="13">
        <v>114.00000000000001</v>
      </c>
      <c r="N475" s="19"/>
      <c r="P475" s="592"/>
      <c r="Q475" s="592"/>
      <c r="R475" s="592"/>
      <c r="S475" s="592"/>
      <c r="T475" s="592"/>
      <c r="U475" s="592"/>
      <c r="V475" s="592"/>
      <c r="W475" s="592"/>
      <c r="X475" s="592"/>
    </row>
    <row r="476" spans="1:66" ht="15" customHeight="1">
      <c r="A476" s="8" t="s">
        <v>1862</v>
      </c>
      <c r="B476" s="75" t="s">
        <v>1746</v>
      </c>
      <c r="C476" s="75" t="s">
        <v>756</v>
      </c>
      <c r="D476" s="710" t="s">
        <v>1122</v>
      </c>
      <c r="E476" s="710"/>
      <c r="F476" s="75" t="s">
        <v>2274</v>
      </c>
      <c r="G476" s="80">
        <v>239.4</v>
      </c>
      <c r="H476" s="626"/>
      <c r="I476" s="80">
        <f>G476*AQ476</f>
        <v>0</v>
      </c>
      <c r="J476" s="80">
        <f>G476*AR476</f>
        <v>0</v>
      </c>
      <c r="K476" s="80">
        <f>G476*H476</f>
        <v>0</v>
      </c>
      <c r="L476" s="80">
        <v>1.5E-3</v>
      </c>
      <c r="M476" s="80">
        <f>G476*L476</f>
        <v>0.35910000000000003</v>
      </c>
      <c r="N476" s="38" t="s">
        <v>1579</v>
      </c>
      <c r="P476" s="592"/>
      <c r="Q476" s="592"/>
      <c r="R476" s="592"/>
      <c r="S476" s="592"/>
      <c r="T476" s="592"/>
      <c r="U476" s="592"/>
      <c r="V476" s="592"/>
      <c r="W476" s="592"/>
      <c r="X476" s="592"/>
      <c r="AB476" s="56">
        <f>IF(AS476="5",BL476,0)</f>
        <v>0</v>
      </c>
      <c r="AD476" s="56">
        <f>IF(AS476="1",BJ476,0)</f>
        <v>0</v>
      </c>
      <c r="AE476" s="56">
        <f>IF(AS476="1",BK476,0)</f>
        <v>0</v>
      </c>
      <c r="AF476" s="56">
        <f>IF(AS476="7",BJ476,0)</f>
        <v>0</v>
      </c>
      <c r="AG476" s="56">
        <f>IF(AS476="7",BK476,0)</f>
        <v>0</v>
      </c>
      <c r="AH476" s="56">
        <f>IF(AS476="2",BJ476,0)</f>
        <v>0</v>
      </c>
      <c r="AI476" s="56">
        <f>IF(AS476="2",BK476,0)</f>
        <v>0</v>
      </c>
      <c r="AJ476" s="56">
        <f>IF(AS476="0",BL476,0)</f>
        <v>0</v>
      </c>
      <c r="AK476" s="7" t="s">
        <v>1746</v>
      </c>
      <c r="AL476" s="80">
        <f>IF(AP476=0,K476,0)</f>
        <v>0</v>
      </c>
      <c r="AM476" s="80">
        <f>IF(AP476=15,K476,0)</f>
        <v>0</v>
      </c>
      <c r="AN476" s="80">
        <f>IF(AP476=21,K476,0)</f>
        <v>0</v>
      </c>
      <c r="AP476" s="56">
        <v>21</v>
      </c>
      <c r="AQ476" s="88">
        <f>H476*1</f>
        <v>0</v>
      </c>
      <c r="AR476" s="88">
        <f>H476*(1-1)</f>
        <v>0</v>
      </c>
      <c r="AS476" s="64" t="s">
        <v>2311</v>
      </c>
      <c r="AX476" s="56">
        <f>AY476+AZ476</f>
        <v>0</v>
      </c>
      <c r="AY476" s="56">
        <f>G476*AQ476</f>
        <v>0</v>
      </c>
      <c r="AZ476" s="56">
        <f>G476*AR476</f>
        <v>0</v>
      </c>
      <c r="BA476" s="21" t="s">
        <v>1804</v>
      </c>
      <c r="BB476" s="21" t="s">
        <v>279</v>
      </c>
      <c r="BC476" s="7" t="s">
        <v>1747</v>
      </c>
      <c r="BE476" s="56">
        <f>AY476+AZ476</f>
        <v>0</v>
      </c>
      <c r="BF476" s="56">
        <f>H476/(100-BG476)*100</f>
        <v>0</v>
      </c>
      <c r="BG476" s="56">
        <v>0</v>
      </c>
      <c r="BH476" s="56">
        <f>M476</f>
        <v>0.35910000000000003</v>
      </c>
      <c r="BJ476" s="80">
        <f>G476*AQ476</f>
        <v>0</v>
      </c>
      <c r="BK476" s="80">
        <f>G476*AR476</f>
        <v>0</v>
      </c>
      <c r="BL476" s="80">
        <f>G476*H476</f>
        <v>0</v>
      </c>
      <c r="BM476" s="80"/>
      <c r="BN476" s="56">
        <v>713</v>
      </c>
    </row>
    <row r="477" spans="1:66" ht="15" customHeight="1">
      <c r="A477" s="36"/>
      <c r="D477" s="45" t="s">
        <v>1858</v>
      </c>
      <c r="E477" s="104" t="s">
        <v>1597</v>
      </c>
      <c r="G477" s="13">
        <v>228.00000000000003</v>
      </c>
      <c r="N477" s="19"/>
      <c r="P477" s="592"/>
      <c r="Q477" s="592"/>
      <c r="R477" s="592"/>
      <c r="S477" s="592"/>
      <c r="T477" s="592"/>
      <c r="U477" s="592"/>
      <c r="V477" s="592"/>
      <c r="W477" s="592"/>
      <c r="X477" s="592"/>
    </row>
    <row r="478" spans="1:66" ht="15" customHeight="1">
      <c r="A478" s="36"/>
      <c r="D478" s="45" t="s">
        <v>2610</v>
      </c>
      <c r="E478" s="104" t="s">
        <v>1597</v>
      </c>
      <c r="G478" s="13">
        <v>11.4</v>
      </c>
      <c r="N478" s="19"/>
      <c r="P478" s="592"/>
      <c r="Q478" s="592"/>
      <c r="R478" s="592"/>
      <c r="S478" s="592"/>
      <c r="T478" s="592"/>
      <c r="U478" s="592"/>
      <c r="V478" s="592"/>
      <c r="W478" s="592"/>
      <c r="X478" s="592"/>
    </row>
    <row r="479" spans="1:66" ht="15" customHeight="1">
      <c r="A479" s="32" t="s">
        <v>1597</v>
      </c>
      <c r="B479" s="26" t="s">
        <v>1746</v>
      </c>
      <c r="C479" s="512" t="s">
        <v>1435</v>
      </c>
      <c r="D479" s="709" t="s">
        <v>2463</v>
      </c>
      <c r="E479" s="709"/>
      <c r="F479" s="46" t="s">
        <v>2144</v>
      </c>
      <c r="G479" s="46" t="s">
        <v>2144</v>
      </c>
      <c r="H479" s="46" t="s">
        <v>2144</v>
      </c>
      <c r="I479" s="17">
        <f>SUM(I480:I501)</f>
        <v>0</v>
      </c>
      <c r="J479" s="17">
        <f>SUM(J480:J501)</f>
        <v>0</v>
      </c>
      <c r="K479" s="515">
        <f>SUM(K480:K501)</f>
        <v>0</v>
      </c>
      <c r="L479" s="7" t="s">
        <v>1597</v>
      </c>
      <c r="M479" s="17">
        <f>SUM(M480:M501)</f>
        <v>11.3144492</v>
      </c>
      <c r="N479" s="20" t="s">
        <v>1597</v>
      </c>
      <c r="P479" s="592">
        <f>K479</f>
        <v>0</v>
      </c>
      <c r="Q479" s="592"/>
      <c r="R479" s="592"/>
      <c r="S479" s="592"/>
      <c r="T479" s="592"/>
      <c r="U479" s="592"/>
      <c r="V479" s="592"/>
      <c r="W479" s="592"/>
      <c r="X479" s="592"/>
      <c r="AK479" s="7" t="s">
        <v>1746</v>
      </c>
      <c r="AU479" s="17">
        <f>SUM(AL480:AL501)</f>
        <v>0</v>
      </c>
      <c r="AV479" s="17">
        <f>SUM(AM480:AM501)</f>
        <v>0</v>
      </c>
      <c r="AW479" s="17">
        <f>SUM(AN480:AN501)</f>
        <v>0</v>
      </c>
    </row>
    <row r="480" spans="1:66" ht="15" customHeight="1">
      <c r="A480" s="24" t="s">
        <v>1220</v>
      </c>
      <c r="B480" s="12" t="s">
        <v>1746</v>
      </c>
      <c r="C480" s="12" t="s">
        <v>1359</v>
      </c>
      <c r="D480" s="630" t="s">
        <v>684</v>
      </c>
      <c r="E480" s="630"/>
      <c r="F480" s="12" t="s">
        <v>2274</v>
      </c>
      <c r="G480" s="56">
        <v>162</v>
      </c>
      <c r="H480" s="625"/>
      <c r="I480" s="56">
        <f>G480*AQ480</f>
        <v>0</v>
      </c>
      <c r="J480" s="56">
        <f>G480*AR480</f>
        <v>0</v>
      </c>
      <c r="K480" s="56">
        <f>G480*H480</f>
        <v>0</v>
      </c>
      <c r="L480" s="56">
        <v>0</v>
      </c>
      <c r="M480" s="56">
        <f>G480*L480</f>
        <v>0</v>
      </c>
      <c r="N480" s="31" t="s">
        <v>1579</v>
      </c>
      <c r="P480" s="592"/>
      <c r="Q480" s="592"/>
      <c r="R480" s="592"/>
      <c r="S480" s="592"/>
      <c r="T480" s="592"/>
      <c r="U480" s="592"/>
      <c r="V480" s="592"/>
      <c r="W480" s="592"/>
      <c r="X480" s="592"/>
      <c r="AB480" s="56">
        <f>IF(AS480="5",BL480,0)</f>
        <v>0</v>
      </c>
      <c r="AD480" s="56">
        <f>IF(AS480="1",BJ480,0)</f>
        <v>0</v>
      </c>
      <c r="AE480" s="56">
        <f>IF(AS480="1",BK480,0)</f>
        <v>0</v>
      </c>
      <c r="AF480" s="56">
        <f>IF(AS480="7",BJ480,0)</f>
        <v>0</v>
      </c>
      <c r="AG480" s="56">
        <f>IF(AS480="7",BK480,0)</f>
        <v>0</v>
      </c>
      <c r="AH480" s="56">
        <f>IF(AS480="2",BJ480,0)</f>
        <v>0</v>
      </c>
      <c r="AI480" s="56">
        <f>IF(AS480="2",BK480,0)</f>
        <v>0</v>
      </c>
      <c r="AJ480" s="56">
        <f>IF(AS480="0",BL480,0)</f>
        <v>0</v>
      </c>
      <c r="AK480" s="7" t="s">
        <v>1746</v>
      </c>
      <c r="AL480" s="56">
        <f>IF(AP480=0,K480,0)</f>
        <v>0</v>
      </c>
      <c r="AM480" s="56">
        <f>IF(AP480=15,K480,0)</f>
        <v>0</v>
      </c>
      <c r="AN480" s="56">
        <f>IF(AP480=21,K480,0)</f>
        <v>0</v>
      </c>
      <c r="AP480" s="56">
        <v>21</v>
      </c>
      <c r="AQ480" s="88">
        <f>H480*0</f>
        <v>0</v>
      </c>
      <c r="AR480" s="88">
        <f>H480*(1-0)</f>
        <v>0</v>
      </c>
      <c r="AS480" s="21" t="s">
        <v>2311</v>
      </c>
      <c r="AX480" s="56">
        <f>AY480+AZ480</f>
        <v>0</v>
      </c>
      <c r="AY480" s="56">
        <f>G480*AQ480</f>
        <v>0</v>
      </c>
      <c r="AZ480" s="56">
        <f>G480*AR480</f>
        <v>0</v>
      </c>
      <c r="BA480" s="21" t="s">
        <v>1449</v>
      </c>
      <c r="BB480" s="21" t="s">
        <v>1040</v>
      </c>
      <c r="BC480" s="7" t="s">
        <v>1747</v>
      </c>
      <c r="BE480" s="56">
        <f>AY480+AZ480</f>
        <v>0</v>
      </c>
      <c r="BF480" s="56">
        <f>H480/(100-BG480)*100</f>
        <v>0</v>
      </c>
      <c r="BG480" s="56">
        <v>0</v>
      </c>
      <c r="BH480" s="56">
        <f>M480</f>
        <v>0</v>
      </c>
      <c r="BJ480" s="56">
        <f>G480*AQ480</f>
        <v>0</v>
      </c>
      <c r="BK480" s="56">
        <f>G480*AR480</f>
        <v>0</v>
      </c>
      <c r="BL480" s="56">
        <f>G480*H480</f>
        <v>0</v>
      </c>
      <c r="BM480" s="56"/>
      <c r="BN480" s="56">
        <v>762</v>
      </c>
    </row>
    <row r="481" spans="1:66" ht="15" customHeight="1">
      <c r="A481" s="36"/>
      <c r="D481" s="45" t="s">
        <v>1278</v>
      </c>
      <c r="E481" s="104" t="s">
        <v>104</v>
      </c>
      <c r="G481" s="13">
        <v>162</v>
      </c>
      <c r="N481" s="19"/>
      <c r="P481" s="592"/>
      <c r="Q481" s="592"/>
      <c r="R481" s="592"/>
      <c r="S481" s="592"/>
      <c r="T481" s="592"/>
      <c r="U481" s="592"/>
      <c r="V481" s="592"/>
      <c r="W481" s="592"/>
      <c r="X481" s="592"/>
    </row>
    <row r="482" spans="1:66" ht="15" customHeight="1">
      <c r="A482" s="8" t="s">
        <v>45</v>
      </c>
      <c r="B482" s="75" t="s">
        <v>1746</v>
      </c>
      <c r="C482" s="75" t="s">
        <v>183</v>
      </c>
      <c r="D482" s="710" t="s">
        <v>1734</v>
      </c>
      <c r="E482" s="710"/>
      <c r="F482" s="75" t="s">
        <v>2274</v>
      </c>
      <c r="G482" s="80">
        <v>178.2</v>
      </c>
      <c r="H482" s="626"/>
      <c r="I482" s="80">
        <f>G482*AQ482</f>
        <v>0</v>
      </c>
      <c r="J482" s="80">
        <f>G482*AR482</f>
        <v>0</v>
      </c>
      <c r="K482" s="80">
        <f>G482*H482</f>
        <v>0</v>
      </c>
      <c r="L482" s="80">
        <v>1.09E-2</v>
      </c>
      <c r="M482" s="80">
        <f>G482*L482</f>
        <v>1.9423799999999998</v>
      </c>
      <c r="N482" s="38" t="s">
        <v>1579</v>
      </c>
      <c r="P482" s="592"/>
      <c r="Q482" s="592"/>
      <c r="R482" s="592"/>
      <c r="S482" s="592"/>
      <c r="T482" s="592"/>
      <c r="U482" s="592"/>
      <c r="V482" s="592"/>
      <c r="W482" s="592"/>
      <c r="X482" s="592"/>
      <c r="AB482" s="56">
        <f>IF(AS482="5",BL482,0)</f>
        <v>0</v>
      </c>
      <c r="AD482" s="56">
        <f>IF(AS482="1",BJ482,0)</f>
        <v>0</v>
      </c>
      <c r="AE482" s="56">
        <f>IF(AS482="1",BK482,0)</f>
        <v>0</v>
      </c>
      <c r="AF482" s="56">
        <f>IF(AS482="7",BJ482,0)</f>
        <v>0</v>
      </c>
      <c r="AG482" s="56">
        <f>IF(AS482="7",BK482,0)</f>
        <v>0</v>
      </c>
      <c r="AH482" s="56">
        <f>IF(AS482="2",BJ482,0)</f>
        <v>0</v>
      </c>
      <c r="AI482" s="56">
        <f>IF(AS482="2",BK482,0)</f>
        <v>0</v>
      </c>
      <c r="AJ482" s="56">
        <f>IF(AS482="0",BL482,0)</f>
        <v>0</v>
      </c>
      <c r="AK482" s="7" t="s">
        <v>1746</v>
      </c>
      <c r="AL482" s="80">
        <f>IF(AP482=0,K482,0)</f>
        <v>0</v>
      </c>
      <c r="AM482" s="80">
        <f>IF(AP482=15,K482,0)</f>
        <v>0</v>
      </c>
      <c r="AN482" s="80">
        <f>IF(AP482=21,K482,0)</f>
        <v>0</v>
      </c>
      <c r="AP482" s="56">
        <v>21</v>
      </c>
      <c r="AQ482" s="88">
        <f>H482*1</f>
        <v>0</v>
      </c>
      <c r="AR482" s="88">
        <f>H482*(1-1)</f>
        <v>0</v>
      </c>
      <c r="AS482" s="64" t="s">
        <v>2311</v>
      </c>
      <c r="AX482" s="56">
        <f>AY482+AZ482</f>
        <v>0</v>
      </c>
      <c r="AY482" s="56">
        <f>G482*AQ482</f>
        <v>0</v>
      </c>
      <c r="AZ482" s="56">
        <f>G482*AR482</f>
        <v>0</v>
      </c>
      <c r="BA482" s="21" t="s">
        <v>1449</v>
      </c>
      <c r="BB482" s="21" t="s">
        <v>1040</v>
      </c>
      <c r="BC482" s="7" t="s">
        <v>1747</v>
      </c>
      <c r="BE482" s="56">
        <f>AY482+AZ482</f>
        <v>0</v>
      </c>
      <c r="BF482" s="56">
        <f>H482/(100-BG482)*100</f>
        <v>0</v>
      </c>
      <c r="BG482" s="56">
        <v>0</v>
      </c>
      <c r="BH482" s="56">
        <f>M482</f>
        <v>1.9423799999999998</v>
      </c>
      <c r="BJ482" s="80">
        <f>G482*AQ482</f>
        <v>0</v>
      </c>
      <c r="BK482" s="80">
        <f>G482*AR482</f>
        <v>0</v>
      </c>
      <c r="BL482" s="80">
        <f>G482*H482</f>
        <v>0</v>
      </c>
      <c r="BM482" s="80"/>
      <c r="BN482" s="56">
        <v>762</v>
      </c>
    </row>
    <row r="483" spans="1:66" ht="15" customHeight="1">
      <c r="A483" s="36"/>
      <c r="D483" s="45" t="s">
        <v>1278</v>
      </c>
      <c r="E483" s="104" t="s">
        <v>1597</v>
      </c>
      <c r="G483" s="13">
        <v>162</v>
      </c>
      <c r="N483" s="19"/>
      <c r="P483" s="592"/>
      <c r="Q483" s="592"/>
      <c r="R483" s="592"/>
      <c r="S483" s="592"/>
      <c r="T483" s="592"/>
      <c r="U483" s="592"/>
      <c r="V483" s="592"/>
      <c r="W483" s="592"/>
      <c r="X483" s="592"/>
    </row>
    <row r="484" spans="1:66" ht="15" customHeight="1">
      <c r="A484" s="36"/>
      <c r="D484" s="45" t="s">
        <v>1783</v>
      </c>
      <c r="E484" s="104" t="s">
        <v>1597</v>
      </c>
      <c r="G484" s="13">
        <v>16.200000000000003</v>
      </c>
      <c r="N484" s="19"/>
      <c r="P484" s="592"/>
      <c r="Q484" s="592"/>
      <c r="R484" s="592"/>
      <c r="S484" s="592"/>
      <c r="T484" s="592"/>
      <c r="U484" s="592"/>
      <c r="V484" s="592"/>
      <c r="W484" s="592"/>
      <c r="X484" s="592"/>
    </row>
    <row r="485" spans="1:66" ht="15" customHeight="1">
      <c r="A485" s="24" t="s">
        <v>1737</v>
      </c>
      <c r="B485" s="12" t="s">
        <v>1746</v>
      </c>
      <c r="C485" s="12" t="s">
        <v>2367</v>
      </c>
      <c r="D485" s="630" t="s">
        <v>161</v>
      </c>
      <c r="E485" s="630"/>
      <c r="F485" s="12" t="s">
        <v>2274</v>
      </c>
      <c r="G485" s="56">
        <v>162</v>
      </c>
      <c r="H485" s="625"/>
      <c r="I485" s="56">
        <f>G485*AQ485</f>
        <v>0</v>
      </c>
      <c r="J485" s="56">
        <f>G485*AR485</f>
        <v>0</v>
      </c>
      <c r="K485" s="56">
        <f>G485*H485</f>
        <v>0</v>
      </c>
      <c r="L485" s="56">
        <v>0</v>
      </c>
      <c r="M485" s="56">
        <f>G485*L485</f>
        <v>0</v>
      </c>
      <c r="N485" s="31" t="s">
        <v>1579</v>
      </c>
      <c r="P485" s="592"/>
      <c r="Q485" s="592"/>
      <c r="R485" s="592"/>
      <c r="S485" s="592"/>
      <c r="T485" s="592"/>
      <c r="U485" s="592"/>
      <c r="V485" s="592"/>
      <c r="W485" s="592"/>
      <c r="X485" s="592"/>
      <c r="AB485" s="56">
        <f>IF(AS485="5",BL485,0)</f>
        <v>0</v>
      </c>
      <c r="AD485" s="56">
        <f>IF(AS485="1",BJ485,0)</f>
        <v>0</v>
      </c>
      <c r="AE485" s="56">
        <f>IF(AS485="1",BK485,0)</f>
        <v>0</v>
      </c>
      <c r="AF485" s="56">
        <f>IF(AS485="7",BJ485,0)</f>
        <v>0</v>
      </c>
      <c r="AG485" s="56">
        <f>IF(AS485="7",BK485,0)</f>
        <v>0</v>
      </c>
      <c r="AH485" s="56">
        <f>IF(AS485="2",BJ485,0)</f>
        <v>0</v>
      </c>
      <c r="AI485" s="56">
        <f>IF(AS485="2",BK485,0)</f>
        <v>0</v>
      </c>
      <c r="AJ485" s="56">
        <f>IF(AS485="0",BL485,0)</f>
        <v>0</v>
      </c>
      <c r="AK485" s="7" t="s">
        <v>1746</v>
      </c>
      <c r="AL485" s="56">
        <f>IF(AP485=0,K485,0)</f>
        <v>0</v>
      </c>
      <c r="AM485" s="56">
        <f>IF(AP485=15,K485,0)</f>
        <v>0</v>
      </c>
      <c r="AN485" s="56">
        <f>IF(AP485=21,K485,0)</f>
        <v>0</v>
      </c>
      <c r="AP485" s="56">
        <v>21</v>
      </c>
      <c r="AQ485" s="88">
        <f>H485*0</f>
        <v>0</v>
      </c>
      <c r="AR485" s="88">
        <f>H485*(1-0)</f>
        <v>0</v>
      </c>
      <c r="AS485" s="21" t="s">
        <v>2311</v>
      </c>
      <c r="AX485" s="56">
        <f>AY485+AZ485</f>
        <v>0</v>
      </c>
      <c r="AY485" s="56">
        <f>G485*AQ485</f>
        <v>0</v>
      </c>
      <c r="AZ485" s="56">
        <f>G485*AR485</f>
        <v>0</v>
      </c>
      <c r="BA485" s="21" t="s">
        <v>1449</v>
      </c>
      <c r="BB485" s="21" t="s">
        <v>1040</v>
      </c>
      <c r="BC485" s="7" t="s">
        <v>1747</v>
      </c>
      <c r="BE485" s="56">
        <f>AY485+AZ485</f>
        <v>0</v>
      </c>
      <c r="BF485" s="56">
        <f>H485/(100-BG485)*100</f>
        <v>0</v>
      </c>
      <c r="BG485" s="56">
        <v>0</v>
      </c>
      <c r="BH485" s="56">
        <f>M485</f>
        <v>0</v>
      </c>
      <c r="BJ485" s="56">
        <f>G485*AQ485</f>
        <v>0</v>
      </c>
      <c r="BK485" s="56">
        <f>G485*AR485</f>
        <v>0</v>
      </c>
      <c r="BL485" s="56">
        <f>G485*H485</f>
        <v>0</v>
      </c>
      <c r="BM485" s="56"/>
      <c r="BN485" s="56">
        <v>762</v>
      </c>
    </row>
    <row r="486" spans="1:66" ht="15" customHeight="1">
      <c r="A486" s="36"/>
      <c r="D486" s="45" t="s">
        <v>1278</v>
      </c>
      <c r="E486" s="104" t="s">
        <v>104</v>
      </c>
      <c r="G486" s="13">
        <v>162</v>
      </c>
      <c r="N486" s="19"/>
      <c r="P486" s="592"/>
      <c r="Q486" s="592"/>
      <c r="R486" s="592"/>
      <c r="S486" s="592"/>
      <c r="T486" s="592"/>
      <c r="U486" s="592"/>
      <c r="V486" s="592"/>
      <c r="W486" s="592"/>
      <c r="X486" s="592"/>
    </row>
    <row r="487" spans="1:66" ht="15" customHeight="1">
      <c r="A487" s="8" t="s">
        <v>2511</v>
      </c>
      <c r="B487" s="75" t="s">
        <v>1746</v>
      </c>
      <c r="C487" s="75" t="s">
        <v>652</v>
      </c>
      <c r="D487" s="710" t="s">
        <v>2472</v>
      </c>
      <c r="E487" s="710"/>
      <c r="F487" s="75" t="s">
        <v>2274</v>
      </c>
      <c r="G487" s="80">
        <v>356.4</v>
      </c>
      <c r="H487" s="626"/>
      <c r="I487" s="80">
        <f>G487*AQ487</f>
        <v>0</v>
      </c>
      <c r="J487" s="80">
        <f>G487*AR487</f>
        <v>0</v>
      </c>
      <c r="K487" s="80">
        <f>G487*H487</f>
        <v>0</v>
      </c>
      <c r="L487" s="80">
        <v>8.2500000000000004E-3</v>
      </c>
      <c r="M487" s="80">
        <f>G487*L487</f>
        <v>2.9403000000000001</v>
      </c>
      <c r="N487" s="38" t="s">
        <v>1579</v>
      </c>
      <c r="P487" s="592"/>
      <c r="Q487" s="592"/>
      <c r="R487" s="592"/>
      <c r="S487" s="592"/>
      <c r="T487" s="592"/>
      <c r="U487" s="592"/>
      <c r="V487" s="592"/>
      <c r="W487" s="592"/>
      <c r="X487" s="592"/>
      <c r="AB487" s="56">
        <f>IF(AS487="5",BL487,0)</f>
        <v>0</v>
      </c>
      <c r="AD487" s="56">
        <f>IF(AS487="1",BJ487,0)</f>
        <v>0</v>
      </c>
      <c r="AE487" s="56">
        <f>IF(AS487="1",BK487,0)</f>
        <v>0</v>
      </c>
      <c r="AF487" s="56">
        <f>IF(AS487="7",BJ487,0)</f>
        <v>0</v>
      </c>
      <c r="AG487" s="56">
        <f>IF(AS487="7",BK487,0)</f>
        <v>0</v>
      </c>
      <c r="AH487" s="56">
        <f>IF(AS487="2",BJ487,0)</f>
        <v>0</v>
      </c>
      <c r="AI487" s="56">
        <f>IF(AS487="2",BK487,0)</f>
        <v>0</v>
      </c>
      <c r="AJ487" s="56">
        <f>IF(AS487="0",BL487,0)</f>
        <v>0</v>
      </c>
      <c r="AK487" s="7" t="s">
        <v>1746</v>
      </c>
      <c r="AL487" s="80">
        <f>IF(AP487=0,K487,0)</f>
        <v>0</v>
      </c>
      <c r="AM487" s="80">
        <f>IF(AP487=15,K487,0)</f>
        <v>0</v>
      </c>
      <c r="AN487" s="80">
        <f>IF(AP487=21,K487,0)</f>
        <v>0</v>
      </c>
      <c r="AP487" s="56">
        <v>21</v>
      </c>
      <c r="AQ487" s="88">
        <f>H487*1</f>
        <v>0</v>
      </c>
      <c r="AR487" s="88">
        <f>H487*(1-1)</f>
        <v>0</v>
      </c>
      <c r="AS487" s="64" t="s">
        <v>2311</v>
      </c>
      <c r="AX487" s="56">
        <f>AY487+AZ487</f>
        <v>0</v>
      </c>
      <c r="AY487" s="56">
        <f>G487*AQ487</f>
        <v>0</v>
      </c>
      <c r="AZ487" s="56">
        <f>G487*AR487</f>
        <v>0</v>
      </c>
      <c r="BA487" s="21" t="s">
        <v>1449</v>
      </c>
      <c r="BB487" s="21" t="s">
        <v>1040</v>
      </c>
      <c r="BC487" s="7" t="s">
        <v>1747</v>
      </c>
      <c r="BE487" s="56">
        <f>AY487+AZ487</f>
        <v>0</v>
      </c>
      <c r="BF487" s="56">
        <f>H487/(100-BG487)*100</f>
        <v>0</v>
      </c>
      <c r="BG487" s="56">
        <v>0</v>
      </c>
      <c r="BH487" s="56">
        <f>M487</f>
        <v>2.9403000000000001</v>
      </c>
      <c r="BJ487" s="80">
        <f>G487*AQ487</f>
        <v>0</v>
      </c>
      <c r="BK487" s="80">
        <f>G487*AR487</f>
        <v>0</v>
      </c>
      <c r="BL487" s="80">
        <f>G487*H487</f>
        <v>0</v>
      </c>
      <c r="BM487" s="80"/>
      <c r="BN487" s="56">
        <v>762</v>
      </c>
    </row>
    <row r="488" spans="1:66" ht="15" customHeight="1">
      <c r="A488" s="36"/>
      <c r="D488" s="45" t="s">
        <v>1300</v>
      </c>
      <c r="E488" s="104" t="s">
        <v>1597</v>
      </c>
      <c r="G488" s="13">
        <v>324</v>
      </c>
      <c r="N488" s="19"/>
      <c r="P488" s="592"/>
      <c r="Q488" s="592"/>
      <c r="R488" s="592"/>
      <c r="S488" s="592"/>
      <c r="T488" s="592"/>
      <c r="U488" s="592"/>
      <c r="V488" s="592"/>
      <c r="W488" s="592"/>
      <c r="X488" s="592"/>
    </row>
    <row r="489" spans="1:66" ht="15" customHeight="1">
      <c r="A489" s="36"/>
      <c r="D489" s="45" t="s">
        <v>2011</v>
      </c>
      <c r="E489" s="104" t="s">
        <v>1597</v>
      </c>
      <c r="G489" s="13">
        <v>32.400000000000006</v>
      </c>
      <c r="N489" s="19"/>
      <c r="P489" s="592"/>
      <c r="Q489" s="592"/>
      <c r="R489" s="592"/>
      <c r="S489" s="592"/>
      <c r="T489" s="592"/>
      <c r="U489" s="592"/>
      <c r="V489" s="592"/>
      <c r="W489" s="592"/>
      <c r="X489" s="592"/>
    </row>
    <row r="490" spans="1:66" ht="15" customHeight="1">
      <c r="A490" s="24" t="s">
        <v>2288</v>
      </c>
      <c r="B490" s="12" t="s">
        <v>1746</v>
      </c>
      <c r="C490" s="12" t="s">
        <v>2367</v>
      </c>
      <c r="D490" s="630" t="s">
        <v>161</v>
      </c>
      <c r="E490" s="630"/>
      <c r="F490" s="12" t="s">
        <v>2274</v>
      </c>
      <c r="G490" s="56">
        <v>228</v>
      </c>
      <c r="H490" s="625"/>
      <c r="I490" s="56">
        <f>G490*AQ490</f>
        <v>0</v>
      </c>
      <c r="J490" s="56">
        <f>G490*AR490</f>
        <v>0</v>
      </c>
      <c r="K490" s="56">
        <f>G490*H490</f>
        <v>0</v>
      </c>
      <c r="L490" s="56">
        <v>0</v>
      </c>
      <c r="M490" s="56">
        <f>G490*L490</f>
        <v>0</v>
      </c>
      <c r="N490" s="31" t="s">
        <v>1579</v>
      </c>
      <c r="P490" s="592"/>
      <c r="Q490" s="592"/>
      <c r="R490" s="592"/>
      <c r="S490" s="592"/>
      <c r="T490" s="592"/>
      <c r="U490" s="592"/>
      <c r="V490" s="592"/>
      <c r="W490" s="592"/>
      <c r="X490" s="592"/>
      <c r="AB490" s="56">
        <f>IF(AS490="5",BL490,0)</f>
        <v>0</v>
      </c>
      <c r="AD490" s="56">
        <f>IF(AS490="1",BJ490,0)</f>
        <v>0</v>
      </c>
      <c r="AE490" s="56">
        <f>IF(AS490="1",BK490,0)</f>
        <v>0</v>
      </c>
      <c r="AF490" s="56">
        <f>IF(AS490="7",BJ490,0)</f>
        <v>0</v>
      </c>
      <c r="AG490" s="56">
        <f>IF(AS490="7",BK490,0)</f>
        <v>0</v>
      </c>
      <c r="AH490" s="56">
        <f>IF(AS490="2",BJ490,0)</f>
        <v>0</v>
      </c>
      <c r="AI490" s="56">
        <f>IF(AS490="2",BK490,0)</f>
        <v>0</v>
      </c>
      <c r="AJ490" s="56">
        <f>IF(AS490="0",BL490,0)</f>
        <v>0</v>
      </c>
      <c r="AK490" s="7" t="s">
        <v>1746</v>
      </c>
      <c r="AL490" s="56">
        <f>IF(AP490=0,K490,0)</f>
        <v>0</v>
      </c>
      <c r="AM490" s="56">
        <f>IF(AP490=15,K490,0)</f>
        <v>0</v>
      </c>
      <c r="AN490" s="56">
        <f>IF(AP490=21,K490,0)</f>
        <v>0</v>
      </c>
      <c r="AP490" s="56">
        <v>21</v>
      </c>
      <c r="AQ490" s="88">
        <f>H490*0</f>
        <v>0</v>
      </c>
      <c r="AR490" s="88">
        <f>H490*(1-0)</f>
        <v>0</v>
      </c>
      <c r="AS490" s="21" t="s">
        <v>2311</v>
      </c>
      <c r="AX490" s="56">
        <f>AY490+AZ490</f>
        <v>0</v>
      </c>
      <c r="AY490" s="56">
        <f>G490*AQ490</f>
        <v>0</v>
      </c>
      <c r="AZ490" s="56">
        <f>G490*AR490</f>
        <v>0</v>
      </c>
      <c r="BA490" s="21" t="s">
        <v>1449</v>
      </c>
      <c r="BB490" s="21" t="s">
        <v>1040</v>
      </c>
      <c r="BC490" s="7" t="s">
        <v>1747</v>
      </c>
      <c r="BE490" s="56">
        <f>AY490+AZ490</f>
        <v>0</v>
      </c>
      <c r="BF490" s="56">
        <f>H490/(100-BG490)*100</f>
        <v>0</v>
      </c>
      <c r="BG490" s="56">
        <v>0</v>
      </c>
      <c r="BH490" s="56">
        <f>M490</f>
        <v>0</v>
      </c>
      <c r="BJ490" s="56">
        <f>G490*AQ490</f>
        <v>0</v>
      </c>
      <c r="BK490" s="56">
        <f>G490*AR490</f>
        <v>0</v>
      </c>
      <c r="BL490" s="56">
        <f>G490*H490</f>
        <v>0</v>
      </c>
      <c r="BM490" s="56"/>
      <c r="BN490" s="56">
        <v>762</v>
      </c>
    </row>
    <row r="491" spans="1:66" ht="15" customHeight="1">
      <c r="A491" s="36"/>
      <c r="D491" s="45" t="s">
        <v>2273</v>
      </c>
      <c r="E491" s="104" t="s">
        <v>319</v>
      </c>
      <c r="G491" s="13">
        <v>114.00000000000001</v>
      </c>
      <c r="N491" s="19"/>
      <c r="P491" s="592"/>
      <c r="Q491" s="592"/>
      <c r="R491" s="592"/>
      <c r="S491" s="592"/>
      <c r="T491" s="592"/>
      <c r="U491" s="592"/>
      <c r="V491" s="592"/>
      <c r="W491" s="592"/>
      <c r="X491" s="592"/>
    </row>
    <row r="492" spans="1:66" ht="15" customHeight="1">
      <c r="A492" s="36"/>
      <c r="D492" s="45" t="s">
        <v>2273</v>
      </c>
      <c r="E492" s="104" t="s">
        <v>1812</v>
      </c>
      <c r="G492" s="13">
        <v>114.00000000000001</v>
      </c>
      <c r="N492" s="19"/>
      <c r="P492" s="592"/>
      <c r="Q492" s="592"/>
      <c r="R492" s="592"/>
      <c r="S492" s="592"/>
      <c r="T492" s="592"/>
      <c r="U492" s="592"/>
      <c r="V492" s="592"/>
      <c r="W492" s="592"/>
      <c r="X492" s="592"/>
    </row>
    <row r="493" spans="1:66" ht="15" customHeight="1">
      <c r="A493" s="8" t="s">
        <v>1776</v>
      </c>
      <c r="B493" s="75" t="s">
        <v>1746</v>
      </c>
      <c r="C493" s="75" t="s">
        <v>117</v>
      </c>
      <c r="D493" s="710" t="s">
        <v>2438</v>
      </c>
      <c r="E493" s="710"/>
      <c r="F493" s="75" t="s">
        <v>1062</v>
      </c>
      <c r="G493" s="80">
        <v>1.06</v>
      </c>
      <c r="H493" s="626"/>
      <c r="I493" s="80">
        <f>G493*AQ493</f>
        <v>0</v>
      </c>
      <c r="J493" s="80">
        <f>G493*AR493</f>
        <v>0</v>
      </c>
      <c r="K493" s="80">
        <f>G493*H493</f>
        <v>0</v>
      </c>
      <c r="L493" s="80">
        <v>6.1199999999999996E-3</v>
      </c>
      <c r="M493" s="80">
        <f>G493*L493</f>
        <v>6.4872000000000003E-3</v>
      </c>
      <c r="N493" s="38" t="s">
        <v>1579</v>
      </c>
      <c r="P493" s="592"/>
      <c r="Q493" s="592"/>
      <c r="R493" s="592"/>
      <c r="S493" s="592"/>
      <c r="T493" s="592"/>
      <c r="U493" s="592"/>
      <c r="V493" s="592"/>
      <c r="W493" s="592"/>
      <c r="X493" s="592"/>
      <c r="AB493" s="56">
        <f>IF(AS493="5",BL493,0)</f>
        <v>0</v>
      </c>
      <c r="AD493" s="56">
        <f>IF(AS493="1",BJ493,0)</f>
        <v>0</v>
      </c>
      <c r="AE493" s="56">
        <f>IF(AS493="1",BK493,0)</f>
        <v>0</v>
      </c>
      <c r="AF493" s="56">
        <f>IF(AS493="7",BJ493,0)</f>
        <v>0</v>
      </c>
      <c r="AG493" s="56">
        <f>IF(AS493="7",BK493,0)</f>
        <v>0</v>
      </c>
      <c r="AH493" s="56">
        <f>IF(AS493="2",BJ493,0)</f>
        <v>0</v>
      </c>
      <c r="AI493" s="56">
        <f>IF(AS493="2",BK493,0)</f>
        <v>0</v>
      </c>
      <c r="AJ493" s="56">
        <f>IF(AS493="0",BL493,0)</f>
        <v>0</v>
      </c>
      <c r="AK493" s="7" t="s">
        <v>1746</v>
      </c>
      <c r="AL493" s="80">
        <f>IF(AP493=0,K493,0)</f>
        <v>0</v>
      </c>
      <c r="AM493" s="80">
        <f>IF(AP493=15,K493,0)</f>
        <v>0</v>
      </c>
      <c r="AN493" s="80">
        <f>IF(AP493=21,K493,0)</f>
        <v>0</v>
      </c>
      <c r="AP493" s="56">
        <v>21</v>
      </c>
      <c r="AQ493" s="88">
        <f>H493*1</f>
        <v>0</v>
      </c>
      <c r="AR493" s="88">
        <f>H493*(1-1)</f>
        <v>0</v>
      </c>
      <c r="AS493" s="64" t="s">
        <v>2311</v>
      </c>
      <c r="AX493" s="56">
        <f>AY493+AZ493</f>
        <v>0</v>
      </c>
      <c r="AY493" s="56">
        <f>G493*AQ493</f>
        <v>0</v>
      </c>
      <c r="AZ493" s="56">
        <f>G493*AR493</f>
        <v>0</v>
      </c>
      <c r="BA493" s="21" t="s">
        <v>1449</v>
      </c>
      <c r="BB493" s="21" t="s">
        <v>1040</v>
      </c>
      <c r="BC493" s="7" t="s">
        <v>1747</v>
      </c>
      <c r="BE493" s="56">
        <f>AY493+AZ493</f>
        <v>0</v>
      </c>
      <c r="BF493" s="56">
        <f>H493/(100-BG493)*100</f>
        <v>0</v>
      </c>
      <c r="BG493" s="56">
        <v>0</v>
      </c>
      <c r="BH493" s="56">
        <f>M493</f>
        <v>6.4872000000000003E-3</v>
      </c>
      <c r="BJ493" s="80">
        <f>G493*AQ493</f>
        <v>0</v>
      </c>
      <c r="BK493" s="80">
        <f>G493*AR493</f>
        <v>0</v>
      </c>
      <c r="BL493" s="80">
        <f>G493*H493</f>
        <v>0</v>
      </c>
      <c r="BM493" s="80"/>
      <c r="BN493" s="56">
        <v>762</v>
      </c>
    </row>
    <row r="494" spans="1:66" ht="15" customHeight="1">
      <c r="A494" s="36"/>
      <c r="D494" s="45" t="s">
        <v>424</v>
      </c>
      <c r="E494" s="104" t="s">
        <v>1597</v>
      </c>
      <c r="G494" s="13">
        <v>1.01</v>
      </c>
      <c r="N494" s="19"/>
      <c r="P494" s="592"/>
      <c r="Q494" s="592"/>
      <c r="R494" s="592"/>
      <c r="S494" s="592"/>
      <c r="T494" s="592"/>
      <c r="U494" s="592"/>
      <c r="V494" s="592"/>
      <c r="W494" s="592"/>
      <c r="X494" s="592"/>
    </row>
    <row r="495" spans="1:66" ht="15" customHeight="1">
      <c r="A495" s="36"/>
      <c r="D495" s="45" t="s">
        <v>2489</v>
      </c>
      <c r="E495" s="104" t="s">
        <v>1597</v>
      </c>
      <c r="G495" s="13">
        <v>0.05</v>
      </c>
      <c r="N495" s="19"/>
      <c r="P495" s="592"/>
      <c r="Q495" s="592"/>
      <c r="R495" s="592"/>
      <c r="S495" s="592"/>
      <c r="T495" s="592"/>
      <c r="U495" s="592"/>
      <c r="V495" s="592"/>
      <c r="W495" s="592"/>
      <c r="X495" s="592"/>
    </row>
    <row r="496" spans="1:66" ht="15" customHeight="1">
      <c r="A496" s="8" t="s">
        <v>1460</v>
      </c>
      <c r="B496" s="75" t="s">
        <v>1746</v>
      </c>
      <c r="C496" s="75" t="s">
        <v>428</v>
      </c>
      <c r="D496" s="710" t="s">
        <v>1817</v>
      </c>
      <c r="E496" s="710"/>
      <c r="F496" s="75" t="s">
        <v>2274</v>
      </c>
      <c r="G496" s="80">
        <v>376.2</v>
      </c>
      <c r="H496" s="626"/>
      <c r="I496" s="80">
        <f>G496*AQ496</f>
        <v>0</v>
      </c>
      <c r="J496" s="80">
        <f>G496*AR496</f>
        <v>0</v>
      </c>
      <c r="K496" s="80">
        <f>G496*H496</f>
        <v>0</v>
      </c>
      <c r="L496" s="80">
        <v>1.4999999999999999E-2</v>
      </c>
      <c r="M496" s="80">
        <f>G496*L496</f>
        <v>5.6429999999999998</v>
      </c>
      <c r="N496" s="38" t="s">
        <v>1579</v>
      </c>
      <c r="P496" s="592"/>
      <c r="Q496" s="592"/>
      <c r="R496" s="592"/>
      <c r="S496" s="592"/>
      <c r="T496" s="592"/>
      <c r="U496" s="592"/>
      <c r="V496" s="592"/>
      <c r="W496" s="592"/>
      <c r="X496" s="592"/>
      <c r="AB496" s="56">
        <f>IF(AS496="5",BL496,0)</f>
        <v>0</v>
      </c>
      <c r="AD496" s="56">
        <f>IF(AS496="1",BJ496,0)</f>
        <v>0</v>
      </c>
      <c r="AE496" s="56">
        <f>IF(AS496="1",BK496,0)</f>
        <v>0</v>
      </c>
      <c r="AF496" s="56">
        <f>IF(AS496="7",BJ496,0)</f>
        <v>0</v>
      </c>
      <c r="AG496" s="56">
        <f>IF(AS496="7",BK496,0)</f>
        <v>0</v>
      </c>
      <c r="AH496" s="56">
        <f>IF(AS496="2",BJ496,0)</f>
        <v>0</v>
      </c>
      <c r="AI496" s="56">
        <f>IF(AS496="2",BK496,0)</f>
        <v>0</v>
      </c>
      <c r="AJ496" s="56">
        <f>IF(AS496="0",BL496,0)</f>
        <v>0</v>
      </c>
      <c r="AK496" s="7" t="s">
        <v>1746</v>
      </c>
      <c r="AL496" s="80">
        <f>IF(AP496=0,K496,0)</f>
        <v>0</v>
      </c>
      <c r="AM496" s="80">
        <f>IF(AP496=15,K496,0)</f>
        <v>0</v>
      </c>
      <c r="AN496" s="80">
        <f>IF(AP496=21,K496,0)</f>
        <v>0</v>
      </c>
      <c r="AP496" s="56">
        <v>21</v>
      </c>
      <c r="AQ496" s="88">
        <f>H496*1</f>
        <v>0</v>
      </c>
      <c r="AR496" s="88">
        <f>H496*(1-1)</f>
        <v>0</v>
      </c>
      <c r="AS496" s="64" t="s">
        <v>2311</v>
      </c>
      <c r="AX496" s="56">
        <f>AY496+AZ496</f>
        <v>0</v>
      </c>
      <c r="AY496" s="56">
        <f>G496*AQ496</f>
        <v>0</v>
      </c>
      <c r="AZ496" s="56">
        <f>G496*AR496</f>
        <v>0</v>
      </c>
      <c r="BA496" s="21" t="s">
        <v>1449</v>
      </c>
      <c r="BB496" s="21" t="s">
        <v>1040</v>
      </c>
      <c r="BC496" s="7" t="s">
        <v>1747</v>
      </c>
      <c r="BE496" s="56">
        <f>AY496+AZ496</f>
        <v>0</v>
      </c>
      <c r="BF496" s="56">
        <f>H496/(100-BG496)*100</f>
        <v>0</v>
      </c>
      <c r="BG496" s="56">
        <v>0</v>
      </c>
      <c r="BH496" s="56">
        <f>M496</f>
        <v>5.6429999999999998</v>
      </c>
      <c r="BJ496" s="80">
        <f>G496*AQ496</f>
        <v>0</v>
      </c>
      <c r="BK496" s="80">
        <f>G496*AR496</f>
        <v>0</v>
      </c>
      <c r="BL496" s="80">
        <f>G496*H496</f>
        <v>0</v>
      </c>
      <c r="BM496" s="80"/>
      <c r="BN496" s="56">
        <v>762</v>
      </c>
    </row>
    <row r="497" spans="1:66" ht="15" customHeight="1">
      <c r="A497" s="36"/>
      <c r="D497" s="45" t="s">
        <v>2141</v>
      </c>
      <c r="E497" s="104" t="s">
        <v>1597</v>
      </c>
      <c r="G497" s="13">
        <v>342</v>
      </c>
      <c r="N497" s="19"/>
      <c r="P497" s="592"/>
      <c r="Q497" s="592"/>
      <c r="R497" s="592"/>
      <c r="S497" s="592"/>
      <c r="T497" s="592"/>
      <c r="U497" s="592"/>
      <c r="V497" s="592"/>
      <c r="W497" s="592"/>
      <c r="X497" s="592"/>
    </row>
    <row r="498" spans="1:66" ht="15" customHeight="1">
      <c r="A498" s="36"/>
      <c r="D498" s="45" t="s">
        <v>1468</v>
      </c>
      <c r="E498" s="104" t="s">
        <v>1597</v>
      </c>
      <c r="G498" s="13">
        <v>34.200000000000003</v>
      </c>
      <c r="N498" s="19"/>
      <c r="P498" s="592"/>
      <c r="Q498" s="592"/>
      <c r="R498" s="592"/>
      <c r="S498" s="592"/>
      <c r="T498" s="592"/>
      <c r="U498" s="592"/>
      <c r="V498" s="592"/>
      <c r="W498" s="592"/>
      <c r="X498" s="592"/>
    </row>
    <row r="499" spans="1:66" ht="15" customHeight="1">
      <c r="A499" s="8" t="s">
        <v>221</v>
      </c>
      <c r="B499" s="75" t="s">
        <v>1746</v>
      </c>
      <c r="C499" s="75" t="s">
        <v>277</v>
      </c>
      <c r="D499" s="710" t="s">
        <v>1180</v>
      </c>
      <c r="E499" s="710"/>
      <c r="F499" s="75" t="s">
        <v>1062</v>
      </c>
      <c r="G499" s="80">
        <v>1.1000000000000001</v>
      </c>
      <c r="H499" s="626"/>
      <c r="I499" s="80">
        <f>G499*AQ499</f>
        <v>0</v>
      </c>
      <c r="J499" s="80">
        <f>G499*AR499</f>
        <v>0</v>
      </c>
      <c r="K499" s="80">
        <f>G499*H499</f>
        <v>0</v>
      </c>
      <c r="L499" s="80">
        <v>6.62E-3</v>
      </c>
      <c r="M499" s="80">
        <f>G499*L499</f>
        <v>7.2820000000000003E-3</v>
      </c>
      <c r="N499" s="38" t="s">
        <v>1579</v>
      </c>
      <c r="P499" s="592"/>
      <c r="Q499" s="592"/>
      <c r="R499" s="592"/>
      <c r="S499" s="592"/>
      <c r="T499" s="592"/>
      <c r="U499" s="592"/>
      <c r="V499" s="592"/>
      <c r="W499" s="592"/>
      <c r="X499" s="592"/>
      <c r="AB499" s="56">
        <f>IF(AS499="5",BL499,0)</f>
        <v>0</v>
      </c>
      <c r="AD499" s="56">
        <f>IF(AS499="1",BJ499,0)</f>
        <v>0</v>
      </c>
      <c r="AE499" s="56">
        <f>IF(AS499="1",BK499,0)</f>
        <v>0</v>
      </c>
      <c r="AF499" s="56">
        <f>IF(AS499="7",BJ499,0)</f>
        <v>0</v>
      </c>
      <c r="AG499" s="56">
        <f>IF(AS499="7",BK499,0)</f>
        <v>0</v>
      </c>
      <c r="AH499" s="56">
        <f>IF(AS499="2",BJ499,0)</f>
        <v>0</v>
      </c>
      <c r="AI499" s="56">
        <f>IF(AS499="2",BK499,0)</f>
        <v>0</v>
      </c>
      <c r="AJ499" s="56">
        <f>IF(AS499="0",BL499,0)</f>
        <v>0</v>
      </c>
      <c r="AK499" s="7" t="s">
        <v>1746</v>
      </c>
      <c r="AL499" s="80">
        <f>IF(AP499=0,K499,0)</f>
        <v>0</v>
      </c>
      <c r="AM499" s="80">
        <f>IF(AP499=15,K499,0)</f>
        <v>0</v>
      </c>
      <c r="AN499" s="80">
        <f>IF(AP499=21,K499,0)</f>
        <v>0</v>
      </c>
      <c r="AP499" s="56">
        <v>21</v>
      </c>
      <c r="AQ499" s="88">
        <f>H499*1</f>
        <v>0</v>
      </c>
      <c r="AR499" s="88">
        <f>H499*(1-1)</f>
        <v>0</v>
      </c>
      <c r="AS499" s="64" t="s">
        <v>2311</v>
      </c>
      <c r="AX499" s="56">
        <f>AY499+AZ499</f>
        <v>0</v>
      </c>
      <c r="AY499" s="56">
        <f>G499*AQ499</f>
        <v>0</v>
      </c>
      <c r="AZ499" s="56">
        <f>G499*AR499</f>
        <v>0</v>
      </c>
      <c r="BA499" s="21" t="s">
        <v>1449</v>
      </c>
      <c r="BB499" s="21" t="s">
        <v>1040</v>
      </c>
      <c r="BC499" s="7" t="s">
        <v>1747</v>
      </c>
      <c r="BE499" s="56">
        <f>AY499+AZ499</f>
        <v>0</v>
      </c>
      <c r="BF499" s="56">
        <f>H499/(100-BG499)*100</f>
        <v>0</v>
      </c>
      <c r="BG499" s="56">
        <v>0</v>
      </c>
      <c r="BH499" s="56">
        <f>M499</f>
        <v>7.2820000000000003E-3</v>
      </c>
      <c r="BJ499" s="80">
        <f>G499*AQ499</f>
        <v>0</v>
      </c>
      <c r="BK499" s="80">
        <f>G499*AR499</f>
        <v>0</v>
      </c>
      <c r="BL499" s="80">
        <f>G499*H499</f>
        <v>0</v>
      </c>
      <c r="BM499" s="80"/>
      <c r="BN499" s="56">
        <v>762</v>
      </c>
    </row>
    <row r="500" spans="1:66" ht="15" customHeight="1">
      <c r="A500" s="36"/>
      <c r="D500" s="45" t="s">
        <v>2227</v>
      </c>
      <c r="E500" s="104" t="s">
        <v>1597</v>
      </c>
      <c r="G500" s="13">
        <v>1.1000000000000001</v>
      </c>
      <c r="N500" s="19"/>
      <c r="P500" s="592"/>
      <c r="Q500" s="592"/>
      <c r="R500" s="592"/>
      <c r="S500" s="592"/>
      <c r="T500" s="592"/>
      <c r="U500" s="592"/>
      <c r="V500" s="592"/>
      <c r="W500" s="592"/>
      <c r="X500" s="592"/>
    </row>
    <row r="501" spans="1:66" ht="15" customHeight="1">
      <c r="A501" s="8" t="s">
        <v>1583</v>
      </c>
      <c r="B501" s="75" t="s">
        <v>1746</v>
      </c>
      <c r="C501" s="75" t="s">
        <v>463</v>
      </c>
      <c r="D501" s="710" t="s">
        <v>2248</v>
      </c>
      <c r="E501" s="710"/>
      <c r="F501" s="75" t="s">
        <v>2236</v>
      </c>
      <c r="G501" s="80">
        <v>1.55</v>
      </c>
      <c r="H501" s="626"/>
      <c r="I501" s="80">
        <f>G501*AQ501</f>
        <v>0</v>
      </c>
      <c r="J501" s="80">
        <f>G501*AR501</f>
        <v>0</v>
      </c>
      <c r="K501" s="80">
        <f>G501*H501</f>
        <v>0</v>
      </c>
      <c r="L501" s="80">
        <v>0.5</v>
      </c>
      <c r="M501" s="80">
        <f>G501*L501</f>
        <v>0.77500000000000002</v>
      </c>
      <c r="N501" s="38" t="s">
        <v>1579</v>
      </c>
      <c r="P501" s="592"/>
      <c r="Q501" s="592"/>
      <c r="R501" s="592"/>
      <c r="S501" s="592"/>
      <c r="T501" s="592"/>
      <c r="U501" s="592"/>
      <c r="V501" s="592"/>
      <c r="W501" s="592"/>
      <c r="X501" s="592"/>
      <c r="AB501" s="56">
        <f>IF(AS501="5",BL501,0)</f>
        <v>0</v>
      </c>
      <c r="AD501" s="56">
        <f>IF(AS501="1",BJ501,0)</f>
        <v>0</v>
      </c>
      <c r="AE501" s="56">
        <f>IF(AS501="1",BK501,0)</f>
        <v>0</v>
      </c>
      <c r="AF501" s="56">
        <f>IF(AS501="7",BJ501,0)</f>
        <v>0</v>
      </c>
      <c r="AG501" s="56">
        <f>IF(AS501="7",BK501,0)</f>
        <v>0</v>
      </c>
      <c r="AH501" s="56">
        <f>IF(AS501="2",BJ501,0)</f>
        <v>0</v>
      </c>
      <c r="AI501" s="56">
        <f>IF(AS501="2",BK501,0)</f>
        <v>0</v>
      </c>
      <c r="AJ501" s="56">
        <f>IF(AS501="0",BL501,0)</f>
        <v>0</v>
      </c>
      <c r="AK501" s="7" t="s">
        <v>1746</v>
      </c>
      <c r="AL501" s="80">
        <f>IF(AP501=0,K501,0)</f>
        <v>0</v>
      </c>
      <c r="AM501" s="80">
        <f>IF(AP501=15,K501,0)</f>
        <v>0</v>
      </c>
      <c r="AN501" s="80">
        <f>IF(AP501=21,K501,0)</f>
        <v>0</v>
      </c>
      <c r="AP501" s="56">
        <v>21</v>
      </c>
      <c r="AQ501" s="88">
        <f>H501*1</f>
        <v>0</v>
      </c>
      <c r="AR501" s="88">
        <f>H501*(1-1)</f>
        <v>0</v>
      </c>
      <c r="AS501" s="64" t="s">
        <v>2311</v>
      </c>
      <c r="AX501" s="56">
        <f>AY501+AZ501</f>
        <v>0</v>
      </c>
      <c r="AY501" s="56">
        <f>G501*AQ501</f>
        <v>0</v>
      </c>
      <c r="AZ501" s="56">
        <f>G501*AR501</f>
        <v>0</v>
      </c>
      <c r="BA501" s="21" t="s">
        <v>1449</v>
      </c>
      <c r="BB501" s="21" t="s">
        <v>1040</v>
      </c>
      <c r="BC501" s="7" t="s">
        <v>1747</v>
      </c>
      <c r="BE501" s="56">
        <f>AY501+AZ501</f>
        <v>0</v>
      </c>
      <c r="BF501" s="56">
        <f>H501/(100-BG501)*100</f>
        <v>0</v>
      </c>
      <c r="BG501" s="56">
        <v>0</v>
      </c>
      <c r="BH501" s="56">
        <f>M501</f>
        <v>0.77500000000000002</v>
      </c>
      <c r="BJ501" s="80">
        <f>G501*AQ501</f>
        <v>0</v>
      </c>
      <c r="BK501" s="80">
        <f>G501*AR501</f>
        <v>0</v>
      </c>
      <c r="BL501" s="80">
        <f>G501*H501</f>
        <v>0</v>
      </c>
      <c r="BM501" s="80"/>
      <c r="BN501" s="56">
        <v>762</v>
      </c>
    </row>
    <row r="502" spans="1:66" ht="15" customHeight="1">
      <c r="A502" s="36"/>
      <c r="D502" s="45" t="s">
        <v>201</v>
      </c>
      <c r="E502" s="104" t="s">
        <v>1185</v>
      </c>
      <c r="G502" s="13">
        <v>1.55</v>
      </c>
      <c r="N502" s="19"/>
      <c r="P502" s="592"/>
      <c r="Q502" s="592"/>
      <c r="R502" s="592"/>
      <c r="S502" s="592"/>
      <c r="T502" s="592"/>
      <c r="U502" s="592"/>
      <c r="V502" s="592"/>
      <c r="W502" s="592"/>
      <c r="X502" s="592"/>
    </row>
    <row r="503" spans="1:66" ht="15" customHeight="1">
      <c r="A503" s="32" t="s">
        <v>1597</v>
      </c>
      <c r="B503" s="26" t="s">
        <v>1746</v>
      </c>
      <c r="C503" s="512" t="s">
        <v>189</v>
      </c>
      <c r="D503" s="709" t="s">
        <v>305</v>
      </c>
      <c r="E503" s="709"/>
      <c r="F503" s="46" t="s">
        <v>2144</v>
      </c>
      <c r="G503" s="46" t="s">
        <v>2144</v>
      </c>
      <c r="H503" s="46" t="s">
        <v>2144</v>
      </c>
      <c r="I503" s="17">
        <f>SUM(I504:I512)</f>
        <v>0</v>
      </c>
      <c r="J503" s="17">
        <f>SUM(J504:J512)</f>
        <v>0</v>
      </c>
      <c r="K503" s="515">
        <f>SUM(K504:K512)</f>
        <v>0</v>
      </c>
      <c r="L503" s="7" t="s">
        <v>1597</v>
      </c>
      <c r="M503" s="17">
        <f>SUM(M504:M512)</f>
        <v>2.663611</v>
      </c>
      <c r="N503" s="20" t="s">
        <v>1597</v>
      </c>
      <c r="P503" s="592">
        <f>K503</f>
        <v>0</v>
      </c>
      <c r="Q503" s="592"/>
      <c r="R503" s="592"/>
      <c r="S503" s="592"/>
      <c r="T503" s="592"/>
      <c r="U503" s="592"/>
      <c r="V503" s="592"/>
      <c r="W503" s="592"/>
      <c r="X503" s="592"/>
      <c r="AK503" s="7" t="s">
        <v>1746</v>
      </c>
      <c r="AU503" s="17">
        <f>SUM(AL504:AL512)</f>
        <v>0</v>
      </c>
      <c r="AV503" s="17">
        <f>SUM(AM504:AM512)</f>
        <v>0</v>
      </c>
      <c r="AW503" s="17">
        <f>SUM(AN504:AN512)</f>
        <v>0</v>
      </c>
    </row>
    <row r="504" spans="1:66" ht="15" customHeight="1">
      <c r="A504" s="24" t="s">
        <v>1788</v>
      </c>
      <c r="B504" s="12" t="s">
        <v>1746</v>
      </c>
      <c r="C504" s="12" t="s">
        <v>61</v>
      </c>
      <c r="D504" s="630" t="s">
        <v>585</v>
      </c>
      <c r="E504" s="630"/>
      <c r="F504" s="12" t="s">
        <v>1923</v>
      </c>
      <c r="G504" s="56">
        <v>45</v>
      </c>
      <c r="H504" s="625"/>
      <c r="I504" s="56">
        <f>G504*AQ504</f>
        <v>0</v>
      </c>
      <c r="J504" s="56">
        <f>G504*AR504</f>
        <v>0</v>
      </c>
      <c r="K504" s="56">
        <f>G504*H504</f>
        <v>0</v>
      </c>
      <c r="L504" s="56">
        <v>3.7819999999999999E-2</v>
      </c>
      <c r="M504" s="56">
        <f>G504*L504</f>
        <v>1.7019</v>
      </c>
      <c r="N504" s="31" t="s">
        <v>1579</v>
      </c>
      <c r="P504" s="592"/>
      <c r="Q504" s="592"/>
      <c r="R504" s="592"/>
      <c r="S504" s="592"/>
      <c r="T504" s="592"/>
      <c r="U504" s="592"/>
      <c r="V504" s="592"/>
      <c r="W504" s="592"/>
      <c r="X504" s="592"/>
      <c r="AB504" s="56">
        <f>IF(AS504="5",BL504,0)</f>
        <v>0</v>
      </c>
      <c r="AD504" s="56">
        <f>IF(AS504="1",BJ504,0)</f>
        <v>0</v>
      </c>
      <c r="AE504" s="56">
        <f>IF(AS504="1",BK504,0)</f>
        <v>0</v>
      </c>
      <c r="AF504" s="56">
        <f>IF(AS504="7",BJ504,0)</f>
        <v>0</v>
      </c>
      <c r="AG504" s="56">
        <f>IF(AS504="7",BK504,0)</f>
        <v>0</v>
      </c>
      <c r="AH504" s="56">
        <f>IF(AS504="2",BJ504,0)</f>
        <v>0</v>
      </c>
      <c r="AI504" s="56">
        <f>IF(AS504="2",BK504,0)</f>
        <v>0</v>
      </c>
      <c r="AJ504" s="56">
        <f>IF(AS504="0",BL504,0)</f>
        <v>0</v>
      </c>
      <c r="AK504" s="7" t="s">
        <v>1746</v>
      </c>
      <c r="AL504" s="56">
        <f>IF(AP504=0,K504,0)</f>
        <v>0</v>
      </c>
      <c r="AM504" s="56">
        <f>IF(AP504=15,K504,0)</f>
        <v>0</v>
      </c>
      <c r="AN504" s="56">
        <f>IF(AP504=21,K504,0)</f>
        <v>0</v>
      </c>
      <c r="AP504" s="56">
        <v>21</v>
      </c>
      <c r="AQ504" s="88">
        <f>H504*0.440818307905686</f>
        <v>0</v>
      </c>
      <c r="AR504" s="88">
        <f>H504*(1-0.440818307905686)</f>
        <v>0</v>
      </c>
      <c r="AS504" s="21" t="s">
        <v>2311</v>
      </c>
      <c r="AX504" s="56">
        <f>AY504+AZ504</f>
        <v>0</v>
      </c>
      <c r="AY504" s="56">
        <f>G504*AQ504</f>
        <v>0</v>
      </c>
      <c r="AZ504" s="56">
        <f>G504*AR504</f>
        <v>0</v>
      </c>
      <c r="BA504" s="21" t="s">
        <v>1857</v>
      </c>
      <c r="BB504" s="21" t="s">
        <v>1040</v>
      </c>
      <c r="BC504" s="7" t="s">
        <v>1747</v>
      </c>
      <c r="BE504" s="56">
        <f>AY504+AZ504</f>
        <v>0</v>
      </c>
      <c r="BF504" s="56">
        <f>H504/(100-BG504)*100</f>
        <v>0</v>
      </c>
      <c r="BG504" s="56">
        <v>0</v>
      </c>
      <c r="BH504" s="56">
        <f>M504</f>
        <v>1.7019</v>
      </c>
      <c r="BJ504" s="56">
        <f>G504*AQ504</f>
        <v>0</v>
      </c>
      <c r="BK504" s="56">
        <f>G504*AR504</f>
        <v>0</v>
      </c>
      <c r="BL504" s="56">
        <f>G504*H504</f>
        <v>0</v>
      </c>
      <c r="BM504" s="56"/>
      <c r="BN504" s="56">
        <v>764</v>
      </c>
    </row>
    <row r="505" spans="1:66" ht="15" customHeight="1">
      <c r="A505" s="36"/>
      <c r="D505" s="45" t="s">
        <v>562</v>
      </c>
      <c r="E505" s="104" t="s">
        <v>1597</v>
      </c>
      <c r="G505" s="13">
        <v>25.000000000000004</v>
      </c>
      <c r="N505" s="19"/>
      <c r="P505" s="592"/>
      <c r="Q505" s="592"/>
      <c r="R505" s="592"/>
      <c r="S505" s="592"/>
      <c r="T505" s="592"/>
      <c r="U505" s="592"/>
      <c r="V505" s="592"/>
      <c r="W505" s="592"/>
      <c r="X505" s="592"/>
    </row>
    <row r="506" spans="1:66" ht="15" customHeight="1">
      <c r="A506" s="36"/>
      <c r="D506" s="45" t="s">
        <v>109</v>
      </c>
      <c r="E506" s="104" t="s">
        <v>92</v>
      </c>
      <c r="G506" s="13">
        <v>20</v>
      </c>
      <c r="N506" s="19"/>
      <c r="P506" s="592"/>
      <c r="Q506" s="592"/>
      <c r="R506" s="592"/>
      <c r="S506" s="592"/>
      <c r="T506" s="592"/>
      <c r="U506" s="592"/>
      <c r="V506" s="592"/>
      <c r="W506" s="592"/>
      <c r="X506" s="592"/>
    </row>
    <row r="507" spans="1:66" ht="15" customHeight="1">
      <c r="A507" s="24" t="s">
        <v>540</v>
      </c>
      <c r="B507" s="12" t="s">
        <v>1746</v>
      </c>
      <c r="C507" s="12" t="s">
        <v>235</v>
      </c>
      <c r="D507" s="630" t="s">
        <v>379</v>
      </c>
      <c r="E507" s="630"/>
      <c r="F507" s="12" t="s">
        <v>1923</v>
      </c>
      <c r="G507" s="56">
        <v>13</v>
      </c>
      <c r="H507" s="625"/>
      <c r="I507" s="56">
        <f>G507*AQ507</f>
        <v>0</v>
      </c>
      <c r="J507" s="56">
        <f>G507*AR507</f>
        <v>0</v>
      </c>
      <c r="K507" s="56">
        <f>G507*H507</f>
        <v>0</v>
      </c>
      <c r="L507" s="56">
        <v>3.2629999999999999E-2</v>
      </c>
      <c r="M507" s="56">
        <f>G507*L507</f>
        <v>0.42419000000000001</v>
      </c>
      <c r="N507" s="31" t="s">
        <v>1579</v>
      </c>
      <c r="P507" s="592"/>
      <c r="Q507" s="592"/>
      <c r="R507" s="592"/>
      <c r="S507" s="592"/>
      <c r="T507" s="592"/>
      <c r="U507" s="592"/>
      <c r="V507" s="592"/>
      <c r="W507" s="592"/>
      <c r="X507" s="592"/>
      <c r="AB507" s="56">
        <f>IF(AS507="5",BL507,0)</f>
        <v>0</v>
      </c>
      <c r="AD507" s="56">
        <f>IF(AS507="1",BJ507,0)</f>
        <v>0</v>
      </c>
      <c r="AE507" s="56">
        <f>IF(AS507="1",BK507,0)</f>
        <v>0</v>
      </c>
      <c r="AF507" s="56">
        <f>IF(AS507="7",BJ507,0)</f>
        <v>0</v>
      </c>
      <c r="AG507" s="56">
        <f>IF(AS507="7",BK507,0)</f>
        <v>0</v>
      </c>
      <c r="AH507" s="56">
        <f>IF(AS507="2",BJ507,0)</f>
        <v>0</v>
      </c>
      <c r="AI507" s="56">
        <f>IF(AS507="2",BK507,0)</f>
        <v>0</v>
      </c>
      <c r="AJ507" s="56">
        <f>IF(AS507="0",BL507,0)</f>
        <v>0</v>
      </c>
      <c r="AK507" s="7" t="s">
        <v>1746</v>
      </c>
      <c r="AL507" s="56">
        <f>IF(AP507=0,K507,0)</f>
        <v>0</v>
      </c>
      <c r="AM507" s="56">
        <f>IF(AP507=15,K507,0)</f>
        <v>0</v>
      </c>
      <c r="AN507" s="56">
        <f>IF(AP507=21,K507,0)</f>
        <v>0</v>
      </c>
      <c r="AP507" s="56">
        <v>21</v>
      </c>
      <c r="AQ507" s="88">
        <f>H507*0.411760302989476</f>
        <v>0</v>
      </c>
      <c r="AR507" s="88">
        <f>H507*(1-0.411760302989476)</f>
        <v>0</v>
      </c>
      <c r="AS507" s="21" t="s">
        <v>2311</v>
      </c>
      <c r="AX507" s="56">
        <f>AY507+AZ507</f>
        <v>0</v>
      </c>
      <c r="AY507" s="56">
        <f>G507*AQ507</f>
        <v>0</v>
      </c>
      <c r="AZ507" s="56">
        <f>G507*AR507</f>
        <v>0</v>
      </c>
      <c r="BA507" s="21" t="s">
        <v>1857</v>
      </c>
      <c r="BB507" s="21" t="s">
        <v>1040</v>
      </c>
      <c r="BC507" s="7" t="s">
        <v>1747</v>
      </c>
      <c r="BE507" s="56">
        <f>AY507+AZ507</f>
        <v>0</v>
      </c>
      <c r="BF507" s="56">
        <f>H507/(100-BG507)*100</f>
        <v>0</v>
      </c>
      <c r="BG507" s="56">
        <v>0</v>
      </c>
      <c r="BH507" s="56">
        <f>M507</f>
        <v>0.42419000000000001</v>
      </c>
      <c r="BJ507" s="56">
        <f>G507*AQ507</f>
        <v>0</v>
      </c>
      <c r="BK507" s="56">
        <f>G507*AR507</f>
        <v>0</v>
      </c>
      <c r="BL507" s="56">
        <f>G507*H507</f>
        <v>0</v>
      </c>
      <c r="BM507" s="56"/>
      <c r="BN507" s="56">
        <v>764</v>
      </c>
    </row>
    <row r="508" spans="1:66" ht="15" customHeight="1">
      <c r="A508" s="36"/>
      <c r="D508" s="45" t="s">
        <v>668</v>
      </c>
      <c r="E508" s="104" t="s">
        <v>1597</v>
      </c>
      <c r="G508" s="13">
        <v>13.000000000000002</v>
      </c>
      <c r="N508" s="19"/>
      <c r="P508" s="592"/>
      <c r="Q508" s="592"/>
      <c r="R508" s="592"/>
      <c r="S508" s="592"/>
      <c r="T508" s="592"/>
      <c r="U508" s="592"/>
      <c r="V508" s="592"/>
      <c r="W508" s="592"/>
      <c r="X508" s="592"/>
    </row>
    <row r="509" spans="1:66" ht="15" customHeight="1">
      <c r="A509" s="24" t="s">
        <v>2594</v>
      </c>
      <c r="B509" s="12" t="s">
        <v>1746</v>
      </c>
      <c r="C509" s="12" t="s">
        <v>1839</v>
      </c>
      <c r="D509" s="630" t="s">
        <v>952</v>
      </c>
      <c r="E509" s="630"/>
      <c r="F509" s="12" t="s">
        <v>1923</v>
      </c>
      <c r="G509" s="56">
        <v>26.3</v>
      </c>
      <c r="H509" s="625"/>
      <c r="I509" s="56">
        <f>G509*AQ509</f>
        <v>0</v>
      </c>
      <c r="J509" s="56">
        <f>G509*AR509</f>
        <v>0</v>
      </c>
      <c r="K509" s="56">
        <f>G509*H509</f>
        <v>0</v>
      </c>
      <c r="L509" s="56">
        <v>1.8669999999999999E-2</v>
      </c>
      <c r="M509" s="56">
        <f>G509*L509</f>
        <v>0.49102099999999999</v>
      </c>
      <c r="N509" s="31" t="s">
        <v>1579</v>
      </c>
      <c r="P509" s="592"/>
      <c r="Q509" s="592"/>
      <c r="R509" s="592"/>
      <c r="S509" s="592"/>
      <c r="T509" s="592"/>
      <c r="U509" s="592"/>
      <c r="V509" s="592"/>
      <c r="W509" s="592"/>
      <c r="X509" s="592"/>
      <c r="AB509" s="56">
        <f>IF(AS509="5",BL509,0)</f>
        <v>0</v>
      </c>
      <c r="AD509" s="56">
        <f>IF(AS509="1",BJ509,0)</f>
        <v>0</v>
      </c>
      <c r="AE509" s="56">
        <f>IF(AS509="1",BK509,0)</f>
        <v>0</v>
      </c>
      <c r="AF509" s="56">
        <f>IF(AS509="7",BJ509,0)</f>
        <v>0</v>
      </c>
      <c r="AG509" s="56">
        <f>IF(AS509="7",BK509,0)</f>
        <v>0</v>
      </c>
      <c r="AH509" s="56">
        <f>IF(AS509="2",BJ509,0)</f>
        <v>0</v>
      </c>
      <c r="AI509" s="56">
        <f>IF(AS509="2",BK509,0)</f>
        <v>0</v>
      </c>
      <c r="AJ509" s="56">
        <f>IF(AS509="0",BL509,0)</f>
        <v>0</v>
      </c>
      <c r="AK509" s="7" t="s">
        <v>1746</v>
      </c>
      <c r="AL509" s="56">
        <f>IF(AP509=0,K509,0)</f>
        <v>0</v>
      </c>
      <c r="AM509" s="56">
        <f>IF(AP509=15,K509,0)</f>
        <v>0</v>
      </c>
      <c r="AN509" s="56">
        <f>IF(AP509=21,K509,0)</f>
        <v>0</v>
      </c>
      <c r="AP509" s="56">
        <v>21</v>
      </c>
      <c r="AQ509" s="88">
        <f>H509*0.258019169329074</f>
        <v>0</v>
      </c>
      <c r="AR509" s="88">
        <f>H509*(1-0.258019169329074)</f>
        <v>0</v>
      </c>
      <c r="AS509" s="21" t="s">
        <v>2311</v>
      </c>
      <c r="AX509" s="56">
        <f>AY509+AZ509</f>
        <v>0</v>
      </c>
      <c r="AY509" s="56">
        <f>G509*AQ509</f>
        <v>0</v>
      </c>
      <c r="AZ509" s="56">
        <f>G509*AR509</f>
        <v>0</v>
      </c>
      <c r="BA509" s="21" t="s">
        <v>1857</v>
      </c>
      <c r="BB509" s="21" t="s">
        <v>1040</v>
      </c>
      <c r="BC509" s="7" t="s">
        <v>1747</v>
      </c>
      <c r="BE509" s="56">
        <f>AY509+AZ509</f>
        <v>0</v>
      </c>
      <c r="BF509" s="56">
        <f>H509/(100-BG509)*100</f>
        <v>0</v>
      </c>
      <c r="BG509" s="56">
        <v>0</v>
      </c>
      <c r="BH509" s="56">
        <f>M509</f>
        <v>0.49102099999999999</v>
      </c>
      <c r="BJ509" s="56">
        <f>G509*AQ509</f>
        <v>0</v>
      </c>
      <c r="BK509" s="56">
        <f>G509*AR509</f>
        <v>0</v>
      </c>
      <c r="BL509" s="56">
        <f>G509*H509</f>
        <v>0</v>
      </c>
      <c r="BM509" s="56"/>
      <c r="BN509" s="56">
        <v>764</v>
      </c>
    </row>
    <row r="510" spans="1:66" ht="15" customHeight="1">
      <c r="A510" s="36"/>
      <c r="D510" s="45" t="s">
        <v>2135</v>
      </c>
      <c r="E510" s="104" t="s">
        <v>2642</v>
      </c>
      <c r="G510" s="13">
        <v>16.3</v>
      </c>
      <c r="N510" s="19"/>
      <c r="P510" s="592"/>
      <c r="Q510" s="592"/>
      <c r="R510" s="592"/>
      <c r="S510" s="592"/>
      <c r="T510" s="592"/>
      <c r="U510" s="592"/>
      <c r="V510" s="592"/>
      <c r="W510" s="592"/>
      <c r="X510" s="592"/>
    </row>
    <row r="511" spans="1:66" ht="15" customHeight="1">
      <c r="A511" s="36"/>
      <c r="D511" s="45" t="s">
        <v>1346</v>
      </c>
      <c r="E511" s="104" t="s">
        <v>1637</v>
      </c>
      <c r="G511" s="13">
        <v>10</v>
      </c>
      <c r="N511" s="19"/>
      <c r="P511" s="592"/>
      <c r="Q511" s="592"/>
      <c r="R511" s="592"/>
      <c r="S511" s="592"/>
      <c r="T511" s="592"/>
      <c r="U511" s="592"/>
      <c r="V511" s="592"/>
      <c r="W511" s="592"/>
      <c r="X511" s="592"/>
    </row>
    <row r="512" spans="1:66" ht="15" customHeight="1">
      <c r="A512" s="24" t="s">
        <v>1333</v>
      </c>
      <c r="B512" s="12" t="s">
        <v>1746</v>
      </c>
      <c r="C512" s="12" t="s">
        <v>1206</v>
      </c>
      <c r="D512" s="630" t="s">
        <v>2643</v>
      </c>
      <c r="E512" s="630"/>
      <c r="F512" s="12" t="s">
        <v>1923</v>
      </c>
      <c r="G512" s="56">
        <v>50</v>
      </c>
      <c r="H512" s="625"/>
      <c r="I512" s="56">
        <f>G512*AQ512</f>
        <v>0</v>
      </c>
      <c r="J512" s="56">
        <f>G512*AR512</f>
        <v>0</v>
      </c>
      <c r="K512" s="56">
        <f>G512*H512</f>
        <v>0</v>
      </c>
      <c r="L512" s="56">
        <v>9.3000000000000005E-4</v>
      </c>
      <c r="M512" s="56">
        <f>G512*L512</f>
        <v>4.65E-2</v>
      </c>
      <c r="N512" s="31" t="s">
        <v>1579</v>
      </c>
      <c r="P512" s="592"/>
      <c r="Q512" s="592"/>
      <c r="R512" s="592"/>
      <c r="S512" s="592"/>
      <c r="T512" s="592"/>
      <c r="U512" s="592"/>
      <c r="V512" s="592"/>
      <c r="W512" s="592"/>
      <c r="X512" s="592"/>
      <c r="AB512" s="56">
        <f>IF(AS512="5",BL512,0)</f>
        <v>0</v>
      </c>
      <c r="AD512" s="56">
        <f>IF(AS512="1",BJ512,0)</f>
        <v>0</v>
      </c>
      <c r="AE512" s="56">
        <f>IF(AS512="1",BK512,0)</f>
        <v>0</v>
      </c>
      <c r="AF512" s="56">
        <f>IF(AS512="7",BJ512,0)</f>
        <v>0</v>
      </c>
      <c r="AG512" s="56">
        <f>IF(AS512="7",BK512,0)</f>
        <v>0</v>
      </c>
      <c r="AH512" s="56">
        <f>IF(AS512="2",BJ512,0)</f>
        <v>0</v>
      </c>
      <c r="AI512" s="56">
        <f>IF(AS512="2",BK512,0)</f>
        <v>0</v>
      </c>
      <c r="AJ512" s="56">
        <f>IF(AS512="0",BL512,0)</f>
        <v>0</v>
      </c>
      <c r="AK512" s="7" t="s">
        <v>1746</v>
      </c>
      <c r="AL512" s="56">
        <f>IF(AP512=0,K512,0)</f>
        <v>0</v>
      </c>
      <c r="AM512" s="56">
        <f>IF(AP512=15,K512,0)</f>
        <v>0</v>
      </c>
      <c r="AN512" s="56">
        <f>IF(AP512=21,K512,0)</f>
        <v>0</v>
      </c>
      <c r="AP512" s="56">
        <v>21</v>
      </c>
      <c r="AQ512" s="88">
        <f>H512*0.0537859608745685</f>
        <v>0</v>
      </c>
      <c r="AR512" s="88">
        <f>H512*(1-0.0537859608745685)</f>
        <v>0</v>
      </c>
      <c r="AS512" s="21" t="s">
        <v>2311</v>
      </c>
      <c r="AX512" s="56">
        <f>AY512+AZ512</f>
        <v>0</v>
      </c>
      <c r="AY512" s="56">
        <f>G512*AQ512</f>
        <v>0</v>
      </c>
      <c r="AZ512" s="56">
        <f>G512*AR512</f>
        <v>0</v>
      </c>
      <c r="BA512" s="21" t="s">
        <v>1857</v>
      </c>
      <c r="BB512" s="21" t="s">
        <v>1040</v>
      </c>
      <c r="BC512" s="7" t="s">
        <v>1747</v>
      </c>
      <c r="BE512" s="56">
        <f>AY512+AZ512</f>
        <v>0</v>
      </c>
      <c r="BF512" s="56">
        <f>H512/(100-BG512)*100</f>
        <v>0</v>
      </c>
      <c r="BG512" s="56">
        <v>0</v>
      </c>
      <c r="BH512" s="56">
        <f>M512</f>
        <v>4.65E-2</v>
      </c>
      <c r="BJ512" s="56">
        <f>G512*AQ512</f>
        <v>0</v>
      </c>
      <c r="BK512" s="56">
        <f>G512*AR512</f>
        <v>0</v>
      </c>
      <c r="BL512" s="56">
        <f>G512*H512</f>
        <v>0</v>
      </c>
      <c r="BM512" s="56"/>
      <c r="BN512" s="56">
        <v>764</v>
      </c>
    </row>
    <row r="513" spans="1:66" ht="15" customHeight="1">
      <c r="A513" s="36"/>
      <c r="D513" s="45" t="s">
        <v>1903</v>
      </c>
      <c r="E513" s="104" t="s">
        <v>1014</v>
      </c>
      <c r="G513" s="13">
        <v>50.000000000000007</v>
      </c>
      <c r="N513" s="19"/>
      <c r="P513" s="592"/>
      <c r="Q513" s="592"/>
      <c r="R513" s="592"/>
      <c r="S513" s="592"/>
      <c r="T513" s="592"/>
      <c r="U513" s="592"/>
      <c r="V513" s="592"/>
      <c r="W513" s="592"/>
      <c r="X513" s="592"/>
    </row>
    <row r="514" spans="1:66" ht="15" customHeight="1">
      <c r="A514" s="32" t="s">
        <v>1597</v>
      </c>
      <c r="B514" s="26" t="s">
        <v>1746</v>
      </c>
      <c r="C514" s="511" t="s">
        <v>950</v>
      </c>
      <c r="D514" s="709" t="s">
        <v>1091</v>
      </c>
      <c r="E514" s="709"/>
      <c r="F514" s="46" t="s">
        <v>2144</v>
      </c>
      <c r="G514" s="46" t="s">
        <v>2144</v>
      </c>
      <c r="H514" s="46" t="s">
        <v>2144</v>
      </c>
      <c r="I514" s="17">
        <f>SUM(I515:I551)</f>
        <v>0</v>
      </c>
      <c r="J514" s="17">
        <f>SUM(J515:J551)</f>
        <v>0</v>
      </c>
      <c r="K514" s="516">
        <f>SUM(K515:K551)</f>
        <v>0</v>
      </c>
      <c r="L514" s="7" t="s">
        <v>1597</v>
      </c>
      <c r="M514" s="17">
        <f>SUM(M515:M551)</f>
        <v>7.8860815999999989</v>
      </c>
      <c r="N514" s="20" t="s">
        <v>1597</v>
      </c>
      <c r="P514" s="592"/>
      <c r="Q514" s="592"/>
      <c r="R514" s="592"/>
      <c r="S514" s="592"/>
      <c r="T514" s="592"/>
      <c r="U514" s="592"/>
      <c r="V514" s="592"/>
      <c r="W514" s="592"/>
      <c r="X514" s="592"/>
      <c r="AK514" s="7" t="s">
        <v>1746</v>
      </c>
      <c r="AU514" s="17">
        <f>SUM(AL515:AL551)</f>
        <v>0</v>
      </c>
      <c r="AV514" s="17">
        <f>SUM(AM515:AM551)</f>
        <v>0</v>
      </c>
      <c r="AW514" s="17">
        <f>SUM(AN515:AN551)</f>
        <v>0</v>
      </c>
    </row>
    <row r="515" spans="1:66" ht="15" customHeight="1">
      <c r="A515" s="24" t="s">
        <v>563</v>
      </c>
      <c r="B515" s="12" t="s">
        <v>1746</v>
      </c>
      <c r="C515" s="527" t="s">
        <v>1760</v>
      </c>
      <c r="D515" s="715" t="s">
        <v>598</v>
      </c>
      <c r="E515" s="715"/>
      <c r="F515" s="507" t="s">
        <v>2274</v>
      </c>
      <c r="G515" s="508">
        <v>31.9</v>
      </c>
      <c r="H515" s="625"/>
      <c r="I515" s="508">
        <f>G515*AQ515</f>
        <v>0</v>
      </c>
      <c r="J515" s="508">
        <f>G515*AR515</f>
        <v>0</v>
      </c>
      <c r="K515" s="528">
        <f>G515*H515</f>
        <v>0</v>
      </c>
      <c r="L515" s="56">
        <v>2.0000000000000001E-4</v>
      </c>
      <c r="M515" s="56">
        <f>G515*L515</f>
        <v>6.3800000000000003E-3</v>
      </c>
      <c r="N515" s="31" t="s">
        <v>1579</v>
      </c>
      <c r="P515" s="592"/>
      <c r="Q515" s="592">
        <f>K515</f>
        <v>0</v>
      </c>
      <c r="R515" s="592"/>
      <c r="S515" s="592"/>
      <c r="T515" s="592"/>
      <c r="U515" s="592"/>
      <c r="V515" s="592"/>
      <c r="W515" s="592"/>
      <c r="X515" s="592"/>
      <c r="AB515" s="56">
        <f>IF(AS515="5",BL515,0)</f>
        <v>0</v>
      </c>
      <c r="AD515" s="56">
        <f>IF(AS515="1",BJ515,0)</f>
        <v>0</v>
      </c>
      <c r="AE515" s="56">
        <f>IF(AS515="1",BK515,0)</f>
        <v>0</v>
      </c>
      <c r="AF515" s="56">
        <f>IF(AS515="7",BJ515,0)</f>
        <v>0</v>
      </c>
      <c r="AG515" s="56">
        <f>IF(AS515="7",BK515,0)</f>
        <v>0</v>
      </c>
      <c r="AH515" s="56">
        <f>IF(AS515="2",BJ515,0)</f>
        <v>0</v>
      </c>
      <c r="AI515" s="56">
        <f>IF(AS515="2",BK515,0)</f>
        <v>0</v>
      </c>
      <c r="AJ515" s="56">
        <f>IF(AS515="0",BL515,0)</f>
        <v>0</v>
      </c>
      <c r="AK515" s="7" t="s">
        <v>1746</v>
      </c>
      <c r="AL515" s="56">
        <f>IF(AP515=0,K515,0)</f>
        <v>0</v>
      </c>
      <c r="AM515" s="56">
        <f>IF(AP515=15,K515,0)</f>
        <v>0</v>
      </c>
      <c r="AN515" s="56">
        <f>IF(AP515=21,K515,0)</f>
        <v>0</v>
      </c>
      <c r="AP515" s="56">
        <v>21</v>
      </c>
      <c r="AQ515" s="88">
        <f>H515*0.0476363636363636</f>
        <v>0</v>
      </c>
      <c r="AR515" s="88">
        <f>H515*(1-0.0476363636363636)</f>
        <v>0</v>
      </c>
      <c r="AS515" s="21" t="s">
        <v>2311</v>
      </c>
      <c r="AX515" s="56">
        <f>AY515+AZ515</f>
        <v>0</v>
      </c>
      <c r="AY515" s="56">
        <f>G515*AQ515</f>
        <v>0</v>
      </c>
      <c r="AZ515" s="56">
        <f>G515*AR515</f>
        <v>0</v>
      </c>
      <c r="BA515" s="21" t="s">
        <v>243</v>
      </c>
      <c r="BB515" s="21" t="s">
        <v>1040</v>
      </c>
      <c r="BC515" s="7" t="s">
        <v>1747</v>
      </c>
      <c r="BE515" s="56">
        <f>AY515+AZ515</f>
        <v>0</v>
      </c>
      <c r="BF515" s="56">
        <f>H515/(100-BG515)*100</f>
        <v>0</v>
      </c>
      <c r="BG515" s="56">
        <v>0</v>
      </c>
      <c r="BH515" s="56">
        <f>M515</f>
        <v>6.3800000000000003E-3</v>
      </c>
      <c r="BJ515" s="56">
        <f>G515*AQ515</f>
        <v>0</v>
      </c>
      <c r="BK515" s="56">
        <f>G515*AR515</f>
        <v>0</v>
      </c>
      <c r="BL515" s="56">
        <f>G515*H515</f>
        <v>0</v>
      </c>
      <c r="BM515" s="56"/>
      <c r="BN515" s="56">
        <v>766</v>
      </c>
    </row>
    <row r="516" spans="1:66" ht="15" customHeight="1">
      <c r="A516" s="36"/>
      <c r="C516" s="535"/>
      <c r="D516" s="519" t="s">
        <v>1533</v>
      </c>
      <c r="E516" s="520" t="s">
        <v>669</v>
      </c>
      <c r="F516" s="510"/>
      <c r="G516" s="521">
        <v>31.900000000000002</v>
      </c>
      <c r="H516" s="510"/>
      <c r="I516" s="510"/>
      <c r="J516" s="510"/>
      <c r="K516" s="535"/>
      <c r="N516" s="19"/>
      <c r="P516" s="592"/>
      <c r="Q516" s="592"/>
      <c r="R516" s="592"/>
      <c r="S516" s="592"/>
      <c r="T516" s="592"/>
      <c r="U516" s="592"/>
      <c r="V516" s="592"/>
      <c r="W516" s="592"/>
      <c r="X516" s="592"/>
    </row>
    <row r="517" spans="1:66" ht="15" customHeight="1">
      <c r="A517" s="8" t="s">
        <v>1751</v>
      </c>
      <c r="B517" s="75" t="s">
        <v>1746</v>
      </c>
      <c r="C517" s="549" t="s">
        <v>922</v>
      </c>
      <c r="D517" s="714" t="s">
        <v>194</v>
      </c>
      <c r="E517" s="714"/>
      <c r="F517" s="541" t="s">
        <v>811</v>
      </c>
      <c r="G517" s="542">
        <v>1</v>
      </c>
      <c r="H517" s="626"/>
      <c r="I517" s="542">
        <f>G517*AQ517</f>
        <v>0</v>
      </c>
      <c r="J517" s="542">
        <f>G517*AR517</f>
        <v>0</v>
      </c>
      <c r="K517" s="548">
        <f>G517*H517</f>
        <v>0</v>
      </c>
      <c r="L517" s="80">
        <v>0</v>
      </c>
      <c r="M517" s="80">
        <f>G517*L517</f>
        <v>0</v>
      </c>
      <c r="N517" s="38" t="s">
        <v>1597</v>
      </c>
      <c r="P517" s="592"/>
      <c r="Q517" s="592">
        <f>K517</f>
        <v>0</v>
      </c>
      <c r="R517" s="592"/>
      <c r="S517" s="592"/>
      <c r="T517" s="592"/>
      <c r="U517" s="592"/>
      <c r="V517" s="592"/>
      <c r="W517" s="592"/>
      <c r="X517" s="592"/>
      <c r="AB517" s="56">
        <f>IF(AS517="5",BL517,0)</f>
        <v>0</v>
      </c>
      <c r="AD517" s="56">
        <f>IF(AS517="1",BJ517,0)</f>
        <v>0</v>
      </c>
      <c r="AE517" s="56">
        <f>IF(AS517="1",BK517,0)</f>
        <v>0</v>
      </c>
      <c r="AF517" s="56">
        <f>IF(AS517="7",BJ517,0)</f>
        <v>0</v>
      </c>
      <c r="AG517" s="56">
        <f>IF(AS517="7",BK517,0)</f>
        <v>0</v>
      </c>
      <c r="AH517" s="56">
        <f>IF(AS517="2",BJ517,0)</f>
        <v>0</v>
      </c>
      <c r="AI517" s="56">
        <f>IF(AS517="2",BK517,0)</f>
        <v>0</v>
      </c>
      <c r="AJ517" s="56">
        <f>IF(AS517="0",BL517,0)</f>
        <v>0</v>
      </c>
      <c r="AK517" s="7" t="s">
        <v>1746</v>
      </c>
      <c r="AL517" s="80">
        <f>IF(AP517=0,K517,0)</f>
        <v>0</v>
      </c>
      <c r="AM517" s="80">
        <f>IF(AP517=15,K517,0)</f>
        <v>0</v>
      </c>
      <c r="AN517" s="80">
        <f>IF(AP517=21,K517,0)</f>
        <v>0</v>
      </c>
      <c r="AP517" s="56">
        <v>21</v>
      </c>
      <c r="AQ517" s="88">
        <f>H517*1</f>
        <v>0</v>
      </c>
      <c r="AR517" s="88">
        <f>H517*(1-1)</f>
        <v>0</v>
      </c>
      <c r="AS517" s="64" t="s">
        <v>2311</v>
      </c>
      <c r="AX517" s="56">
        <f>AY517+AZ517</f>
        <v>0</v>
      </c>
      <c r="AY517" s="56">
        <f>G517*AQ517</f>
        <v>0</v>
      </c>
      <c r="AZ517" s="56">
        <f>G517*AR517</f>
        <v>0</v>
      </c>
      <c r="BA517" s="21" t="s">
        <v>243</v>
      </c>
      <c r="BB517" s="21" t="s">
        <v>1040</v>
      </c>
      <c r="BC517" s="7" t="s">
        <v>1747</v>
      </c>
      <c r="BE517" s="56">
        <f>AY517+AZ517</f>
        <v>0</v>
      </c>
      <c r="BF517" s="56">
        <f>H517/(100-BG517)*100</f>
        <v>0</v>
      </c>
      <c r="BG517" s="56">
        <v>0</v>
      </c>
      <c r="BH517" s="56">
        <f>M517</f>
        <v>0</v>
      </c>
      <c r="BJ517" s="80">
        <f>G517*AQ517</f>
        <v>0</v>
      </c>
      <c r="BK517" s="80">
        <f>G517*AR517</f>
        <v>0</v>
      </c>
      <c r="BL517" s="80">
        <f>G517*H517</f>
        <v>0</v>
      </c>
      <c r="BM517" s="80"/>
      <c r="BN517" s="56">
        <v>766</v>
      </c>
    </row>
    <row r="518" spans="1:66" ht="15" customHeight="1">
      <c r="A518" s="36"/>
      <c r="C518" s="510"/>
      <c r="D518" s="519" t="s">
        <v>2297</v>
      </c>
      <c r="E518" s="520" t="s">
        <v>1597</v>
      </c>
      <c r="F518" s="510"/>
      <c r="G518" s="521">
        <v>1</v>
      </c>
      <c r="H518" s="510"/>
      <c r="I518" s="510"/>
      <c r="J518" s="510"/>
      <c r="K518" s="510"/>
      <c r="N518" s="19"/>
      <c r="P518" s="592"/>
      <c r="Q518" s="592"/>
      <c r="R518" s="592"/>
      <c r="S518" s="592"/>
      <c r="T518" s="592"/>
      <c r="U518" s="592"/>
      <c r="V518" s="592"/>
      <c r="W518" s="592"/>
      <c r="X518" s="592"/>
    </row>
    <row r="519" spans="1:66" ht="15" customHeight="1">
      <c r="A519" s="24" t="s">
        <v>1163</v>
      </c>
      <c r="B519" s="12" t="s">
        <v>1746</v>
      </c>
      <c r="C519" s="507" t="s">
        <v>2404</v>
      </c>
      <c r="D519" s="715" t="s">
        <v>2391</v>
      </c>
      <c r="E519" s="715"/>
      <c r="F519" s="507" t="s">
        <v>564</v>
      </c>
      <c r="G519" s="508">
        <v>7</v>
      </c>
      <c r="H519" s="625"/>
      <c r="I519" s="508">
        <f>G519*AQ519</f>
        <v>0</v>
      </c>
      <c r="J519" s="508">
        <f>G519*AR519</f>
        <v>0</v>
      </c>
      <c r="K519" s="508">
        <f>G519*H519</f>
        <v>0</v>
      </c>
      <c r="L519" s="56">
        <v>0</v>
      </c>
      <c r="M519" s="56">
        <f>G519*L519</f>
        <v>0</v>
      </c>
      <c r="N519" s="31" t="s">
        <v>1579</v>
      </c>
      <c r="P519" s="592"/>
      <c r="Q519" s="592"/>
      <c r="R519" s="592"/>
      <c r="S519" s="592"/>
      <c r="T519" s="592"/>
      <c r="U519" s="592">
        <f>K519</f>
        <v>0</v>
      </c>
      <c r="V519" s="592"/>
      <c r="W519" s="592"/>
      <c r="X519" s="592"/>
      <c r="AB519" s="56">
        <f>IF(AS519="5",BL519,0)</f>
        <v>0</v>
      </c>
      <c r="AD519" s="56">
        <f>IF(AS519="1",BJ519,0)</f>
        <v>0</v>
      </c>
      <c r="AE519" s="56">
        <f>IF(AS519="1",BK519,0)</f>
        <v>0</v>
      </c>
      <c r="AF519" s="56">
        <f>IF(AS519="7",BJ519,0)</f>
        <v>0</v>
      </c>
      <c r="AG519" s="56">
        <f>IF(AS519="7",BK519,0)</f>
        <v>0</v>
      </c>
      <c r="AH519" s="56">
        <f>IF(AS519="2",BJ519,0)</f>
        <v>0</v>
      </c>
      <c r="AI519" s="56">
        <f>IF(AS519="2",BK519,0)</f>
        <v>0</v>
      </c>
      <c r="AJ519" s="56">
        <f>IF(AS519="0",BL519,0)</f>
        <v>0</v>
      </c>
      <c r="AK519" s="7" t="s">
        <v>1746</v>
      </c>
      <c r="AL519" s="56">
        <f>IF(AP519=0,K519,0)</f>
        <v>0</v>
      </c>
      <c r="AM519" s="56">
        <f>IF(AP519=15,K519,0)</f>
        <v>0</v>
      </c>
      <c r="AN519" s="56">
        <f>IF(AP519=21,K519,0)</f>
        <v>0</v>
      </c>
      <c r="AP519" s="56">
        <v>21</v>
      </c>
      <c r="AQ519" s="88">
        <f>H519*0</f>
        <v>0</v>
      </c>
      <c r="AR519" s="88">
        <f>H519*(1-0)</f>
        <v>0</v>
      </c>
      <c r="AS519" s="21" t="s">
        <v>2311</v>
      </c>
      <c r="AX519" s="56">
        <f>AY519+AZ519</f>
        <v>0</v>
      </c>
      <c r="AY519" s="56">
        <f>G519*AQ519</f>
        <v>0</v>
      </c>
      <c r="AZ519" s="56">
        <f>G519*AR519</f>
        <v>0</v>
      </c>
      <c r="BA519" s="21" t="s">
        <v>243</v>
      </c>
      <c r="BB519" s="21" t="s">
        <v>1040</v>
      </c>
      <c r="BC519" s="7" t="s">
        <v>1747</v>
      </c>
      <c r="BE519" s="56">
        <f>AY519+AZ519</f>
        <v>0</v>
      </c>
      <c r="BF519" s="56">
        <f>H519/(100-BG519)*100</f>
        <v>0</v>
      </c>
      <c r="BG519" s="56">
        <v>0</v>
      </c>
      <c r="BH519" s="56">
        <f>M519</f>
        <v>0</v>
      </c>
      <c r="BJ519" s="56">
        <f>G519*AQ519</f>
        <v>0</v>
      </c>
      <c r="BK519" s="56">
        <f>G519*AR519</f>
        <v>0</v>
      </c>
      <c r="BL519" s="56">
        <f>G519*H519</f>
        <v>0</v>
      </c>
      <c r="BM519" s="56"/>
      <c r="BN519" s="56">
        <v>766</v>
      </c>
    </row>
    <row r="520" spans="1:66" ht="15" customHeight="1">
      <c r="A520" s="36"/>
      <c r="C520" s="510"/>
      <c r="D520" s="519" t="s">
        <v>2311</v>
      </c>
      <c r="E520" s="520" t="s">
        <v>139</v>
      </c>
      <c r="F520" s="510"/>
      <c r="G520" s="521">
        <v>7.0000000000000009</v>
      </c>
      <c r="H520" s="510"/>
      <c r="I520" s="510"/>
      <c r="J520" s="510"/>
      <c r="K520" s="510"/>
      <c r="N520" s="19"/>
      <c r="P520" s="592"/>
      <c r="Q520" s="592"/>
      <c r="R520" s="592"/>
      <c r="S520" s="592"/>
      <c r="T520" s="592"/>
      <c r="U520" s="592"/>
      <c r="V520" s="592"/>
      <c r="W520" s="592"/>
      <c r="X520" s="592"/>
    </row>
    <row r="521" spans="1:66" ht="15" customHeight="1">
      <c r="A521" s="8" t="s">
        <v>17</v>
      </c>
      <c r="B521" s="75" t="s">
        <v>1746</v>
      </c>
      <c r="C521" s="541" t="s">
        <v>1125</v>
      </c>
      <c r="D521" s="714" t="s">
        <v>2005</v>
      </c>
      <c r="E521" s="714"/>
      <c r="F521" s="541" t="s">
        <v>811</v>
      </c>
      <c r="G521" s="542">
        <v>7</v>
      </c>
      <c r="H521" s="626"/>
      <c r="I521" s="542">
        <f>G521*AQ521</f>
        <v>0</v>
      </c>
      <c r="J521" s="542">
        <f>G521*AR521</f>
        <v>0</v>
      </c>
      <c r="K521" s="542">
        <f>G521*H521</f>
        <v>0</v>
      </c>
      <c r="L521" s="80">
        <v>0.105</v>
      </c>
      <c r="M521" s="80">
        <f>G521*L521</f>
        <v>0.73499999999999999</v>
      </c>
      <c r="N521" s="38" t="s">
        <v>1579</v>
      </c>
      <c r="P521" s="592"/>
      <c r="Q521" s="592"/>
      <c r="R521" s="592"/>
      <c r="S521" s="592"/>
      <c r="T521" s="592"/>
      <c r="U521" s="592">
        <f>K521</f>
        <v>0</v>
      </c>
      <c r="V521" s="592"/>
      <c r="W521" s="592"/>
      <c r="X521" s="592"/>
      <c r="AB521" s="56">
        <f>IF(AS521="5",BL521,0)</f>
        <v>0</v>
      </c>
      <c r="AD521" s="56">
        <f>IF(AS521="1",BJ521,0)</f>
        <v>0</v>
      </c>
      <c r="AE521" s="56">
        <f>IF(AS521="1",BK521,0)</f>
        <v>0</v>
      </c>
      <c r="AF521" s="56">
        <f>IF(AS521="7",BJ521,0)</f>
        <v>0</v>
      </c>
      <c r="AG521" s="56">
        <f>IF(AS521="7",BK521,0)</f>
        <v>0</v>
      </c>
      <c r="AH521" s="56">
        <f>IF(AS521="2",BJ521,0)</f>
        <v>0</v>
      </c>
      <c r="AI521" s="56">
        <f>IF(AS521="2",BK521,0)</f>
        <v>0</v>
      </c>
      <c r="AJ521" s="56">
        <f>IF(AS521="0",BL521,0)</f>
        <v>0</v>
      </c>
      <c r="AK521" s="7" t="s">
        <v>1746</v>
      </c>
      <c r="AL521" s="80">
        <f>IF(AP521=0,K521,0)</f>
        <v>0</v>
      </c>
      <c r="AM521" s="80">
        <f>IF(AP521=15,K521,0)</f>
        <v>0</v>
      </c>
      <c r="AN521" s="80">
        <f>IF(AP521=21,K521,0)</f>
        <v>0</v>
      </c>
      <c r="AP521" s="56">
        <v>21</v>
      </c>
      <c r="AQ521" s="88">
        <f>H521*1</f>
        <v>0</v>
      </c>
      <c r="AR521" s="88">
        <f>H521*(1-1)</f>
        <v>0</v>
      </c>
      <c r="AS521" s="64" t="s">
        <v>2311</v>
      </c>
      <c r="AX521" s="56">
        <f>AY521+AZ521</f>
        <v>0</v>
      </c>
      <c r="AY521" s="56">
        <f>G521*AQ521</f>
        <v>0</v>
      </c>
      <c r="AZ521" s="56">
        <f>G521*AR521</f>
        <v>0</v>
      </c>
      <c r="BA521" s="21" t="s">
        <v>243</v>
      </c>
      <c r="BB521" s="21" t="s">
        <v>1040</v>
      </c>
      <c r="BC521" s="7" t="s">
        <v>1747</v>
      </c>
      <c r="BE521" s="56">
        <f>AY521+AZ521</f>
        <v>0</v>
      </c>
      <c r="BF521" s="56">
        <f>H521/(100-BG521)*100</f>
        <v>0</v>
      </c>
      <c r="BG521" s="56">
        <v>0</v>
      </c>
      <c r="BH521" s="56">
        <f>M521</f>
        <v>0.73499999999999999</v>
      </c>
      <c r="BJ521" s="80">
        <f>G521*AQ521</f>
        <v>0</v>
      </c>
      <c r="BK521" s="80">
        <f>G521*AR521</f>
        <v>0</v>
      </c>
      <c r="BL521" s="80">
        <f>G521*H521</f>
        <v>0</v>
      </c>
      <c r="BM521" s="80"/>
      <c r="BN521" s="56">
        <v>766</v>
      </c>
    </row>
    <row r="522" spans="1:66" ht="15" customHeight="1">
      <c r="A522" s="36"/>
      <c r="C522" s="510"/>
      <c r="D522" s="519" t="s">
        <v>2311</v>
      </c>
      <c r="E522" s="520" t="s">
        <v>1597</v>
      </c>
      <c r="F522" s="510"/>
      <c r="G522" s="521">
        <v>7.0000000000000009</v>
      </c>
      <c r="H522" s="510"/>
      <c r="I522" s="510"/>
      <c r="J522" s="510"/>
      <c r="K522" s="510"/>
      <c r="N522" s="19"/>
      <c r="P522" s="592"/>
      <c r="Q522" s="592"/>
      <c r="R522" s="592"/>
      <c r="S522" s="592"/>
      <c r="T522" s="592"/>
      <c r="U522" s="592"/>
      <c r="V522" s="592"/>
      <c r="W522" s="592"/>
      <c r="X522" s="592"/>
    </row>
    <row r="523" spans="1:66" ht="15" customHeight="1">
      <c r="A523" s="24" t="s">
        <v>939</v>
      </c>
      <c r="B523" s="12" t="s">
        <v>1746</v>
      </c>
      <c r="C523" s="507" t="s">
        <v>1854</v>
      </c>
      <c r="D523" s="715" t="s">
        <v>1154</v>
      </c>
      <c r="E523" s="715"/>
      <c r="F523" s="507" t="s">
        <v>564</v>
      </c>
      <c r="G523" s="508">
        <v>2</v>
      </c>
      <c r="H523" s="625"/>
      <c r="I523" s="508">
        <f>G523*AQ523</f>
        <v>0</v>
      </c>
      <c r="J523" s="508">
        <f>G523*AR523</f>
        <v>0</v>
      </c>
      <c r="K523" s="508">
        <f>G523*H523</f>
        <v>0</v>
      </c>
      <c r="L523" s="56">
        <v>0</v>
      </c>
      <c r="M523" s="56">
        <f>G523*L523</f>
        <v>0</v>
      </c>
      <c r="N523" s="31" t="s">
        <v>1579</v>
      </c>
      <c r="P523" s="592"/>
      <c r="Q523" s="592"/>
      <c r="R523" s="592"/>
      <c r="S523" s="592"/>
      <c r="T523" s="592"/>
      <c r="U523" s="592">
        <f>K523</f>
        <v>0</v>
      </c>
      <c r="V523" s="592"/>
      <c r="W523" s="592"/>
      <c r="X523" s="592"/>
      <c r="AB523" s="56">
        <f>IF(AS523="5",BL523,0)</f>
        <v>0</v>
      </c>
      <c r="AD523" s="56">
        <f>IF(AS523="1",BJ523,0)</f>
        <v>0</v>
      </c>
      <c r="AE523" s="56">
        <f>IF(AS523="1",BK523,0)</f>
        <v>0</v>
      </c>
      <c r="AF523" s="56">
        <f>IF(AS523="7",BJ523,0)</f>
        <v>0</v>
      </c>
      <c r="AG523" s="56">
        <f>IF(AS523="7",BK523,0)</f>
        <v>0</v>
      </c>
      <c r="AH523" s="56">
        <f>IF(AS523="2",BJ523,0)</f>
        <v>0</v>
      </c>
      <c r="AI523" s="56">
        <f>IF(AS523="2",BK523,0)</f>
        <v>0</v>
      </c>
      <c r="AJ523" s="56">
        <f>IF(AS523="0",BL523,0)</f>
        <v>0</v>
      </c>
      <c r="AK523" s="7" t="s">
        <v>1746</v>
      </c>
      <c r="AL523" s="56">
        <f>IF(AP523=0,K523,0)</f>
        <v>0</v>
      </c>
      <c r="AM523" s="56">
        <f>IF(AP523=15,K523,0)</f>
        <v>0</v>
      </c>
      <c r="AN523" s="56">
        <f>IF(AP523=21,K523,0)</f>
        <v>0</v>
      </c>
      <c r="AP523" s="56">
        <v>21</v>
      </c>
      <c r="AQ523" s="88">
        <f>H523*0</f>
        <v>0</v>
      </c>
      <c r="AR523" s="88">
        <f>H523*(1-0)</f>
        <v>0</v>
      </c>
      <c r="AS523" s="21" t="s">
        <v>2311</v>
      </c>
      <c r="AX523" s="56">
        <f>AY523+AZ523</f>
        <v>0</v>
      </c>
      <c r="AY523" s="56">
        <f>G523*AQ523</f>
        <v>0</v>
      </c>
      <c r="AZ523" s="56">
        <f>G523*AR523</f>
        <v>0</v>
      </c>
      <c r="BA523" s="21" t="s">
        <v>243</v>
      </c>
      <c r="BB523" s="21" t="s">
        <v>1040</v>
      </c>
      <c r="BC523" s="7" t="s">
        <v>1747</v>
      </c>
      <c r="BE523" s="56">
        <f>AY523+AZ523</f>
        <v>0</v>
      </c>
      <c r="BF523" s="56">
        <f>H523/(100-BG523)*100</f>
        <v>0</v>
      </c>
      <c r="BG523" s="56">
        <v>0</v>
      </c>
      <c r="BH523" s="56">
        <f>M523</f>
        <v>0</v>
      </c>
      <c r="BJ523" s="56">
        <f>G523*AQ523</f>
        <v>0</v>
      </c>
      <c r="BK523" s="56">
        <f>G523*AR523</f>
        <v>0</v>
      </c>
      <c r="BL523" s="56">
        <f>G523*H523</f>
        <v>0</v>
      </c>
      <c r="BM523" s="56"/>
      <c r="BN523" s="56">
        <v>766</v>
      </c>
    </row>
    <row r="524" spans="1:66" ht="15" customHeight="1">
      <c r="A524" s="36"/>
      <c r="C524" s="510"/>
      <c r="D524" s="519" t="s">
        <v>1589</v>
      </c>
      <c r="E524" s="520" t="s">
        <v>1597</v>
      </c>
      <c r="F524" s="510"/>
      <c r="G524" s="521">
        <v>2</v>
      </c>
      <c r="H524" s="510"/>
      <c r="I524" s="510"/>
      <c r="J524" s="510"/>
      <c r="K524" s="510"/>
      <c r="N524" s="19"/>
      <c r="P524" s="592"/>
      <c r="Q524" s="592"/>
      <c r="R524" s="592"/>
      <c r="S524" s="592"/>
      <c r="T524" s="592"/>
      <c r="U524" s="592"/>
      <c r="V524" s="592"/>
      <c r="W524" s="592"/>
      <c r="X524" s="592"/>
    </row>
    <row r="525" spans="1:66" ht="15" customHeight="1">
      <c r="A525" s="8" t="s">
        <v>771</v>
      </c>
      <c r="B525" s="75" t="s">
        <v>1746</v>
      </c>
      <c r="C525" s="541" t="s">
        <v>2173</v>
      </c>
      <c r="D525" s="714" t="s">
        <v>1704</v>
      </c>
      <c r="E525" s="714"/>
      <c r="F525" s="541" t="s">
        <v>564</v>
      </c>
      <c r="G525" s="542">
        <v>2</v>
      </c>
      <c r="H525" s="626"/>
      <c r="I525" s="542">
        <f>G525*AQ525</f>
        <v>0</v>
      </c>
      <c r="J525" s="542">
        <f>G525*AR525</f>
        <v>0</v>
      </c>
      <c r="K525" s="542">
        <f>G525*H525</f>
        <v>0</v>
      </c>
      <c r="L525" s="80">
        <v>7.4999999999999997E-3</v>
      </c>
      <c r="M525" s="80">
        <f>G525*L525</f>
        <v>1.4999999999999999E-2</v>
      </c>
      <c r="N525" s="38" t="s">
        <v>1579</v>
      </c>
      <c r="P525" s="592"/>
      <c r="Q525" s="592"/>
      <c r="R525" s="592"/>
      <c r="S525" s="592"/>
      <c r="T525" s="592"/>
      <c r="U525" s="592">
        <f>K525</f>
        <v>0</v>
      </c>
      <c r="V525" s="592"/>
      <c r="W525" s="592"/>
      <c r="X525" s="592"/>
      <c r="AB525" s="56">
        <f>IF(AS525="5",BL525,0)</f>
        <v>0</v>
      </c>
      <c r="AD525" s="56">
        <f>IF(AS525="1",BJ525,0)</f>
        <v>0</v>
      </c>
      <c r="AE525" s="56">
        <f>IF(AS525="1",BK525,0)</f>
        <v>0</v>
      </c>
      <c r="AF525" s="56">
        <f>IF(AS525="7",BJ525,0)</f>
        <v>0</v>
      </c>
      <c r="AG525" s="56">
        <f>IF(AS525="7",BK525,0)</f>
        <v>0</v>
      </c>
      <c r="AH525" s="56">
        <f>IF(AS525="2",BJ525,0)</f>
        <v>0</v>
      </c>
      <c r="AI525" s="56">
        <f>IF(AS525="2",BK525,0)</f>
        <v>0</v>
      </c>
      <c r="AJ525" s="56">
        <f>IF(AS525="0",BL525,0)</f>
        <v>0</v>
      </c>
      <c r="AK525" s="7" t="s">
        <v>1746</v>
      </c>
      <c r="AL525" s="80">
        <f>IF(AP525=0,K525,0)</f>
        <v>0</v>
      </c>
      <c r="AM525" s="80">
        <f>IF(AP525=15,K525,0)</f>
        <v>0</v>
      </c>
      <c r="AN525" s="80">
        <f>IF(AP525=21,K525,0)</f>
        <v>0</v>
      </c>
      <c r="AP525" s="56">
        <v>21</v>
      </c>
      <c r="AQ525" s="88">
        <f>H525*1</f>
        <v>0</v>
      </c>
      <c r="AR525" s="88">
        <f>H525*(1-1)</f>
        <v>0</v>
      </c>
      <c r="AS525" s="64" t="s">
        <v>2311</v>
      </c>
      <c r="AX525" s="56">
        <f>AY525+AZ525</f>
        <v>0</v>
      </c>
      <c r="AY525" s="56">
        <f>G525*AQ525</f>
        <v>0</v>
      </c>
      <c r="AZ525" s="56">
        <f>G525*AR525</f>
        <v>0</v>
      </c>
      <c r="BA525" s="21" t="s">
        <v>243</v>
      </c>
      <c r="BB525" s="21" t="s">
        <v>1040</v>
      </c>
      <c r="BC525" s="7" t="s">
        <v>1747</v>
      </c>
      <c r="BE525" s="56">
        <f>AY525+AZ525</f>
        <v>0</v>
      </c>
      <c r="BF525" s="56">
        <f>H525/(100-BG525)*100</f>
        <v>0</v>
      </c>
      <c r="BG525" s="56">
        <v>0</v>
      </c>
      <c r="BH525" s="56">
        <f>M525</f>
        <v>1.4999999999999999E-2</v>
      </c>
      <c r="BJ525" s="80">
        <f>G525*AQ525</f>
        <v>0</v>
      </c>
      <c r="BK525" s="80">
        <f>G525*AR525</f>
        <v>0</v>
      </c>
      <c r="BL525" s="80">
        <f>G525*H525</f>
        <v>0</v>
      </c>
      <c r="BM525" s="80"/>
      <c r="BN525" s="56">
        <v>766</v>
      </c>
    </row>
    <row r="526" spans="1:66" ht="15" customHeight="1">
      <c r="A526" s="36"/>
      <c r="D526" s="45" t="s">
        <v>1589</v>
      </c>
      <c r="E526" s="104" t="s">
        <v>1597</v>
      </c>
      <c r="G526" s="13">
        <v>2</v>
      </c>
      <c r="N526" s="19"/>
      <c r="P526" s="592"/>
      <c r="Q526" s="592"/>
      <c r="R526" s="592"/>
      <c r="S526" s="592"/>
      <c r="T526" s="592"/>
      <c r="U526" s="592"/>
      <c r="V526" s="592"/>
      <c r="W526" s="592"/>
      <c r="X526" s="592"/>
    </row>
    <row r="527" spans="1:66" ht="15" customHeight="1">
      <c r="A527" s="24" t="s">
        <v>2459</v>
      </c>
      <c r="B527" s="12" t="s">
        <v>1746</v>
      </c>
      <c r="C527" s="513" t="s">
        <v>1581</v>
      </c>
      <c r="D527" s="696" t="s">
        <v>2271</v>
      </c>
      <c r="E527" s="696"/>
      <c r="F527" s="513" t="s">
        <v>2274</v>
      </c>
      <c r="G527" s="517">
        <v>376</v>
      </c>
      <c r="H527" s="625"/>
      <c r="I527" s="517">
        <f>G527*AQ527</f>
        <v>0</v>
      </c>
      <c r="J527" s="517">
        <f>G527*AR527</f>
        <v>0</v>
      </c>
      <c r="K527" s="517">
        <f>G527*H527</f>
        <v>0</v>
      </c>
      <c r="L527" s="56">
        <v>3.1E-4</v>
      </c>
      <c r="M527" s="56">
        <f>G527*L527</f>
        <v>0.11656</v>
      </c>
      <c r="N527" s="31" t="s">
        <v>1579</v>
      </c>
      <c r="P527" s="592">
        <f>K527</f>
        <v>0</v>
      </c>
      <c r="Q527" s="592"/>
      <c r="R527" s="592"/>
      <c r="S527" s="592"/>
      <c r="T527" s="592"/>
      <c r="U527" s="592"/>
      <c r="V527" s="592"/>
      <c r="W527" s="592"/>
      <c r="X527" s="592"/>
      <c r="AB527" s="56">
        <f>IF(AS527="5",BL527,0)</f>
        <v>0</v>
      </c>
      <c r="AD527" s="56">
        <f>IF(AS527="1",BJ527,0)</f>
        <v>0</v>
      </c>
      <c r="AE527" s="56">
        <f>IF(AS527="1",BK527,0)</f>
        <v>0</v>
      </c>
      <c r="AF527" s="56">
        <f>IF(AS527="7",BJ527,0)</f>
        <v>0</v>
      </c>
      <c r="AG527" s="56">
        <f>IF(AS527="7",BK527,0)</f>
        <v>0</v>
      </c>
      <c r="AH527" s="56">
        <f>IF(AS527="2",BJ527,0)</f>
        <v>0</v>
      </c>
      <c r="AI527" s="56">
        <f>IF(AS527="2",BK527,0)</f>
        <v>0</v>
      </c>
      <c r="AJ527" s="56">
        <f>IF(AS527="0",BL527,0)</f>
        <v>0</v>
      </c>
      <c r="AK527" s="7" t="s">
        <v>1746</v>
      </c>
      <c r="AL527" s="56">
        <f>IF(AP527=0,K527,0)</f>
        <v>0</v>
      </c>
      <c r="AM527" s="56">
        <f>IF(AP527=15,K527,0)</f>
        <v>0</v>
      </c>
      <c r="AN527" s="56">
        <f>IF(AP527=21,K527,0)</f>
        <v>0</v>
      </c>
      <c r="AP527" s="56">
        <v>21</v>
      </c>
      <c r="AQ527" s="88">
        <f>H527*0.450914634146341</f>
        <v>0</v>
      </c>
      <c r="AR527" s="88">
        <f>H527*(1-0.450914634146341)</f>
        <v>0</v>
      </c>
      <c r="AS527" s="21" t="s">
        <v>2311</v>
      </c>
      <c r="AX527" s="56">
        <f>AY527+AZ527</f>
        <v>0</v>
      </c>
      <c r="AY527" s="56">
        <f>G527*AQ527</f>
        <v>0</v>
      </c>
      <c r="AZ527" s="56">
        <f>G527*AR527</f>
        <v>0</v>
      </c>
      <c r="BA527" s="21" t="s">
        <v>243</v>
      </c>
      <c r="BB527" s="21" t="s">
        <v>1040</v>
      </c>
      <c r="BC527" s="7" t="s">
        <v>1747</v>
      </c>
      <c r="BE527" s="56">
        <f>AY527+AZ527</f>
        <v>0</v>
      </c>
      <c r="BF527" s="56">
        <f>H527/(100-BG527)*100</f>
        <v>0</v>
      </c>
      <c r="BG527" s="56">
        <v>0</v>
      </c>
      <c r="BH527" s="56">
        <f>M527</f>
        <v>0.11656</v>
      </c>
      <c r="BJ527" s="56">
        <f>G527*AQ527</f>
        <v>0</v>
      </c>
      <c r="BK527" s="56">
        <f>G527*AR527</f>
        <v>0</v>
      </c>
      <c r="BL527" s="56">
        <f>G527*H527</f>
        <v>0</v>
      </c>
      <c r="BM527" s="56"/>
      <c r="BN527" s="56">
        <v>766</v>
      </c>
    </row>
    <row r="528" spans="1:66" ht="15" customHeight="1">
      <c r="A528" s="36"/>
      <c r="C528" s="522"/>
      <c r="D528" s="533" t="s">
        <v>2567</v>
      </c>
      <c r="E528" s="525" t="s">
        <v>459</v>
      </c>
      <c r="F528" s="522"/>
      <c r="G528" s="534">
        <v>376.00000000000006</v>
      </c>
      <c r="H528" s="522"/>
      <c r="I528" s="522"/>
      <c r="J528" s="522"/>
      <c r="K528" s="522"/>
      <c r="N528" s="19"/>
      <c r="P528" s="592"/>
      <c r="Q528" s="592"/>
      <c r="R528" s="592"/>
      <c r="S528" s="592"/>
      <c r="T528" s="592"/>
      <c r="U528" s="592"/>
      <c r="V528" s="592"/>
      <c r="W528" s="592"/>
      <c r="X528" s="592"/>
    </row>
    <row r="529" spans="1:66" ht="15" customHeight="1">
      <c r="A529" s="24" t="s">
        <v>1320</v>
      </c>
      <c r="B529" s="12" t="s">
        <v>1746</v>
      </c>
      <c r="C529" s="513" t="s">
        <v>340</v>
      </c>
      <c r="D529" s="696" t="s">
        <v>1484</v>
      </c>
      <c r="E529" s="696"/>
      <c r="F529" s="513" t="s">
        <v>2274</v>
      </c>
      <c r="G529" s="517">
        <v>376</v>
      </c>
      <c r="H529" s="625"/>
      <c r="I529" s="517">
        <f>G529*AQ529</f>
        <v>0</v>
      </c>
      <c r="J529" s="517">
        <f>G529*AR529</f>
        <v>0</v>
      </c>
      <c r="K529" s="517">
        <f>G529*H529</f>
        <v>0</v>
      </c>
      <c r="L529" s="56">
        <v>0</v>
      </c>
      <c r="M529" s="56">
        <f>G529*L529</f>
        <v>0</v>
      </c>
      <c r="N529" s="31" t="s">
        <v>1579</v>
      </c>
      <c r="P529" s="592">
        <f>K529</f>
        <v>0</v>
      </c>
      <c r="Q529" s="592"/>
      <c r="R529" s="592"/>
      <c r="S529" s="592"/>
      <c r="T529" s="592"/>
      <c r="U529" s="592"/>
      <c r="V529" s="592"/>
      <c r="W529" s="592"/>
      <c r="X529" s="592"/>
      <c r="AB529" s="56">
        <f>IF(AS529="5",BL529,0)</f>
        <v>0</v>
      </c>
      <c r="AD529" s="56">
        <f>IF(AS529="1",BJ529,0)</f>
        <v>0</v>
      </c>
      <c r="AE529" s="56">
        <f>IF(AS529="1",BK529,0)</f>
        <v>0</v>
      </c>
      <c r="AF529" s="56">
        <f>IF(AS529="7",BJ529,0)</f>
        <v>0</v>
      </c>
      <c r="AG529" s="56">
        <f>IF(AS529="7",BK529,0)</f>
        <v>0</v>
      </c>
      <c r="AH529" s="56">
        <f>IF(AS529="2",BJ529,0)</f>
        <v>0</v>
      </c>
      <c r="AI529" s="56">
        <f>IF(AS529="2",BK529,0)</f>
        <v>0</v>
      </c>
      <c r="AJ529" s="56">
        <f>IF(AS529="0",BL529,0)</f>
        <v>0</v>
      </c>
      <c r="AK529" s="7" t="s">
        <v>1746</v>
      </c>
      <c r="AL529" s="56">
        <f>IF(AP529=0,K529,0)</f>
        <v>0</v>
      </c>
      <c r="AM529" s="56">
        <f>IF(AP529=15,K529,0)</f>
        <v>0</v>
      </c>
      <c r="AN529" s="56">
        <f>IF(AP529=21,K529,0)</f>
        <v>0</v>
      </c>
      <c r="AP529" s="56">
        <v>21</v>
      </c>
      <c r="AQ529" s="88">
        <f>H529*0.145854341736695</f>
        <v>0</v>
      </c>
      <c r="AR529" s="88">
        <f>H529*(1-0.145854341736695)</f>
        <v>0</v>
      </c>
      <c r="AS529" s="21" t="s">
        <v>2311</v>
      </c>
      <c r="AX529" s="56">
        <f>AY529+AZ529</f>
        <v>0</v>
      </c>
      <c r="AY529" s="56">
        <f>G529*AQ529</f>
        <v>0</v>
      </c>
      <c r="AZ529" s="56">
        <f>G529*AR529</f>
        <v>0</v>
      </c>
      <c r="BA529" s="21" t="s">
        <v>243</v>
      </c>
      <c r="BB529" s="21" t="s">
        <v>1040</v>
      </c>
      <c r="BC529" s="7" t="s">
        <v>1747</v>
      </c>
      <c r="BE529" s="56">
        <f>AY529+AZ529</f>
        <v>0</v>
      </c>
      <c r="BF529" s="56">
        <f>H529/(100-BG529)*100</f>
        <v>0</v>
      </c>
      <c r="BG529" s="56">
        <v>0</v>
      </c>
      <c r="BH529" s="56">
        <f>M529</f>
        <v>0</v>
      </c>
      <c r="BJ529" s="56">
        <f>G529*AQ529</f>
        <v>0</v>
      </c>
      <c r="BK529" s="56">
        <f>G529*AR529</f>
        <v>0</v>
      </c>
      <c r="BL529" s="56">
        <f>G529*H529</f>
        <v>0</v>
      </c>
      <c r="BM529" s="56"/>
      <c r="BN529" s="56">
        <v>766</v>
      </c>
    </row>
    <row r="530" spans="1:66" ht="15" customHeight="1">
      <c r="A530" s="36"/>
      <c r="C530" s="522"/>
      <c r="D530" s="533" t="s">
        <v>2567</v>
      </c>
      <c r="E530" s="525" t="s">
        <v>1597</v>
      </c>
      <c r="F530" s="522"/>
      <c r="G530" s="534">
        <v>376.00000000000006</v>
      </c>
      <c r="H530" s="522"/>
      <c r="I530" s="522"/>
      <c r="J530" s="522"/>
      <c r="K530" s="522"/>
      <c r="N530" s="19"/>
      <c r="P530" s="592"/>
      <c r="Q530" s="592"/>
      <c r="R530" s="592"/>
      <c r="S530" s="592"/>
      <c r="T530" s="592"/>
      <c r="U530" s="592"/>
      <c r="V530" s="592"/>
      <c r="W530" s="592"/>
      <c r="X530" s="592"/>
    </row>
    <row r="531" spans="1:66" ht="15" customHeight="1">
      <c r="A531" s="8" t="s">
        <v>1240</v>
      </c>
      <c r="B531" s="75" t="s">
        <v>1746</v>
      </c>
      <c r="C531" s="532" t="s">
        <v>1427</v>
      </c>
      <c r="D531" s="713" t="s">
        <v>732</v>
      </c>
      <c r="E531" s="713"/>
      <c r="F531" s="532" t="s">
        <v>2274</v>
      </c>
      <c r="G531" s="523">
        <v>451.2</v>
      </c>
      <c r="H531" s="626"/>
      <c r="I531" s="523">
        <f>G531*AQ531</f>
        <v>0</v>
      </c>
      <c r="J531" s="523">
        <f>G531*AR531</f>
        <v>0</v>
      </c>
      <c r="K531" s="523">
        <f>G531*H531</f>
        <v>0</v>
      </c>
      <c r="L531" s="80">
        <v>1.4E-2</v>
      </c>
      <c r="M531" s="80">
        <f>G531*L531</f>
        <v>6.3167999999999997</v>
      </c>
      <c r="N531" s="38" t="s">
        <v>1579</v>
      </c>
      <c r="P531" s="592">
        <f>K531</f>
        <v>0</v>
      </c>
      <c r="Q531" s="592"/>
      <c r="R531" s="592"/>
      <c r="S531" s="592"/>
      <c r="T531" s="592"/>
      <c r="U531" s="592"/>
      <c r="V531" s="592"/>
      <c r="W531" s="592"/>
      <c r="X531" s="592"/>
      <c r="AB531" s="56">
        <f>IF(AS531="5",BL531,0)</f>
        <v>0</v>
      </c>
      <c r="AD531" s="56">
        <f>IF(AS531="1",BJ531,0)</f>
        <v>0</v>
      </c>
      <c r="AE531" s="56">
        <f>IF(AS531="1",BK531,0)</f>
        <v>0</v>
      </c>
      <c r="AF531" s="56">
        <f>IF(AS531="7",BJ531,0)</f>
        <v>0</v>
      </c>
      <c r="AG531" s="56">
        <f>IF(AS531="7",BK531,0)</f>
        <v>0</v>
      </c>
      <c r="AH531" s="56">
        <f>IF(AS531="2",BJ531,0)</f>
        <v>0</v>
      </c>
      <c r="AI531" s="56">
        <f>IF(AS531="2",BK531,0)</f>
        <v>0</v>
      </c>
      <c r="AJ531" s="56">
        <f>IF(AS531="0",BL531,0)</f>
        <v>0</v>
      </c>
      <c r="AK531" s="7" t="s">
        <v>1746</v>
      </c>
      <c r="AL531" s="80">
        <f>IF(AP531=0,K531,0)</f>
        <v>0</v>
      </c>
      <c r="AM531" s="80">
        <f>IF(AP531=15,K531,0)</f>
        <v>0</v>
      </c>
      <c r="AN531" s="80">
        <f>IF(AP531=21,K531,0)</f>
        <v>0</v>
      </c>
      <c r="AP531" s="56">
        <v>21</v>
      </c>
      <c r="AQ531" s="88">
        <f>H531*1</f>
        <v>0</v>
      </c>
      <c r="AR531" s="88">
        <f>H531*(1-1)</f>
        <v>0</v>
      </c>
      <c r="AS531" s="64" t="s">
        <v>2311</v>
      </c>
      <c r="AX531" s="56">
        <f>AY531+AZ531</f>
        <v>0</v>
      </c>
      <c r="AY531" s="56">
        <f>G531*AQ531</f>
        <v>0</v>
      </c>
      <c r="AZ531" s="56">
        <f>G531*AR531</f>
        <v>0</v>
      </c>
      <c r="BA531" s="21" t="s">
        <v>243</v>
      </c>
      <c r="BB531" s="21" t="s">
        <v>1040</v>
      </c>
      <c r="BC531" s="7" t="s">
        <v>1747</v>
      </c>
      <c r="BE531" s="56">
        <f>AY531+AZ531</f>
        <v>0</v>
      </c>
      <c r="BF531" s="56">
        <f>H531/(100-BG531)*100</f>
        <v>0</v>
      </c>
      <c r="BG531" s="56">
        <v>0</v>
      </c>
      <c r="BH531" s="56">
        <f>M531</f>
        <v>6.3167999999999997</v>
      </c>
      <c r="BJ531" s="80">
        <f>G531*AQ531</f>
        <v>0</v>
      </c>
      <c r="BK531" s="80">
        <f>G531*AR531</f>
        <v>0</v>
      </c>
      <c r="BL531" s="80">
        <f>G531*H531</f>
        <v>0</v>
      </c>
      <c r="BM531" s="80"/>
      <c r="BN531" s="56">
        <v>766</v>
      </c>
    </row>
    <row r="532" spans="1:66" ht="15" customHeight="1">
      <c r="A532" s="36"/>
      <c r="C532" s="522"/>
      <c r="D532" s="533" t="s">
        <v>2567</v>
      </c>
      <c r="E532" s="525" t="s">
        <v>1597</v>
      </c>
      <c r="F532" s="522"/>
      <c r="G532" s="534">
        <v>376.00000000000006</v>
      </c>
      <c r="H532" s="522"/>
      <c r="I532" s="522"/>
      <c r="J532" s="522"/>
      <c r="K532" s="522"/>
      <c r="N532" s="19"/>
      <c r="P532" s="592"/>
      <c r="Q532" s="592"/>
      <c r="R532" s="592"/>
      <c r="S532" s="592"/>
      <c r="T532" s="592"/>
      <c r="U532" s="592"/>
      <c r="V532" s="592"/>
      <c r="W532" s="592"/>
      <c r="X532" s="592"/>
    </row>
    <row r="533" spans="1:66" ht="15" customHeight="1">
      <c r="A533" s="36"/>
      <c r="C533" s="522"/>
      <c r="D533" s="533" t="s">
        <v>1665</v>
      </c>
      <c r="E533" s="525" t="s">
        <v>1597</v>
      </c>
      <c r="F533" s="522"/>
      <c r="G533" s="534">
        <v>75.2</v>
      </c>
      <c r="H533" s="522"/>
      <c r="I533" s="522"/>
      <c r="J533" s="522"/>
      <c r="K533" s="522"/>
      <c r="N533" s="19"/>
      <c r="P533" s="592"/>
      <c r="Q533" s="592"/>
      <c r="R533" s="592"/>
      <c r="S533" s="592"/>
      <c r="T533" s="592"/>
      <c r="U533" s="592"/>
      <c r="V533" s="592"/>
      <c r="W533" s="592"/>
      <c r="X533" s="592"/>
    </row>
    <row r="534" spans="1:66" ht="15" customHeight="1">
      <c r="A534" s="24" t="s">
        <v>1963</v>
      </c>
      <c r="B534" s="12" t="s">
        <v>1746</v>
      </c>
      <c r="C534" s="513" t="s">
        <v>1840</v>
      </c>
      <c r="D534" s="696" t="s">
        <v>991</v>
      </c>
      <c r="E534" s="696"/>
      <c r="F534" s="513" t="s">
        <v>2274</v>
      </c>
      <c r="G534" s="517">
        <v>22.66</v>
      </c>
      <c r="H534" s="625"/>
      <c r="I534" s="517">
        <f>G534*AQ534</f>
        <v>0</v>
      </c>
      <c r="J534" s="517">
        <f>G534*AR534</f>
        <v>0</v>
      </c>
      <c r="K534" s="517">
        <f>G534*H534</f>
        <v>0</v>
      </c>
      <c r="L534" s="56">
        <v>2.7999999999999998E-4</v>
      </c>
      <c r="M534" s="56">
        <f>G534*L534</f>
        <v>6.3447999999999994E-3</v>
      </c>
      <c r="N534" s="31" t="s">
        <v>1579</v>
      </c>
      <c r="P534" s="592">
        <f>K534</f>
        <v>0</v>
      </c>
      <c r="Q534" s="592"/>
      <c r="R534" s="592"/>
      <c r="S534" s="592"/>
      <c r="T534" s="592"/>
      <c r="U534" s="592"/>
      <c r="V534" s="592"/>
      <c r="W534" s="592"/>
      <c r="X534" s="592"/>
      <c r="AB534" s="56">
        <f>IF(AS534="5",BL534,0)</f>
        <v>0</v>
      </c>
      <c r="AD534" s="56">
        <f>IF(AS534="1",BJ534,0)</f>
        <v>0</v>
      </c>
      <c r="AE534" s="56">
        <f>IF(AS534="1",BK534,0)</f>
        <v>0</v>
      </c>
      <c r="AF534" s="56">
        <f>IF(AS534="7",BJ534,0)</f>
        <v>0</v>
      </c>
      <c r="AG534" s="56">
        <f>IF(AS534="7",BK534,0)</f>
        <v>0</v>
      </c>
      <c r="AH534" s="56">
        <f>IF(AS534="2",BJ534,0)</f>
        <v>0</v>
      </c>
      <c r="AI534" s="56">
        <f>IF(AS534="2",BK534,0)</f>
        <v>0</v>
      </c>
      <c r="AJ534" s="56">
        <f>IF(AS534="0",BL534,0)</f>
        <v>0</v>
      </c>
      <c r="AK534" s="7" t="s">
        <v>1746</v>
      </c>
      <c r="AL534" s="56">
        <f>IF(AP534=0,K534,0)</f>
        <v>0</v>
      </c>
      <c r="AM534" s="56">
        <f>IF(AP534=15,K534,0)</f>
        <v>0</v>
      </c>
      <c r="AN534" s="56">
        <f>IF(AP534=21,K534,0)</f>
        <v>0</v>
      </c>
      <c r="AP534" s="56">
        <v>21</v>
      </c>
      <c r="AQ534" s="88">
        <f>H534*0.0242317380352645</f>
        <v>0</v>
      </c>
      <c r="AR534" s="88">
        <f>H534*(1-0.0242317380352645)</f>
        <v>0</v>
      </c>
      <c r="AS534" s="21" t="s">
        <v>2311</v>
      </c>
      <c r="AX534" s="56">
        <f>AY534+AZ534</f>
        <v>0</v>
      </c>
      <c r="AY534" s="56">
        <f>G534*AQ534</f>
        <v>0</v>
      </c>
      <c r="AZ534" s="56">
        <f>G534*AR534</f>
        <v>0</v>
      </c>
      <c r="BA534" s="21" t="s">
        <v>243</v>
      </c>
      <c r="BB534" s="21" t="s">
        <v>1040</v>
      </c>
      <c r="BC534" s="7" t="s">
        <v>1747</v>
      </c>
      <c r="BE534" s="56">
        <f>AY534+AZ534</f>
        <v>0</v>
      </c>
      <c r="BF534" s="56">
        <f>H534/(100-BG534)*100</f>
        <v>0</v>
      </c>
      <c r="BG534" s="56">
        <v>0</v>
      </c>
      <c r="BH534" s="56">
        <f>M534</f>
        <v>6.3447999999999994E-3</v>
      </c>
      <c r="BJ534" s="56">
        <f>G534*AQ534</f>
        <v>0</v>
      </c>
      <c r="BK534" s="56">
        <f>G534*AR534</f>
        <v>0</v>
      </c>
      <c r="BL534" s="56">
        <f>G534*H534</f>
        <v>0</v>
      </c>
      <c r="BM534" s="56"/>
      <c r="BN534" s="56">
        <v>766</v>
      </c>
    </row>
    <row r="535" spans="1:66" ht="15" customHeight="1">
      <c r="A535" s="36"/>
      <c r="C535" s="522"/>
      <c r="D535" s="533" t="s">
        <v>2336</v>
      </c>
      <c r="E535" s="525" t="s">
        <v>1832</v>
      </c>
      <c r="F535" s="522"/>
      <c r="G535" s="534">
        <v>22.66</v>
      </c>
      <c r="H535" s="522"/>
      <c r="I535" s="522"/>
      <c r="J535" s="522"/>
      <c r="K535" s="522"/>
      <c r="N535" s="19"/>
      <c r="P535" s="592"/>
      <c r="Q535" s="592"/>
      <c r="R535" s="592"/>
      <c r="S535" s="592"/>
      <c r="T535" s="592"/>
      <c r="U535" s="592"/>
      <c r="V535" s="592"/>
      <c r="W535" s="592"/>
      <c r="X535" s="592"/>
    </row>
    <row r="536" spans="1:66" ht="15" customHeight="1">
      <c r="A536" s="8" t="s">
        <v>2140</v>
      </c>
      <c r="B536" s="75" t="s">
        <v>1746</v>
      </c>
      <c r="C536" s="532" t="s">
        <v>1427</v>
      </c>
      <c r="D536" s="713" t="s">
        <v>732</v>
      </c>
      <c r="E536" s="713"/>
      <c r="F536" s="532" t="s">
        <v>2274</v>
      </c>
      <c r="G536" s="523">
        <v>27.6</v>
      </c>
      <c r="H536" s="626"/>
      <c r="I536" s="523">
        <f>G536*AQ536</f>
        <v>0</v>
      </c>
      <c r="J536" s="523">
        <f>G536*AR536</f>
        <v>0</v>
      </c>
      <c r="K536" s="523">
        <f>G536*H536</f>
        <v>0</v>
      </c>
      <c r="L536" s="80">
        <v>1.4E-2</v>
      </c>
      <c r="M536" s="80">
        <f>G536*L536</f>
        <v>0.38640000000000002</v>
      </c>
      <c r="N536" s="38" t="s">
        <v>1579</v>
      </c>
      <c r="P536" s="592">
        <f>K536</f>
        <v>0</v>
      </c>
      <c r="Q536" s="592"/>
      <c r="R536" s="592"/>
      <c r="S536" s="592"/>
      <c r="T536" s="592"/>
      <c r="U536" s="592"/>
      <c r="V536" s="592"/>
      <c r="W536" s="592"/>
      <c r="X536" s="592"/>
      <c r="AB536" s="56">
        <f>IF(AS536="5",BL536,0)</f>
        <v>0</v>
      </c>
      <c r="AD536" s="56">
        <f>IF(AS536="1",BJ536,0)</f>
        <v>0</v>
      </c>
      <c r="AE536" s="56">
        <f>IF(AS536="1",BK536,0)</f>
        <v>0</v>
      </c>
      <c r="AF536" s="56">
        <f>IF(AS536="7",BJ536,0)</f>
        <v>0</v>
      </c>
      <c r="AG536" s="56">
        <f>IF(AS536="7",BK536,0)</f>
        <v>0</v>
      </c>
      <c r="AH536" s="56">
        <f>IF(AS536="2",BJ536,0)</f>
        <v>0</v>
      </c>
      <c r="AI536" s="56">
        <f>IF(AS536="2",BK536,0)</f>
        <v>0</v>
      </c>
      <c r="AJ536" s="56">
        <f>IF(AS536="0",BL536,0)</f>
        <v>0</v>
      </c>
      <c r="AK536" s="7" t="s">
        <v>1746</v>
      </c>
      <c r="AL536" s="80">
        <f>IF(AP536=0,K536,0)</f>
        <v>0</v>
      </c>
      <c r="AM536" s="80">
        <f>IF(AP536=15,K536,0)</f>
        <v>0</v>
      </c>
      <c r="AN536" s="80">
        <f>IF(AP536=21,K536,0)</f>
        <v>0</v>
      </c>
      <c r="AP536" s="56">
        <v>21</v>
      </c>
      <c r="AQ536" s="88">
        <f>H536*1</f>
        <v>0</v>
      </c>
      <c r="AR536" s="88">
        <f>H536*(1-1)</f>
        <v>0</v>
      </c>
      <c r="AS536" s="64" t="s">
        <v>2311</v>
      </c>
      <c r="AX536" s="56">
        <f>AY536+AZ536</f>
        <v>0</v>
      </c>
      <c r="AY536" s="56">
        <f>G536*AQ536</f>
        <v>0</v>
      </c>
      <c r="AZ536" s="56">
        <f>G536*AR536</f>
        <v>0</v>
      </c>
      <c r="BA536" s="21" t="s">
        <v>243</v>
      </c>
      <c r="BB536" s="21" t="s">
        <v>1040</v>
      </c>
      <c r="BC536" s="7" t="s">
        <v>1747</v>
      </c>
      <c r="BE536" s="56">
        <f>AY536+AZ536</f>
        <v>0</v>
      </c>
      <c r="BF536" s="56">
        <f>H536/(100-BG536)*100</f>
        <v>0</v>
      </c>
      <c r="BG536" s="56">
        <v>0</v>
      </c>
      <c r="BH536" s="56">
        <f>M536</f>
        <v>0.38640000000000002</v>
      </c>
      <c r="BJ536" s="80">
        <f>G536*AQ536</f>
        <v>0</v>
      </c>
      <c r="BK536" s="80">
        <f>G536*AR536</f>
        <v>0</v>
      </c>
      <c r="BL536" s="80">
        <f>G536*H536</f>
        <v>0</v>
      </c>
      <c r="BM536" s="80"/>
      <c r="BN536" s="56">
        <v>766</v>
      </c>
    </row>
    <row r="537" spans="1:66" ht="15" customHeight="1">
      <c r="A537" s="36"/>
      <c r="C537" s="522"/>
      <c r="D537" s="533" t="s">
        <v>208</v>
      </c>
      <c r="E537" s="525" t="s">
        <v>1597</v>
      </c>
      <c r="F537" s="522"/>
      <c r="G537" s="534">
        <v>23.000000000000004</v>
      </c>
      <c r="H537" s="522"/>
      <c r="I537" s="522"/>
      <c r="J537" s="522"/>
      <c r="K537" s="522"/>
      <c r="N537" s="19"/>
      <c r="P537" s="592"/>
      <c r="Q537" s="592"/>
      <c r="R537" s="592"/>
      <c r="S537" s="592"/>
      <c r="T537" s="592"/>
      <c r="U537" s="592"/>
      <c r="V537" s="592"/>
      <c r="W537" s="592"/>
      <c r="X537" s="592"/>
    </row>
    <row r="538" spans="1:66" ht="15" customHeight="1">
      <c r="A538" s="36"/>
      <c r="C538" s="522"/>
      <c r="D538" s="533" t="s">
        <v>1276</v>
      </c>
      <c r="E538" s="525" t="s">
        <v>1597</v>
      </c>
      <c r="F538" s="522"/>
      <c r="G538" s="534">
        <v>4.6000000000000005</v>
      </c>
      <c r="H538" s="522"/>
      <c r="I538" s="522"/>
      <c r="J538" s="522"/>
      <c r="K538" s="522"/>
      <c r="N538" s="19"/>
      <c r="P538" s="592"/>
      <c r="Q538" s="592"/>
      <c r="R538" s="592"/>
      <c r="S538" s="592"/>
      <c r="T538" s="592"/>
      <c r="U538" s="592"/>
      <c r="V538" s="592"/>
      <c r="W538" s="592"/>
      <c r="X538" s="592"/>
    </row>
    <row r="539" spans="1:66" ht="15" customHeight="1">
      <c r="A539" s="8" t="s">
        <v>2307</v>
      </c>
      <c r="B539" s="75" t="s">
        <v>1746</v>
      </c>
      <c r="C539" s="532" t="s">
        <v>637</v>
      </c>
      <c r="D539" s="713" t="s">
        <v>1453</v>
      </c>
      <c r="E539" s="713"/>
      <c r="F539" s="532" t="s">
        <v>2236</v>
      </c>
      <c r="G539" s="523">
        <v>0.32</v>
      </c>
      <c r="H539" s="626"/>
      <c r="I539" s="523">
        <f>G539*AQ539</f>
        <v>0</v>
      </c>
      <c r="J539" s="523">
        <f>G539*AR539</f>
        <v>0</v>
      </c>
      <c r="K539" s="523">
        <f>G539*H539</f>
        <v>0</v>
      </c>
      <c r="L539" s="80">
        <v>0.5</v>
      </c>
      <c r="M539" s="80">
        <f>G539*L539</f>
        <v>0.16</v>
      </c>
      <c r="N539" s="38" t="s">
        <v>1579</v>
      </c>
      <c r="P539" s="592">
        <f>K539</f>
        <v>0</v>
      </c>
      <c r="Q539" s="592"/>
      <c r="R539" s="592"/>
      <c r="S539" s="592"/>
      <c r="T539" s="592"/>
      <c r="U539" s="592"/>
      <c r="V539" s="592"/>
      <c r="W539" s="592"/>
      <c r="X539" s="592"/>
      <c r="AB539" s="56">
        <f>IF(AS539="5",BL539,0)</f>
        <v>0</v>
      </c>
      <c r="AD539" s="56">
        <f>IF(AS539="1",BJ539,0)</f>
        <v>0</v>
      </c>
      <c r="AE539" s="56">
        <f>IF(AS539="1",BK539,0)</f>
        <v>0</v>
      </c>
      <c r="AF539" s="56">
        <f>IF(AS539="7",BJ539,0)</f>
        <v>0</v>
      </c>
      <c r="AG539" s="56">
        <f>IF(AS539="7",BK539,0)</f>
        <v>0</v>
      </c>
      <c r="AH539" s="56">
        <f>IF(AS539="2",BJ539,0)</f>
        <v>0</v>
      </c>
      <c r="AI539" s="56">
        <f>IF(AS539="2",BK539,0)</f>
        <v>0</v>
      </c>
      <c r="AJ539" s="56">
        <f>IF(AS539="0",BL539,0)</f>
        <v>0</v>
      </c>
      <c r="AK539" s="7" t="s">
        <v>1746</v>
      </c>
      <c r="AL539" s="80">
        <f>IF(AP539=0,K539,0)</f>
        <v>0</v>
      </c>
      <c r="AM539" s="80">
        <f>IF(AP539=15,K539,0)</f>
        <v>0</v>
      </c>
      <c r="AN539" s="80">
        <f>IF(AP539=21,K539,0)</f>
        <v>0</v>
      </c>
      <c r="AP539" s="56">
        <v>21</v>
      </c>
      <c r="AQ539" s="88">
        <f>H539*1</f>
        <v>0</v>
      </c>
      <c r="AR539" s="88">
        <f>H539*(1-1)</f>
        <v>0</v>
      </c>
      <c r="AS539" s="64" t="s">
        <v>2311</v>
      </c>
      <c r="AX539" s="56">
        <f>AY539+AZ539</f>
        <v>0</v>
      </c>
      <c r="AY539" s="56">
        <f>G539*AQ539</f>
        <v>0</v>
      </c>
      <c r="AZ539" s="56">
        <f>G539*AR539</f>
        <v>0</v>
      </c>
      <c r="BA539" s="21" t="s">
        <v>243</v>
      </c>
      <c r="BB539" s="21" t="s">
        <v>1040</v>
      </c>
      <c r="BC539" s="7" t="s">
        <v>1747</v>
      </c>
      <c r="BE539" s="56">
        <f>AY539+AZ539</f>
        <v>0</v>
      </c>
      <c r="BF539" s="56">
        <f>H539/(100-BG539)*100</f>
        <v>0</v>
      </c>
      <c r="BG539" s="56">
        <v>0</v>
      </c>
      <c r="BH539" s="56">
        <f>M539</f>
        <v>0.16</v>
      </c>
      <c r="BJ539" s="80">
        <f>G539*AQ539</f>
        <v>0</v>
      </c>
      <c r="BK539" s="80">
        <f>G539*AR539</f>
        <v>0</v>
      </c>
      <c r="BL539" s="80">
        <f>G539*H539</f>
        <v>0</v>
      </c>
      <c r="BM539" s="80"/>
      <c r="BN539" s="56">
        <v>766</v>
      </c>
    </row>
    <row r="540" spans="1:66" ht="15" customHeight="1">
      <c r="A540" s="36"/>
      <c r="C540" s="522"/>
      <c r="D540" s="533" t="s">
        <v>980</v>
      </c>
      <c r="E540" s="525" t="s">
        <v>1597</v>
      </c>
      <c r="F540" s="522"/>
      <c r="G540" s="534">
        <v>0.25</v>
      </c>
      <c r="H540" s="522"/>
      <c r="I540" s="522"/>
      <c r="J540" s="522"/>
      <c r="K540" s="522"/>
      <c r="N540" s="19"/>
      <c r="P540" s="592"/>
      <c r="Q540" s="592"/>
      <c r="R540" s="592"/>
      <c r="S540" s="592"/>
      <c r="T540" s="592"/>
      <c r="U540" s="592"/>
      <c r="V540" s="592"/>
      <c r="W540" s="592"/>
      <c r="X540" s="592"/>
    </row>
    <row r="541" spans="1:66" ht="15" customHeight="1">
      <c r="A541" s="36"/>
      <c r="C541" s="522"/>
      <c r="D541" s="533" t="s">
        <v>605</v>
      </c>
      <c r="E541" s="525" t="s">
        <v>1597</v>
      </c>
      <c r="F541" s="522"/>
      <c r="G541" s="534">
        <v>7.0000000000000007E-2</v>
      </c>
      <c r="H541" s="522"/>
      <c r="I541" s="522"/>
      <c r="J541" s="522"/>
      <c r="K541" s="522"/>
      <c r="N541" s="19"/>
      <c r="P541" s="592"/>
      <c r="Q541" s="592"/>
      <c r="R541" s="592"/>
      <c r="S541" s="592"/>
      <c r="T541" s="592"/>
      <c r="U541" s="592"/>
      <c r="V541" s="592"/>
      <c r="W541" s="592"/>
      <c r="X541" s="592"/>
    </row>
    <row r="542" spans="1:66" ht="15" customHeight="1">
      <c r="A542" s="8" t="s">
        <v>1566</v>
      </c>
      <c r="B542" s="75" t="s">
        <v>1746</v>
      </c>
      <c r="C542" s="532" t="s">
        <v>1558</v>
      </c>
      <c r="D542" s="713" t="s">
        <v>1048</v>
      </c>
      <c r="E542" s="713"/>
      <c r="F542" s="532" t="s">
        <v>564</v>
      </c>
      <c r="G542" s="523">
        <v>30</v>
      </c>
      <c r="H542" s="626"/>
      <c r="I542" s="523">
        <f>G542*AQ542</f>
        <v>0</v>
      </c>
      <c r="J542" s="523">
        <f>G542*AR542</f>
        <v>0</v>
      </c>
      <c r="K542" s="523">
        <f>G542*H542</f>
        <v>0</v>
      </c>
      <c r="L542" s="80">
        <v>2E-3</v>
      </c>
      <c r="M542" s="80">
        <f>G542*L542</f>
        <v>0.06</v>
      </c>
      <c r="N542" s="38" t="s">
        <v>1597</v>
      </c>
      <c r="P542" s="592">
        <f>K542</f>
        <v>0</v>
      </c>
      <c r="Q542" s="592"/>
      <c r="R542" s="592"/>
      <c r="S542" s="592"/>
      <c r="T542" s="592"/>
      <c r="U542" s="592"/>
      <c r="V542" s="592"/>
      <c r="W542" s="592"/>
      <c r="X542" s="592"/>
      <c r="AB542" s="56">
        <f>IF(AS542="5",BL542,0)</f>
        <v>0</v>
      </c>
      <c r="AD542" s="56">
        <f>IF(AS542="1",BJ542,0)</f>
        <v>0</v>
      </c>
      <c r="AE542" s="56">
        <f>IF(AS542="1",BK542,0)</f>
        <v>0</v>
      </c>
      <c r="AF542" s="56">
        <f>IF(AS542="7",BJ542,0)</f>
        <v>0</v>
      </c>
      <c r="AG542" s="56">
        <f>IF(AS542="7",BK542,0)</f>
        <v>0</v>
      </c>
      <c r="AH542" s="56">
        <f>IF(AS542="2",BJ542,0)</f>
        <v>0</v>
      </c>
      <c r="AI542" s="56">
        <f>IF(AS542="2",BK542,0)</f>
        <v>0</v>
      </c>
      <c r="AJ542" s="56">
        <f>IF(AS542="0",BL542,0)</f>
        <v>0</v>
      </c>
      <c r="AK542" s="7" t="s">
        <v>1746</v>
      </c>
      <c r="AL542" s="80">
        <f>IF(AP542=0,K542,0)</f>
        <v>0</v>
      </c>
      <c r="AM542" s="80">
        <f>IF(AP542=15,K542,0)</f>
        <v>0</v>
      </c>
      <c r="AN542" s="80">
        <f>IF(AP542=21,K542,0)</f>
        <v>0</v>
      </c>
      <c r="AP542" s="56">
        <v>21</v>
      </c>
      <c r="AQ542" s="88">
        <f>H542*1</f>
        <v>0</v>
      </c>
      <c r="AR542" s="88">
        <f>H542*(1-1)</f>
        <v>0</v>
      </c>
      <c r="AS542" s="64" t="s">
        <v>2311</v>
      </c>
      <c r="AX542" s="56">
        <f>AY542+AZ542</f>
        <v>0</v>
      </c>
      <c r="AY542" s="56">
        <f>G542*AQ542</f>
        <v>0</v>
      </c>
      <c r="AZ542" s="56">
        <f>G542*AR542</f>
        <v>0</v>
      </c>
      <c r="BA542" s="21" t="s">
        <v>243</v>
      </c>
      <c r="BB542" s="21" t="s">
        <v>1040</v>
      </c>
      <c r="BC542" s="7" t="s">
        <v>1747</v>
      </c>
      <c r="BE542" s="56">
        <f>AY542+AZ542</f>
        <v>0</v>
      </c>
      <c r="BF542" s="56">
        <f>H542/(100-BG542)*100</f>
        <v>0</v>
      </c>
      <c r="BG542" s="56">
        <v>0</v>
      </c>
      <c r="BH542" s="56">
        <f>M542</f>
        <v>0.06</v>
      </c>
      <c r="BJ542" s="80">
        <f>G542*AQ542</f>
        <v>0</v>
      </c>
      <c r="BK542" s="80">
        <f>G542*AR542</f>
        <v>0</v>
      </c>
      <c r="BL542" s="80">
        <f>G542*H542</f>
        <v>0</v>
      </c>
      <c r="BM542" s="80"/>
      <c r="BN542" s="56">
        <v>766</v>
      </c>
    </row>
    <row r="543" spans="1:66" ht="15" customHeight="1">
      <c r="A543" s="36"/>
      <c r="C543" s="522"/>
      <c r="D543" s="533" t="s">
        <v>1485</v>
      </c>
      <c r="E543" s="525" t="s">
        <v>1597</v>
      </c>
      <c r="F543" s="522"/>
      <c r="G543" s="534">
        <v>30.000000000000004</v>
      </c>
      <c r="H543" s="522"/>
      <c r="I543" s="522"/>
      <c r="J543" s="522"/>
      <c r="K543" s="522"/>
      <c r="N543" s="19"/>
      <c r="P543" s="592"/>
      <c r="Q543" s="592"/>
      <c r="R543" s="592"/>
      <c r="S543" s="592"/>
      <c r="T543" s="592"/>
      <c r="U543" s="592"/>
      <c r="V543" s="592"/>
      <c r="W543" s="592"/>
      <c r="X543" s="592"/>
    </row>
    <row r="544" spans="1:66" ht="15" customHeight="1">
      <c r="A544" s="24" t="s">
        <v>2084</v>
      </c>
      <c r="B544" s="12" t="s">
        <v>1746</v>
      </c>
      <c r="C544" s="507" t="s">
        <v>712</v>
      </c>
      <c r="D544" s="715" t="s">
        <v>805</v>
      </c>
      <c r="E544" s="715"/>
      <c r="F544" s="507" t="s">
        <v>564</v>
      </c>
      <c r="G544" s="508">
        <v>5</v>
      </c>
      <c r="H544" s="625"/>
      <c r="I544" s="508">
        <f>G544*AQ544</f>
        <v>0</v>
      </c>
      <c r="J544" s="508">
        <f>G544*AR544</f>
        <v>0</v>
      </c>
      <c r="K544" s="508">
        <f>G544*H544</f>
        <v>0</v>
      </c>
      <c r="L544" s="56">
        <v>1.0000000000000001E-5</v>
      </c>
      <c r="M544" s="56">
        <f>G544*L544</f>
        <v>5.0000000000000002E-5</v>
      </c>
      <c r="N544" s="31" t="s">
        <v>1579</v>
      </c>
      <c r="P544" s="592"/>
      <c r="Q544" s="592"/>
      <c r="R544" s="592"/>
      <c r="S544" s="592"/>
      <c r="T544" s="592"/>
      <c r="U544" s="592">
        <f>K544</f>
        <v>0</v>
      </c>
      <c r="V544" s="592"/>
      <c r="W544" s="592"/>
      <c r="X544" s="592"/>
      <c r="AB544" s="56">
        <f>IF(AS544="5",BL544,0)</f>
        <v>0</v>
      </c>
      <c r="AD544" s="56">
        <f>IF(AS544="1",BJ544,0)</f>
        <v>0</v>
      </c>
      <c r="AE544" s="56">
        <f>IF(AS544="1",BK544,0)</f>
        <v>0</v>
      </c>
      <c r="AF544" s="56">
        <f>IF(AS544="7",BJ544,0)</f>
        <v>0</v>
      </c>
      <c r="AG544" s="56">
        <f>IF(AS544="7",BK544,0)</f>
        <v>0</v>
      </c>
      <c r="AH544" s="56">
        <f>IF(AS544="2",BJ544,0)</f>
        <v>0</v>
      </c>
      <c r="AI544" s="56">
        <f>IF(AS544="2",BK544,0)</f>
        <v>0</v>
      </c>
      <c r="AJ544" s="56">
        <f>IF(AS544="0",BL544,0)</f>
        <v>0</v>
      </c>
      <c r="AK544" s="7" t="s">
        <v>1746</v>
      </c>
      <c r="AL544" s="56">
        <f>IF(AP544=0,K544,0)</f>
        <v>0</v>
      </c>
      <c r="AM544" s="56">
        <f>IF(AP544=15,K544,0)</f>
        <v>0</v>
      </c>
      <c r="AN544" s="56">
        <f>IF(AP544=21,K544,0)</f>
        <v>0</v>
      </c>
      <c r="AP544" s="56">
        <v>21</v>
      </c>
      <c r="AQ544" s="88">
        <f>H544*0.028691952434634</f>
        <v>0</v>
      </c>
      <c r="AR544" s="88">
        <f>H544*(1-0.028691952434634)</f>
        <v>0</v>
      </c>
      <c r="AS544" s="21" t="s">
        <v>2311</v>
      </c>
      <c r="AX544" s="56">
        <f>AY544+AZ544</f>
        <v>0</v>
      </c>
      <c r="AY544" s="56">
        <f>G544*AQ544</f>
        <v>0</v>
      </c>
      <c r="AZ544" s="56">
        <f>G544*AR544</f>
        <v>0</v>
      </c>
      <c r="BA544" s="21" t="s">
        <v>243</v>
      </c>
      <c r="BB544" s="21" t="s">
        <v>1040</v>
      </c>
      <c r="BC544" s="7" t="s">
        <v>1747</v>
      </c>
      <c r="BE544" s="56">
        <f>AY544+AZ544</f>
        <v>0</v>
      </c>
      <c r="BF544" s="56">
        <f>H544/(100-BG544)*100</f>
        <v>0</v>
      </c>
      <c r="BG544" s="56">
        <v>0</v>
      </c>
      <c r="BH544" s="56">
        <f>M544</f>
        <v>5.0000000000000002E-5</v>
      </c>
      <c r="BJ544" s="56">
        <f>G544*AQ544</f>
        <v>0</v>
      </c>
      <c r="BK544" s="56">
        <f>G544*AR544</f>
        <v>0</v>
      </c>
      <c r="BL544" s="56">
        <f>G544*H544</f>
        <v>0</v>
      </c>
      <c r="BM544" s="56"/>
      <c r="BN544" s="56">
        <v>766</v>
      </c>
    </row>
    <row r="545" spans="1:66" ht="15" customHeight="1">
      <c r="A545" s="36"/>
      <c r="C545" s="510"/>
      <c r="D545" s="519" t="s">
        <v>421</v>
      </c>
      <c r="E545" s="520" t="s">
        <v>1597</v>
      </c>
      <c r="F545" s="510"/>
      <c r="G545" s="521">
        <v>5</v>
      </c>
      <c r="H545" s="510"/>
      <c r="I545" s="510"/>
      <c r="J545" s="510"/>
      <c r="K545" s="510"/>
      <c r="N545" s="19"/>
      <c r="P545" s="592"/>
      <c r="Q545" s="592"/>
      <c r="R545" s="592"/>
      <c r="S545" s="592"/>
      <c r="T545" s="592"/>
      <c r="U545" s="592"/>
      <c r="V545" s="592"/>
      <c r="W545" s="592"/>
      <c r="X545" s="592"/>
    </row>
    <row r="546" spans="1:66" ht="15" customHeight="1">
      <c r="A546" s="8" t="s">
        <v>37</v>
      </c>
      <c r="B546" s="75" t="s">
        <v>1746</v>
      </c>
      <c r="C546" s="541" t="s">
        <v>467</v>
      </c>
      <c r="D546" s="714" t="s">
        <v>399</v>
      </c>
      <c r="E546" s="714"/>
      <c r="F546" s="541" t="s">
        <v>1923</v>
      </c>
      <c r="G546" s="542">
        <v>19.920000000000002</v>
      </c>
      <c r="H546" s="626"/>
      <c r="I546" s="542">
        <f>G546*AQ546</f>
        <v>0</v>
      </c>
      <c r="J546" s="542">
        <f>G546*AR546</f>
        <v>0</v>
      </c>
      <c r="K546" s="542">
        <f>G546*H546</f>
        <v>0</v>
      </c>
      <c r="L546" s="80">
        <v>3.0400000000000002E-3</v>
      </c>
      <c r="M546" s="80">
        <f>G546*L546</f>
        <v>6.0556800000000008E-2</v>
      </c>
      <c r="N546" s="38" t="s">
        <v>1579</v>
      </c>
      <c r="P546" s="592"/>
      <c r="Q546" s="592"/>
      <c r="R546" s="592"/>
      <c r="S546" s="592"/>
      <c r="T546" s="592"/>
      <c r="U546" s="592">
        <f>K546</f>
        <v>0</v>
      </c>
      <c r="V546" s="592"/>
      <c r="W546" s="592"/>
      <c r="X546" s="592"/>
      <c r="AB546" s="56">
        <f>IF(AS546="5",BL546,0)</f>
        <v>0</v>
      </c>
      <c r="AD546" s="56">
        <f>IF(AS546="1",BJ546,0)</f>
        <v>0</v>
      </c>
      <c r="AE546" s="56">
        <f>IF(AS546="1",BK546,0)</f>
        <v>0</v>
      </c>
      <c r="AF546" s="56">
        <f>IF(AS546="7",BJ546,0)</f>
        <v>0</v>
      </c>
      <c r="AG546" s="56">
        <f>IF(AS546="7",BK546,0)</f>
        <v>0</v>
      </c>
      <c r="AH546" s="56">
        <f>IF(AS546="2",BJ546,0)</f>
        <v>0</v>
      </c>
      <c r="AI546" s="56">
        <f>IF(AS546="2",BK546,0)</f>
        <v>0</v>
      </c>
      <c r="AJ546" s="56">
        <f>IF(AS546="0",BL546,0)</f>
        <v>0</v>
      </c>
      <c r="AK546" s="7" t="s">
        <v>1746</v>
      </c>
      <c r="AL546" s="80">
        <f>IF(AP546=0,K546,0)</f>
        <v>0</v>
      </c>
      <c r="AM546" s="80">
        <f>IF(AP546=15,K546,0)</f>
        <v>0</v>
      </c>
      <c r="AN546" s="80">
        <f>IF(AP546=21,K546,0)</f>
        <v>0</v>
      </c>
      <c r="AP546" s="56">
        <v>21</v>
      </c>
      <c r="AQ546" s="88">
        <f>H546*1</f>
        <v>0</v>
      </c>
      <c r="AR546" s="88">
        <f>H546*(1-1)</f>
        <v>0</v>
      </c>
      <c r="AS546" s="64" t="s">
        <v>2311</v>
      </c>
      <c r="AX546" s="56">
        <f>AY546+AZ546</f>
        <v>0</v>
      </c>
      <c r="AY546" s="56">
        <f>G546*AQ546</f>
        <v>0</v>
      </c>
      <c r="AZ546" s="56">
        <f>G546*AR546</f>
        <v>0</v>
      </c>
      <c r="BA546" s="21" t="s">
        <v>243</v>
      </c>
      <c r="BB546" s="21" t="s">
        <v>1040</v>
      </c>
      <c r="BC546" s="7" t="s">
        <v>1747</v>
      </c>
      <c r="BE546" s="56">
        <f>AY546+AZ546</f>
        <v>0</v>
      </c>
      <c r="BF546" s="56">
        <f>H546/(100-BG546)*100</f>
        <v>0</v>
      </c>
      <c r="BG546" s="56">
        <v>0</v>
      </c>
      <c r="BH546" s="56">
        <f>M546</f>
        <v>6.0556800000000008E-2</v>
      </c>
      <c r="BJ546" s="80">
        <f>G546*AQ546</f>
        <v>0</v>
      </c>
      <c r="BK546" s="80">
        <f>G546*AR546</f>
        <v>0</v>
      </c>
      <c r="BL546" s="80">
        <f>G546*H546</f>
        <v>0</v>
      </c>
      <c r="BM546" s="80"/>
      <c r="BN546" s="56">
        <v>766</v>
      </c>
    </row>
    <row r="547" spans="1:66" ht="15" customHeight="1">
      <c r="A547" s="36"/>
      <c r="C547" s="510"/>
      <c r="D547" s="519" t="s">
        <v>1815</v>
      </c>
      <c r="E547" s="520" t="s">
        <v>1597</v>
      </c>
      <c r="F547" s="510"/>
      <c r="G547" s="521">
        <v>16.600000000000001</v>
      </c>
      <c r="H547" s="510"/>
      <c r="I547" s="510"/>
      <c r="J547" s="510"/>
      <c r="K547" s="510"/>
      <c r="N547" s="19"/>
      <c r="P547" s="592"/>
      <c r="Q547" s="592"/>
      <c r="R547" s="592"/>
      <c r="S547" s="592"/>
      <c r="T547" s="592"/>
      <c r="U547" s="592"/>
      <c r="V547" s="592"/>
      <c r="W547" s="592"/>
      <c r="X547" s="592"/>
    </row>
    <row r="548" spans="1:66" ht="15" customHeight="1">
      <c r="A548" s="36"/>
      <c r="C548" s="510"/>
      <c r="D548" s="519" t="s">
        <v>1211</v>
      </c>
      <c r="E548" s="520" t="s">
        <v>1597</v>
      </c>
      <c r="F548" s="510"/>
      <c r="G548" s="521">
        <v>3.3200000000000003</v>
      </c>
      <c r="H548" s="510"/>
      <c r="I548" s="510"/>
      <c r="J548" s="510"/>
      <c r="K548" s="510"/>
      <c r="N548" s="19"/>
      <c r="P548" s="592"/>
      <c r="Q548" s="592"/>
      <c r="R548" s="592"/>
      <c r="S548" s="592"/>
      <c r="T548" s="592"/>
      <c r="U548" s="592"/>
      <c r="V548" s="592"/>
      <c r="W548" s="592"/>
      <c r="X548" s="592"/>
    </row>
    <row r="549" spans="1:66" ht="15" customHeight="1">
      <c r="A549" s="24" t="s">
        <v>2475</v>
      </c>
      <c r="B549" s="12" t="s">
        <v>1746</v>
      </c>
      <c r="C549" s="527" t="s">
        <v>1463</v>
      </c>
      <c r="D549" s="630" t="s">
        <v>1648</v>
      </c>
      <c r="E549" s="630"/>
      <c r="F549" s="12" t="s">
        <v>564</v>
      </c>
      <c r="G549" s="56">
        <v>19</v>
      </c>
      <c r="H549" s="625"/>
      <c r="I549" s="56">
        <f>G549*AQ549</f>
        <v>0</v>
      </c>
      <c r="J549" s="56">
        <f>G549*AR549</f>
        <v>0</v>
      </c>
      <c r="K549" s="528">
        <f>G549*H549</f>
        <v>0</v>
      </c>
      <c r="L549" s="56">
        <v>1.0000000000000001E-5</v>
      </c>
      <c r="M549" s="56">
        <f>G549*L549</f>
        <v>1.9000000000000001E-4</v>
      </c>
      <c r="N549" s="31" t="s">
        <v>1579</v>
      </c>
      <c r="P549" s="592"/>
      <c r="Q549" s="592">
        <f>K549</f>
        <v>0</v>
      </c>
      <c r="R549" s="592"/>
      <c r="S549" s="592"/>
      <c r="T549" s="592"/>
      <c r="U549" s="592"/>
      <c r="V549" s="592"/>
      <c r="W549" s="592"/>
      <c r="X549" s="592"/>
      <c r="AB549" s="56">
        <f>IF(AS549="5",BL549,0)</f>
        <v>0</v>
      </c>
      <c r="AD549" s="56">
        <f>IF(AS549="1",BJ549,0)</f>
        <v>0</v>
      </c>
      <c r="AE549" s="56">
        <f>IF(AS549="1",BK549,0)</f>
        <v>0</v>
      </c>
      <c r="AF549" s="56">
        <f>IF(AS549="7",BJ549,0)</f>
        <v>0</v>
      </c>
      <c r="AG549" s="56">
        <f>IF(AS549="7",BK549,0)</f>
        <v>0</v>
      </c>
      <c r="AH549" s="56">
        <f>IF(AS549="2",BJ549,0)</f>
        <v>0</v>
      </c>
      <c r="AI549" s="56">
        <f>IF(AS549="2",BK549,0)</f>
        <v>0</v>
      </c>
      <c r="AJ549" s="56">
        <f>IF(AS549="0",BL549,0)</f>
        <v>0</v>
      </c>
      <c r="AK549" s="7" t="s">
        <v>1746</v>
      </c>
      <c r="AL549" s="56">
        <f>IF(AP549=0,K549,0)</f>
        <v>0</v>
      </c>
      <c r="AM549" s="56">
        <f>IF(AP549=15,K549,0)</f>
        <v>0</v>
      </c>
      <c r="AN549" s="56">
        <f>IF(AP549=21,K549,0)</f>
        <v>0</v>
      </c>
      <c r="AP549" s="56">
        <v>21</v>
      </c>
      <c r="AQ549" s="88">
        <f>H549*0.0388191881918819</f>
        <v>0</v>
      </c>
      <c r="AR549" s="88">
        <f>H549*(1-0.0388191881918819)</f>
        <v>0</v>
      </c>
      <c r="AS549" s="21" t="s">
        <v>2311</v>
      </c>
      <c r="AX549" s="56">
        <f>AY549+AZ549</f>
        <v>0</v>
      </c>
      <c r="AY549" s="56">
        <f>G549*AQ549</f>
        <v>0</v>
      </c>
      <c r="AZ549" s="56">
        <f>G549*AR549</f>
        <v>0</v>
      </c>
      <c r="BA549" s="21" t="s">
        <v>243</v>
      </c>
      <c r="BB549" s="21" t="s">
        <v>1040</v>
      </c>
      <c r="BC549" s="7" t="s">
        <v>1747</v>
      </c>
      <c r="BE549" s="56">
        <f>AY549+AZ549</f>
        <v>0</v>
      </c>
      <c r="BF549" s="56">
        <f>H549/(100-BG549)*100</f>
        <v>0</v>
      </c>
      <c r="BG549" s="56">
        <v>0</v>
      </c>
      <c r="BH549" s="56">
        <f>M549</f>
        <v>1.9000000000000001E-4</v>
      </c>
      <c r="BJ549" s="56">
        <f>G549*AQ549</f>
        <v>0</v>
      </c>
      <c r="BK549" s="56">
        <f>G549*AR549</f>
        <v>0</v>
      </c>
      <c r="BL549" s="56">
        <f>G549*H549</f>
        <v>0</v>
      </c>
      <c r="BM549" s="56"/>
      <c r="BN549" s="56">
        <v>766</v>
      </c>
    </row>
    <row r="550" spans="1:66" ht="15" customHeight="1">
      <c r="A550" s="36"/>
      <c r="C550" s="535"/>
      <c r="D550" s="45" t="s">
        <v>772</v>
      </c>
      <c r="E550" s="104" t="s">
        <v>1597</v>
      </c>
      <c r="G550" s="13">
        <v>19</v>
      </c>
      <c r="K550" s="535"/>
      <c r="N550" s="19"/>
      <c r="P550" s="592"/>
      <c r="Q550" s="592"/>
      <c r="R550" s="592"/>
      <c r="S550" s="592"/>
      <c r="T550" s="592"/>
      <c r="U550" s="592"/>
      <c r="V550" s="592"/>
      <c r="W550" s="592"/>
      <c r="X550" s="592"/>
    </row>
    <row r="551" spans="1:66" ht="15" customHeight="1">
      <c r="A551" s="8" t="s">
        <v>1745</v>
      </c>
      <c r="B551" s="75" t="s">
        <v>1746</v>
      </c>
      <c r="C551" s="549" t="s">
        <v>2640</v>
      </c>
      <c r="D551" s="710" t="s">
        <v>2462</v>
      </c>
      <c r="E551" s="710"/>
      <c r="F551" s="75" t="s">
        <v>564</v>
      </c>
      <c r="G551" s="80">
        <v>19</v>
      </c>
      <c r="H551" s="626"/>
      <c r="I551" s="80">
        <f>G551*AQ551</f>
        <v>0</v>
      </c>
      <c r="J551" s="80">
        <f>G551*AR551</f>
        <v>0</v>
      </c>
      <c r="K551" s="548">
        <f>G551*H551</f>
        <v>0</v>
      </c>
      <c r="L551" s="80">
        <v>1.1999999999999999E-3</v>
      </c>
      <c r="M551" s="80">
        <f>G551*L551</f>
        <v>2.2799999999999997E-2</v>
      </c>
      <c r="N551" s="38" t="s">
        <v>1579</v>
      </c>
      <c r="P551" s="592"/>
      <c r="Q551" s="592">
        <f>K551</f>
        <v>0</v>
      </c>
      <c r="R551" s="592"/>
      <c r="S551" s="592"/>
      <c r="T551" s="592"/>
      <c r="U551" s="592"/>
      <c r="V551" s="592"/>
      <c r="W551" s="592"/>
      <c r="X551" s="592"/>
      <c r="AB551" s="56">
        <f>IF(AS551="5",BL551,0)</f>
        <v>0</v>
      </c>
      <c r="AD551" s="56">
        <f>IF(AS551="1",BJ551,0)</f>
        <v>0</v>
      </c>
      <c r="AE551" s="56">
        <f>IF(AS551="1",BK551,0)</f>
        <v>0</v>
      </c>
      <c r="AF551" s="56">
        <f>IF(AS551="7",BJ551,0)</f>
        <v>0</v>
      </c>
      <c r="AG551" s="56">
        <f>IF(AS551="7",BK551,0)</f>
        <v>0</v>
      </c>
      <c r="AH551" s="56">
        <f>IF(AS551="2",BJ551,0)</f>
        <v>0</v>
      </c>
      <c r="AI551" s="56">
        <f>IF(AS551="2",BK551,0)</f>
        <v>0</v>
      </c>
      <c r="AJ551" s="56">
        <f>IF(AS551="0",BL551,0)</f>
        <v>0</v>
      </c>
      <c r="AK551" s="7" t="s">
        <v>1746</v>
      </c>
      <c r="AL551" s="80">
        <f>IF(AP551=0,K551,0)</f>
        <v>0</v>
      </c>
      <c r="AM551" s="80">
        <f>IF(AP551=15,K551,0)</f>
        <v>0</v>
      </c>
      <c r="AN551" s="80">
        <f>IF(AP551=21,K551,0)</f>
        <v>0</v>
      </c>
      <c r="AP551" s="56">
        <v>21</v>
      </c>
      <c r="AQ551" s="88">
        <f>H551*1</f>
        <v>0</v>
      </c>
      <c r="AR551" s="88">
        <f>H551*(1-1)</f>
        <v>0</v>
      </c>
      <c r="AS551" s="64" t="s">
        <v>2311</v>
      </c>
      <c r="AX551" s="56">
        <f>AY551+AZ551</f>
        <v>0</v>
      </c>
      <c r="AY551" s="56">
        <f>G551*AQ551</f>
        <v>0</v>
      </c>
      <c r="AZ551" s="56">
        <f>G551*AR551</f>
        <v>0</v>
      </c>
      <c r="BA551" s="21" t="s">
        <v>243</v>
      </c>
      <c r="BB551" s="21" t="s">
        <v>1040</v>
      </c>
      <c r="BC551" s="7" t="s">
        <v>1747</v>
      </c>
      <c r="BE551" s="56">
        <f>AY551+AZ551</f>
        <v>0</v>
      </c>
      <c r="BF551" s="56">
        <f>H551/(100-BG551)*100</f>
        <v>0</v>
      </c>
      <c r="BG551" s="56">
        <v>0</v>
      </c>
      <c r="BH551" s="56">
        <f>M551</f>
        <v>2.2799999999999997E-2</v>
      </c>
      <c r="BJ551" s="80">
        <f>G551*AQ551</f>
        <v>0</v>
      </c>
      <c r="BK551" s="80">
        <f>G551*AR551</f>
        <v>0</v>
      </c>
      <c r="BL551" s="80">
        <f>G551*H551</f>
        <v>0</v>
      </c>
      <c r="BM551" s="80"/>
      <c r="BN551" s="56">
        <v>766</v>
      </c>
    </row>
    <row r="552" spans="1:66" ht="15" customHeight="1">
      <c r="A552" s="36"/>
      <c r="D552" s="45" t="s">
        <v>1466</v>
      </c>
      <c r="E552" s="104" t="s">
        <v>1597</v>
      </c>
      <c r="G552" s="13">
        <v>19</v>
      </c>
      <c r="N552" s="19"/>
      <c r="P552" s="592"/>
      <c r="Q552" s="592"/>
      <c r="R552" s="592"/>
      <c r="S552" s="592"/>
      <c r="T552" s="592"/>
      <c r="U552" s="592"/>
      <c r="V552" s="592"/>
      <c r="W552" s="592"/>
      <c r="X552" s="592"/>
    </row>
    <row r="553" spans="1:66" ht="15" customHeight="1">
      <c r="A553" s="32" t="s">
        <v>1597</v>
      </c>
      <c r="B553" s="26" t="s">
        <v>1746</v>
      </c>
      <c r="C553" s="512" t="s">
        <v>1041</v>
      </c>
      <c r="D553" s="709" t="s">
        <v>703</v>
      </c>
      <c r="E553" s="709"/>
      <c r="F553" s="46" t="s">
        <v>2144</v>
      </c>
      <c r="G553" s="46" t="s">
        <v>2144</v>
      </c>
      <c r="H553" s="46" t="s">
        <v>2144</v>
      </c>
      <c r="I553" s="17">
        <f>SUM(I554:I607)</f>
        <v>0</v>
      </c>
      <c r="J553" s="17">
        <f>SUM(J554:J607)</f>
        <v>0</v>
      </c>
      <c r="K553" s="515">
        <f>SUM(K554:K607)</f>
        <v>0</v>
      </c>
      <c r="L553" s="7" t="s">
        <v>1597</v>
      </c>
      <c r="M553" s="17">
        <f>SUM(M554:M607)</f>
        <v>19.067067500000004</v>
      </c>
      <c r="N553" s="20" t="s">
        <v>1597</v>
      </c>
      <c r="P553" s="592">
        <f>K553</f>
        <v>0</v>
      </c>
      <c r="Q553" s="592"/>
      <c r="R553" s="592"/>
      <c r="S553" s="592"/>
      <c r="T553" s="592"/>
      <c r="U553" s="592"/>
      <c r="V553" s="592"/>
      <c r="W553" s="592"/>
      <c r="X553" s="592"/>
      <c r="AK553" s="7" t="s">
        <v>1746</v>
      </c>
      <c r="AU553" s="17">
        <f>SUM(AL554:AL607)</f>
        <v>0</v>
      </c>
      <c r="AV553" s="17">
        <f>SUM(AM554:AM607)</f>
        <v>0</v>
      </c>
      <c r="AW553" s="17">
        <f>SUM(AN554:AN607)</f>
        <v>0</v>
      </c>
    </row>
    <row r="554" spans="1:66" ht="15" customHeight="1">
      <c r="A554" s="24" t="s">
        <v>1348</v>
      </c>
      <c r="B554" s="12" t="s">
        <v>1746</v>
      </c>
      <c r="C554" s="12" t="s">
        <v>2008</v>
      </c>
      <c r="D554" s="630" t="s">
        <v>943</v>
      </c>
      <c r="E554" s="630"/>
      <c r="F554" s="12" t="s">
        <v>2182</v>
      </c>
      <c r="G554" s="56">
        <v>17679.849999999999</v>
      </c>
      <c r="H554" s="625"/>
      <c r="I554" s="56">
        <f>G554*AQ554</f>
        <v>0</v>
      </c>
      <c r="J554" s="56">
        <f>G554*AR554</f>
        <v>0</v>
      </c>
      <c r="K554" s="56">
        <f>G554*H554</f>
        <v>0</v>
      </c>
      <c r="L554" s="56">
        <v>5.0000000000000002E-5</v>
      </c>
      <c r="M554" s="56">
        <f>G554*L554</f>
        <v>0.88399249999999996</v>
      </c>
      <c r="N554" s="31" t="s">
        <v>1579</v>
      </c>
      <c r="P554" s="592"/>
      <c r="Q554" s="592"/>
      <c r="R554" s="592"/>
      <c r="S554" s="592"/>
      <c r="T554" s="592"/>
      <c r="U554" s="592"/>
      <c r="V554" s="592"/>
      <c r="W554" s="592"/>
      <c r="X554" s="592"/>
      <c r="AB554" s="56">
        <f>IF(AS554="5",BL554,0)</f>
        <v>0</v>
      </c>
      <c r="AD554" s="56">
        <f>IF(AS554="1",BJ554,0)</f>
        <v>0</v>
      </c>
      <c r="AE554" s="56">
        <f>IF(AS554="1",BK554,0)</f>
        <v>0</v>
      </c>
      <c r="AF554" s="56">
        <f>IF(AS554="7",BJ554,0)</f>
        <v>0</v>
      </c>
      <c r="AG554" s="56">
        <f>IF(AS554="7",BK554,0)</f>
        <v>0</v>
      </c>
      <c r="AH554" s="56">
        <f>IF(AS554="2",BJ554,0)</f>
        <v>0</v>
      </c>
      <c r="AI554" s="56">
        <f>IF(AS554="2",BK554,0)</f>
        <v>0</v>
      </c>
      <c r="AJ554" s="56">
        <f>IF(AS554="0",BL554,0)</f>
        <v>0</v>
      </c>
      <c r="AK554" s="7" t="s">
        <v>1746</v>
      </c>
      <c r="AL554" s="56">
        <f>IF(AP554=0,K554,0)</f>
        <v>0</v>
      </c>
      <c r="AM554" s="56">
        <f>IF(AP554=15,K554,0)</f>
        <v>0</v>
      </c>
      <c r="AN554" s="56">
        <f>IF(AP554=21,K554,0)</f>
        <v>0</v>
      </c>
      <c r="AP554" s="56">
        <v>21</v>
      </c>
      <c r="AQ554" s="88">
        <f>H554*0.240095463773249</f>
        <v>0</v>
      </c>
      <c r="AR554" s="88">
        <f>H554*(1-0.240095463773249)</f>
        <v>0</v>
      </c>
      <c r="AS554" s="21" t="s">
        <v>2311</v>
      </c>
      <c r="AX554" s="56">
        <f>AY554+AZ554</f>
        <v>0</v>
      </c>
      <c r="AY554" s="56">
        <f>G554*AQ554</f>
        <v>0</v>
      </c>
      <c r="AZ554" s="56">
        <f>G554*AR554</f>
        <v>0</v>
      </c>
      <c r="BA554" s="21" t="s">
        <v>644</v>
      </c>
      <c r="BB554" s="21" t="s">
        <v>1040</v>
      </c>
      <c r="BC554" s="7" t="s">
        <v>1747</v>
      </c>
      <c r="BE554" s="56">
        <f>AY554+AZ554</f>
        <v>0</v>
      </c>
      <c r="BF554" s="56">
        <f>H554/(100-BG554)*100</f>
        <v>0</v>
      </c>
      <c r="BG554" s="56">
        <v>0</v>
      </c>
      <c r="BH554" s="56">
        <f>M554</f>
        <v>0.88399249999999996</v>
      </c>
      <c r="BJ554" s="56">
        <f>G554*AQ554</f>
        <v>0</v>
      </c>
      <c r="BK554" s="56">
        <f>G554*AR554</f>
        <v>0</v>
      </c>
      <c r="BL554" s="56">
        <f>G554*H554</f>
        <v>0</v>
      </c>
      <c r="BM554" s="56"/>
      <c r="BN554" s="56">
        <v>767</v>
      </c>
    </row>
    <row r="555" spans="1:66" ht="15" customHeight="1">
      <c r="A555" s="36"/>
      <c r="D555" s="45" t="s">
        <v>2554</v>
      </c>
      <c r="E555" s="104" t="s">
        <v>188</v>
      </c>
      <c r="G555" s="13">
        <v>10476.17</v>
      </c>
      <c r="N555" s="19"/>
      <c r="P555" s="592"/>
      <c r="Q555" s="592"/>
      <c r="R555" s="592"/>
      <c r="S555" s="592"/>
      <c r="T555" s="592"/>
      <c r="U555" s="592"/>
      <c r="V555" s="592"/>
      <c r="W555" s="592"/>
      <c r="X555" s="592"/>
    </row>
    <row r="556" spans="1:66" ht="15" customHeight="1">
      <c r="A556" s="36"/>
      <c r="D556" s="45" t="s">
        <v>615</v>
      </c>
      <c r="E556" s="104" t="s">
        <v>86</v>
      </c>
      <c r="G556" s="13">
        <v>6166.7800000000007</v>
      </c>
      <c r="N556" s="19"/>
      <c r="P556" s="592"/>
      <c r="Q556" s="592"/>
      <c r="R556" s="592"/>
      <c r="S556" s="592"/>
      <c r="T556" s="592"/>
      <c r="U556" s="592"/>
      <c r="V556" s="592"/>
      <c r="W556" s="592"/>
      <c r="X556" s="592"/>
    </row>
    <row r="557" spans="1:66" ht="15" customHeight="1">
      <c r="A557" s="36"/>
      <c r="D557" s="45" t="s">
        <v>2165</v>
      </c>
      <c r="E557" s="104" t="s">
        <v>1575</v>
      </c>
      <c r="G557" s="13">
        <v>1036.8000000000002</v>
      </c>
      <c r="N557" s="19"/>
      <c r="P557" s="592"/>
      <c r="Q557" s="592"/>
      <c r="R557" s="592"/>
      <c r="S557" s="592"/>
      <c r="T557" s="592"/>
      <c r="U557" s="592"/>
      <c r="V557" s="592"/>
      <c r="W557" s="592"/>
      <c r="X557" s="592"/>
    </row>
    <row r="558" spans="1:66" ht="15" customHeight="1">
      <c r="A558" s="36"/>
      <c r="D558" s="45" t="s">
        <v>2060</v>
      </c>
      <c r="E558" s="104" t="s">
        <v>275</v>
      </c>
      <c r="G558" s="13">
        <v>0.1</v>
      </c>
      <c r="N558" s="19"/>
      <c r="P558" s="592"/>
      <c r="Q558" s="592"/>
      <c r="R558" s="592"/>
      <c r="S558" s="592"/>
      <c r="T558" s="592"/>
      <c r="U558" s="592"/>
      <c r="V558" s="592"/>
      <c r="W558" s="592"/>
      <c r="X558" s="592"/>
    </row>
    <row r="559" spans="1:66" ht="15" customHeight="1">
      <c r="A559" s="8" t="s">
        <v>2370</v>
      </c>
      <c r="B559" s="75" t="s">
        <v>1746</v>
      </c>
      <c r="C559" s="75" t="s">
        <v>654</v>
      </c>
      <c r="D559" s="710" t="s">
        <v>251</v>
      </c>
      <c r="E559" s="710"/>
      <c r="F559" s="75" t="s">
        <v>1074</v>
      </c>
      <c r="G559" s="80">
        <v>16.71</v>
      </c>
      <c r="H559" s="626"/>
      <c r="I559" s="80">
        <f>G559*AQ559</f>
        <v>0</v>
      </c>
      <c r="J559" s="80">
        <f>G559*AR559</f>
        <v>0</v>
      </c>
      <c r="K559" s="80">
        <f>G559*H559</f>
        <v>0</v>
      </c>
      <c r="L559" s="80">
        <v>1</v>
      </c>
      <c r="M559" s="80">
        <f>G559*L559</f>
        <v>16.71</v>
      </c>
      <c r="N559" s="38" t="s">
        <v>1579</v>
      </c>
      <c r="P559" s="592"/>
      <c r="Q559" s="592"/>
      <c r="R559" s="592"/>
      <c r="S559" s="592"/>
      <c r="T559" s="592"/>
      <c r="U559" s="592"/>
      <c r="V559" s="592"/>
      <c r="W559" s="592"/>
      <c r="X559" s="592"/>
      <c r="AB559" s="56">
        <f>IF(AS559="5",BL559,0)</f>
        <v>0</v>
      </c>
      <c r="AD559" s="56">
        <f>IF(AS559="1",BJ559,0)</f>
        <v>0</v>
      </c>
      <c r="AE559" s="56">
        <f>IF(AS559="1",BK559,0)</f>
        <v>0</v>
      </c>
      <c r="AF559" s="56">
        <f>IF(AS559="7",BJ559,0)</f>
        <v>0</v>
      </c>
      <c r="AG559" s="56">
        <f>IF(AS559="7",BK559,0)</f>
        <v>0</v>
      </c>
      <c r="AH559" s="56">
        <f>IF(AS559="2",BJ559,0)</f>
        <v>0</v>
      </c>
      <c r="AI559" s="56">
        <f>IF(AS559="2",BK559,0)</f>
        <v>0</v>
      </c>
      <c r="AJ559" s="56">
        <f>IF(AS559="0",BL559,0)</f>
        <v>0</v>
      </c>
      <c r="AK559" s="7" t="s">
        <v>1746</v>
      </c>
      <c r="AL559" s="80">
        <f>IF(AP559=0,K559,0)</f>
        <v>0</v>
      </c>
      <c r="AM559" s="80">
        <f>IF(AP559=15,K559,0)</f>
        <v>0</v>
      </c>
      <c r="AN559" s="80">
        <f>IF(AP559=21,K559,0)</f>
        <v>0</v>
      </c>
      <c r="AP559" s="56">
        <v>21</v>
      </c>
      <c r="AQ559" s="88">
        <f>H559*1</f>
        <v>0</v>
      </c>
      <c r="AR559" s="88">
        <f>H559*(1-1)</f>
        <v>0</v>
      </c>
      <c r="AS559" s="64" t="s">
        <v>2311</v>
      </c>
      <c r="AX559" s="56">
        <f>AY559+AZ559</f>
        <v>0</v>
      </c>
      <c r="AY559" s="56">
        <f>G559*AQ559</f>
        <v>0</v>
      </c>
      <c r="AZ559" s="56">
        <f>G559*AR559</f>
        <v>0</v>
      </c>
      <c r="BA559" s="21" t="s">
        <v>644</v>
      </c>
      <c r="BB559" s="21" t="s">
        <v>1040</v>
      </c>
      <c r="BC559" s="7" t="s">
        <v>1747</v>
      </c>
      <c r="BE559" s="56">
        <f>AY559+AZ559</f>
        <v>0</v>
      </c>
      <c r="BF559" s="56">
        <f>H559/(100-BG559)*100</f>
        <v>0</v>
      </c>
      <c r="BG559" s="56">
        <v>0</v>
      </c>
      <c r="BH559" s="56">
        <f>M559</f>
        <v>16.71</v>
      </c>
      <c r="BJ559" s="80">
        <f>G559*AQ559</f>
        <v>0</v>
      </c>
      <c r="BK559" s="80">
        <f>G559*AR559</f>
        <v>0</v>
      </c>
      <c r="BL559" s="80">
        <f>G559*H559</f>
        <v>0</v>
      </c>
      <c r="BM559" s="80"/>
      <c r="BN559" s="56">
        <v>767</v>
      </c>
    </row>
    <row r="560" spans="1:66" ht="15" customHeight="1">
      <c r="A560" s="36"/>
      <c r="D560" s="45" t="s">
        <v>308</v>
      </c>
      <c r="E560" s="104" t="s">
        <v>1597</v>
      </c>
      <c r="G560" s="13">
        <v>16.630000000000003</v>
      </c>
      <c r="N560" s="19"/>
      <c r="P560" s="592"/>
      <c r="Q560" s="592"/>
      <c r="R560" s="592"/>
      <c r="S560" s="592"/>
      <c r="T560" s="592"/>
      <c r="U560" s="592"/>
      <c r="V560" s="592"/>
      <c r="W560" s="592"/>
      <c r="X560" s="592"/>
    </row>
    <row r="561" spans="1:66" ht="15" customHeight="1">
      <c r="A561" s="36"/>
      <c r="D561" s="45" t="s">
        <v>1631</v>
      </c>
      <c r="E561" s="104" t="s">
        <v>1597</v>
      </c>
      <c r="G561" s="13">
        <v>0.08</v>
      </c>
      <c r="N561" s="19"/>
      <c r="P561" s="592"/>
      <c r="Q561" s="592"/>
      <c r="R561" s="592"/>
      <c r="S561" s="592"/>
      <c r="T561" s="592"/>
      <c r="U561" s="592"/>
      <c r="V561" s="592"/>
      <c r="W561" s="592"/>
      <c r="X561" s="592"/>
    </row>
    <row r="562" spans="1:66" ht="15" customHeight="1">
      <c r="A562" s="8" t="s">
        <v>1874</v>
      </c>
      <c r="B562" s="75" t="s">
        <v>1746</v>
      </c>
      <c r="C562" s="75" t="s">
        <v>1397</v>
      </c>
      <c r="D562" s="710" t="s">
        <v>1063</v>
      </c>
      <c r="E562" s="710"/>
      <c r="F562" s="75" t="s">
        <v>1074</v>
      </c>
      <c r="G562" s="80">
        <v>1.05</v>
      </c>
      <c r="H562" s="626"/>
      <c r="I562" s="80">
        <f>G562*AQ562</f>
        <v>0</v>
      </c>
      <c r="J562" s="80">
        <f>G562*AR562</f>
        <v>0</v>
      </c>
      <c r="K562" s="80">
        <f>G562*H562</f>
        <v>0</v>
      </c>
      <c r="L562" s="80">
        <v>1</v>
      </c>
      <c r="M562" s="80">
        <f>G562*L562</f>
        <v>1.05</v>
      </c>
      <c r="N562" s="38" t="s">
        <v>1579</v>
      </c>
      <c r="P562" s="592"/>
      <c r="Q562" s="592"/>
      <c r="R562" s="592"/>
      <c r="S562" s="592"/>
      <c r="T562" s="592"/>
      <c r="U562" s="592"/>
      <c r="V562" s="592"/>
      <c r="W562" s="592"/>
      <c r="X562" s="592"/>
      <c r="AB562" s="56">
        <f>IF(AS562="5",BL562,0)</f>
        <v>0</v>
      </c>
      <c r="AD562" s="56">
        <f>IF(AS562="1",BJ562,0)</f>
        <v>0</v>
      </c>
      <c r="AE562" s="56">
        <f>IF(AS562="1",BK562,0)</f>
        <v>0</v>
      </c>
      <c r="AF562" s="56">
        <f>IF(AS562="7",BJ562,0)</f>
        <v>0</v>
      </c>
      <c r="AG562" s="56">
        <f>IF(AS562="7",BK562,0)</f>
        <v>0</v>
      </c>
      <c r="AH562" s="56">
        <f>IF(AS562="2",BJ562,0)</f>
        <v>0</v>
      </c>
      <c r="AI562" s="56">
        <f>IF(AS562="2",BK562,0)</f>
        <v>0</v>
      </c>
      <c r="AJ562" s="56">
        <f>IF(AS562="0",BL562,0)</f>
        <v>0</v>
      </c>
      <c r="AK562" s="7" t="s">
        <v>1746</v>
      </c>
      <c r="AL562" s="80">
        <f>IF(AP562=0,K562,0)</f>
        <v>0</v>
      </c>
      <c r="AM562" s="80">
        <f>IF(AP562=15,K562,0)</f>
        <v>0</v>
      </c>
      <c r="AN562" s="80">
        <f>IF(AP562=21,K562,0)</f>
        <v>0</v>
      </c>
      <c r="AP562" s="56">
        <v>21</v>
      </c>
      <c r="AQ562" s="88">
        <f>H562*1</f>
        <v>0</v>
      </c>
      <c r="AR562" s="88">
        <f>H562*(1-1)</f>
        <v>0</v>
      </c>
      <c r="AS562" s="64" t="s">
        <v>2311</v>
      </c>
      <c r="AX562" s="56">
        <f>AY562+AZ562</f>
        <v>0</v>
      </c>
      <c r="AY562" s="56">
        <f>G562*AQ562</f>
        <v>0</v>
      </c>
      <c r="AZ562" s="56">
        <f>G562*AR562</f>
        <v>0</v>
      </c>
      <c r="BA562" s="21" t="s">
        <v>644</v>
      </c>
      <c r="BB562" s="21" t="s">
        <v>1040</v>
      </c>
      <c r="BC562" s="7" t="s">
        <v>1747</v>
      </c>
      <c r="BE562" s="56">
        <f>AY562+AZ562</f>
        <v>0</v>
      </c>
      <c r="BF562" s="56">
        <f>H562/(100-BG562)*100</f>
        <v>0</v>
      </c>
      <c r="BG562" s="56">
        <v>0</v>
      </c>
      <c r="BH562" s="56">
        <f>M562</f>
        <v>1.05</v>
      </c>
      <c r="BJ562" s="80">
        <f>G562*AQ562</f>
        <v>0</v>
      </c>
      <c r="BK562" s="80">
        <f>G562*AR562</f>
        <v>0</v>
      </c>
      <c r="BL562" s="80">
        <f>G562*H562</f>
        <v>0</v>
      </c>
      <c r="BM562" s="80"/>
      <c r="BN562" s="56">
        <v>767</v>
      </c>
    </row>
    <row r="563" spans="1:66" ht="15" customHeight="1">
      <c r="A563" s="36"/>
      <c r="D563" s="45" t="s">
        <v>237</v>
      </c>
      <c r="E563" s="104" t="s">
        <v>1597</v>
      </c>
      <c r="G563" s="13">
        <v>1.04</v>
      </c>
      <c r="N563" s="19"/>
      <c r="P563" s="592"/>
      <c r="Q563" s="592"/>
      <c r="R563" s="592"/>
      <c r="S563" s="592"/>
      <c r="T563" s="592"/>
      <c r="U563" s="592"/>
      <c r="V563" s="592"/>
      <c r="W563" s="592"/>
      <c r="X563" s="592"/>
    </row>
    <row r="564" spans="1:66" ht="15" customHeight="1">
      <c r="A564" s="36"/>
      <c r="D564" s="45" t="s">
        <v>1976</v>
      </c>
      <c r="E564" s="104" t="s">
        <v>1597</v>
      </c>
      <c r="G564" s="13">
        <v>0.01</v>
      </c>
      <c r="N564" s="19"/>
      <c r="P564" s="592"/>
      <c r="Q564" s="592"/>
      <c r="R564" s="592"/>
      <c r="S564" s="592"/>
      <c r="T564" s="592"/>
      <c r="U564" s="592"/>
      <c r="V564" s="592"/>
      <c r="W564" s="592"/>
      <c r="X564" s="592"/>
    </row>
    <row r="565" spans="1:66" ht="15" customHeight="1">
      <c r="A565" s="8" t="s">
        <v>2261</v>
      </c>
      <c r="B565" s="75" t="s">
        <v>1746</v>
      </c>
      <c r="C565" s="75" t="s">
        <v>686</v>
      </c>
      <c r="D565" s="710" t="s">
        <v>1436</v>
      </c>
      <c r="E565" s="710"/>
      <c r="F565" s="75" t="s">
        <v>1074</v>
      </c>
      <c r="G565" s="80">
        <v>0.15</v>
      </c>
      <c r="H565" s="626"/>
      <c r="I565" s="80">
        <f>G565*AQ565</f>
        <v>0</v>
      </c>
      <c r="J565" s="80">
        <f>G565*AR565</f>
        <v>0</v>
      </c>
      <c r="K565" s="80">
        <f>G565*H565</f>
        <v>0</v>
      </c>
      <c r="L565" s="80">
        <v>1</v>
      </c>
      <c r="M565" s="80">
        <f>G565*L565</f>
        <v>0.15</v>
      </c>
      <c r="N565" s="38" t="s">
        <v>1579</v>
      </c>
      <c r="P565" s="592"/>
      <c r="Q565" s="592"/>
      <c r="R565" s="592"/>
      <c r="S565" s="592"/>
      <c r="T565" s="592"/>
      <c r="U565" s="592"/>
      <c r="V565" s="592"/>
      <c r="W565" s="592"/>
      <c r="X565" s="592"/>
      <c r="AB565" s="56">
        <f>IF(AS565="5",BL565,0)</f>
        <v>0</v>
      </c>
      <c r="AD565" s="56">
        <f>IF(AS565="1",BJ565,0)</f>
        <v>0</v>
      </c>
      <c r="AE565" s="56">
        <f>IF(AS565="1",BK565,0)</f>
        <v>0</v>
      </c>
      <c r="AF565" s="56">
        <f>IF(AS565="7",BJ565,0)</f>
        <v>0</v>
      </c>
      <c r="AG565" s="56">
        <f>IF(AS565="7",BK565,0)</f>
        <v>0</v>
      </c>
      <c r="AH565" s="56">
        <f>IF(AS565="2",BJ565,0)</f>
        <v>0</v>
      </c>
      <c r="AI565" s="56">
        <f>IF(AS565="2",BK565,0)</f>
        <v>0</v>
      </c>
      <c r="AJ565" s="56">
        <f>IF(AS565="0",BL565,0)</f>
        <v>0</v>
      </c>
      <c r="AK565" s="7" t="s">
        <v>1746</v>
      </c>
      <c r="AL565" s="80">
        <f>IF(AP565=0,K565,0)</f>
        <v>0</v>
      </c>
      <c r="AM565" s="80">
        <f>IF(AP565=15,K565,0)</f>
        <v>0</v>
      </c>
      <c r="AN565" s="80">
        <f>IF(AP565=21,K565,0)</f>
        <v>0</v>
      </c>
      <c r="AP565" s="56">
        <v>21</v>
      </c>
      <c r="AQ565" s="88">
        <f>H565*1</f>
        <v>0</v>
      </c>
      <c r="AR565" s="88">
        <f>H565*(1-1)</f>
        <v>0</v>
      </c>
      <c r="AS565" s="64" t="s">
        <v>2311</v>
      </c>
      <c r="AX565" s="56">
        <f>AY565+AZ565</f>
        <v>0</v>
      </c>
      <c r="AY565" s="56">
        <f>G565*AQ565</f>
        <v>0</v>
      </c>
      <c r="AZ565" s="56">
        <f>G565*AR565</f>
        <v>0</v>
      </c>
      <c r="BA565" s="21" t="s">
        <v>644</v>
      </c>
      <c r="BB565" s="21" t="s">
        <v>1040</v>
      </c>
      <c r="BC565" s="7" t="s">
        <v>1747</v>
      </c>
      <c r="BE565" s="56">
        <f>AY565+AZ565</f>
        <v>0</v>
      </c>
      <c r="BF565" s="56">
        <f>H565/(100-BG565)*100</f>
        <v>0</v>
      </c>
      <c r="BG565" s="56">
        <v>0</v>
      </c>
      <c r="BH565" s="56">
        <f>M565</f>
        <v>0.15</v>
      </c>
      <c r="BJ565" s="80">
        <f>G565*AQ565</f>
        <v>0</v>
      </c>
      <c r="BK565" s="80">
        <f>G565*AR565</f>
        <v>0</v>
      </c>
      <c r="BL565" s="80">
        <f>G565*H565</f>
        <v>0</v>
      </c>
      <c r="BM565" s="80"/>
      <c r="BN565" s="56">
        <v>767</v>
      </c>
    </row>
    <row r="566" spans="1:66" ht="15" customHeight="1">
      <c r="A566" s="36"/>
      <c r="D566" s="45" t="s">
        <v>383</v>
      </c>
      <c r="E566" s="104" t="s">
        <v>1597</v>
      </c>
      <c r="G566" s="13">
        <v>0.15000000000000002</v>
      </c>
      <c r="N566" s="19"/>
      <c r="P566" s="592"/>
      <c r="Q566" s="592"/>
      <c r="R566" s="592"/>
      <c r="S566" s="592"/>
      <c r="T566" s="592"/>
      <c r="U566" s="592"/>
      <c r="V566" s="592"/>
      <c r="W566" s="592"/>
      <c r="X566" s="592"/>
    </row>
    <row r="567" spans="1:66" ht="15" customHeight="1">
      <c r="A567" s="8" t="s">
        <v>416</v>
      </c>
      <c r="B567" s="75" t="s">
        <v>1746</v>
      </c>
      <c r="C567" s="75" t="s">
        <v>1865</v>
      </c>
      <c r="D567" s="710" t="s">
        <v>263</v>
      </c>
      <c r="E567" s="710"/>
      <c r="F567" s="75" t="s">
        <v>1923</v>
      </c>
      <c r="G567" s="80">
        <v>27</v>
      </c>
      <c r="H567" s="626"/>
      <c r="I567" s="80">
        <f>G567*AQ567</f>
        <v>0</v>
      </c>
      <c r="J567" s="80">
        <f>G567*AR567</f>
        <v>0</v>
      </c>
      <c r="K567" s="80">
        <f>G567*H567</f>
        <v>0</v>
      </c>
      <c r="L567" s="80">
        <v>1.33E-3</v>
      </c>
      <c r="M567" s="80">
        <f>G567*L567</f>
        <v>3.5909999999999997E-2</v>
      </c>
      <c r="N567" s="38" t="s">
        <v>1579</v>
      </c>
      <c r="P567" s="592"/>
      <c r="Q567" s="592"/>
      <c r="R567" s="592"/>
      <c r="S567" s="592"/>
      <c r="T567" s="592"/>
      <c r="U567" s="592"/>
      <c r="V567" s="592"/>
      <c r="W567" s="592"/>
      <c r="X567" s="592"/>
      <c r="AB567" s="56">
        <f>IF(AS567="5",BL567,0)</f>
        <v>0</v>
      </c>
      <c r="AD567" s="56">
        <f>IF(AS567="1",BJ567,0)</f>
        <v>0</v>
      </c>
      <c r="AE567" s="56">
        <f>IF(AS567="1",BK567,0)</f>
        <v>0</v>
      </c>
      <c r="AF567" s="56">
        <f>IF(AS567="7",BJ567,0)</f>
        <v>0</v>
      </c>
      <c r="AG567" s="56">
        <f>IF(AS567="7",BK567,0)</f>
        <v>0</v>
      </c>
      <c r="AH567" s="56">
        <f>IF(AS567="2",BJ567,0)</f>
        <v>0</v>
      </c>
      <c r="AI567" s="56">
        <f>IF(AS567="2",BK567,0)</f>
        <v>0</v>
      </c>
      <c r="AJ567" s="56">
        <f>IF(AS567="0",BL567,0)</f>
        <v>0</v>
      </c>
      <c r="AK567" s="7" t="s">
        <v>1746</v>
      </c>
      <c r="AL567" s="80">
        <f>IF(AP567=0,K567,0)</f>
        <v>0</v>
      </c>
      <c r="AM567" s="80">
        <f>IF(AP567=15,K567,0)</f>
        <v>0</v>
      </c>
      <c r="AN567" s="80">
        <f>IF(AP567=21,K567,0)</f>
        <v>0</v>
      </c>
      <c r="AP567" s="56">
        <v>21</v>
      </c>
      <c r="AQ567" s="88">
        <f>H567*1</f>
        <v>0</v>
      </c>
      <c r="AR567" s="88">
        <f>H567*(1-1)</f>
        <v>0</v>
      </c>
      <c r="AS567" s="64" t="s">
        <v>2311</v>
      </c>
      <c r="AX567" s="56">
        <f>AY567+AZ567</f>
        <v>0</v>
      </c>
      <c r="AY567" s="56">
        <f>G567*AQ567</f>
        <v>0</v>
      </c>
      <c r="AZ567" s="56">
        <f>G567*AR567</f>
        <v>0</v>
      </c>
      <c r="BA567" s="21" t="s">
        <v>644</v>
      </c>
      <c r="BB567" s="21" t="s">
        <v>1040</v>
      </c>
      <c r="BC567" s="7" t="s">
        <v>1747</v>
      </c>
      <c r="BE567" s="56">
        <f>AY567+AZ567</f>
        <v>0</v>
      </c>
      <c r="BF567" s="56">
        <f>H567/(100-BG567)*100</f>
        <v>0</v>
      </c>
      <c r="BG567" s="56">
        <v>0</v>
      </c>
      <c r="BH567" s="56">
        <f>M567</f>
        <v>3.5909999999999997E-2</v>
      </c>
      <c r="BJ567" s="80">
        <f>G567*AQ567</f>
        <v>0</v>
      </c>
      <c r="BK567" s="80">
        <f>G567*AR567</f>
        <v>0</v>
      </c>
      <c r="BL567" s="80">
        <f>G567*H567</f>
        <v>0</v>
      </c>
      <c r="BM567" s="80"/>
      <c r="BN567" s="56">
        <v>767</v>
      </c>
    </row>
    <row r="568" spans="1:66" ht="15" customHeight="1">
      <c r="A568" s="36"/>
      <c r="D568" s="45" t="s">
        <v>804</v>
      </c>
      <c r="E568" s="104" t="s">
        <v>1597</v>
      </c>
      <c r="G568" s="13">
        <v>22.500000000000004</v>
      </c>
      <c r="N568" s="19"/>
      <c r="P568" s="592"/>
      <c r="Q568" s="592"/>
      <c r="R568" s="592"/>
      <c r="S568" s="592"/>
      <c r="T568" s="592"/>
      <c r="U568" s="592"/>
      <c r="V568" s="592"/>
      <c r="W568" s="592"/>
      <c r="X568" s="592"/>
    </row>
    <row r="569" spans="1:66" ht="15" customHeight="1">
      <c r="A569" s="36"/>
      <c r="D569" s="45" t="s">
        <v>982</v>
      </c>
      <c r="E569" s="104" t="s">
        <v>1597</v>
      </c>
      <c r="G569" s="13">
        <v>4.5</v>
      </c>
      <c r="N569" s="19"/>
      <c r="P569" s="592"/>
      <c r="Q569" s="592"/>
      <c r="R569" s="592"/>
      <c r="S569" s="592"/>
      <c r="T569" s="592"/>
      <c r="U569" s="592"/>
      <c r="V569" s="592"/>
      <c r="W569" s="592"/>
      <c r="X569" s="592"/>
    </row>
    <row r="570" spans="1:66" ht="15" customHeight="1">
      <c r="A570" s="8" t="s">
        <v>1930</v>
      </c>
      <c r="B570" s="75" t="s">
        <v>1746</v>
      </c>
      <c r="C570" s="75" t="s">
        <v>250</v>
      </c>
      <c r="D570" s="710" t="s">
        <v>2175</v>
      </c>
      <c r="E570" s="710"/>
      <c r="F570" s="75" t="s">
        <v>564</v>
      </c>
      <c r="G570" s="80">
        <v>60</v>
      </c>
      <c r="H570" s="626"/>
      <c r="I570" s="80">
        <f>G570*AQ570</f>
        <v>0</v>
      </c>
      <c r="J570" s="80">
        <f>G570*AR570</f>
        <v>0</v>
      </c>
      <c r="K570" s="80">
        <f>G570*H570</f>
        <v>0</v>
      </c>
      <c r="L570" s="80">
        <v>0</v>
      </c>
      <c r="M570" s="80">
        <f>G570*L570</f>
        <v>0</v>
      </c>
      <c r="N570" s="38" t="s">
        <v>1579</v>
      </c>
      <c r="P570" s="592"/>
      <c r="Q570" s="592"/>
      <c r="R570" s="592"/>
      <c r="S570" s="592"/>
      <c r="T570" s="592"/>
      <c r="U570" s="592"/>
      <c r="V570" s="592"/>
      <c r="W570" s="592"/>
      <c r="X570" s="592"/>
      <c r="AB570" s="56">
        <f>IF(AS570="5",BL570,0)</f>
        <v>0</v>
      </c>
      <c r="AD570" s="56">
        <f>IF(AS570="1",BJ570,0)</f>
        <v>0</v>
      </c>
      <c r="AE570" s="56">
        <f>IF(AS570="1",BK570,0)</f>
        <v>0</v>
      </c>
      <c r="AF570" s="56">
        <f>IF(AS570="7",BJ570,0)</f>
        <v>0</v>
      </c>
      <c r="AG570" s="56">
        <f>IF(AS570="7",BK570,0)</f>
        <v>0</v>
      </c>
      <c r="AH570" s="56">
        <f>IF(AS570="2",BJ570,0)</f>
        <v>0</v>
      </c>
      <c r="AI570" s="56">
        <f>IF(AS570="2",BK570,0)</f>
        <v>0</v>
      </c>
      <c r="AJ570" s="56">
        <f>IF(AS570="0",BL570,0)</f>
        <v>0</v>
      </c>
      <c r="AK570" s="7" t="s">
        <v>1746</v>
      </c>
      <c r="AL570" s="80">
        <f>IF(AP570=0,K570,0)</f>
        <v>0</v>
      </c>
      <c r="AM570" s="80">
        <f>IF(AP570=15,K570,0)</f>
        <v>0</v>
      </c>
      <c r="AN570" s="80">
        <f>IF(AP570=21,K570,0)</f>
        <v>0</v>
      </c>
      <c r="AP570" s="56">
        <v>21</v>
      </c>
      <c r="AQ570" s="88">
        <f>H570*1</f>
        <v>0</v>
      </c>
      <c r="AR570" s="88">
        <f>H570*(1-1)</f>
        <v>0</v>
      </c>
      <c r="AS570" s="64" t="s">
        <v>2311</v>
      </c>
      <c r="AX570" s="56">
        <f>AY570+AZ570</f>
        <v>0</v>
      </c>
      <c r="AY570" s="56">
        <f>G570*AQ570</f>
        <v>0</v>
      </c>
      <c r="AZ570" s="56">
        <f>G570*AR570</f>
        <v>0</v>
      </c>
      <c r="BA570" s="21" t="s">
        <v>644</v>
      </c>
      <c r="BB570" s="21" t="s">
        <v>1040</v>
      </c>
      <c r="BC570" s="7" t="s">
        <v>1747</v>
      </c>
      <c r="BE570" s="56">
        <f>AY570+AZ570</f>
        <v>0</v>
      </c>
      <c r="BF570" s="56">
        <f>H570/(100-BG570)*100</f>
        <v>0</v>
      </c>
      <c r="BG570" s="56">
        <v>0</v>
      </c>
      <c r="BH570" s="56">
        <f>M570</f>
        <v>0</v>
      </c>
      <c r="BJ570" s="80">
        <f>G570*AQ570</f>
        <v>0</v>
      </c>
      <c r="BK570" s="80">
        <f>G570*AR570</f>
        <v>0</v>
      </c>
      <c r="BL570" s="80">
        <f>G570*H570</f>
        <v>0</v>
      </c>
      <c r="BM570" s="80"/>
      <c r="BN570" s="56">
        <v>767</v>
      </c>
    </row>
    <row r="571" spans="1:66" ht="15" customHeight="1">
      <c r="A571" s="36"/>
      <c r="D571" s="45" t="s">
        <v>269</v>
      </c>
      <c r="E571" s="104" t="s">
        <v>1597</v>
      </c>
      <c r="G571" s="13">
        <v>60.000000000000007</v>
      </c>
      <c r="N571" s="19"/>
      <c r="P571" s="592"/>
      <c r="Q571" s="592"/>
      <c r="R571" s="592"/>
      <c r="S571" s="592"/>
      <c r="T571" s="592"/>
      <c r="U571" s="592"/>
      <c r="V571" s="592"/>
      <c r="W571" s="592"/>
      <c r="X571" s="592"/>
    </row>
    <row r="572" spans="1:66" ht="15" customHeight="1">
      <c r="A572" s="8" t="s">
        <v>2621</v>
      </c>
      <c r="B572" s="75" t="s">
        <v>1746</v>
      </c>
      <c r="C572" s="75" t="s">
        <v>1354</v>
      </c>
      <c r="D572" s="710" t="s">
        <v>2679</v>
      </c>
      <c r="E572" s="710"/>
      <c r="F572" s="75" t="s">
        <v>564</v>
      </c>
      <c r="G572" s="80">
        <v>20</v>
      </c>
      <c r="H572" s="626"/>
      <c r="I572" s="80">
        <f>G572*AQ572</f>
        <v>0</v>
      </c>
      <c r="J572" s="80">
        <f>G572*AR572</f>
        <v>0</v>
      </c>
      <c r="K572" s="80">
        <f>G572*H572</f>
        <v>0</v>
      </c>
      <c r="L572" s="80">
        <v>0</v>
      </c>
      <c r="M572" s="80">
        <f>G572*L572</f>
        <v>0</v>
      </c>
      <c r="N572" s="38" t="s">
        <v>1579</v>
      </c>
      <c r="P572" s="592"/>
      <c r="Q572" s="592"/>
      <c r="R572" s="592"/>
      <c r="S572" s="592"/>
      <c r="T572" s="592"/>
      <c r="U572" s="592"/>
      <c r="V572" s="592"/>
      <c r="W572" s="592"/>
      <c r="X572" s="592"/>
      <c r="AB572" s="56">
        <f>IF(AS572="5",BL572,0)</f>
        <v>0</v>
      </c>
      <c r="AD572" s="56">
        <f>IF(AS572="1",BJ572,0)</f>
        <v>0</v>
      </c>
      <c r="AE572" s="56">
        <f>IF(AS572="1",BK572,0)</f>
        <v>0</v>
      </c>
      <c r="AF572" s="56">
        <f>IF(AS572="7",BJ572,0)</f>
        <v>0</v>
      </c>
      <c r="AG572" s="56">
        <f>IF(AS572="7",BK572,0)</f>
        <v>0</v>
      </c>
      <c r="AH572" s="56">
        <f>IF(AS572="2",BJ572,0)</f>
        <v>0</v>
      </c>
      <c r="AI572" s="56">
        <f>IF(AS572="2",BK572,0)</f>
        <v>0</v>
      </c>
      <c r="AJ572" s="56">
        <f>IF(AS572="0",BL572,0)</f>
        <v>0</v>
      </c>
      <c r="AK572" s="7" t="s">
        <v>1746</v>
      </c>
      <c r="AL572" s="80">
        <f>IF(AP572=0,K572,0)</f>
        <v>0</v>
      </c>
      <c r="AM572" s="80">
        <f>IF(AP572=15,K572,0)</f>
        <v>0</v>
      </c>
      <c r="AN572" s="80">
        <f>IF(AP572=21,K572,0)</f>
        <v>0</v>
      </c>
      <c r="AP572" s="56">
        <v>21</v>
      </c>
      <c r="AQ572" s="88">
        <f>H572*1</f>
        <v>0</v>
      </c>
      <c r="AR572" s="88">
        <f>H572*(1-1)</f>
        <v>0</v>
      </c>
      <c r="AS572" s="64" t="s">
        <v>2311</v>
      </c>
      <c r="AX572" s="56">
        <f>AY572+AZ572</f>
        <v>0</v>
      </c>
      <c r="AY572" s="56">
        <f>G572*AQ572</f>
        <v>0</v>
      </c>
      <c r="AZ572" s="56">
        <f>G572*AR572</f>
        <v>0</v>
      </c>
      <c r="BA572" s="21" t="s">
        <v>644</v>
      </c>
      <c r="BB572" s="21" t="s">
        <v>1040</v>
      </c>
      <c r="BC572" s="7" t="s">
        <v>1747</v>
      </c>
      <c r="BE572" s="56">
        <f>AY572+AZ572</f>
        <v>0</v>
      </c>
      <c r="BF572" s="56">
        <f>H572/(100-BG572)*100</f>
        <v>0</v>
      </c>
      <c r="BG572" s="56">
        <v>0</v>
      </c>
      <c r="BH572" s="56">
        <f>M572</f>
        <v>0</v>
      </c>
      <c r="BJ572" s="80">
        <f>G572*AQ572</f>
        <v>0</v>
      </c>
      <c r="BK572" s="80">
        <f>G572*AR572</f>
        <v>0</v>
      </c>
      <c r="BL572" s="80">
        <f>G572*H572</f>
        <v>0</v>
      </c>
      <c r="BM572" s="80"/>
      <c r="BN572" s="56">
        <v>767</v>
      </c>
    </row>
    <row r="573" spans="1:66" ht="15" customHeight="1">
      <c r="A573" s="36"/>
      <c r="D573" s="45" t="s">
        <v>109</v>
      </c>
      <c r="E573" s="104" t="s">
        <v>1597</v>
      </c>
      <c r="G573" s="13">
        <v>20</v>
      </c>
      <c r="N573" s="19"/>
      <c r="P573" s="592"/>
      <c r="Q573" s="592"/>
      <c r="R573" s="592"/>
      <c r="S573" s="592"/>
      <c r="T573" s="592"/>
      <c r="U573" s="592"/>
      <c r="V573" s="592"/>
      <c r="W573" s="592"/>
      <c r="X573" s="592"/>
    </row>
    <row r="574" spans="1:66" ht="15" customHeight="1">
      <c r="A574" s="24" t="s">
        <v>584</v>
      </c>
      <c r="B574" s="12" t="s">
        <v>1746</v>
      </c>
      <c r="C574" s="12" t="s">
        <v>1580</v>
      </c>
      <c r="D574" s="630" t="s">
        <v>2221</v>
      </c>
      <c r="E574" s="630"/>
      <c r="F574" s="12" t="s">
        <v>2182</v>
      </c>
      <c r="G574" s="56">
        <f>G575+G576+G577</f>
        <v>215</v>
      </c>
      <c r="H574" s="625"/>
      <c r="I574" s="56">
        <f>G574*AQ574</f>
        <v>0</v>
      </c>
      <c r="J574" s="56">
        <f>G574*AR574</f>
        <v>0</v>
      </c>
      <c r="K574" s="56">
        <f>G574*H574</f>
        <v>0</v>
      </c>
      <c r="L574" s="56">
        <v>6.0000000000000002E-5</v>
      </c>
      <c r="M574" s="56">
        <f>G574*L574</f>
        <v>1.29E-2</v>
      </c>
      <c r="N574" s="31" t="s">
        <v>1579</v>
      </c>
      <c r="P574" s="592"/>
      <c r="Q574" s="592"/>
      <c r="R574" s="592"/>
      <c r="S574" s="592"/>
      <c r="T574" s="592"/>
      <c r="U574" s="592"/>
      <c r="V574" s="592"/>
      <c r="W574" s="592"/>
      <c r="X574" s="592"/>
      <c r="AB574" s="56">
        <f>IF(AS574="5",BL574,0)</f>
        <v>0</v>
      </c>
      <c r="AD574" s="56">
        <f>IF(AS574="1",BJ574,0)</f>
        <v>0</v>
      </c>
      <c r="AE574" s="56">
        <f>IF(AS574="1",BK574,0)</f>
        <v>0</v>
      </c>
      <c r="AF574" s="56">
        <f>IF(AS574="7",BJ574,0)</f>
        <v>0</v>
      </c>
      <c r="AG574" s="56">
        <f>IF(AS574="7",BK574,0)</f>
        <v>0</v>
      </c>
      <c r="AH574" s="56">
        <f>IF(AS574="2",BJ574,0)</f>
        <v>0</v>
      </c>
      <c r="AI574" s="56">
        <f>IF(AS574="2",BK574,0)</f>
        <v>0</v>
      </c>
      <c r="AJ574" s="56">
        <f>IF(AS574="0",BL574,0)</f>
        <v>0</v>
      </c>
      <c r="AK574" s="7" t="s">
        <v>1746</v>
      </c>
      <c r="AL574" s="56">
        <f>IF(AP574=0,K574,0)</f>
        <v>0</v>
      </c>
      <c r="AM574" s="56">
        <f>IF(AP574=15,K574,0)</f>
        <v>0</v>
      </c>
      <c r="AN574" s="56">
        <f>IF(AP574=21,K574,0)</f>
        <v>0</v>
      </c>
      <c r="AP574" s="56">
        <v>21</v>
      </c>
      <c r="AQ574" s="88">
        <f>H574*0.0951149425287356</f>
        <v>0</v>
      </c>
      <c r="AR574" s="88">
        <f>H574*(1-0.0951149425287356)</f>
        <v>0</v>
      </c>
      <c r="AS574" s="21" t="s">
        <v>2311</v>
      </c>
      <c r="AX574" s="56">
        <f>AY574+AZ574</f>
        <v>0</v>
      </c>
      <c r="AY574" s="56">
        <f>G574*AQ574</f>
        <v>0</v>
      </c>
      <c r="AZ574" s="56">
        <f>G574*AR574</f>
        <v>0</v>
      </c>
      <c r="BA574" s="21" t="s">
        <v>644</v>
      </c>
      <c r="BB574" s="21" t="s">
        <v>1040</v>
      </c>
      <c r="BC574" s="7" t="s">
        <v>1747</v>
      </c>
      <c r="BE574" s="56">
        <f>AY574+AZ574</f>
        <v>0</v>
      </c>
      <c r="BF574" s="56">
        <f>H574/(100-BG574)*100</f>
        <v>0</v>
      </c>
      <c r="BG574" s="56">
        <v>0</v>
      </c>
      <c r="BH574" s="56">
        <f>M574</f>
        <v>1.29E-2</v>
      </c>
      <c r="BJ574" s="56">
        <f>G574*AQ574</f>
        <v>0</v>
      </c>
      <c r="BK574" s="56">
        <f>G574*AR574</f>
        <v>0</v>
      </c>
      <c r="BL574" s="56">
        <f>G574*H574</f>
        <v>0</v>
      </c>
      <c r="BM574" s="56"/>
      <c r="BN574" s="56">
        <v>767</v>
      </c>
    </row>
    <row r="575" spans="1:66" ht="15" customHeight="1">
      <c r="A575" s="36"/>
      <c r="D575" s="45" t="s">
        <v>1517</v>
      </c>
      <c r="E575" s="104" t="s">
        <v>2170</v>
      </c>
      <c r="G575" s="13">
        <v>55.000000000000007</v>
      </c>
      <c r="N575" s="19"/>
      <c r="P575" s="592"/>
      <c r="Q575" s="592"/>
      <c r="R575" s="592"/>
      <c r="S575" s="592"/>
      <c r="T575" s="592"/>
      <c r="U575" s="592"/>
      <c r="V575" s="592"/>
      <c r="W575" s="592"/>
      <c r="X575" s="592"/>
    </row>
    <row r="576" spans="1:66" ht="15" customHeight="1">
      <c r="A576" s="36"/>
      <c r="D576" s="45">
        <v>100</v>
      </c>
      <c r="E576" s="104" t="s">
        <v>3700</v>
      </c>
      <c r="G576" s="13">
        <v>100</v>
      </c>
      <c r="N576" s="19"/>
      <c r="P576" s="592"/>
      <c r="Q576" s="592"/>
      <c r="R576" s="592"/>
      <c r="S576" s="592"/>
      <c r="T576" s="592"/>
      <c r="U576" s="592"/>
      <c r="V576" s="592"/>
      <c r="W576" s="592"/>
      <c r="X576" s="592"/>
    </row>
    <row r="577" spans="1:66" ht="15" customHeight="1">
      <c r="A577" s="36"/>
      <c r="D577" s="45" t="s">
        <v>269</v>
      </c>
      <c r="E577" s="104" t="s">
        <v>1267</v>
      </c>
      <c r="G577" s="13">
        <v>60.000000000000007</v>
      </c>
      <c r="N577" s="19"/>
      <c r="P577" s="592"/>
      <c r="Q577" s="592"/>
      <c r="R577" s="592"/>
      <c r="S577" s="592"/>
      <c r="T577" s="592"/>
      <c r="U577" s="592"/>
      <c r="V577" s="592"/>
      <c r="W577" s="592"/>
      <c r="X577" s="592"/>
    </row>
    <row r="578" spans="1:66" ht="15" customHeight="1">
      <c r="A578" s="8" t="s">
        <v>850</v>
      </c>
      <c r="B578" s="75" t="s">
        <v>1746</v>
      </c>
      <c r="C578" s="75" t="s">
        <v>226</v>
      </c>
      <c r="D578" s="710" t="s">
        <v>441</v>
      </c>
      <c r="E578" s="710"/>
      <c r="F578" s="75" t="s">
        <v>564</v>
      </c>
      <c r="G578" s="80">
        <v>1</v>
      </c>
      <c r="H578" s="626"/>
      <c r="I578" s="80">
        <f>G578*AQ578</f>
        <v>0</v>
      </c>
      <c r="J578" s="80">
        <f>G578*AR578</f>
        <v>0</v>
      </c>
      <c r="K578" s="80">
        <f>G578*H578</f>
        <v>0</v>
      </c>
      <c r="L578" s="80">
        <v>0</v>
      </c>
      <c r="M578" s="80">
        <f>G578*L578</f>
        <v>0</v>
      </c>
      <c r="N578" s="38" t="s">
        <v>1597</v>
      </c>
      <c r="P578" s="592"/>
      <c r="Q578" s="592"/>
      <c r="R578" s="592"/>
      <c r="S578" s="592"/>
      <c r="T578" s="592"/>
      <c r="U578" s="592"/>
      <c r="V578" s="592"/>
      <c r="W578" s="592"/>
      <c r="X578" s="592"/>
      <c r="AB578" s="56">
        <f>IF(AS578="5",BL578,0)</f>
        <v>0</v>
      </c>
      <c r="AD578" s="56">
        <f>IF(AS578="1",BJ578,0)</f>
        <v>0</v>
      </c>
      <c r="AE578" s="56">
        <f>IF(AS578="1",BK578,0)</f>
        <v>0</v>
      </c>
      <c r="AF578" s="56">
        <f>IF(AS578="7",BJ578,0)</f>
        <v>0</v>
      </c>
      <c r="AG578" s="56">
        <f>IF(AS578="7",BK578,0)</f>
        <v>0</v>
      </c>
      <c r="AH578" s="56">
        <f>IF(AS578="2",BJ578,0)</f>
        <v>0</v>
      </c>
      <c r="AI578" s="56">
        <f>IF(AS578="2",BK578,0)</f>
        <v>0</v>
      </c>
      <c r="AJ578" s="56">
        <f>IF(AS578="0",BL578,0)</f>
        <v>0</v>
      </c>
      <c r="AK578" s="7" t="s">
        <v>1746</v>
      </c>
      <c r="AL578" s="80">
        <f>IF(AP578=0,K578,0)</f>
        <v>0</v>
      </c>
      <c r="AM578" s="80">
        <f>IF(AP578=15,K578,0)</f>
        <v>0</v>
      </c>
      <c r="AN578" s="80">
        <f>IF(AP578=21,K578,0)</f>
        <v>0</v>
      </c>
      <c r="AP578" s="56">
        <v>21</v>
      </c>
      <c r="AQ578" s="88">
        <f>H578*1</f>
        <v>0</v>
      </c>
      <c r="AR578" s="88">
        <f>H578*(1-1)</f>
        <v>0</v>
      </c>
      <c r="AS578" s="64" t="s">
        <v>2311</v>
      </c>
      <c r="AX578" s="56">
        <f>AY578+AZ578</f>
        <v>0</v>
      </c>
      <c r="AY578" s="56">
        <f>G578*AQ578</f>
        <v>0</v>
      </c>
      <c r="AZ578" s="56">
        <f>G578*AR578</f>
        <v>0</v>
      </c>
      <c r="BA578" s="21" t="s">
        <v>644</v>
      </c>
      <c r="BB578" s="21" t="s">
        <v>1040</v>
      </c>
      <c r="BC578" s="7" t="s">
        <v>1747</v>
      </c>
      <c r="BE578" s="56">
        <f>AY578+AZ578</f>
        <v>0</v>
      </c>
      <c r="BF578" s="56">
        <f>H578/(100-BG578)*100</f>
        <v>0</v>
      </c>
      <c r="BG578" s="56">
        <v>0</v>
      </c>
      <c r="BH578" s="56">
        <f>M578</f>
        <v>0</v>
      </c>
      <c r="BJ578" s="80">
        <f>G578*AQ578</f>
        <v>0</v>
      </c>
      <c r="BK578" s="80">
        <f>G578*AR578</f>
        <v>0</v>
      </c>
      <c r="BL578" s="80">
        <f>G578*H578</f>
        <v>0</v>
      </c>
      <c r="BM578" s="80"/>
      <c r="BN578" s="56">
        <v>767</v>
      </c>
    </row>
    <row r="579" spans="1:66" ht="15" customHeight="1">
      <c r="A579" s="36"/>
      <c r="D579" s="45" t="s">
        <v>2297</v>
      </c>
      <c r="E579" s="104" t="s">
        <v>741</v>
      </c>
      <c r="G579" s="13">
        <v>1</v>
      </c>
      <c r="N579" s="19"/>
      <c r="P579" s="592"/>
      <c r="Q579" s="592"/>
      <c r="R579" s="592"/>
      <c r="S579" s="592"/>
      <c r="T579" s="592"/>
      <c r="U579" s="592"/>
      <c r="V579" s="592"/>
      <c r="W579" s="592"/>
      <c r="X579" s="592"/>
    </row>
    <row r="580" spans="1:66" ht="15" customHeight="1">
      <c r="A580" s="8" t="s">
        <v>800</v>
      </c>
      <c r="B580" s="75" t="s">
        <v>1746</v>
      </c>
      <c r="C580" s="75" t="s">
        <v>1528</v>
      </c>
      <c r="D580" s="710" t="s">
        <v>472</v>
      </c>
      <c r="E580" s="710"/>
      <c r="F580" s="75" t="s">
        <v>564</v>
      </c>
      <c r="G580" s="80">
        <v>1</v>
      </c>
      <c r="H580" s="626"/>
      <c r="I580" s="80">
        <f>G580*AQ580</f>
        <v>0</v>
      </c>
      <c r="J580" s="80">
        <f>G580*AR580</f>
        <v>0</v>
      </c>
      <c r="K580" s="80">
        <f>G580*H580</f>
        <v>0</v>
      </c>
      <c r="L580" s="80">
        <v>0</v>
      </c>
      <c r="M580" s="80">
        <f>G580*L580</f>
        <v>0</v>
      </c>
      <c r="N580" s="38" t="s">
        <v>1597</v>
      </c>
      <c r="P580" s="592"/>
      <c r="Q580" s="592"/>
      <c r="R580" s="592"/>
      <c r="S580" s="592"/>
      <c r="T580" s="592"/>
      <c r="U580" s="592"/>
      <c r="V580" s="592"/>
      <c r="W580" s="592"/>
      <c r="X580" s="592"/>
      <c r="AB580" s="56">
        <f>IF(AS580="5",BL580,0)</f>
        <v>0</v>
      </c>
      <c r="AD580" s="56">
        <f>IF(AS580="1",BJ580,0)</f>
        <v>0</v>
      </c>
      <c r="AE580" s="56">
        <f>IF(AS580="1",BK580,0)</f>
        <v>0</v>
      </c>
      <c r="AF580" s="56">
        <f>IF(AS580="7",BJ580,0)</f>
        <v>0</v>
      </c>
      <c r="AG580" s="56">
        <f>IF(AS580="7",BK580,0)</f>
        <v>0</v>
      </c>
      <c r="AH580" s="56">
        <f>IF(AS580="2",BJ580,0)</f>
        <v>0</v>
      </c>
      <c r="AI580" s="56">
        <f>IF(AS580="2",BK580,0)</f>
        <v>0</v>
      </c>
      <c r="AJ580" s="56">
        <f>IF(AS580="0",BL580,0)</f>
        <v>0</v>
      </c>
      <c r="AK580" s="7" t="s">
        <v>1746</v>
      </c>
      <c r="AL580" s="80">
        <f>IF(AP580=0,K580,0)</f>
        <v>0</v>
      </c>
      <c r="AM580" s="80">
        <f>IF(AP580=15,K580,0)</f>
        <v>0</v>
      </c>
      <c r="AN580" s="80">
        <f>IF(AP580=21,K580,0)</f>
        <v>0</v>
      </c>
      <c r="AP580" s="56">
        <v>21</v>
      </c>
      <c r="AQ580" s="88">
        <f>H580*1</f>
        <v>0</v>
      </c>
      <c r="AR580" s="88">
        <f>H580*(1-1)</f>
        <v>0</v>
      </c>
      <c r="AS580" s="64" t="s">
        <v>2311</v>
      </c>
      <c r="AX580" s="56">
        <f>AY580+AZ580</f>
        <v>0</v>
      </c>
      <c r="AY580" s="56">
        <f>G580*AQ580</f>
        <v>0</v>
      </c>
      <c r="AZ580" s="56">
        <f>G580*AR580</f>
        <v>0</v>
      </c>
      <c r="BA580" s="21" t="s">
        <v>644</v>
      </c>
      <c r="BB580" s="21" t="s">
        <v>1040</v>
      </c>
      <c r="BC580" s="7" t="s">
        <v>1747</v>
      </c>
      <c r="BE580" s="56">
        <f>AY580+AZ580</f>
        <v>0</v>
      </c>
      <c r="BF580" s="56">
        <f>H580/(100-BG580)*100</f>
        <v>0</v>
      </c>
      <c r="BG580" s="56">
        <v>0</v>
      </c>
      <c r="BH580" s="56">
        <f>M580</f>
        <v>0</v>
      </c>
      <c r="BJ580" s="80">
        <f>G580*AQ580</f>
        <v>0</v>
      </c>
      <c r="BK580" s="80">
        <f>G580*AR580</f>
        <v>0</v>
      </c>
      <c r="BL580" s="80">
        <f>G580*H580</f>
        <v>0</v>
      </c>
      <c r="BM580" s="80"/>
      <c r="BN580" s="56">
        <v>767</v>
      </c>
    </row>
    <row r="581" spans="1:66" ht="15" customHeight="1">
      <c r="A581" s="36"/>
      <c r="D581" s="45" t="s">
        <v>2297</v>
      </c>
      <c r="E581" s="104" t="s">
        <v>1006</v>
      </c>
      <c r="G581" s="13">
        <v>1</v>
      </c>
      <c r="N581" s="19"/>
      <c r="P581" s="592"/>
      <c r="Q581" s="592"/>
      <c r="R581" s="592"/>
      <c r="S581" s="592"/>
      <c r="T581" s="592"/>
      <c r="U581" s="592"/>
      <c r="V581" s="592"/>
      <c r="W581" s="592"/>
      <c r="X581" s="592"/>
    </row>
    <row r="582" spans="1:66" ht="15" customHeight="1">
      <c r="A582" s="8" t="s">
        <v>1512</v>
      </c>
      <c r="B582" s="75" t="s">
        <v>1746</v>
      </c>
      <c r="C582" s="75" t="s">
        <v>728</v>
      </c>
      <c r="D582" s="710" t="s">
        <v>1927</v>
      </c>
      <c r="E582" s="710"/>
      <c r="F582" s="75" t="s">
        <v>564</v>
      </c>
      <c r="G582" s="80">
        <v>1</v>
      </c>
      <c r="H582" s="626"/>
      <c r="I582" s="80">
        <f>G582*AQ582</f>
        <v>0</v>
      </c>
      <c r="J582" s="80">
        <f>G582*AR582</f>
        <v>0</v>
      </c>
      <c r="K582" s="80">
        <f>G582*H582</f>
        <v>0</v>
      </c>
      <c r="L582" s="80">
        <v>0</v>
      </c>
      <c r="M582" s="80">
        <f>G582*L582</f>
        <v>0</v>
      </c>
      <c r="N582" s="38" t="s">
        <v>1597</v>
      </c>
      <c r="P582" s="592"/>
      <c r="Q582" s="592"/>
      <c r="R582" s="592"/>
      <c r="S582" s="592"/>
      <c r="T582" s="592"/>
      <c r="U582" s="592"/>
      <c r="V582" s="592"/>
      <c r="W582" s="592"/>
      <c r="X582" s="592"/>
      <c r="AB582" s="56">
        <f>IF(AS582="5",BL582,0)</f>
        <v>0</v>
      </c>
      <c r="AD582" s="56">
        <f>IF(AS582="1",BJ582,0)</f>
        <v>0</v>
      </c>
      <c r="AE582" s="56">
        <f>IF(AS582="1",BK582,0)</f>
        <v>0</v>
      </c>
      <c r="AF582" s="56">
        <f>IF(AS582="7",BJ582,0)</f>
        <v>0</v>
      </c>
      <c r="AG582" s="56">
        <f>IF(AS582="7",BK582,0)</f>
        <v>0</v>
      </c>
      <c r="AH582" s="56">
        <f>IF(AS582="2",BJ582,0)</f>
        <v>0</v>
      </c>
      <c r="AI582" s="56">
        <f>IF(AS582="2",BK582,0)</f>
        <v>0</v>
      </c>
      <c r="AJ582" s="56">
        <f>IF(AS582="0",BL582,0)</f>
        <v>0</v>
      </c>
      <c r="AK582" s="7" t="s">
        <v>1746</v>
      </c>
      <c r="AL582" s="80">
        <f>IF(AP582=0,K582,0)</f>
        <v>0</v>
      </c>
      <c r="AM582" s="80">
        <f>IF(AP582=15,K582,0)</f>
        <v>0</v>
      </c>
      <c r="AN582" s="80">
        <f>IF(AP582=21,K582,0)</f>
        <v>0</v>
      </c>
      <c r="AP582" s="56">
        <v>21</v>
      </c>
      <c r="AQ582" s="88">
        <f>H582*1</f>
        <v>0</v>
      </c>
      <c r="AR582" s="88">
        <f>H582*(1-1)</f>
        <v>0</v>
      </c>
      <c r="AS582" s="64" t="s">
        <v>2311</v>
      </c>
      <c r="AX582" s="56">
        <f>AY582+AZ582</f>
        <v>0</v>
      </c>
      <c r="AY582" s="56">
        <f>G582*AQ582</f>
        <v>0</v>
      </c>
      <c r="AZ582" s="56">
        <f>G582*AR582</f>
        <v>0</v>
      </c>
      <c r="BA582" s="21" t="s">
        <v>644</v>
      </c>
      <c r="BB582" s="21" t="s">
        <v>1040</v>
      </c>
      <c r="BC582" s="7" t="s">
        <v>1747</v>
      </c>
      <c r="BE582" s="56">
        <f>AY582+AZ582</f>
        <v>0</v>
      </c>
      <c r="BF582" s="56">
        <f>H582/(100-BG582)*100</f>
        <v>0</v>
      </c>
      <c r="BG582" s="56">
        <v>0</v>
      </c>
      <c r="BH582" s="56">
        <f>M582</f>
        <v>0</v>
      </c>
      <c r="BJ582" s="80">
        <f>G582*AQ582</f>
        <v>0</v>
      </c>
      <c r="BK582" s="80">
        <f>G582*AR582</f>
        <v>0</v>
      </c>
      <c r="BL582" s="80">
        <f>G582*H582</f>
        <v>0</v>
      </c>
      <c r="BM582" s="80"/>
      <c r="BN582" s="56">
        <v>767</v>
      </c>
    </row>
    <row r="583" spans="1:66" ht="15" customHeight="1">
      <c r="A583" s="36"/>
      <c r="D583" s="45" t="s">
        <v>2297</v>
      </c>
      <c r="E583" s="104" t="s">
        <v>2381</v>
      </c>
      <c r="G583" s="13">
        <v>1</v>
      </c>
      <c r="N583" s="19"/>
      <c r="P583" s="592"/>
      <c r="Q583" s="592"/>
      <c r="R583" s="592"/>
      <c r="S583" s="592"/>
      <c r="T583" s="592"/>
      <c r="U583" s="592"/>
      <c r="V583" s="592"/>
      <c r="W583" s="592"/>
      <c r="X583" s="592"/>
    </row>
    <row r="584" spans="1:66" ht="15" customHeight="1">
      <c r="A584" s="8" t="s">
        <v>382</v>
      </c>
      <c r="B584" s="75" t="s">
        <v>1746</v>
      </c>
      <c r="C584" s="75" t="s">
        <v>1431</v>
      </c>
      <c r="D584" s="710" t="s">
        <v>1326</v>
      </c>
      <c r="E584" s="710"/>
      <c r="F584" s="75" t="s">
        <v>564</v>
      </c>
      <c r="G584" s="80">
        <v>1</v>
      </c>
      <c r="H584" s="626"/>
      <c r="I584" s="80">
        <f>G584*AQ584</f>
        <v>0</v>
      </c>
      <c r="J584" s="80">
        <f>G584*AR584</f>
        <v>0</v>
      </c>
      <c r="K584" s="80">
        <f>G584*H584</f>
        <v>0</v>
      </c>
      <c r="L584" s="80">
        <v>0</v>
      </c>
      <c r="M584" s="80">
        <f>G584*L584</f>
        <v>0</v>
      </c>
      <c r="N584" s="38" t="s">
        <v>1597</v>
      </c>
      <c r="P584" s="592"/>
      <c r="Q584" s="592"/>
      <c r="R584" s="592"/>
      <c r="S584" s="592"/>
      <c r="T584" s="592"/>
      <c r="U584" s="592"/>
      <c r="V584" s="592"/>
      <c r="W584" s="592"/>
      <c r="X584" s="592"/>
      <c r="AB584" s="56">
        <f>IF(AS584="5",BL584,0)</f>
        <v>0</v>
      </c>
      <c r="AD584" s="56">
        <f>IF(AS584="1",BJ584,0)</f>
        <v>0</v>
      </c>
      <c r="AE584" s="56">
        <f>IF(AS584="1",BK584,0)</f>
        <v>0</v>
      </c>
      <c r="AF584" s="56">
        <f>IF(AS584="7",BJ584,0)</f>
        <v>0</v>
      </c>
      <c r="AG584" s="56">
        <f>IF(AS584="7",BK584,0)</f>
        <v>0</v>
      </c>
      <c r="AH584" s="56">
        <f>IF(AS584="2",BJ584,0)</f>
        <v>0</v>
      </c>
      <c r="AI584" s="56">
        <f>IF(AS584="2",BK584,0)</f>
        <v>0</v>
      </c>
      <c r="AJ584" s="56">
        <f>IF(AS584="0",BL584,0)</f>
        <v>0</v>
      </c>
      <c r="AK584" s="7" t="s">
        <v>1746</v>
      </c>
      <c r="AL584" s="80">
        <f>IF(AP584=0,K584,0)</f>
        <v>0</v>
      </c>
      <c r="AM584" s="80">
        <f>IF(AP584=15,K584,0)</f>
        <v>0</v>
      </c>
      <c r="AN584" s="80">
        <f>IF(AP584=21,K584,0)</f>
        <v>0</v>
      </c>
      <c r="AP584" s="56">
        <v>21</v>
      </c>
      <c r="AQ584" s="88">
        <f>H584*1</f>
        <v>0</v>
      </c>
      <c r="AR584" s="88">
        <f>H584*(1-1)</f>
        <v>0</v>
      </c>
      <c r="AS584" s="64" t="s">
        <v>2311</v>
      </c>
      <c r="AX584" s="56">
        <f>AY584+AZ584</f>
        <v>0</v>
      </c>
      <c r="AY584" s="56">
        <f>G584*AQ584</f>
        <v>0</v>
      </c>
      <c r="AZ584" s="56">
        <f>G584*AR584</f>
        <v>0</v>
      </c>
      <c r="BA584" s="21" t="s">
        <v>644</v>
      </c>
      <c r="BB584" s="21" t="s">
        <v>1040</v>
      </c>
      <c r="BC584" s="7" t="s">
        <v>1747</v>
      </c>
      <c r="BE584" s="56">
        <f>AY584+AZ584</f>
        <v>0</v>
      </c>
      <c r="BF584" s="56">
        <f>H584/(100-BG584)*100</f>
        <v>0</v>
      </c>
      <c r="BG584" s="56">
        <v>0</v>
      </c>
      <c r="BH584" s="56">
        <f>M584</f>
        <v>0</v>
      </c>
      <c r="BJ584" s="80">
        <f>G584*AQ584</f>
        <v>0</v>
      </c>
      <c r="BK584" s="80">
        <f>G584*AR584</f>
        <v>0</v>
      </c>
      <c r="BL584" s="80">
        <f>G584*H584</f>
        <v>0</v>
      </c>
      <c r="BM584" s="80"/>
      <c r="BN584" s="56">
        <v>767</v>
      </c>
    </row>
    <row r="585" spans="1:66" ht="15" customHeight="1">
      <c r="A585" s="36"/>
      <c r="D585" s="45" t="s">
        <v>2297</v>
      </c>
      <c r="E585" s="104" t="s">
        <v>1079</v>
      </c>
      <c r="G585" s="13">
        <v>1</v>
      </c>
      <c r="N585" s="19"/>
      <c r="P585" s="592"/>
      <c r="Q585" s="592"/>
      <c r="R585" s="592"/>
      <c r="S585" s="592"/>
      <c r="T585" s="592"/>
      <c r="U585" s="592"/>
      <c r="V585" s="592"/>
      <c r="W585" s="592"/>
      <c r="X585" s="592"/>
    </row>
    <row r="586" spans="1:66" ht="15" customHeight="1">
      <c r="A586" s="8" t="s">
        <v>839</v>
      </c>
      <c r="B586" s="75" t="s">
        <v>1746</v>
      </c>
      <c r="C586" s="75" t="s">
        <v>503</v>
      </c>
      <c r="D586" s="710" t="s">
        <v>1905</v>
      </c>
      <c r="E586" s="710"/>
      <c r="F586" s="75" t="s">
        <v>564</v>
      </c>
      <c r="G586" s="80">
        <v>3</v>
      </c>
      <c r="H586" s="626"/>
      <c r="I586" s="80">
        <f>G586*AQ586</f>
        <v>0</v>
      </c>
      <c r="J586" s="80">
        <f>G586*AR586</f>
        <v>0</v>
      </c>
      <c r="K586" s="80">
        <f>G586*H586</f>
        <v>0</v>
      </c>
      <c r="L586" s="80">
        <v>0</v>
      </c>
      <c r="M586" s="80">
        <f>G586*L586</f>
        <v>0</v>
      </c>
      <c r="N586" s="38" t="s">
        <v>1597</v>
      </c>
      <c r="P586" s="592"/>
      <c r="Q586" s="592"/>
      <c r="R586" s="592"/>
      <c r="S586" s="592"/>
      <c r="T586" s="592"/>
      <c r="U586" s="592"/>
      <c r="V586" s="592"/>
      <c r="W586" s="592"/>
      <c r="X586" s="592"/>
      <c r="AB586" s="56">
        <f>IF(AS586="5",BL586,0)</f>
        <v>0</v>
      </c>
      <c r="AD586" s="56">
        <f>IF(AS586="1",BJ586,0)</f>
        <v>0</v>
      </c>
      <c r="AE586" s="56">
        <f>IF(AS586="1",BK586,0)</f>
        <v>0</v>
      </c>
      <c r="AF586" s="56">
        <f>IF(AS586="7",BJ586,0)</f>
        <v>0</v>
      </c>
      <c r="AG586" s="56">
        <f>IF(AS586="7",BK586,0)</f>
        <v>0</v>
      </c>
      <c r="AH586" s="56">
        <f>IF(AS586="2",BJ586,0)</f>
        <v>0</v>
      </c>
      <c r="AI586" s="56">
        <f>IF(AS586="2",BK586,0)</f>
        <v>0</v>
      </c>
      <c r="AJ586" s="56">
        <f>IF(AS586="0",BL586,0)</f>
        <v>0</v>
      </c>
      <c r="AK586" s="7" t="s">
        <v>1746</v>
      </c>
      <c r="AL586" s="80">
        <f>IF(AP586=0,K586,0)</f>
        <v>0</v>
      </c>
      <c r="AM586" s="80">
        <f>IF(AP586=15,K586,0)</f>
        <v>0</v>
      </c>
      <c r="AN586" s="80">
        <f>IF(AP586=21,K586,0)</f>
        <v>0</v>
      </c>
      <c r="AP586" s="56">
        <v>21</v>
      </c>
      <c r="AQ586" s="88">
        <f>H586*1</f>
        <v>0</v>
      </c>
      <c r="AR586" s="88">
        <f>H586*(1-1)</f>
        <v>0</v>
      </c>
      <c r="AS586" s="64" t="s">
        <v>2311</v>
      </c>
      <c r="AX586" s="56">
        <f>AY586+AZ586</f>
        <v>0</v>
      </c>
      <c r="AY586" s="56">
        <f>G586*AQ586</f>
        <v>0</v>
      </c>
      <c r="AZ586" s="56">
        <f>G586*AR586</f>
        <v>0</v>
      </c>
      <c r="BA586" s="21" t="s">
        <v>644</v>
      </c>
      <c r="BB586" s="21" t="s">
        <v>1040</v>
      </c>
      <c r="BC586" s="7" t="s">
        <v>1747</v>
      </c>
      <c r="BE586" s="56">
        <f>AY586+AZ586</f>
        <v>0</v>
      </c>
      <c r="BF586" s="56">
        <f>H586/(100-BG586)*100</f>
        <v>0</v>
      </c>
      <c r="BG586" s="56">
        <v>0</v>
      </c>
      <c r="BH586" s="56">
        <f>M586</f>
        <v>0</v>
      </c>
      <c r="BJ586" s="80">
        <f>G586*AQ586</f>
        <v>0</v>
      </c>
      <c r="BK586" s="80">
        <f>G586*AR586</f>
        <v>0</v>
      </c>
      <c r="BL586" s="80">
        <f>G586*H586</f>
        <v>0</v>
      </c>
      <c r="BM586" s="80"/>
      <c r="BN586" s="56">
        <v>767</v>
      </c>
    </row>
    <row r="587" spans="1:66" ht="15" customHeight="1">
      <c r="A587" s="36"/>
      <c r="D587" s="45" t="s">
        <v>2007</v>
      </c>
      <c r="E587" s="104" t="s">
        <v>2203</v>
      </c>
      <c r="G587" s="13">
        <v>3.0000000000000004</v>
      </c>
      <c r="N587" s="19"/>
      <c r="P587" s="592"/>
      <c r="Q587" s="592"/>
      <c r="R587" s="592"/>
      <c r="S587" s="592"/>
      <c r="T587" s="592"/>
      <c r="U587" s="592"/>
      <c r="V587" s="592"/>
      <c r="W587" s="592"/>
      <c r="X587" s="592"/>
    </row>
    <row r="588" spans="1:66" ht="15" customHeight="1">
      <c r="A588" s="8">
        <v>225</v>
      </c>
      <c r="B588" s="75" t="s">
        <v>1746</v>
      </c>
      <c r="C588" s="75" t="s">
        <v>134</v>
      </c>
      <c r="D588" s="710" t="s">
        <v>3702</v>
      </c>
      <c r="E588" s="710"/>
      <c r="F588" s="75" t="s">
        <v>564</v>
      </c>
      <c r="G588" s="80">
        <v>1</v>
      </c>
      <c r="H588" s="626"/>
      <c r="I588" s="80">
        <f>G588*AQ588</f>
        <v>0</v>
      </c>
      <c r="J588" s="80">
        <f>G588*AR588</f>
        <v>0</v>
      </c>
      <c r="K588" s="80">
        <f>G588*H588</f>
        <v>0</v>
      </c>
      <c r="L588" s="80">
        <v>0</v>
      </c>
      <c r="M588" s="80">
        <f>G588*L588</f>
        <v>0</v>
      </c>
      <c r="N588" s="38" t="s">
        <v>1597</v>
      </c>
      <c r="P588" s="592"/>
      <c r="Q588" s="592"/>
      <c r="R588" s="592"/>
      <c r="S588" s="592"/>
      <c r="T588" s="592"/>
      <c r="U588" s="592"/>
      <c r="V588" s="592"/>
      <c r="W588" s="592"/>
      <c r="X588" s="592"/>
      <c r="AB588" s="56">
        <f>IF(AS588="5",BL588,0)</f>
        <v>0</v>
      </c>
      <c r="AD588" s="56">
        <f>IF(AS588="1",BJ588,0)</f>
        <v>0</v>
      </c>
      <c r="AE588" s="56">
        <f>IF(AS588="1",BK588,0)</f>
        <v>0</v>
      </c>
      <c r="AF588" s="56">
        <f>IF(AS588="7",BJ588,0)</f>
        <v>0</v>
      </c>
      <c r="AG588" s="56">
        <f>IF(AS588="7",BK588,0)</f>
        <v>0</v>
      </c>
      <c r="AH588" s="56">
        <f>IF(AS588="2",BJ588,0)</f>
        <v>0</v>
      </c>
      <c r="AI588" s="56">
        <f>IF(AS588="2",BK588,0)</f>
        <v>0</v>
      </c>
      <c r="AJ588" s="56">
        <f>IF(AS588="0",BL588,0)</f>
        <v>0</v>
      </c>
      <c r="AK588" s="7" t="s">
        <v>1746</v>
      </c>
      <c r="AL588" s="80">
        <f>IF(AP588=0,K588,0)</f>
        <v>0</v>
      </c>
      <c r="AM588" s="80">
        <f>IF(AP588=15,K588,0)</f>
        <v>0</v>
      </c>
      <c r="AN588" s="80">
        <f>IF(AP588=21,K588,0)</f>
        <v>0</v>
      </c>
      <c r="AP588" s="56">
        <v>21</v>
      </c>
      <c r="AQ588" s="88">
        <f>H588*1</f>
        <v>0</v>
      </c>
      <c r="AR588" s="88">
        <f>H588*(1-1)</f>
        <v>0</v>
      </c>
      <c r="AS588" s="64" t="s">
        <v>2311</v>
      </c>
      <c r="AX588" s="56">
        <f>AY588+AZ588</f>
        <v>0</v>
      </c>
      <c r="AY588" s="56">
        <f>G588*AQ588</f>
        <v>0</v>
      </c>
      <c r="AZ588" s="56">
        <f>G588*AR588</f>
        <v>0</v>
      </c>
      <c r="BA588" s="21" t="s">
        <v>644</v>
      </c>
      <c r="BB588" s="21" t="s">
        <v>1040</v>
      </c>
      <c r="BC588" s="7" t="s">
        <v>1747</v>
      </c>
      <c r="BE588" s="56">
        <f>AY588+AZ588</f>
        <v>0</v>
      </c>
      <c r="BF588" s="56">
        <f>H588/(100-BG588)*100</f>
        <v>0</v>
      </c>
      <c r="BG588" s="56">
        <v>0</v>
      </c>
      <c r="BH588" s="56">
        <f>M588</f>
        <v>0</v>
      </c>
      <c r="BJ588" s="80">
        <f>G588*AQ588</f>
        <v>0</v>
      </c>
      <c r="BK588" s="80">
        <f>G588*AR588</f>
        <v>0</v>
      </c>
      <c r="BL588" s="80">
        <f>G588*H588</f>
        <v>0</v>
      </c>
      <c r="BM588" s="80"/>
      <c r="BN588" s="56">
        <v>767</v>
      </c>
    </row>
    <row r="589" spans="1:66" ht="15" customHeight="1">
      <c r="A589" s="36"/>
      <c r="D589" s="45" t="s">
        <v>2297</v>
      </c>
      <c r="E589" s="104" t="s">
        <v>3703</v>
      </c>
      <c r="G589" s="13">
        <v>1</v>
      </c>
      <c r="N589" s="19"/>
      <c r="P589" s="592"/>
      <c r="Q589" s="592"/>
      <c r="R589" s="592"/>
      <c r="S589" s="592"/>
      <c r="T589" s="592"/>
      <c r="U589" s="592"/>
      <c r="V589" s="592"/>
      <c r="W589" s="592"/>
      <c r="X589" s="592"/>
    </row>
    <row r="590" spans="1:66" ht="15" customHeight="1">
      <c r="A590" s="8">
        <v>225</v>
      </c>
      <c r="B590" s="75" t="s">
        <v>1746</v>
      </c>
      <c r="C590" s="75" t="s">
        <v>2079</v>
      </c>
      <c r="D590" s="710" t="s">
        <v>3701</v>
      </c>
      <c r="E590" s="710"/>
      <c r="F590" s="75" t="s">
        <v>564</v>
      </c>
      <c r="G590" s="80">
        <v>1</v>
      </c>
      <c r="H590" s="626"/>
      <c r="I590" s="80">
        <f>G590*AQ590</f>
        <v>0</v>
      </c>
      <c r="J590" s="80">
        <f>G590*AR590</f>
        <v>0</v>
      </c>
      <c r="K590" s="80">
        <f>G590*H590</f>
        <v>0</v>
      </c>
      <c r="L590" s="80">
        <v>0</v>
      </c>
      <c r="M590" s="80">
        <f>G590*L590</f>
        <v>0</v>
      </c>
      <c r="N590" s="38" t="s">
        <v>1597</v>
      </c>
      <c r="P590" s="592"/>
      <c r="Q590" s="592"/>
      <c r="R590" s="592"/>
      <c r="S590" s="592"/>
      <c r="T590" s="592"/>
      <c r="U590" s="592"/>
      <c r="V590" s="592"/>
      <c r="W590" s="592"/>
      <c r="X590" s="592"/>
      <c r="AB590" s="56">
        <f>IF(AS590="5",BL590,0)</f>
        <v>0</v>
      </c>
      <c r="AD590" s="56">
        <f>IF(AS590="1",BJ590,0)</f>
        <v>0</v>
      </c>
      <c r="AE590" s="56">
        <f>IF(AS590="1",BK590,0)</f>
        <v>0</v>
      </c>
      <c r="AF590" s="56">
        <f>IF(AS590="7",BJ590,0)</f>
        <v>0</v>
      </c>
      <c r="AG590" s="56">
        <f>IF(AS590="7",BK590,0)</f>
        <v>0</v>
      </c>
      <c r="AH590" s="56">
        <f>IF(AS590="2",BJ590,0)</f>
        <v>0</v>
      </c>
      <c r="AI590" s="56">
        <f>IF(AS590="2",BK590,0)</f>
        <v>0</v>
      </c>
      <c r="AJ590" s="56">
        <f>IF(AS590="0",BL590,0)</f>
        <v>0</v>
      </c>
      <c r="AK590" s="7" t="s">
        <v>1746</v>
      </c>
      <c r="AL590" s="80">
        <f>IF(AP590=0,K590,0)</f>
        <v>0</v>
      </c>
      <c r="AM590" s="80">
        <f>IF(AP590=15,K590,0)</f>
        <v>0</v>
      </c>
      <c r="AN590" s="80">
        <f>IF(AP590=21,K590,0)</f>
        <v>0</v>
      </c>
      <c r="AP590" s="56">
        <v>21</v>
      </c>
      <c r="AQ590" s="88">
        <f>H590*1</f>
        <v>0</v>
      </c>
      <c r="AR590" s="88">
        <f>H590*(1-1)</f>
        <v>0</v>
      </c>
      <c r="AS590" s="64" t="s">
        <v>2311</v>
      </c>
      <c r="AX590" s="56">
        <f>AY590+AZ590</f>
        <v>0</v>
      </c>
      <c r="AY590" s="56">
        <f>G590*AQ590</f>
        <v>0</v>
      </c>
      <c r="AZ590" s="56">
        <f>G590*AR590</f>
        <v>0</v>
      </c>
      <c r="BA590" s="21" t="s">
        <v>644</v>
      </c>
      <c r="BB590" s="21" t="s">
        <v>1040</v>
      </c>
      <c r="BC590" s="7" t="s">
        <v>1747</v>
      </c>
      <c r="BE590" s="56">
        <f>AY590+AZ590</f>
        <v>0</v>
      </c>
      <c r="BF590" s="56">
        <f>H590/(100-BG590)*100</f>
        <v>0</v>
      </c>
      <c r="BG590" s="56">
        <v>0</v>
      </c>
      <c r="BH590" s="56">
        <f>M590</f>
        <v>0</v>
      </c>
      <c r="BJ590" s="80">
        <f>G590*AQ590</f>
        <v>0</v>
      </c>
      <c r="BK590" s="80">
        <f>G590*AR590</f>
        <v>0</v>
      </c>
      <c r="BL590" s="80">
        <f>G590*H590</f>
        <v>0</v>
      </c>
      <c r="BM590" s="80"/>
      <c r="BN590" s="56">
        <v>767</v>
      </c>
    </row>
    <row r="591" spans="1:66" ht="15" customHeight="1">
      <c r="A591" s="36"/>
      <c r="D591" s="45">
        <v>1</v>
      </c>
      <c r="E591" s="104" t="s">
        <v>3704</v>
      </c>
      <c r="G591" s="13">
        <v>1</v>
      </c>
      <c r="N591" s="19"/>
      <c r="P591" s="592"/>
      <c r="Q591" s="592"/>
      <c r="R591" s="592"/>
      <c r="S591" s="592"/>
      <c r="T591" s="592"/>
      <c r="U591" s="592"/>
      <c r="V591" s="592"/>
      <c r="W591" s="592"/>
      <c r="X591" s="592"/>
    </row>
    <row r="592" spans="1:66" ht="15" customHeight="1">
      <c r="A592" s="24" t="s">
        <v>1933</v>
      </c>
      <c r="B592" s="12" t="s">
        <v>1746</v>
      </c>
      <c r="C592" s="12" t="s">
        <v>2117</v>
      </c>
      <c r="D592" s="630" t="s">
        <v>2549</v>
      </c>
      <c r="E592" s="630"/>
      <c r="F592" s="12" t="s">
        <v>2182</v>
      </c>
      <c r="G592" s="56">
        <v>85</v>
      </c>
      <c r="H592" s="625"/>
      <c r="I592" s="56">
        <f>G592*AQ592</f>
        <v>0</v>
      </c>
      <c r="J592" s="56">
        <f>G592*AR592</f>
        <v>0</v>
      </c>
      <c r="K592" s="56">
        <f>G592*H592</f>
        <v>0</v>
      </c>
      <c r="L592" s="56">
        <v>6.0000000000000002E-5</v>
      </c>
      <c r="M592" s="56">
        <f>G592*L592</f>
        <v>5.1000000000000004E-3</v>
      </c>
      <c r="N592" s="31" t="s">
        <v>1579</v>
      </c>
      <c r="P592" s="592"/>
      <c r="Q592" s="592"/>
      <c r="R592" s="592"/>
      <c r="S592" s="592"/>
      <c r="T592" s="592"/>
      <c r="U592" s="592"/>
      <c r="V592" s="592"/>
      <c r="W592" s="592"/>
      <c r="X592" s="592"/>
      <c r="AB592" s="56">
        <f>IF(AS592="5",BL592,0)</f>
        <v>0</v>
      </c>
      <c r="AD592" s="56">
        <f>IF(AS592="1",BJ592,0)</f>
        <v>0</v>
      </c>
      <c r="AE592" s="56">
        <f>IF(AS592="1",BK592,0)</f>
        <v>0</v>
      </c>
      <c r="AF592" s="56">
        <f>IF(AS592="7",BJ592,0)</f>
        <v>0</v>
      </c>
      <c r="AG592" s="56">
        <f>IF(AS592="7",BK592,0)</f>
        <v>0</v>
      </c>
      <c r="AH592" s="56">
        <f>IF(AS592="2",BJ592,0)</f>
        <v>0</v>
      </c>
      <c r="AI592" s="56">
        <f>IF(AS592="2",BK592,0)</f>
        <v>0</v>
      </c>
      <c r="AJ592" s="56">
        <f>IF(AS592="0",BL592,0)</f>
        <v>0</v>
      </c>
      <c r="AK592" s="7" t="s">
        <v>1746</v>
      </c>
      <c r="AL592" s="56">
        <f>IF(AP592=0,K592,0)</f>
        <v>0</v>
      </c>
      <c r="AM592" s="56">
        <f>IF(AP592=15,K592,0)</f>
        <v>0</v>
      </c>
      <c r="AN592" s="56">
        <f>IF(AP592=21,K592,0)</f>
        <v>0</v>
      </c>
      <c r="AP592" s="56">
        <v>21</v>
      </c>
      <c r="AQ592" s="88">
        <f>H592*0.0503990351304883</f>
        <v>0</v>
      </c>
      <c r="AR592" s="88">
        <f>H592*(1-0.0503990351304883)</f>
        <v>0</v>
      </c>
      <c r="AS592" s="21" t="s">
        <v>2311</v>
      </c>
      <c r="AX592" s="56">
        <f>AY592+AZ592</f>
        <v>0</v>
      </c>
      <c r="AY592" s="56">
        <f>G592*AQ592</f>
        <v>0</v>
      </c>
      <c r="AZ592" s="56">
        <f>G592*AR592</f>
        <v>0</v>
      </c>
      <c r="BA592" s="21" t="s">
        <v>644</v>
      </c>
      <c r="BB592" s="21" t="s">
        <v>1040</v>
      </c>
      <c r="BC592" s="7" t="s">
        <v>1747</v>
      </c>
      <c r="BE592" s="56">
        <f>AY592+AZ592</f>
        <v>0</v>
      </c>
      <c r="BF592" s="56">
        <f>H592/(100-BG592)*100</f>
        <v>0</v>
      </c>
      <c r="BG592" s="56">
        <v>0</v>
      </c>
      <c r="BH592" s="56">
        <f>M592</f>
        <v>5.1000000000000004E-3</v>
      </c>
      <c r="BJ592" s="56">
        <f>G592*AQ592</f>
        <v>0</v>
      </c>
      <c r="BK592" s="56">
        <f>G592*AR592</f>
        <v>0</v>
      </c>
      <c r="BL592" s="56">
        <f>G592*H592</f>
        <v>0</v>
      </c>
      <c r="BM592" s="56"/>
      <c r="BN592" s="56">
        <v>767</v>
      </c>
    </row>
    <row r="593" spans="1:66" ht="15" customHeight="1">
      <c r="A593" s="36"/>
      <c r="D593" s="45" t="s">
        <v>1132</v>
      </c>
      <c r="E593" s="104" t="s">
        <v>2318</v>
      </c>
      <c r="G593" s="13">
        <v>85</v>
      </c>
      <c r="N593" s="19"/>
      <c r="P593" s="592"/>
      <c r="Q593" s="592"/>
      <c r="R593" s="592"/>
      <c r="S593" s="592"/>
      <c r="T593" s="592"/>
      <c r="U593" s="592"/>
      <c r="V593" s="592"/>
      <c r="W593" s="592"/>
      <c r="X593" s="592"/>
    </row>
    <row r="594" spans="1:66" ht="15" customHeight="1">
      <c r="A594" s="36"/>
      <c r="D594" s="45" t="s">
        <v>1597</v>
      </c>
      <c r="E594" s="104" t="s">
        <v>455</v>
      </c>
      <c r="G594" s="13">
        <v>0</v>
      </c>
      <c r="N594" s="19"/>
      <c r="P594" s="592"/>
      <c r="Q594" s="592"/>
      <c r="R594" s="592"/>
      <c r="S594" s="592"/>
      <c r="T594" s="592"/>
      <c r="U594" s="592"/>
      <c r="V594" s="592"/>
      <c r="W594" s="592"/>
      <c r="X594" s="592"/>
    </row>
    <row r="595" spans="1:66" ht="15" customHeight="1">
      <c r="A595" s="8" t="s">
        <v>39</v>
      </c>
      <c r="B595" s="75" t="s">
        <v>1746</v>
      </c>
      <c r="C595" s="75" t="s">
        <v>660</v>
      </c>
      <c r="D595" s="710" t="s">
        <v>818</v>
      </c>
      <c r="E595" s="710"/>
      <c r="F595" s="75" t="s">
        <v>2274</v>
      </c>
      <c r="G595" s="80">
        <v>5</v>
      </c>
      <c r="H595" s="626"/>
      <c r="I595" s="80">
        <f>G595*AQ595</f>
        <v>0</v>
      </c>
      <c r="J595" s="80">
        <f>G595*AR595</f>
        <v>0</v>
      </c>
      <c r="K595" s="80">
        <f>G595*H595</f>
        <v>0</v>
      </c>
      <c r="L595" s="80">
        <v>1.5800000000000002E-2</v>
      </c>
      <c r="M595" s="80">
        <f>G595*L595</f>
        <v>7.9000000000000015E-2</v>
      </c>
      <c r="N595" s="38" t="s">
        <v>1579</v>
      </c>
      <c r="P595" s="592"/>
      <c r="Q595" s="592"/>
      <c r="R595" s="592"/>
      <c r="S595" s="592"/>
      <c r="T595" s="592"/>
      <c r="U595" s="592"/>
      <c r="V595" s="592"/>
      <c r="W595" s="592"/>
      <c r="X595" s="592"/>
      <c r="AB595" s="56">
        <f>IF(AS595="5",BL595,0)</f>
        <v>0</v>
      </c>
      <c r="AD595" s="56">
        <f>IF(AS595="1",BJ595,0)</f>
        <v>0</v>
      </c>
      <c r="AE595" s="56">
        <f>IF(AS595="1",BK595,0)</f>
        <v>0</v>
      </c>
      <c r="AF595" s="56">
        <f>IF(AS595="7",BJ595,0)</f>
        <v>0</v>
      </c>
      <c r="AG595" s="56">
        <f>IF(AS595="7",BK595,0)</f>
        <v>0</v>
      </c>
      <c r="AH595" s="56">
        <f>IF(AS595="2",BJ595,0)</f>
        <v>0</v>
      </c>
      <c r="AI595" s="56">
        <f>IF(AS595="2",BK595,0)</f>
        <v>0</v>
      </c>
      <c r="AJ595" s="56">
        <f>IF(AS595="0",BL595,0)</f>
        <v>0</v>
      </c>
      <c r="AK595" s="7" t="s">
        <v>1746</v>
      </c>
      <c r="AL595" s="80">
        <f>IF(AP595=0,K595,0)</f>
        <v>0</v>
      </c>
      <c r="AM595" s="80">
        <f>IF(AP595=15,K595,0)</f>
        <v>0</v>
      </c>
      <c r="AN595" s="80">
        <f>IF(AP595=21,K595,0)</f>
        <v>0</v>
      </c>
      <c r="AP595" s="56">
        <v>21</v>
      </c>
      <c r="AQ595" s="88">
        <f>H595*1</f>
        <v>0</v>
      </c>
      <c r="AR595" s="88">
        <f>H595*(1-1)</f>
        <v>0</v>
      </c>
      <c r="AS595" s="64" t="s">
        <v>2311</v>
      </c>
      <c r="AX595" s="56">
        <f>AY595+AZ595</f>
        <v>0</v>
      </c>
      <c r="AY595" s="56">
        <f>G595*AQ595</f>
        <v>0</v>
      </c>
      <c r="AZ595" s="56">
        <f>G595*AR595</f>
        <v>0</v>
      </c>
      <c r="BA595" s="21" t="s">
        <v>644</v>
      </c>
      <c r="BB595" s="21" t="s">
        <v>1040</v>
      </c>
      <c r="BC595" s="7" t="s">
        <v>1747</v>
      </c>
      <c r="BE595" s="56">
        <f>AY595+AZ595</f>
        <v>0</v>
      </c>
      <c r="BF595" s="56">
        <f>H595/(100-BG595)*100</f>
        <v>0</v>
      </c>
      <c r="BG595" s="56">
        <v>0</v>
      </c>
      <c r="BH595" s="56">
        <f>M595</f>
        <v>7.9000000000000015E-2</v>
      </c>
      <c r="BJ595" s="80">
        <f>G595*AQ595</f>
        <v>0</v>
      </c>
      <c r="BK595" s="80">
        <f>G595*AR595</f>
        <v>0</v>
      </c>
      <c r="BL595" s="80">
        <f>G595*H595</f>
        <v>0</v>
      </c>
      <c r="BM595" s="80"/>
      <c r="BN595" s="56">
        <v>767</v>
      </c>
    </row>
    <row r="596" spans="1:66" ht="15" customHeight="1">
      <c r="A596" s="36"/>
      <c r="D596" s="45" t="s">
        <v>1227</v>
      </c>
      <c r="E596" s="104" t="s">
        <v>576</v>
      </c>
      <c r="G596" s="13">
        <v>5</v>
      </c>
      <c r="N596" s="19"/>
      <c r="P596" s="592"/>
      <c r="Q596" s="592"/>
      <c r="R596" s="592"/>
      <c r="S596" s="592"/>
      <c r="T596" s="592"/>
      <c r="U596" s="592"/>
      <c r="V596" s="592"/>
      <c r="W596" s="592"/>
      <c r="X596" s="592"/>
    </row>
    <row r="597" spans="1:66" ht="15" customHeight="1">
      <c r="A597" s="8" t="s">
        <v>984</v>
      </c>
      <c r="B597" s="75" t="s">
        <v>1746</v>
      </c>
      <c r="C597" s="75" t="s">
        <v>685</v>
      </c>
      <c r="D597" s="710" t="s">
        <v>2596</v>
      </c>
      <c r="E597" s="710"/>
      <c r="F597" s="75" t="s">
        <v>564</v>
      </c>
      <c r="G597" s="80">
        <v>30</v>
      </c>
      <c r="H597" s="626"/>
      <c r="I597" s="80">
        <f>G597*AQ597</f>
        <v>0</v>
      </c>
      <c r="J597" s="80">
        <f>G597*AR597</f>
        <v>0</v>
      </c>
      <c r="K597" s="80">
        <f>G597*H597</f>
        <v>0</v>
      </c>
      <c r="L597" s="80">
        <v>0</v>
      </c>
      <c r="M597" s="80">
        <f>G597*L597</f>
        <v>0</v>
      </c>
      <c r="N597" s="38" t="s">
        <v>1579</v>
      </c>
      <c r="P597" s="592"/>
      <c r="Q597" s="592"/>
      <c r="R597" s="592"/>
      <c r="S597" s="592"/>
      <c r="T597" s="592"/>
      <c r="U597" s="592"/>
      <c r="V597" s="592"/>
      <c r="W597" s="592"/>
      <c r="X597" s="592"/>
      <c r="AB597" s="56">
        <f>IF(AS597="5",BL597,0)</f>
        <v>0</v>
      </c>
      <c r="AD597" s="56">
        <f>IF(AS597="1",BJ597,0)</f>
        <v>0</v>
      </c>
      <c r="AE597" s="56">
        <f>IF(AS597="1",BK597,0)</f>
        <v>0</v>
      </c>
      <c r="AF597" s="56">
        <f>IF(AS597="7",BJ597,0)</f>
        <v>0</v>
      </c>
      <c r="AG597" s="56">
        <f>IF(AS597="7",BK597,0)</f>
        <v>0</v>
      </c>
      <c r="AH597" s="56">
        <f>IF(AS597="2",BJ597,0)</f>
        <v>0</v>
      </c>
      <c r="AI597" s="56">
        <f>IF(AS597="2",BK597,0)</f>
        <v>0</v>
      </c>
      <c r="AJ597" s="56">
        <f>IF(AS597="0",BL597,0)</f>
        <v>0</v>
      </c>
      <c r="AK597" s="7" t="s">
        <v>1746</v>
      </c>
      <c r="AL597" s="80">
        <f>IF(AP597=0,K597,0)</f>
        <v>0</v>
      </c>
      <c r="AM597" s="80">
        <f>IF(AP597=15,K597,0)</f>
        <v>0</v>
      </c>
      <c r="AN597" s="80">
        <f>IF(AP597=21,K597,0)</f>
        <v>0</v>
      </c>
      <c r="AP597" s="56">
        <v>21</v>
      </c>
      <c r="AQ597" s="88">
        <f>H597*1</f>
        <v>0</v>
      </c>
      <c r="AR597" s="88">
        <f>H597*(1-1)</f>
        <v>0</v>
      </c>
      <c r="AS597" s="64" t="s">
        <v>2311</v>
      </c>
      <c r="AX597" s="56">
        <f>AY597+AZ597</f>
        <v>0</v>
      </c>
      <c r="AY597" s="56">
        <f>G597*AQ597</f>
        <v>0</v>
      </c>
      <c r="AZ597" s="56">
        <f>G597*AR597</f>
        <v>0</v>
      </c>
      <c r="BA597" s="21" t="s">
        <v>644</v>
      </c>
      <c r="BB597" s="21" t="s">
        <v>1040</v>
      </c>
      <c r="BC597" s="7" t="s">
        <v>1747</v>
      </c>
      <c r="BE597" s="56">
        <f>AY597+AZ597</f>
        <v>0</v>
      </c>
      <c r="BF597" s="56">
        <f>H597/(100-BG597)*100</f>
        <v>0</v>
      </c>
      <c r="BG597" s="56">
        <v>0</v>
      </c>
      <c r="BH597" s="56">
        <f>M597</f>
        <v>0</v>
      </c>
      <c r="BJ597" s="80">
        <f>G597*AQ597</f>
        <v>0</v>
      </c>
      <c r="BK597" s="80">
        <f>G597*AR597</f>
        <v>0</v>
      </c>
      <c r="BL597" s="80">
        <f>G597*H597</f>
        <v>0</v>
      </c>
      <c r="BM597" s="80"/>
      <c r="BN597" s="56">
        <v>767</v>
      </c>
    </row>
    <row r="598" spans="1:66" ht="15" customHeight="1">
      <c r="A598" s="36"/>
      <c r="D598" s="45" t="s">
        <v>1485</v>
      </c>
      <c r="E598" s="104" t="s">
        <v>1597</v>
      </c>
      <c r="G598" s="13">
        <v>30.000000000000004</v>
      </c>
      <c r="N598" s="19"/>
      <c r="P598" s="592"/>
      <c r="Q598" s="592"/>
      <c r="R598" s="592"/>
      <c r="S598" s="592"/>
      <c r="T598" s="592"/>
      <c r="U598" s="592"/>
      <c r="V598" s="592"/>
      <c r="W598" s="592"/>
      <c r="X598" s="592"/>
    </row>
    <row r="599" spans="1:66" ht="15" customHeight="1">
      <c r="A599" s="8" t="s">
        <v>95</v>
      </c>
      <c r="B599" s="75" t="s">
        <v>1746</v>
      </c>
      <c r="C599" s="75" t="s">
        <v>2231</v>
      </c>
      <c r="D599" s="710" t="s">
        <v>2362</v>
      </c>
      <c r="E599" s="710"/>
      <c r="F599" s="75" t="s">
        <v>1923</v>
      </c>
      <c r="G599" s="80">
        <v>22.5</v>
      </c>
      <c r="H599" s="626"/>
      <c r="I599" s="80">
        <f>G599*AQ599</f>
        <v>0</v>
      </c>
      <c r="J599" s="80">
        <f>G599*AR599</f>
        <v>0</v>
      </c>
      <c r="K599" s="80">
        <f>G599*H599</f>
        <v>0</v>
      </c>
      <c r="L599" s="80">
        <v>5.2999999999999998E-4</v>
      </c>
      <c r="M599" s="80">
        <f>G599*L599</f>
        <v>1.1925E-2</v>
      </c>
      <c r="N599" s="38" t="s">
        <v>1579</v>
      </c>
      <c r="P599" s="592"/>
      <c r="Q599" s="592"/>
      <c r="R599" s="592"/>
      <c r="S599" s="592"/>
      <c r="T599" s="592"/>
      <c r="U599" s="592"/>
      <c r="V599" s="592"/>
      <c r="W599" s="592"/>
      <c r="X599" s="592"/>
      <c r="AB599" s="56">
        <f>IF(AS599="5",BL599,0)</f>
        <v>0</v>
      </c>
      <c r="AD599" s="56">
        <f>IF(AS599="1",BJ599,0)</f>
        <v>0</v>
      </c>
      <c r="AE599" s="56">
        <f>IF(AS599="1",BK599,0)</f>
        <v>0</v>
      </c>
      <c r="AF599" s="56">
        <f>IF(AS599="7",BJ599,0)</f>
        <v>0</v>
      </c>
      <c r="AG599" s="56">
        <f>IF(AS599="7",BK599,0)</f>
        <v>0</v>
      </c>
      <c r="AH599" s="56">
        <f>IF(AS599="2",BJ599,0)</f>
        <v>0</v>
      </c>
      <c r="AI599" s="56">
        <f>IF(AS599="2",BK599,0)</f>
        <v>0</v>
      </c>
      <c r="AJ599" s="56">
        <f>IF(AS599="0",BL599,0)</f>
        <v>0</v>
      </c>
      <c r="AK599" s="7" t="s">
        <v>1746</v>
      </c>
      <c r="AL599" s="80">
        <f>IF(AP599=0,K599,0)</f>
        <v>0</v>
      </c>
      <c r="AM599" s="80">
        <f>IF(AP599=15,K599,0)</f>
        <v>0</v>
      </c>
      <c r="AN599" s="80">
        <f>IF(AP599=21,K599,0)</f>
        <v>0</v>
      </c>
      <c r="AP599" s="56">
        <v>21</v>
      </c>
      <c r="AQ599" s="88">
        <f>H599*1</f>
        <v>0</v>
      </c>
      <c r="AR599" s="88">
        <f>H599*(1-1)</f>
        <v>0</v>
      </c>
      <c r="AS599" s="64" t="s">
        <v>2311</v>
      </c>
      <c r="AX599" s="56">
        <f>AY599+AZ599</f>
        <v>0</v>
      </c>
      <c r="AY599" s="56">
        <f>G599*AQ599</f>
        <v>0</v>
      </c>
      <c r="AZ599" s="56">
        <f>G599*AR599</f>
        <v>0</v>
      </c>
      <c r="BA599" s="21" t="s">
        <v>644</v>
      </c>
      <c r="BB599" s="21" t="s">
        <v>1040</v>
      </c>
      <c r="BC599" s="7" t="s">
        <v>1747</v>
      </c>
      <c r="BE599" s="56">
        <f>AY599+AZ599</f>
        <v>0</v>
      </c>
      <c r="BF599" s="56">
        <f>H599/(100-BG599)*100</f>
        <v>0</v>
      </c>
      <c r="BG599" s="56">
        <v>0</v>
      </c>
      <c r="BH599" s="56">
        <f>M599</f>
        <v>1.1925E-2</v>
      </c>
      <c r="BJ599" s="80">
        <f>G599*AQ599</f>
        <v>0</v>
      </c>
      <c r="BK599" s="80">
        <f>G599*AR599</f>
        <v>0</v>
      </c>
      <c r="BL599" s="80">
        <f>G599*H599</f>
        <v>0</v>
      </c>
      <c r="BM599" s="80"/>
      <c r="BN599" s="56">
        <v>767</v>
      </c>
    </row>
    <row r="600" spans="1:66" ht="15" customHeight="1">
      <c r="A600" s="36"/>
      <c r="D600" s="45" t="s">
        <v>1107</v>
      </c>
      <c r="E600" s="104" t="s">
        <v>1597</v>
      </c>
      <c r="G600" s="13">
        <v>22.500000000000004</v>
      </c>
      <c r="N600" s="19"/>
      <c r="P600" s="592"/>
      <c r="Q600" s="592"/>
      <c r="R600" s="592"/>
      <c r="S600" s="592"/>
      <c r="T600" s="592"/>
      <c r="U600" s="592"/>
      <c r="V600" s="592"/>
      <c r="W600" s="592"/>
      <c r="X600" s="592"/>
    </row>
    <row r="601" spans="1:66" ht="15" customHeight="1">
      <c r="A601" s="24" t="s">
        <v>442</v>
      </c>
      <c r="B601" s="12" t="s">
        <v>1746</v>
      </c>
      <c r="C601" s="12" t="s">
        <v>405</v>
      </c>
      <c r="D601" s="630" t="s">
        <v>1505</v>
      </c>
      <c r="E601" s="630"/>
      <c r="F601" s="12" t="s">
        <v>2182</v>
      </c>
      <c r="G601" s="56">
        <v>9</v>
      </c>
      <c r="H601" s="625"/>
      <c r="I601" s="56">
        <f>G601*AQ601</f>
        <v>0</v>
      </c>
      <c r="J601" s="56">
        <f>G601*AR601</f>
        <v>0</v>
      </c>
      <c r="K601" s="56">
        <f>G601*H601</f>
        <v>0</v>
      </c>
      <c r="L601" s="56">
        <v>6.0000000000000002E-5</v>
      </c>
      <c r="M601" s="56">
        <f>G601*L601</f>
        <v>5.4000000000000001E-4</v>
      </c>
      <c r="N601" s="31" t="s">
        <v>1579</v>
      </c>
      <c r="P601" s="592"/>
      <c r="Q601" s="592"/>
      <c r="R601" s="592"/>
      <c r="S601" s="592"/>
      <c r="T601" s="592"/>
      <c r="U601" s="592"/>
      <c r="V601" s="592"/>
      <c r="W601" s="592"/>
      <c r="X601" s="592"/>
      <c r="AB601" s="56">
        <f>IF(AS601="5",BL601,0)</f>
        <v>0</v>
      </c>
      <c r="AD601" s="56">
        <f>IF(AS601="1",BJ601,0)</f>
        <v>0</v>
      </c>
      <c r="AE601" s="56">
        <f>IF(AS601="1",BK601,0)</f>
        <v>0</v>
      </c>
      <c r="AF601" s="56">
        <f>IF(AS601="7",BJ601,0)</f>
        <v>0</v>
      </c>
      <c r="AG601" s="56">
        <f>IF(AS601="7",BK601,0)</f>
        <v>0</v>
      </c>
      <c r="AH601" s="56">
        <f>IF(AS601="2",BJ601,0)</f>
        <v>0</v>
      </c>
      <c r="AI601" s="56">
        <f>IF(AS601="2",BK601,0)</f>
        <v>0</v>
      </c>
      <c r="AJ601" s="56">
        <f>IF(AS601="0",BL601,0)</f>
        <v>0</v>
      </c>
      <c r="AK601" s="7" t="s">
        <v>1746</v>
      </c>
      <c r="AL601" s="56">
        <f>IF(AP601=0,K601,0)</f>
        <v>0</v>
      </c>
      <c r="AM601" s="56">
        <f>IF(AP601=15,K601,0)</f>
        <v>0</v>
      </c>
      <c r="AN601" s="56">
        <f>IF(AP601=21,K601,0)</f>
        <v>0</v>
      </c>
      <c r="AP601" s="56">
        <v>21</v>
      </c>
      <c r="AQ601" s="88">
        <f>H601*0.11836</f>
        <v>0</v>
      </c>
      <c r="AR601" s="88">
        <f>H601*(1-0.11836)</f>
        <v>0</v>
      </c>
      <c r="AS601" s="21" t="s">
        <v>2311</v>
      </c>
      <c r="AX601" s="56">
        <f>AY601+AZ601</f>
        <v>0</v>
      </c>
      <c r="AY601" s="56">
        <f>G601*AQ601</f>
        <v>0</v>
      </c>
      <c r="AZ601" s="56">
        <f>G601*AR601</f>
        <v>0</v>
      </c>
      <c r="BA601" s="21" t="s">
        <v>644</v>
      </c>
      <c r="BB601" s="21" t="s">
        <v>1040</v>
      </c>
      <c r="BC601" s="7" t="s">
        <v>1747</v>
      </c>
      <c r="BE601" s="56">
        <f>AY601+AZ601</f>
        <v>0</v>
      </c>
      <c r="BF601" s="56">
        <f>H601/(100-BG601)*100</f>
        <v>0</v>
      </c>
      <c r="BG601" s="56">
        <v>0</v>
      </c>
      <c r="BH601" s="56">
        <f>M601</f>
        <v>5.4000000000000001E-4</v>
      </c>
      <c r="BJ601" s="56">
        <f>G601*AQ601</f>
        <v>0</v>
      </c>
      <c r="BK601" s="56">
        <f>G601*AR601</f>
        <v>0</v>
      </c>
      <c r="BL601" s="56">
        <f>G601*H601</f>
        <v>0</v>
      </c>
      <c r="BM601" s="56"/>
      <c r="BN601" s="56">
        <v>767</v>
      </c>
    </row>
    <row r="602" spans="1:66" ht="15" customHeight="1">
      <c r="A602" s="36"/>
      <c r="D602" s="45" t="s">
        <v>1543</v>
      </c>
      <c r="E602" s="104" t="s">
        <v>799</v>
      </c>
      <c r="G602" s="13">
        <v>8</v>
      </c>
      <c r="N602" s="19"/>
      <c r="P602" s="592"/>
      <c r="Q602" s="592"/>
      <c r="R602" s="592"/>
      <c r="S602" s="592"/>
      <c r="T602" s="592"/>
      <c r="U602" s="592"/>
      <c r="V602" s="592"/>
      <c r="W602" s="592"/>
      <c r="X602" s="592"/>
    </row>
    <row r="603" spans="1:66" ht="15" customHeight="1">
      <c r="A603" s="36"/>
      <c r="D603" s="45" t="s">
        <v>2297</v>
      </c>
      <c r="E603" s="104" t="s">
        <v>74</v>
      </c>
      <c r="G603" s="13">
        <v>1</v>
      </c>
      <c r="N603" s="19"/>
      <c r="P603" s="592"/>
      <c r="Q603" s="592"/>
      <c r="R603" s="592"/>
      <c r="S603" s="592"/>
      <c r="T603" s="592"/>
      <c r="U603" s="592"/>
      <c r="V603" s="592"/>
      <c r="W603" s="592"/>
      <c r="X603" s="592"/>
    </row>
    <row r="604" spans="1:66" ht="15" customHeight="1">
      <c r="A604" s="8" t="s">
        <v>526</v>
      </c>
      <c r="B604" s="75" t="s">
        <v>1746</v>
      </c>
      <c r="C604" s="75" t="s">
        <v>1902</v>
      </c>
      <c r="D604" s="710" t="s">
        <v>1274</v>
      </c>
      <c r="E604" s="710"/>
      <c r="F604" s="75" t="s">
        <v>564</v>
      </c>
      <c r="G604" s="80">
        <v>7</v>
      </c>
      <c r="H604" s="626"/>
      <c r="I604" s="80">
        <f>G604*AQ604</f>
        <v>0</v>
      </c>
      <c r="J604" s="80">
        <f>G604*AR604</f>
        <v>0</v>
      </c>
      <c r="K604" s="80">
        <f>G604*H604</f>
        <v>0</v>
      </c>
      <c r="L604" s="80">
        <v>1.55E-2</v>
      </c>
      <c r="M604" s="80">
        <f>G604*L604</f>
        <v>0.1085</v>
      </c>
      <c r="N604" s="38" t="s">
        <v>1579</v>
      </c>
      <c r="P604" s="592"/>
      <c r="Q604" s="592"/>
      <c r="R604" s="592"/>
      <c r="S604" s="592"/>
      <c r="T604" s="592"/>
      <c r="U604" s="592"/>
      <c r="V604" s="592"/>
      <c r="W604" s="592"/>
      <c r="X604" s="592"/>
      <c r="AB604" s="56">
        <f>IF(AS604="5",BL604,0)</f>
        <v>0</v>
      </c>
      <c r="AD604" s="56">
        <f>IF(AS604="1",BJ604,0)</f>
        <v>0</v>
      </c>
      <c r="AE604" s="56">
        <f>IF(AS604="1",BK604,0)</f>
        <v>0</v>
      </c>
      <c r="AF604" s="56">
        <f>IF(AS604="7",BJ604,0)</f>
        <v>0</v>
      </c>
      <c r="AG604" s="56">
        <f>IF(AS604="7",BK604,0)</f>
        <v>0</v>
      </c>
      <c r="AH604" s="56">
        <f>IF(AS604="2",BJ604,0)</f>
        <v>0</v>
      </c>
      <c r="AI604" s="56">
        <f>IF(AS604="2",BK604,0)</f>
        <v>0</v>
      </c>
      <c r="AJ604" s="56">
        <f>IF(AS604="0",BL604,0)</f>
        <v>0</v>
      </c>
      <c r="AK604" s="7" t="s">
        <v>1746</v>
      </c>
      <c r="AL604" s="80">
        <f>IF(AP604=0,K604,0)</f>
        <v>0</v>
      </c>
      <c r="AM604" s="80">
        <f>IF(AP604=15,K604,0)</f>
        <v>0</v>
      </c>
      <c r="AN604" s="80">
        <f>IF(AP604=21,K604,0)</f>
        <v>0</v>
      </c>
      <c r="AP604" s="56">
        <v>21</v>
      </c>
      <c r="AQ604" s="88">
        <f>H604*1</f>
        <v>0</v>
      </c>
      <c r="AR604" s="88">
        <f>H604*(1-1)</f>
        <v>0</v>
      </c>
      <c r="AS604" s="64" t="s">
        <v>2311</v>
      </c>
      <c r="AX604" s="56">
        <f>AY604+AZ604</f>
        <v>0</v>
      </c>
      <c r="AY604" s="56">
        <f>G604*AQ604</f>
        <v>0</v>
      </c>
      <c r="AZ604" s="56">
        <f>G604*AR604</f>
        <v>0</v>
      </c>
      <c r="BA604" s="21" t="s">
        <v>644</v>
      </c>
      <c r="BB604" s="21" t="s">
        <v>1040</v>
      </c>
      <c r="BC604" s="7" t="s">
        <v>1747</v>
      </c>
      <c r="BE604" s="56">
        <f>AY604+AZ604</f>
        <v>0</v>
      </c>
      <c r="BF604" s="56">
        <f>H604/(100-BG604)*100</f>
        <v>0</v>
      </c>
      <c r="BG604" s="56">
        <v>0</v>
      </c>
      <c r="BH604" s="56">
        <f>M604</f>
        <v>0.1085</v>
      </c>
      <c r="BJ604" s="80">
        <f>G604*AQ604</f>
        <v>0</v>
      </c>
      <c r="BK604" s="80">
        <f>G604*AR604</f>
        <v>0</v>
      </c>
      <c r="BL604" s="80">
        <f>G604*H604</f>
        <v>0</v>
      </c>
      <c r="BM604" s="80"/>
      <c r="BN604" s="56">
        <v>767</v>
      </c>
    </row>
    <row r="605" spans="1:66" ht="15" customHeight="1">
      <c r="A605" s="36"/>
      <c r="D605" s="45" t="s">
        <v>390</v>
      </c>
      <c r="E605" s="104" t="s">
        <v>1597</v>
      </c>
      <c r="G605" s="13">
        <v>6.0000000000000009</v>
      </c>
      <c r="N605" s="19"/>
      <c r="P605" s="592"/>
      <c r="Q605" s="592"/>
      <c r="R605" s="592"/>
      <c r="S605" s="592"/>
      <c r="T605" s="592"/>
      <c r="U605" s="592"/>
      <c r="V605" s="592"/>
      <c r="W605" s="592"/>
      <c r="X605" s="592"/>
    </row>
    <row r="606" spans="1:66" ht="15" customHeight="1">
      <c r="A606" s="36"/>
      <c r="D606" s="45" t="s">
        <v>2297</v>
      </c>
      <c r="E606" s="104" t="s">
        <v>1597</v>
      </c>
      <c r="G606" s="13">
        <v>1</v>
      </c>
      <c r="N606" s="19"/>
      <c r="P606" s="592"/>
      <c r="Q606" s="592"/>
      <c r="R606" s="592"/>
      <c r="S606" s="592"/>
      <c r="T606" s="592"/>
      <c r="U606" s="592"/>
      <c r="V606" s="592"/>
      <c r="W606" s="592"/>
      <c r="X606" s="592"/>
    </row>
    <row r="607" spans="1:66" ht="15" customHeight="1">
      <c r="A607" s="8" t="s">
        <v>435</v>
      </c>
      <c r="B607" s="75" t="s">
        <v>1746</v>
      </c>
      <c r="C607" s="75" t="s">
        <v>2208</v>
      </c>
      <c r="D607" s="710" t="s">
        <v>1197</v>
      </c>
      <c r="E607" s="710"/>
      <c r="F607" s="75" t="s">
        <v>564</v>
      </c>
      <c r="G607" s="80">
        <v>2</v>
      </c>
      <c r="H607" s="626"/>
      <c r="I607" s="80">
        <f>G607*AQ607</f>
        <v>0</v>
      </c>
      <c r="J607" s="80">
        <f>G607*AR607</f>
        <v>0</v>
      </c>
      <c r="K607" s="80">
        <f>G607*H607</f>
        <v>0</v>
      </c>
      <c r="L607" s="80">
        <v>9.5999999999999992E-3</v>
      </c>
      <c r="M607" s="80">
        <f>G607*L607</f>
        <v>1.9199999999999998E-2</v>
      </c>
      <c r="N607" s="38" t="s">
        <v>1579</v>
      </c>
      <c r="P607" s="592"/>
      <c r="Q607" s="592"/>
      <c r="R607" s="592"/>
      <c r="S607" s="592"/>
      <c r="T607" s="592"/>
      <c r="U607" s="592"/>
      <c r="V607" s="592"/>
      <c r="W607" s="592"/>
      <c r="X607" s="592"/>
      <c r="AB607" s="56">
        <f>IF(AS607="5",BL607,0)</f>
        <v>0</v>
      </c>
      <c r="AD607" s="56">
        <f>IF(AS607="1",BJ607,0)</f>
        <v>0</v>
      </c>
      <c r="AE607" s="56">
        <f>IF(AS607="1",BK607,0)</f>
        <v>0</v>
      </c>
      <c r="AF607" s="56">
        <f>IF(AS607="7",BJ607,0)</f>
        <v>0</v>
      </c>
      <c r="AG607" s="56">
        <f>IF(AS607="7",BK607,0)</f>
        <v>0</v>
      </c>
      <c r="AH607" s="56">
        <f>IF(AS607="2",BJ607,0)</f>
        <v>0</v>
      </c>
      <c r="AI607" s="56">
        <f>IF(AS607="2",BK607,0)</f>
        <v>0</v>
      </c>
      <c r="AJ607" s="56">
        <f>IF(AS607="0",BL607,0)</f>
        <v>0</v>
      </c>
      <c r="AK607" s="7" t="s">
        <v>1746</v>
      </c>
      <c r="AL607" s="80">
        <f>IF(AP607=0,K607,0)</f>
        <v>0</v>
      </c>
      <c r="AM607" s="80">
        <f>IF(AP607=15,K607,0)</f>
        <v>0</v>
      </c>
      <c r="AN607" s="80">
        <f>IF(AP607=21,K607,0)</f>
        <v>0</v>
      </c>
      <c r="AP607" s="56">
        <v>21</v>
      </c>
      <c r="AQ607" s="88">
        <f>H607*1</f>
        <v>0</v>
      </c>
      <c r="AR607" s="88">
        <f>H607*(1-1)</f>
        <v>0</v>
      </c>
      <c r="AS607" s="64" t="s">
        <v>2311</v>
      </c>
      <c r="AX607" s="56">
        <f>AY607+AZ607</f>
        <v>0</v>
      </c>
      <c r="AY607" s="56">
        <f>G607*AQ607</f>
        <v>0</v>
      </c>
      <c r="AZ607" s="56">
        <f>G607*AR607</f>
        <v>0</v>
      </c>
      <c r="BA607" s="21" t="s">
        <v>644</v>
      </c>
      <c r="BB607" s="21" t="s">
        <v>1040</v>
      </c>
      <c r="BC607" s="7" t="s">
        <v>1747</v>
      </c>
      <c r="BE607" s="56">
        <f>AY607+AZ607</f>
        <v>0</v>
      </c>
      <c r="BF607" s="56">
        <f>H607/(100-BG607)*100</f>
        <v>0</v>
      </c>
      <c r="BG607" s="56">
        <v>0</v>
      </c>
      <c r="BH607" s="56">
        <f>M607</f>
        <v>1.9199999999999998E-2</v>
      </c>
      <c r="BJ607" s="80">
        <f>G607*AQ607</f>
        <v>0</v>
      </c>
      <c r="BK607" s="80">
        <f>G607*AR607</f>
        <v>0</v>
      </c>
      <c r="BL607" s="80">
        <f>G607*H607</f>
        <v>0</v>
      </c>
      <c r="BM607" s="80"/>
      <c r="BN607" s="56">
        <v>767</v>
      </c>
    </row>
    <row r="608" spans="1:66" ht="15" customHeight="1">
      <c r="A608" s="36"/>
      <c r="D608" s="45" t="s">
        <v>1589</v>
      </c>
      <c r="E608" s="104" t="s">
        <v>1597</v>
      </c>
      <c r="G608" s="13">
        <v>2</v>
      </c>
      <c r="N608" s="19"/>
      <c r="P608" s="592"/>
      <c r="Q608" s="592"/>
      <c r="R608" s="592"/>
      <c r="S608" s="592"/>
      <c r="T608" s="592"/>
      <c r="U608" s="592"/>
      <c r="V608" s="592"/>
      <c r="W608" s="592"/>
      <c r="X608" s="592"/>
    </row>
    <row r="609" spans="1:66" ht="15" customHeight="1">
      <c r="A609" s="32" t="s">
        <v>1597</v>
      </c>
      <c r="B609" s="26" t="s">
        <v>1746</v>
      </c>
      <c r="C609" s="537" t="s">
        <v>2556</v>
      </c>
      <c r="D609" s="709" t="s">
        <v>2045</v>
      </c>
      <c r="E609" s="709"/>
      <c r="F609" s="46" t="s">
        <v>2144</v>
      </c>
      <c r="G609" s="46" t="s">
        <v>2144</v>
      </c>
      <c r="H609" s="46" t="s">
        <v>2144</v>
      </c>
      <c r="I609" s="17">
        <f>SUM(I610:I637)</f>
        <v>0</v>
      </c>
      <c r="J609" s="17">
        <f>SUM(J610:J637)</f>
        <v>0</v>
      </c>
      <c r="K609" s="539">
        <f>SUM(K610:K637)</f>
        <v>0</v>
      </c>
      <c r="L609" s="7" t="s">
        <v>1597</v>
      </c>
      <c r="M609" s="17">
        <f>SUM(M610:M637)</f>
        <v>4.296003999999999</v>
      </c>
      <c r="N609" s="20" t="s">
        <v>1597</v>
      </c>
      <c r="P609" s="592"/>
      <c r="Q609" s="592"/>
      <c r="R609" s="592"/>
      <c r="S609" s="592"/>
      <c r="T609" s="592"/>
      <c r="U609" s="592">
        <f>K609</f>
        <v>0</v>
      </c>
      <c r="V609" s="592"/>
      <c r="W609" s="592"/>
      <c r="X609" s="592"/>
      <c r="AK609" s="7" t="s">
        <v>1746</v>
      </c>
      <c r="AU609" s="17">
        <f>SUM(AL610:AL637)</f>
        <v>0</v>
      </c>
      <c r="AV609" s="17">
        <f>SUM(AM610:AM637)</f>
        <v>0</v>
      </c>
      <c r="AW609" s="17">
        <f>SUM(AN610:AN637)</f>
        <v>0</v>
      </c>
    </row>
    <row r="610" spans="1:66" ht="15" customHeight="1">
      <c r="A610" s="24" t="s">
        <v>699</v>
      </c>
      <c r="B610" s="12" t="s">
        <v>1746</v>
      </c>
      <c r="C610" s="12" t="s">
        <v>733</v>
      </c>
      <c r="D610" s="630" t="s">
        <v>670</v>
      </c>
      <c r="E610" s="630"/>
      <c r="F610" s="12" t="s">
        <v>2274</v>
      </c>
      <c r="G610" s="56">
        <v>20</v>
      </c>
      <c r="H610" s="625"/>
      <c r="I610" s="56">
        <f>G610*AQ610</f>
        <v>0</v>
      </c>
      <c r="J610" s="56">
        <f>G610*AR610</f>
        <v>0</v>
      </c>
      <c r="K610" s="56">
        <f>G610*H610</f>
        <v>0</v>
      </c>
      <c r="L610" s="56">
        <v>4.8300000000000001E-3</v>
      </c>
      <c r="M610" s="56">
        <f>G610*L610</f>
        <v>9.6600000000000005E-2</v>
      </c>
      <c r="N610" s="31" t="s">
        <v>1579</v>
      </c>
      <c r="P610" s="592"/>
      <c r="Q610" s="592"/>
      <c r="R610" s="592"/>
      <c r="S610" s="592"/>
      <c r="T610" s="592"/>
      <c r="U610" s="592"/>
      <c r="V610" s="592"/>
      <c r="W610" s="592"/>
      <c r="X610" s="592"/>
      <c r="AB610" s="56">
        <f>IF(AS610="5",BL610,0)</f>
        <v>0</v>
      </c>
      <c r="AD610" s="56">
        <f>IF(AS610="1",BJ610,0)</f>
        <v>0</v>
      </c>
      <c r="AE610" s="56">
        <f>IF(AS610="1",BK610,0)</f>
        <v>0</v>
      </c>
      <c r="AF610" s="56">
        <f>IF(AS610="7",BJ610,0)</f>
        <v>0</v>
      </c>
      <c r="AG610" s="56">
        <f>IF(AS610="7",BK610,0)</f>
        <v>0</v>
      </c>
      <c r="AH610" s="56">
        <f>IF(AS610="2",BJ610,0)</f>
        <v>0</v>
      </c>
      <c r="AI610" s="56">
        <f>IF(AS610="2",BK610,0)</f>
        <v>0</v>
      </c>
      <c r="AJ610" s="56">
        <f>IF(AS610="0",BL610,0)</f>
        <v>0</v>
      </c>
      <c r="AK610" s="7" t="s">
        <v>1746</v>
      </c>
      <c r="AL610" s="56">
        <f>IF(AP610=0,K610,0)</f>
        <v>0</v>
      </c>
      <c r="AM610" s="56">
        <f>IF(AP610=15,K610,0)</f>
        <v>0</v>
      </c>
      <c r="AN610" s="56">
        <f>IF(AP610=21,K610,0)</f>
        <v>0</v>
      </c>
      <c r="AP610" s="56">
        <v>21</v>
      </c>
      <c r="AQ610" s="88">
        <f>H610*0.181176470588235</f>
        <v>0</v>
      </c>
      <c r="AR610" s="88">
        <f>H610*(1-0.181176470588235)</f>
        <v>0</v>
      </c>
      <c r="AS610" s="21" t="s">
        <v>2311</v>
      </c>
      <c r="AX610" s="56">
        <f>AY610+AZ610</f>
        <v>0</v>
      </c>
      <c r="AY610" s="56">
        <f>G610*AQ610</f>
        <v>0</v>
      </c>
      <c r="AZ610" s="56">
        <f>G610*AR610</f>
        <v>0</v>
      </c>
      <c r="BA610" s="21" t="s">
        <v>2365</v>
      </c>
      <c r="BB610" s="21" t="s">
        <v>1791</v>
      </c>
      <c r="BC610" s="7" t="s">
        <v>1747</v>
      </c>
      <c r="BE610" s="56">
        <f>AY610+AZ610</f>
        <v>0</v>
      </c>
      <c r="BF610" s="56">
        <f>H610/(100-BG610)*100</f>
        <v>0</v>
      </c>
      <c r="BG610" s="56">
        <v>0</v>
      </c>
      <c r="BH610" s="56">
        <f>M610</f>
        <v>9.6600000000000005E-2</v>
      </c>
      <c r="BJ610" s="56">
        <f>G610*AQ610</f>
        <v>0</v>
      </c>
      <c r="BK610" s="56">
        <f>G610*AR610</f>
        <v>0</v>
      </c>
      <c r="BL610" s="56">
        <f>G610*H610</f>
        <v>0</v>
      </c>
      <c r="BM610" s="56"/>
      <c r="BN610" s="56">
        <v>771</v>
      </c>
    </row>
    <row r="611" spans="1:66" ht="15" customHeight="1">
      <c r="A611" s="36"/>
      <c r="D611" s="45" t="s">
        <v>1432</v>
      </c>
      <c r="E611" s="104" t="s">
        <v>331</v>
      </c>
      <c r="G611" s="13">
        <v>15.500000000000002</v>
      </c>
      <c r="N611" s="19"/>
      <c r="P611" s="592"/>
      <c r="Q611" s="592"/>
      <c r="R611" s="592"/>
      <c r="S611" s="592"/>
      <c r="T611" s="592"/>
      <c r="U611" s="592"/>
      <c r="V611" s="592"/>
      <c r="W611" s="592"/>
      <c r="X611" s="592"/>
    </row>
    <row r="612" spans="1:66" ht="15" customHeight="1">
      <c r="A612" s="36"/>
      <c r="D612" s="45" t="s">
        <v>2399</v>
      </c>
      <c r="E612" s="104" t="s">
        <v>1216</v>
      </c>
      <c r="G612" s="13">
        <v>4.5</v>
      </c>
      <c r="N612" s="19"/>
      <c r="P612" s="592"/>
      <c r="Q612" s="592"/>
      <c r="R612" s="592"/>
      <c r="S612" s="592"/>
      <c r="T612" s="592"/>
      <c r="U612" s="592"/>
      <c r="V612" s="592"/>
      <c r="W612" s="592"/>
      <c r="X612" s="592"/>
    </row>
    <row r="613" spans="1:66" ht="15" customHeight="1">
      <c r="A613" s="8" t="s">
        <v>1183</v>
      </c>
      <c r="B613" s="75" t="s">
        <v>1746</v>
      </c>
      <c r="C613" s="75" t="s">
        <v>999</v>
      </c>
      <c r="D613" s="710" t="s">
        <v>1205</v>
      </c>
      <c r="E613" s="710"/>
      <c r="F613" s="75" t="s">
        <v>2274</v>
      </c>
      <c r="G613" s="80">
        <v>22</v>
      </c>
      <c r="H613" s="626"/>
      <c r="I613" s="80">
        <f>G613*AQ613</f>
        <v>0</v>
      </c>
      <c r="J613" s="80">
        <f>G613*AR613</f>
        <v>0</v>
      </c>
      <c r="K613" s="80">
        <f>G613*H613</f>
        <v>0</v>
      </c>
      <c r="L613" s="80">
        <v>1.9199999999999998E-2</v>
      </c>
      <c r="M613" s="80">
        <f>G613*L613</f>
        <v>0.42239999999999994</v>
      </c>
      <c r="N613" s="38" t="s">
        <v>1579</v>
      </c>
      <c r="P613" s="592"/>
      <c r="Q613" s="592"/>
      <c r="R613" s="592"/>
      <c r="S613" s="592"/>
      <c r="T613" s="592"/>
      <c r="U613" s="592"/>
      <c r="V613" s="592"/>
      <c r="W613" s="592"/>
      <c r="X613" s="592"/>
      <c r="AB613" s="56">
        <f>IF(AS613="5",BL613,0)</f>
        <v>0</v>
      </c>
      <c r="AD613" s="56">
        <f>IF(AS613="1",BJ613,0)</f>
        <v>0</v>
      </c>
      <c r="AE613" s="56">
        <f>IF(AS613="1",BK613,0)</f>
        <v>0</v>
      </c>
      <c r="AF613" s="56">
        <f>IF(AS613="7",BJ613,0)</f>
        <v>0</v>
      </c>
      <c r="AG613" s="56">
        <f>IF(AS613="7",BK613,0)</f>
        <v>0</v>
      </c>
      <c r="AH613" s="56">
        <f>IF(AS613="2",BJ613,0)</f>
        <v>0</v>
      </c>
      <c r="AI613" s="56">
        <f>IF(AS613="2",BK613,0)</f>
        <v>0</v>
      </c>
      <c r="AJ613" s="56">
        <f>IF(AS613="0",BL613,0)</f>
        <v>0</v>
      </c>
      <c r="AK613" s="7" t="s">
        <v>1746</v>
      </c>
      <c r="AL613" s="80">
        <f>IF(AP613=0,K613,0)</f>
        <v>0</v>
      </c>
      <c r="AM613" s="80">
        <f>IF(AP613=15,K613,0)</f>
        <v>0</v>
      </c>
      <c r="AN613" s="80">
        <f>IF(AP613=21,K613,0)</f>
        <v>0</v>
      </c>
      <c r="AP613" s="56">
        <v>21</v>
      </c>
      <c r="AQ613" s="88">
        <f>H613*1</f>
        <v>0</v>
      </c>
      <c r="AR613" s="88">
        <f>H613*(1-1)</f>
        <v>0</v>
      </c>
      <c r="AS613" s="64" t="s">
        <v>2311</v>
      </c>
      <c r="AX613" s="56">
        <f>AY613+AZ613</f>
        <v>0</v>
      </c>
      <c r="AY613" s="56">
        <f>G613*AQ613</f>
        <v>0</v>
      </c>
      <c r="AZ613" s="56">
        <f>G613*AR613</f>
        <v>0</v>
      </c>
      <c r="BA613" s="21" t="s">
        <v>2365</v>
      </c>
      <c r="BB613" s="21" t="s">
        <v>1791</v>
      </c>
      <c r="BC613" s="7" t="s">
        <v>1747</v>
      </c>
      <c r="BE613" s="56">
        <f>AY613+AZ613</f>
        <v>0</v>
      </c>
      <c r="BF613" s="56">
        <f>H613/(100-BG613)*100</f>
        <v>0</v>
      </c>
      <c r="BG613" s="56">
        <v>0</v>
      </c>
      <c r="BH613" s="56">
        <f>M613</f>
        <v>0.42239999999999994</v>
      </c>
      <c r="BJ613" s="80">
        <f>G613*AQ613</f>
        <v>0</v>
      </c>
      <c r="BK613" s="80">
        <f>G613*AR613</f>
        <v>0</v>
      </c>
      <c r="BL613" s="80">
        <f>G613*H613</f>
        <v>0</v>
      </c>
      <c r="BM613" s="80"/>
      <c r="BN613" s="56">
        <v>771</v>
      </c>
    </row>
    <row r="614" spans="1:66" ht="15" customHeight="1">
      <c r="A614" s="36"/>
      <c r="D614" s="45" t="s">
        <v>109</v>
      </c>
      <c r="E614" s="104" t="s">
        <v>1597</v>
      </c>
      <c r="G614" s="13">
        <v>20</v>
      </c>
      <c r="N614" s="19"/>
      <c r="P614" s="592"/>
      <c r="Q614" s="592"/>
      <c r="R614" s="592"/>
      <c r="S614" s="592"/>
      <c r="T614" s="592"/>
      <c r="U614" s="592"/>
      <c r="V614" s="592"/>
      <c r="W614" s="592"/>
      <c r="X614" s="592"/>
    </row>
    <row r="615" spans="1:66" ht="15" customHeight="1">
      <c r="A615" s="36"/>
      <c r="D615" s="45" t="s">
        <v>1728</v>
      </c>
      <c r="E615" s="104" t="s">
        <v>1597</v>
      </c>
      <c r="G615" s="13">
        <v>2</v>
      </c>
      <c r="N615" s="19"/>
      <c r="P615" s="592"/>
      <c r="Q615" s="592"/>
      <c r="R615" s="592"/>
      <c r="S615" s="592"/>
      <c r="T615" s="592"/>
      <c r="U615" s="592"/>
      <c r="V615" s="592"/>
      <c r="W615" s="592"/>
      <c r="X615" s="592"/>
    </row>
    <row r="616" spans="1:66" ht="15" customHeight="1">
      <c r="A616" s="24" t="s">
        <v>1702</v>
      </c>
      <c r="B616" s="12" t="s">
        <v>1746</v>
      </c>
      <c r="C616" s="12" t="s">
        <v>173</v>
      </c>
      <c r="D616" s="630" t="s">
        <v>1047</v>
      </c>
      <c r="E616" s="630"/>
      <c r="F616" s="12" t="s">
        <v>2274</v>
      </c>
      <c r="G616" s="56">
        <v>47.4</v>
      </c>
      <c r="H616" s="625"/>
      <c r="I616" s="56">
        <f>G616*AQ616</f>
        <v>0</v>
      </c>
      <c r="J616" s="56">
        <f>G616*AR616</f>
        <v>0</v>
      </c>
      <c r="K616" s="56">
        <f>G616*H616</f>
        <v>0</v>
      </c>
      <c r="L616" s="56">
        <v>4.7600000000000003E-3</v>
      </c>
      <c r="M616" s="56">
        <f>G616*L616</f>
        <v>0.22562400000000002</v>
      </c>
      <c r="N616" s="31" t="s">
        <v>1579</v>
      </c>
      <c r="P616" s="592"/>
      <c r="Q616" s="592"/>
      <c r="R616" s="592"/>
      <c r="S616" s="592"/>
      <c r="T616" s="592"/>
      <c r="U616" s="592"/>
      <c r="V616" s="592"/>
      <c r="W616" s="592"/>
      <c r="X616" s="592"/>
      <c r="AB616" s="56">
        <f>IF(AS616="5",BL616,0)</f>
        <v>0</v>
      </c>
      <c r="AD616" s="56">
        <f>IF(AS616="1",BJ616,0)</f>
        <v>0</v>
      </c>
      <c r="AE616" s="56">
        <f>IF(AS616="1",BK616,0)</f>
        <v>0</v>
      </c>
      <c r="AF616" s="56">
        <f>IF(AS616="7",BJ616,0)</f>
        <v>0</v>
      </c>
      <c r="AG616" s="56">
        <f>IF(AS616="7",BK616,0)</f>
        <v>0</v>
      </c>
      <c r="AH616" s="56">
        <f>IF(AS616="2",BJ616,0)</f>
        <v>0</v>
      </c>
      <c r="AI616" s="56">
        <f>IF(AS616="2",BK616,0)</f>
        <v>0</v>
      </c>
      <c r="AJ616" s="56">
        <f>IF(AS616="0",BL616,0)</f>
        <v>0</v>
      </c>
      <c r="AK616" s="7" t="s">
        <v>1746</v>
      </c>
      <c r="AL616" s="56">
        <f>IF(AP616=0,K616,0)</f>
        <v>0</v>
      </c>
      <c r="AM616" s="56">
        <f>IF(AP616=15,K616,0)</f>
        <v>0</v>
      </c>
      <c r="AN616" s="56">
        <f>IF(AP616=21,K616,0)</f>
        <v>0</v>
      </c>
      <c r="AP616" s="56">
        <v>21</v>
      </c>
      <c r="AQ616" s="88">
        <f>H616*0.192165242165242</f>
        <v>0</v>
      </c>
      <c r="AR616" s="88">
        <f>H616*(1-0.192165242165242)</f>
        <v>0</v>
      </c>
      <c r="AS616" s="21" t="s">
        <v>2311</v>
      </c>
      <c r="AX616" s="56">
        <f>AY616+AZ616</f>
        <v>0</v>
      </c>
      <c r="AY616" s="56">
        <f>G616*AQ616</f>
        <v>0</v>
      </c>
      <c r="AZ616" s="56">
        <f>G616*AR616</f>
        <v>0</v>
      </c>
      <c r="BA616" s="21" t="s">
        <v>2365</v>
      </c>
      <c r="BB616" s="21" t="s">
        <v>1791</v>
      </c>
      <c r="BC616" s="7" t="s">
        <v>1747</v>
      </c>
      <c r="BE616" s="56">
        <f>AY616+AZ616</f>
        <v>0</v>
      </c>
      <c r="BF616" s="56">
        <f>H616/(100-BG616)*100</f>
        <v>0</v>
      </c>
      <c r="BG616" s="56">
        <v>0</v>
      </c>
      <c r="BH616" s="56">
        <f>M616</f>
        <v>0.22562400000000002</v>
      </c>
      <c r="BJ616" s="56">
        <f>G616*AQ616</f>
        <v>0</v>
      </c>
      <c r="BK616" s="56">
        <f>G616*AR616</f>
        <v>0</v>
      </c>
      <c r="BL616" s="56">
        <f>G616*H616</f>
        <v>0</v>
      </c>
      <c r="BM616" s="56"/>
      <c r="BN616" s="56">
        <v>771</v>
      </c>
    </row>
    <row r="617" spans="1:66" ht="15" customHeight="1">
      <c r="A617" s="36"/>
      <c r="D617" s="45" t="s">
        <v>1479</v>
      </c>
      <c r="E617" s="104" t="s">
        <v>1597</v>
      </c>
      <c r="G617" s="13">
        <v>47.400000000000006</v>
      </c>
      <c r="N617" s="19"/>
      <c r="P617" s="592"/>
      <c r="Q617" s="592"/>
      <c r="R617" s="592"/>
      <c r="S617" s="592"/>
      <c r="T617" s="592"/>
      <c r="U617" s="592"/>
      <c r="V617" s="592"/>
      <c r="W617" s="592"/>
      <c r="X617" s="592"/>
    </row>
    <row r="618" spans="1:66" ht="15" customHeight="1">
      <c r="A618" s="8" t="s">
        <v>276</v>
      </c>
      <c r="B618" s="75" t="s">
        <v>1746</v>
      </c>
      <c r="C618" s="75" t="s">
        <v>1222</v>
      </c>
      <c r="D618" s="710" t="s">
        <v>1507</v>
      </c>
      <c r="E618" s="710"/>
      <c r="F618" s="75" t="s">
        <v>2274</v>
      </c>
      <c r="G618" s="80">
        <v>55.2</v>
      </c>
      <c r="H618" s="626"/>
      <c r="I618" s="80">
        <f>G618*AQ618</f>
        <v>0</v>
      </c>
      <c r="J618" s="80">
        <f>G618*AR618</f>
        <v>0</v>
      </c>
      <c r="K618" s="80">
        <f>G618*H618</f>
        <v>0</v>
      </c>
      <c r="L618" s="80">
        <v>1.9199999999999998E-2</v>
      </c>
      <c r="M618" s="80">
        <f>G618*L618</f>
        <v>1.0598399999999999</v>
      </c>
      <c r="N618" s="38" t="s">
        <v>1579</v>
      </c>
      <c r="P618" s="592"/>
      <c r="Q618" s="592"/>
      <c r="R618" s="592"/>
      <c r="S618" s="592"/>
      <c r="T618" s="592"/>
      <c r="U618" s="592"/>
      <c r="V618" s="592"/>
      <c r="W618" s="592"/>
      <c r="X618" s="592"/>
      <c r="AB618" s="56">
        <f>IF(AS618="5",BL618,0)</f>
        <v>0</v>
      </c>
      <c r="AD618" s="56">
        <f>IF(AS618="1",BJ618,0)</f>
        <v>0</v>
      </c>
      <c r="AE618" s="56">
        <f>IF(AS618="1",BK618,0)</f>
        <v>0</v>
      </c>
      <c r="AF618" s="56">
        <f>IF(AS618="7",BJ618,0)</f>
        <v>0</v>
      </c>
      <c r="AG618" s="56">
        <f>IF(AS618="7",BK618,0)</f>
        <v>0</v>
      </c>
      <c r="AH618" s="56">
        <f>IF(AS618="2",BJ618,0)</f>
        <v>0</v>
      </c>
      <c r="AI618" s="56">
        <f>IF(AS618="2",BK618,0)</f>
        <v>0</v>
      </c>
      <c r="AJ618" s="56">
        <f>IF(AS618="0",BL618,0)</f>
        <v>0</v>
      </c>
      <c r="AK618" s="7" t="s">
        <v>1746</v>
      </c>
      <c r="AL618" s="80">
        <f>IF(AP618=0,K618,0)</f>
        <v>0</v>
      </c>
      <c r="AM618" s="80">
        <f>IF(AP618=15,K618,0)</f>
        <v>0</v>
      </c>
      <c r="AN618" s="80">
        <f>IF(AP618=21,K618,0)</f>
        <v>0</v>
      </c>
      <c r="AP618" s="56">
        <v>21</v>
      </c>
      <c r="AQ618" s="88">
        <f>H618*1</f>
        <v>0</v>
      </c>
      <c r="AR618" s="88">
        <f>H618*(1-1)</f>
        <v>0</v>
      </c>
      <c r="AS618" s="64" t="s">
        <v>2311</v>
      </c>
      <c r="AX618" s="56">
        <f>AY618+AZ618</f>
        <v>0</v>
      </c>
      <c r="AY618" s="56">
        <f>G618*AQ618</f>
        <v>0</v>
      </c>
      <c r="AZ618" s="56">
        <f>G618*AR618</f>
        <v>0</v>
      </c>
      <c r="BA618" s="21" t="s">
        <v>2365</v>
      </c>
      <c r="BB618" s="21" t="s">
        <v>1791</v>
      </c>
      <c r="BC618" s="7" t="s">
        <v>1747</v>
      </c>
      <c r="BE618" s="56">
        <f>AY618+AZ618</f>
        <v>0</v>
      </c>
      <c r="BF618" s="56">
        <f>H618/(100-BG618)*100</f>
        <v>0</v>
      </c>
      <c r="BG618" s="56">
        <v>0</v>
      </c>
      <c r="BH618" s="56">
        <f>M618</f>
        <v>1.0598399999999999</v>
      </c>
      <c r="BJ618" s="80">
        <f>G618*AQ618</f>
        <v>0</v>
      </c>
      <c r="BK618" s="80">
        <f>G618*AR618</f>
        <v>0</v>
      </c>
      <c r="BL618" s="80">
        <f>G618*H618</f>
        <v>0</v>
      </c>
      <c r="BM618" s="80"/>
      <c r="BN618" s="56">
        <v>771</v>
      </c>
    </row>
    <row r="619" spans="1:66" ht="15" customHeight="1">
      <c r="A619" s="36"/>
      <c r="D619" s="45" t="s">
        <v>177</v>
      </c>
      <c r="E619" s="104" t="s">
        <v>1597</v>
      </c>
      <c r="G619" s="13">
        <v>48.000000000000007</v>
      </c>
      <c r="N619" s="19"/>
      <c r="P619" s="592"/>
      <c r="Q619" s="592"/>
      <c r="R619" s="592"/>
      <c r="S619" s="592"/>
      <c r="T619" s="592"/>
      <c r="U619" s="592"/>
      <c r="V619" s="592"/>
      <c r="W619" s="592"/>
      <c r="X619" s="592"/>
    </row>
    <row r="620" spans="1:66" ht="15" customHeight="1">
      <c r="A620" s="36"/>
      <c r="D620" s="45" t="s">
        <v>1599</v>
      </c>
      <c r="E620" s="104" t="s">
        <v>1597</v>
      </c>
      <c r="G620" s="13">
        <v>7.2</v>
      </c>
      <c r="N620" s="19"/>
      <c r="P620" s="592"/>
      <c r="Q620" s="592"/>
      <c r="R620" s="592"/>
      <c r="S620" s="592"/>
      <c r="T620" s="592"/>
      <c r="U620" s="592"/>
      <c r="V620" s="592"/>
      <c r="W620" s="592"/>
      <c r="X620" s="592"/>
    </row>
    <row r="621" spans="1:66" ht="15" customHeight="1">
      <c r="A621" s="24" t="s">
        <v>2315</v>
      </c>
      <c r="B621" s="12" t="s">
        <v>1746</v>
      </c>
      <c r="C621" s="12" t="s">
        <v>1250</v>
      </c>
      <c r="D621" s="630" t="s">
        <v>1363</v>
      </c>
      <c r="E621" s="630"/>
      <c r="F621" s="12" t="s">
        <v>1923</v>
      </c>
      <c r="G621" s="56">
        <v>170</v>
      </c>
      <c r="H621" s="625"/>
      <c r="I621" s="56">
        <f>G621*AQ621</f>
        <v>0</v>
      </c>
      <c r="J621" s="56">
        <f>G621*AR621</f>
        <v>0</v>
      </c>
      <c r="K621" s="56">
        <f>G621*H621</f>
        <v>0</v>
      </c>
      <c r="L621" s="56">
        <v>3.0500000000000002E-3</v>
      </c>
      <c r="M621" s="56">
        <f>G621*L621</f>
        <v>0.51850000000000007</v>
      </c>
      <c r="N621" s="31" t="s">
        <v>1579</v>
      </c>
      <c r="P621" s="592"/>
      <c r="Q621" s="592"/>
      <c r="R621" s="592"/>
      <c r="S621" s="592"/>
      <c r="T621" s="592"/>
      <c r="U621" s="592"/>
      <c r="V621" s="592"/>
      <c r="W621" s="592"/>
      <c r="X621" s="592"/>
      <c r="AB621" s="56">
        <f>IF(AS621="5",BL621,0)</f>
        <v>0</v>
      </c>
      <c r="AD621" s="56">
        <f>IF(AS621="1",BJ621,0)</f>
        <v>0</v>
      </c>
      <c r="AE621" s="56">
        <f>IF(AS621="1",BK621,0)</f>
        <v>0</v>
      </c>
      <c r="AF621" s="56">
        <f>IF(AS621="7",BJ621,0)</f>
        <v>0</v>
      </c>
      <c r="AG621" s="56">
        <f>IF(AS621="7",BK621,0)</f>
        <v>0</v>
      </c>
      <c r="AH621" s="56">
        <f>IF(AS621="2",BJ621,0)</f>
        <v>0</v>
      </c>
      <c r="AI621" s="56">
        <f>IF(AS621="2",BK621,0)</f>
        <v>0</v>
      </c>
      <c r="AJ621" s="56">
        <f>IF(AS621="0",BL621,0)</f>
        <v>0</v>
      </c>
      <c r="AK621" s="7" t="s">
        <v>1746</v>
      </c>
      <c r="AL621" s="56">
        <f>IF(AP621=0,K621,0)</f>
        <v>0</v>
      </c>
      <c r="AM621" s="56">
        <f>IF(AP621=15,K621,0)</f>
        <v>0</v>
      </c>
      <c r="AN621" s="56">
        <f>IF(AP621=21,K621,0)</f>
        <v>0</v>
      </c>
      <c r="AP621" s="56">
        <v>21</v>
      </c>
      <c r="AQ621" s="88">
        <f>H621*0.0385321100917431</f>
        <v>0</v>
      </c>
      <c r="AR621" s="88">
        <f>H621*(1-0.0385321100917431)</f>
        <v>0</v>
      </c>
      <c r="AS621" s="21" t="s">
        <v>2311</v>
      </c>
      <c r="AX621" s="56">
        <f>AY621+AZ621</f>
        <v>0</v>
      </c>
      <c r="AY621" s="56">
        <f>G621*AQ621</f>
        <v>0</v>
      </c>
      <c r="AZ621" s="56">
        <f>G621*AR621</f>
        <v>0</v>
      </c>
      <c r="BA621" s="21" t="s">
        <v>2365</v>
      </c>
      <c r="BB621" s="21" t="s">
        <v>1791</v>
      </c>
      <c r="BC621" s="7" t="s">
        <v>1747</v>
      </c>
      <c r="BE621" s="56">
        <f>AY621+AZ621</f>
        <v>0</v>
      </c>
      <c r="BF621" s="56">
        <f>H621/(100-BG621)*100</f>
        <v>0</v>
      </c>
      <c r="BG621" s="56">
        <v>0</v>
      </c>
      <c r="BH621" s="56">
        <f>M621</f>
        <v>0.51850000000000007</v>
      </c>
      <c r="BJ621" s="56">
        <f>G621*AQ621</f>
        <v>0</v>
      </c>
      <c r="BK621" s="56">
        <f>G621*AR621</f>
        <v>0</v>
      </c>
      <c r="BL621" s="56">
        <f>G621*H621</f>
        <v>0</v>
      </c>
      <c r="BM621" s="56"/>
      <c r="BN621" s="56">
        <v>771</v>
      </c>
    </row>
    <row r="622" spans="1:66" ht="15" customHeight="1">
      <c r="A622" s="36"/>
      <c r="D622" s="45" t="s">
        <v>163</v>
      </c>
      <c r="E622" s="104" t="s">
        <v>1597</v>
      </c>
      <c r="G622" s="13">
        <v>170</v>
      </c>
      <c r="N622" s="19"/>
      <c r="P622" s="592"/>
      <c r="Q622" s="592"/>
      <c r="R622" s="592"/>
      <c r="S622" s="592"/>
      <c r="T622" s="592"/>
      <c r="U622" s="592"/>
      <c r="V622" s="592"/>
      <c r="W622" s="592"/>
      <c r="X622" s="592"/>
    </row>
    <row r="623" spans="1:66" ht="15" customHeight="1">
      <c r="A623" s="8" t="s">
        <v>114</v>
      </c>
      <c r="B623" s="75" t="s">
        <v>1746</v>
      </c>
      <c r="C623" s="75" t="s">
        <v>999</v>
      </c>
      <c r="D623" s="710" t="s">
        <v>1205</v>
      </c>
      <c r="E623" s="710"/>
      <c r="F623" s="75" t="s">
        <v>2274</v>
      </c>
      <c r="G623" s="80">
        <v>26.15</v>
      </c>
      <c r="H623" s="626"/>
      <c r="I623" s="80">
        <f>G623*AQ623</f>
        <v>0</v>
      </c>
      <c r="J623" s="80">
        <f>G623*AR623</f>
        <v>0</v>
      </c>
      <c r="K623" s="80">
        <f>G623*H623</f>
        <v>0</v>
      </c>
      <c r="L623" s="80">
        <v>1.9199999999999998E-2</v>
      </c>
      <c r="M623" s="80">
        <f>G623*L623</f>
        <v>0.50207999999999997</v>
      </c>
      <c r="N623" s="38" t="s">
        <v>1579</v>
      </c>
      <c r="P623" s="592"/>
      <c r="Q623" s="592"/>
      <c r="R623" s="592"/>
      <c r="S623" s="592"/>
      <c r="T623" s="592"/>
      <c r="U623" s="592"/>
      <c r="V623" s="592"/>
      <c r="W623" s="592"/>
      <c r="X623" s="592"/>
      <c r="AB623" s="56">
        <f>IF(AS623="5",BL623,0)</f>
        <v>0</v>
      </c>
      <c r="AD623" s="56">
        <f>IF(AS623="1",BJ623,0)</f>
        <v>0</v>
      </c>
      <c r="AE623" s="56">
        <f>IF(AS623="1",BK623,0)</f>
        <v>0</v>
      </c>
      <c r="AF623" s="56">
        <f>IF(AS623="7",BJ623,0)</f>
        <v>0</v>
      </c>
      <c r="AG623" s="56">
        <f>IF(AS623="7",BK623,0)</f>
        <v>0</v>
      </c>
      <c r="AH623" s="56">
        <f>IF(AS623="2",BJ623,0)</f>
        <v>0</v>
      </c>
      <c r="AI623" s="56">
        <f>IF(AS623="2",BK623,0)</f>
        <v>0</v>
      </c>
      <c r="AJ623" s="56">
        <f>IF(AS623="0",BL623,0)</f>
        <v>0</v>
      </c>
      <c r="AK623" s="7" t="s">
        <v>1746</v>
      </c>
      <c r="AL623" s="80">
        <f>IF(AP623=0,K623,0)</f>
        <v>0</v>
      </c>
      <c r="AM623" s="80">
        <f>IF(AP623=15,K623,0)</f>
        <v>0</v>
      </c>
      <c r="AN623" s="80">
        <f>IF(AP623=21,K623,0)</f>
        <v>0</v>
      </c>
      <c r="AP623" s="56">
        <v>21</v>
      </c>
      <c r="AQ623" s="88">
        <f>H623*1</f>
        <v>0</v>
      </c>
      <c r="AR623" s="88">
        <f>H623*(1-1)</f>
        <v>0</v>
      </c>
      <c r="AS623" s="64" t="s">
        <v>2311</v>
      </c>
      <c r="AX623" s="56">
        <f>AY623+AZ623</f>
        <v>0</v>
      </c>
      <c r="AY623" s="56">
        <f>G623*AQ623</f>
        <v>0</v>
      </c>
      <c r="AZ623" s="56">
        <f>G623*AR623</f>
        <v>0</v>
      </c>
      <c r="BA623" s="21" t="s">
        <v>2365</v>
      </c>
      <c r="BB623" s="21" t="s">
        <v>1791</v>
      </c>
      <c r="BC623" s="7" t="s">
        <v>1747</v>
      </c>
      <c r="BE623" s="56">
        <f>AY623+AZ623</f>
        <v>0</v>
      </c>
      <c r="BF623" s="56">
        <f>H623/(100-BG623)*100</f>
        <v>0</v>
      </c>
      <c r="BG623" s="56">
        <v>0</v>
      </c>
      <c r="BH623" s="56">
        <f>M623</f>
        <v>0.50207999999999997</v>
      </c>
      <c r="BJ623" s="80">
        <f>G623*AQ623</f>
        <v>0</v>
      </c>
      <c r="BK623" s="80">
        <f>G623*AR623</f>
        <v>0</v>
      </c>
      <c r="BL623" s="80">
        <f>G623*H623</f>
        <v>0</v>
      </c>
      <c r="BM623" s="80"/>
      <c r="BN623" s="56">
        <v>771</v>
      </c>
    </row>
    <row r="624" spans="1:66" ht="15" customHeight="1">
      <c r="A624" s="36"/>
      <c r="D624" s="45" t="s">
        <v>1346</v>
      </c>
      <c r="E624" s="104" t="s">
        <v>1597</v>
      </c>
      <c r="G624" s="13">
        <v>10</v>
      </c>
      <c r="N624" s="19"/>
      <c r="P624" s="592"/>
      <c r="Q624" s="592"/>
      <c r="R624" s="592"/>
      <c r="S624" s="592"/>
      <c r="T624" s="592"/>
      <c r="U624" s="592"/>
      <c r="V624" s="592"/>
      <c r="W624" s="592"/>
      <c r="X624" s="592"/>
    </row>
    <row r="625" spans="1:66" ht="15" customHeight="1">
      <c r="A625" s="8" t="s">
        <v>1287</v>
      </c>
      <c r="B625" s="75" t="s">
        <v>1746</v>
      </c>
      <c r="C625" s="75" t="s">
        <v>1222</v>
      </c>
      <c r="D625" s="710" t="s">
        <v>1507</v>
      </c>
      <c r="E625" s="710"/>
      <c r="F625" s="75" t="s">
        <v>2274</v>
      </c>
      <c r="G625" s="80">
        <v>47.08</v>
      </c>
      <c r="H625" s="626"/>
      <c r="I625" s="80">
        <f>G625*AQ625</f>
        <v>0</v>
      </c>
      <c r="J625" s="80">
        <f>G625*AR625</f>
        <v>0</v>
      </c>
      <c r="K625" s="80">
        <f>G625*H625</f>
        <v>0</v>
      </c>
      <c r="L625" s="80">
        <v>1.9199999999999998E-2</v>
      </c>
      <c r="M625" s="80">
        <f>G625*L625</f>
        <v>0.90393599999999985</v>
      </c>
      <c r="N625" s="38" t="s">
        <v>1579</v>
      </c>
      <c r="P625" s="592"/>
      <c r="Q625" s="592"/>
      <c r="R625" s="592"/>
      <c r="S625" s="592"/>
      <c r="T625" s="592"/>
      <c r="U625" s="592"/>
      <c r="V625" s="592"/>
      <c r="W625" s="592"/>
      <c r="X625" s="592"/>
      <c r="AB625" s="56">
        <f>IF(AS625="5",BL625,0)</f>
        <v>0</v>
      </c>
      <c r="AD625" s="56">
        <f>IF(AS625="1",BJ625,0)</f>
        <v>0</v>
      </c>
      <c r="AE625" s="56">
        <f>IF(AS625="1",BK625,0)</f>
        <v>0</v>
      </c>
      <c r="AF625" s="56">
        <f>IF(AS625="7",BJ625,0)</f>
        <v>0</v>
      </c>
      <c r="AG625" s="56">
        <f>IF(AS625="7",BK625,0)</f>
        <v>0</v>
      </c>
      <c r="AH625" s="56">
        <f>IF(AS625="2",BJ625,0)</f>
        <v>0</v>
      </c>
      <c r="AI625" s="56">
        <f>IF(AS625="2",BK625,0)</f>
        <v>0</v>
      </c>
      <c r="AJ625" s="56">
        <f>IF(AS625="0",BL625,0)</f>
        <v>0</v>
      </c>
      <c r="AK625" s="7" t="s">
        <v>1746</v>
      </c>
      <c r="AL625" s="80">
        <f>IF(AP625=0,K625,0)</f>
        <v>0</v>
      </c>
      <c r="AM625" s="80">
        <f>IF(AP625=15,K625,0)</f>
        <v>0</v>
      </c>
      <c r="AN625" s="80">
        <f>IF(AP625=21,K625,0)</f>
        <v>0</v>
      </c>
      <c r="AP625" s="56">
        <v>21</v>
      </c>
      <c r="AQ625" s="88">
        <f>H625*1</f>
        <v>0</v>
      </c>
      <c r="AR625" s="88">
        <f>H625*(1-1)</f>
        <v>0</v>
      </c>
      <c r="AS625" s="64" t="s">
        <v>2311</v>
      </c>
      <c r="AX625" s="56">
        <f>AY625+AZ625</f>
        <v>0</v>
      </c>
      <c r="AY625" s="56">
        <f>G625*AQ625</f>
        <v>0</v>
      </c>
      <c r="AZ625" s="56">
        <f>G625*AR625</f>
        <v>0</v>
      </c>
      <c r="BA625" s="21" t="s">
        <v>2365</v>
      </c>
      <c r="BB625" s="21" t="s">
        <v>1791</v>
      </c>
      <c r="BC625" s="7" t="s">
        <v>1747</v>
      </c>
      <c r="BE625" s="56">
        <f>AY625+AZ625</f>
        <v>0</v>
      </c>
      <c r="BF625" s="56">
        <f>H625/(100-BG625)*100</f>
        <v>0</v>
      </c>
      <c r="BG625" s="56">
        <v>0</v>
      </c>
      <c r="BH625" s="56">
        <f>M625</f>
        <v>0.90393599999999985</v>
      </c>
      <c r="BJ625" s="80">
        <f>G625*AQ625</f>
        <v>0</v>
      </c>
      <c r="BK625" s="80">
        <f>G625*AR625</f>
        <v>0</v>
      </c>
      <c r="BL625" s="80">
        <f>G625*H625</f>
        <v>0</v>
      </c>
      <c r="BM625" s="80"/>
      <c r="BN625" s="56">
        <v>771</v>
      </c>
    </row>
    <row r="626" spans="1:66" ht="15" customHeight="1">
      <c r="A626" s="36"/>
      <c r="D626" s="45" t="s">
        <v>1846</v>
      </c>
      <c r="E626" s="104" t="s">
        <v>1597</v>
      </c>
      <c r="G626" s="13">
        <v>18</v>
      </c>
      <c r="N626" s="19"/>
      <c r="P626" s="592"/>
      <c r="Q626" s="592"/>
      <c r="R626" s="592"/>
      <c r="S626" s="592"/>
      <c r="T626" s="592"/>
      <c r="U626" s="592"/>
      <c r="V626" s="592"/>
      <c r="W626" s="592"/>
      <c r="X626" s="592"/>
    </row>
    <row r="627" spans="1:66" ht="15" customHeight="1">
      <c r="A627" s="24" t="s">
        <v>2553</v>
      </c>
      <c r="B627" s="12" t="s">
        <v>1746</v>
      </c>
      <c r="C627" s="12" t="s">
        <v>1447</v>
      </c>
      <c r="D627" s="630" t="s">
        <v>544</v>
      </c>
      <c r="E627" s="630"/>
      <c r="F627" s="12" t="s">
        <v>1923</v>
      </c>
      <c r="G627" s="56">
        <v>26.4</v>
      </c>
      <c r="H627" s="625"/>
      <c r="I627" s="56">
        <f>G627*AQ627</f>
        <v>0</v>
      </c>
      <c r="J627" s="56">
        <f>G627*AR627</f>
        <v>0</v>
      </c>
      <c r="K627" s="56">
        <f>G627*H627</f>
        <v>0</v>
      </c>
      <c r="L627" s="56">
        <v>2.4399999999999999E-3</v>
      </c>
      <c r="M627" s="56">
        <f>G627*L627</f>
        <v>6.4415999999999987E-2</v>
      </c>
      <c r="N627" s="31" t="s">
        <v>1579</v>
      </c>
      <c r="P627" s="592"/>
      <c r="Q627" s="592"/>
      <c r="R627" s="592"/>
      <c r="S627" s="592"/>
      <c r="T627" s="592"/>
      <c r="U627" s="592"/>
      <c r="V627" s="592"/>
      <c r="W627" s="592"/>
      <c r="X627" s="592"/>
      <c r="AB627" s="56">
        <f>IF(AS627="5",BL627,0)</f>
        <v>0</v>
      </c>
      <c r="AD627" s="56">
        <f>IF(AS627="1",BJ627,0)</f>
        <v>0</v>
      </c>
      <c r="AE627" s="56">
        <f>IF(AS627="1",BK627,0)</f>
        <v>0</v>
      </c>
      <c r="AF627" s="56">
        <f>IF(AS627="7",BJ627,0)</f>
        <v>0</v>
      </c>
      <c r="AG627" s="56">
        <f>IF(AS627="7",BK627,0)</f>
        <v>0</v>
      </c>
      <c r="AH627" s="56">
        <f>IF(AS627="2",BJ627,0)</f>
        <v>0</v>
      </c>
      <c r="AI627" s="56">
        <f>IF(AS627="2",BK627,0)</f>
        <v>0</v>
      </c>
      <c r="AJ627" s="56">
        <f>IF(AS627="0",BL627,0)</f>
        <v>0</v>
      </c>
      <c r="AK627" s="7" t="s">
        <v>1746</v>
      </c>
      <c r="AL627" s="56">
        <f>IF(AP627=0,K627,0)</f>
        <v>0</v>
      </c>
      <c r="AM627" s="56">
        <f>IF(AP627=15,K627,0)</f>
        <v>0</v>
      </c>
      <c r="AN627" s="56">
        <f>IF(AP627=21,K627,0)</f>
        <v>0</v>
      </c>
      <c r="AP627" s="56">
        <v>21</v>
      </c>
      <c r="AQ627" s="88">
        <f>H627*0.332741935483871</f>
        <v>0</v>
      </c>
      <c r="AR627" s="88">
        <f>H627*(1-0.332741935483871)</f>
        <v>0</v>
      </c>
      <c r="AS627" s="21" t="s">
        <v>2311</v>
      </c>
      <c r="AX627" s="56">
        <f>AY627+AZ627</f>
        <v>0</v>
      </c>
      <c r="AY627" s="56">
        <f>G627*AQ627</f>
        <v>0</v>
      </c>
      <c r="AZ627" s="56">
        <f>G627*AR627</f>
        <v>0</v>
      </c>
      <c r="BA627" s="21" t="s">
        <v>2365</v>
      </c>
      <c r="BB627" s="21" t="s">
        <v>1791</v>
      </c>
      <c r="BC627" s="7" t="s">
        <v>1747</v>
      </c>
      <c r="BE627" s="56">
        <f>AY627+AZ627</f>
        <v>0</v>
      </c>
      <c r="BF627" s="56">
        <f>H627/(100-BG627)*100</f>
        <v>0</v>
      </c>
      <c r="BG627" s="56">
        <v>0</v>
      </c>
      <c r="BH627" s="56">
        <f>M627</f>
        <v>6.4415999999999987E-2</v>
      </c>
      <c r="BJ627" s="56">
        <f>G627*AQ627</f>
        <v>0</v>
      </c>
      <c r="BK627" s="56">
        <f>G627*AR627</f>
        <v>0</v>
      </c>
      <c r="BL627" s="56">
        <f>G627*H627</f>
        <v>0</v>
      </c>
      <c r="BM627" s="56"/>
      <c r="BN627" s="56">
        <v>771</v>
      </c>
    </row>
    <row r="628" spans="1:66" ht="15" customHeight="1">
      <c r="A628" s="36"/>
      <c r="D628" s="45" t="s">
        <v>2189</v>
      </c>
      <c r="E628" s="104" t="s">
        <v>1597</v>
      </c>
      <c r="G628" s="13">
        <v>26.400000000000002</v>
      </c>
      <c r="N628" s="19"/>
      <c r="P628" s="592"/>
      <c r="Q628" s="592"/>
      <c r="R628" s="592"/>
      <c r="S628" s="592"/>
      <c r="T628" s="592"/>
      <c r="U628" s="592"/>
      <c r="V628" s="592"/>
      <c r="W628" s="592"/>
      <c r="X628" s="592"/>
    </row>
    <row r="629" spans="1:66" ht="15" customHeight="1">
      <c r="A629" s="8" t="s">
        <v>1947</v>
      </c>
      <c r="B629" s="75" t="s">
        <v>1746</v>
      </c>
      <c r="C629" s="75" t="s">
        <v>999</v>
      </c>
      <c r="D629" s="710" t="s">
        <v>1205</v>
      </c>
      <c r="E629" s="710"/>
      <c r="F629" s="75" t="s">
        <v>2274</v>
      </c>
      <c r="G629" s="80">
        <v>9</v>
      </c>
      <c r="H629" s="626"/>
      <c r="I629" s="80">
        <f>G629*AQ629</f>
        <v>0</v>
      </c>
      <c r="J629" s="80">
        <f>G629*AR629</f>
        <v>0</v>
      </c>
      <c r="K629" s="80">
        <f>G629*H629</f>
        <v>0</v>
      </c>
      <c r="L629" s="80">
        <v>1.9199999999999998E-2</v>
      </c>
      <c r="M629" s="80">
        <f>G629*L629</f>
        <v>0.17279999999999998</v>
      </c>
      <c r="N629" s="38" t="s">
        <v>1579</v>
      </c>
      <c r="P629" s="592"/>
      <c r="Q629" s="592"/>
      <c r="R629" s="592"/>
      <c r="S629" s="592"/>
      <c r="T629" s="592"/>
      <c r="U629" s="592"/>
      <c r="V629" s="592"/>
      <c r="W629" s="592"/>
      <c r="X629" s="592"/>
      <c r="AB629" s="56">
        <f>IF(AS629="5",BL629,0)</f>
        <v>0</v>
      </c>
      <c r="AD629" s="56">
        <f>IF(AS629="1",BJ629,0)</f>
        <v>0</v>
      </c>
      <c r="AE629" s="56">
        <f>IF(AS629="1",BK629,0)</f>
        <v>0</v>
      </c>
      <c r="AF629" s="56">
        <f>IF(AS629="7",BJ629,0)</f>
        <v>0</v>
      </c>
      <c r="AG629" s="56">
        <f>IF(AS629="7",BK629,0)</f>
        <v>0</v>
      </c>
      <c r="AH629" s="56">
        <f>IF(AS629="2",BJ629,0)</f>
        <v>0</v>
      </c>
      <c r="AI629" s="56">
        <f>IF(AS629="2",BK629,0)</f>
        <v>0</v>
      </c>
      <c r="AJ629" s="56">
        <f>IF(AS629="0",BL629,0)</f>
        <v>0</v>
      </c>
      <c r="AK629" s="7" t="s">
        <v>1746</v>
      </c>
      <c r="AL629" s="80">
        <f>IF(AP629=0,K629,0)</f>
        <v>0</v>
      </c>
      <c r="AM629" s="80">
        <f>IF(AP629=15,K629,0)</f>
        <v>0</v>
      </c>
      <c r="AN629" s="80">
        <f>IF(AP629=21,K629,0)</f>
        <v>0</v>
      </c>
      <c r="AP629" s="56">
        <v>21</v>
      </c>
      <c r="AQ629" s="88">
        <f>H629*1</f>
        <v>0</v>
      </c>
      <c r="AR629" s="88">
        <f>H629*(1-1)</f>
        <v>0</v>
      </c>
      <c r="AS629" s="64" t="s">
        <v>2311</v>
      </c>
      <c r="AX629" s="56">
        <f>AY629+AZ629</f>
        <v>0</v>
      </c>
      <c r="AY629" s="56">
        <f>G629*AQ629</f>
        <v>0</v>
      </c>
      <c r="AZ629" s="56">
        <f>G629*AR629</f>
        <v>0</v>
      </c>
      <c r="BA629" s="21" t="s">
        <v>2365</v>
      </c>
      <c r="BB629" s="21" t="s">
        <v>1791</v>
      </c>
      <c r="BC629" s="7" t="s">
        <v>1747</v>
      </c>
      <c r="BE629" s="56">
        <f>AY629+AZ629</f>
        <v>0</v>
      </c>
      <c r="BF629" s="56">
        <f>H629/(100-BG629)*100</f>
        <v>0</v>
      </c>
      <c r="BG629" s="56">
        <v>0</v>
      </c>
      <c r="BH629" s="56">
        <f>M629</f>
        <v>0.17279999999999998</v>
      </c>
      <c r="BJ629" s="80">
        <f>G629*AQ629</f>
        <v>0</v>
      </c>
      <c r="BK629" s="80">
        <f>G629*AR629</f>
        <v>0</v>
      </c>
      <c r="BL629" s="80">
        <f>G629*H629</f>
        <v>0</v>
      </c>
      <c r="BM629" s="80"/>
      <c r="BN629" s="56">
        <v>771</v>
      </c>
    </row>
    <row r="630" spans="1:66" ht="15" customHeight="1">
      <c r="A630" s="36"/>
      <c r="D630" s="45" t="s">
        <v>873</v>
      </c>
      <c r="E630" s="104" t="s">
        <v>1597</v>
      </c>
      <c r="G630" s="13">
        <v>9</v>
      </c>
      <c r="N630" s="19"/>
      <c r="P630" s="592"/>
      <c r="Q630" s="592"/>
      <c r="R630" s="592"/>
      <c r="S630" s="592"/>
      <c r="T630" s="592"/>
      <c r="U630" s="592"/>
      <c r="V630" s="592"/>
      <c r="W630" s="592"/>
      <c r="X630" s="592"/>
    </row>
    <row r="631" spans="1:66" ht="15" customHeight="1">
      <c r="A631" s="24" t="s">
        <v>1487</v>
      </c>
      <c r="B631" s="12" t="s">
        <v>1746</v>
      </c>
      <c r="C631" s="12" t="s">
        <v>541</v>
      </c>
      <c r="D631" s="630" t="s">
        <v>2081</v>
      </c>
      <c r="E631" s="630"/>
      <c r="F631" s="12" t="s">
        <v>1923</v>
      </c>
      <c r="G631" s="56">
        <v>26.4</v>
      </c>
      <c r="H631" s="625"/>
      <c r="I631" s="56">
        <f>G631*AQ631</f>
        <v>0</v>
      </c>
      <c r="J631" s="56">
        <f>G631*AR631</f>
        <v>0</v>
      </c>
      <c r="K631" s="56">
        <f>G631*H631</f>
        <v>0</v>
      </c>
      <c r="L631" s="56">
        <v>2.0200000000000001E-3</v>
      </c>
      <c r="M631" s="56">
        <f>G631*L631</f>
        <v>5.3328E-2</v>
      </c>
      <c r="N631" s="31" t="s">
        <v>1579</v>
      </c>
      <c r="P631" s="592"/>
      <c r="Q631" s="592"/>
      <c r="R631" s="592"/>
      <c r="S631" s="592"/>
      <c r="T631" s="592"/>
      <c r="U631" s="592"/>
      <c r="V631" s="592"/>
      <c r="W631" s="592"/>
      <c r="X631" s="592"/>
      <c r="AB631" s="56">
        <f>IF(AS631="5",BL631,0)</f>
        <v>0</v>
      </c>
      <c r="AD631" s="56">
        <f>IF(AS631="1",BJ631,0)</f>
        <v>0</v>
      </c>
      <c r="AE631" s="56">
        <f>IF(AS631="1",BK631,0)</f>
        <v>0</v>
      </c>
      <c r="AF631" s="56">
        <f>IF(AS631="7",BJ631,0)</f>
        <v>0</v>
      </c>
      <c r="AG631" s="56">
        <f>IF(AS631="7",BK631,0)</f>
        <v>0</v>
      </c>
      <c r="AH631" s="56">
        <f>IF(AS631="2",BJ631,0)</f>
        <v>0</v>
      </c>
      <c r="AI631" s="56">
        <f>IF(AS631="2",BK631,0)</f>
        <v>0</v>
      </c>
      <c r="AJ631" s="56">
        <f>IF(AS631="0",BL631,0)</f>
        <v>0</v>
      </c>
      <c r="AK631" s="7" t="s">
        <v>1746</v>
      </c>
      <c r="AL631" s="56">
        <f>IF(AP631=0,K631,0)</f>
        <v>0</v>
      </c>
      <c r="AM631" s="56">
        <f>IF(AP631=15,K631,0)</f>
        <v>0</v>
      </c>
      <c r="AN631" s="56">
        <f>IF(AP631=21,K631,0)</f>
        <v>0</v>
      </c>
      <c r="AP631" s="56">
        <v>21</v>
      </c>
      <c r="AQ631" s="88">
        <f>H631*0.479417879417879</f>
        <v>0</v>
      </c>
      <c r="AR631" s="88">
        <f>H631*(1-0.479417879417879)</f>
        <v>0</v>
      </c>
      <c r="AS631" s="21" t="s">
        <v>2311</v>
      </c>
      <c r="AX631" s="56">
        <f>AY631+AZ631</f>
        <v>0</v>
      </c>
      <c r="AY631" s="56">
        <f>G631*AQ631</f>
        <v>0</v>
      </c>
      <c r="AZ631" s="56">
        <f>G631*AR631</f>
        <v>0</v>
      </c>
      <c r="BA631" s="21" t="s">
        <v>2365</v>
      </c>
      <c r="BB631" s="21" t="s">
        <v>1791</v>
      </c>
      <c r="BC631" s="7" t="s">
        <v>1747</v>
      </c>
      <c r="BE631" s="56">
        <f>AY631+AZ631</f>
        <v>0</v>
      </c>
      <c r="BF631" s="56">
        <f>H631/(100-BG631)*100</f>
        <v>0</v>
      </c>
      <c r="BG631" s="56">
        <v>0</v>
      </c>
      <c r="BH631" s="56">
        <f>M631</f>
        <v>5.3328E-2</v>
      </c>
      <c r="BJ631" s="56">
        <f>G631*AQ631</f>
        <v>0</v>
      </c>
      <c r="BK631" s="56">
        <f>G631*AR631</f>
        <v>0</v>
      </c>
      <c r="BL631" s="56">
        <f>G631*H631</f>
        <v>0</v>
      </c>
      <c r="BM631" s="56"/>
      <c r="BN631" s="56">
        <v>771</v>
      </c>
    </row>
    <row r="632" spans="1:66" ht="15" customHeight="1">
      <c r="A632" s="36"/>
      <c r="D632" s="45" t="s">
        <v>2189</v>
      </c>
      <c r="E632" s="104" t="s">
        <v>1597</v>
      </c>
      <c r="G632" s="13">
        <v>26.400000000000002</v>
      </c>
      <c r="N632" s="19"/>
      <c r="P632" s="592"/>
      <c r="Q632" s="592"/>
      <c r="R632" s="592"/>
      <c r="S632" s="592"/>
      <c r="T632" s="592"/>
      <c r="U632" s="592"/>
      <c r="V632" s="592"/>
      <c r="W632" s="592"/>
      <c r="X632" s="592"/>
    </row>
    <row r="633" spans="1:66" ht="15" customHeight="1">
      <c r="A633" s="8" t="s">
        <v>377</v>
      </c>
      <c r="B633" s="75" t="s">
        <v>1746</v>
      </c>
      <c r="C633" s="75" t="s">
        <v>999</v>
      </c>
      <c r="D633" s="710" t="s">
        <v>1205</v>
      </c>
      <c r="E633" s="710"/>
      <c r="F633" s="75" t="s">
        <v>2274</v>
      </c>
      <c r="G633" s="80">
        <v>6</v>
      </c>
      <c r="H633" s="626"/>
      <c r="I633" s="80">
        <f>G633*AQ633</f>
        <v>0</v>
      </c>
      <c r="J633" s="80">
        <f>G633*AR633</f>
        <v>0</v>
      </c>
      <c r="K633" s="80">
        <f>G633*H633</f>
        <v>0</v>
      </c>
      <c r="L633" s="80">
        <v>1.9199999999999998E-2</v>
      </c>
      <c r="M633" s="80">
        <f>G633*L633</f>
        <v>0.1152</v>
      </c>
      <c r="N633" s="38" t="s">
        <v>1579</v>
      </c>
      <c r="P633" s="592"/>
      <c r="Q633" s="592"/>
      <c r="R633" s="592"/>
      <c r="S633" s="592"/>
      <c r="T633" s="592"/>
      <c r="U633" s="592"/>
      <c r="V633" s="592"/>
      <c r="W633" s="592"/>
      <c r="X633" s="592"/>
      <c r="AB633" s="56">
        <f>IF(AS633="5",BL633,0)</f>
        <v>0</v>
      </c>
      <c r="AD633" s="56">
        <f>IF(AS633="1",BJ633,0)</f>
        <v>0</v>
      </c>
      <c r="AE633" s="56">
        <f>IF(AS633="1",BK633,0)</f>
        <v>0</v>
      </c>
      <c r="AF633" s="56">
        <f>IF(AS633="7",BJ633,0)</f>
        <v>0</v>
      </c>
      <c r="AG633" s="56">
        <f>IF(AS633="7",BK633,0)</f>
        <v>0</v>
      </c>
      <c r="AH633" s="56">
        <f>IF(AS633="2",BJ633,0)</f>
        <v>0</v>
      </c>
      <c r="AI633" s="56">
        <f>IF(AS633="2",BK633,0)</f>
        <v>0</v>
      </c>
      <c r="AJ633" s="56">
        <f>IF(AS633="0",BL633,0)</f>
        <v>0</v>
      </c>
      <c r="AK633" s="7" t="s">
        <v>1746</v>
      </c>
      <c r="AL633" s="80">
        <f>IF(AP633=0,K633,0)</f>
        <v>0</v>
      </c>
      <c r="AM633" s="80">
        <f>IF(AP633=15,K633,0)</f>
        <v>0</v>
      </c>
      <c r="AN633" s="80">
        <f>IF(AP633=21,K633,0)</f>
        <v>0</v>
      </c>
      <c r="AP633" s="56">
        <v>21</v>
      </c>
      <c r="AQ633" s="88">
        <f>H633*1</f>
        <v>0</v>
      </c>
      <c r="AR633" s="88">
        <f>H633*(1-1)</f>
        <v>0</v>
      </c>
      <c r="AS633" s="64" t="s">
        <v>2311</v>
      </c>
      <c r="AX633" s="56">
        <f>AY633+AZ633</f>
        <v>0</v>
      </c>
      <c r="AY633" s="56">
        <f>G633*AQ633</f>
        <v>0</v>
      </c>
      <c r="AZ633" s="56">
        <f>G633*AR633</f>
        <v>0</v>
      </c>
      <c r="BA633" s="21" t="s">
        <v>2365</v>
      </c>
      <c r="BB633" s="21" t="s">
        <v>1791</v>
      </c>
      <c r="BC633" s="7" t="s">
        <v>1747</v>
      </c>
      <c r="BE633" s="56">
        <f>AY633+AZ633</f>
        <v>0</v>
      </c>
      <c r="BF633" s="56">
        <f>H633/(100-BG633)*100</f>
        <v>0</v>
      </c>
      <c r="BG633" s="56">
        <v>0</v>
      </c>
      <c r="BH633" s="56">
        <f>M633</f>
        <v>0.1152</v>
      </c>
      <c r="BJ633" s="80">
        <f>G633*AQ633</f>
        <v>0</v>
      </c>
      <c r="BK633" s="80">
        <f>G633*AR633</f>
        <v>0</v>
      </c>
      <c r="BL633" s="80">
        <f>G633*H633</f>
        <v>0</v>
      </c>
      <c r="BM633" s="80"/>
      <c r="BN633" s="56">
        <v>771</v>
      </c>
    </row>
    <row r="634" spans="1:66" ht="15" customHeight="1">
      <c r="A634" s="36"/>
      <c r="D634" s="45" t="s">
        <v>390</v>
      </c>
      <c r="E634" s="104" t="s">
        <v>1597</v>
      </c>
      <c r="G634" s="13">
        <v>6.0000000000000009</v>
      </c>
      <c r="N634" s="19"/>
      <c r="P634" s="592"/>
      <c r="Q634" s="592"/>
      <c r="R634" s="592"/>
      <c r="S634" s="592"/>
      <c r="T634" s="592"/>
      <c r="U634" s="592"/>
      <c r="V634" s="592"/>
      <c r="W634" s="592"/>
      <c r="X634" s="592"/>
    </row>
    <row r="635" spans="1:66" ht="15" customHeight="1">
      <c r="A635" s="24" t="s">
        <v>1102</v>
      </c>
      <c r="B635" s="12" t="s">
        <v>1746</v>
      </c>
      <c r="C635" s="12" t="s">
        <v>2419</v>
      </c>
      <c r="D635" s="630" t="s">
        <v>758</v>
      </c>
      <c r="E635" s="630"/>
      <c r="F635" s="12" t="s">
        <v>1923</v>
      </c>
      <c r="G635" s="56">
        <v>24</v>
      </c>
      <c r="H635" s="625"/>
      <c r="I635" s="56">
        <f>G635*AQ635</f>
        <v>0</v>
      </c>
      <c r="J635" s="56">
        <f>G635*AR635</f>
        <v>0</v>
      </c>
      <c r="K635" s="56">
        <f>G635*H635</f>
        <v>0</v>
      </c>
      <c r="L635" s="56">
        <v>3.2000000000000003E-4</v>
      </c>
      <c r="M635" s="56">
        <f>G635*L635</f>
        <v>7.6800000000000011E-3</v>
      </c>
      <c r="N635" s="31" t="s">
        <v>1579</v>
      </c>
      <c r="P635" s="592"/>
      <c r="Q635" s="592"/>
      <c r="R635" s="592"/>
      <c r="S635" s="592"/>
      <c r="T635" s="592"/>
      <c r="U635" s="592"/>
      <c r="V635" s="592"/>
      <c r="W635" s="592"/>
      <c r="X635" s="592"/>
      <c r="AB635" s="56">
        <f>IF(AS635="5",BL635,0)</f>
        <v>0</v>
      </c>
      <c r="AD635" s="56">
        <f>IF(AS635="1",BJ635,0)</f>
        <v>0</v>
      </c>
      <c r="AE635" s="56">
        <f>IF(AS635="1",BK635,0)</f>
        <v>0</v>
      </c>
      <c r="AF635" s="56">
        <f>IF(AS635="7",BJ635,0)</f>
        <v>0</v>
      </c>
      <c r="AG635" s="56">
        <f>IF(AS635="7",BK635,0)</f>
        <v>0</v>
      </c>
      <c r="AH635" s="56">
        <f>IF(AS635="2",BJ635,0)</f>
        <v>0</v>
      </c>
      <c r="AI635" s="56">
        <f>IF(AS635="2",BK635,0)</f>
        <v>0</v>
      </c>
      <c r="AJ635" s="56">
        <f>IF(AS635="0",BL635,0)</f>
        <v>0</v>
      </c>
      <c r="AK635" s="7" t="s">
        <v>1746</v>
      </c>
      <c r="AL635" s="56">
        <f>IF(AP635=0,K635,0)</f>
        <v>0</v>
      </c>
      <c r="AM635" s="56">
        <f>IF(AP635=15,K635,0)</f>
        <v>0</v>
      </c>
      <c r="AN635" s="56">
        <f>IF(AP635=21,K635,0)</f>
        <v>0</v>
      </c>
      <c r="AP635" s="56">
        <v>21</v>
      </c>
      <c r="AQ635" s="88">
        <f>H635*0.0512135922330097</f>
        <v>0</v>
      </c>
      <c r="AR635" s="88">
        <f>H635*(1-0.0512135922330097)</f>
        <v>0</v>
      </c>
      <c r="AS635" s="21" t="s">
        <v>2311</v>
      </c>
      <c r="AX635" s="56">
        <f>AY635+AZ635</f>
        <v>0</v>
      </c>
      <c r="AY635" s="56">
        <f>G635*AQ635</f>
        <v>0</v>
      </c>
      <c r="AZ635" s="56">
        <f>G635*AR635</f>
        <v>0</v>
      </c>
      <c r="BA635" s="21" t="s">
        <v>2365</v>
      </c>
      <c r="BB635" s="21" t="s">
        <v>1791</v>
      </c>
      <c r="BC635" s="7" t="s">
        <v>1747</v>
      </c>
      <c r="BE635" s="56">
        <f>AY635+AZ635</f>
        <v>0</v>
      </c>
      <c r="BF635" s="56">
        <f>H635/(100-BG635)*100</f>
        <v>0</v>
      </c>
      <c r="BG635" s="56">
        <v>0</v>
      </c>
      <c r="BH635" s="56">
        <f>M635</f>
        <v>7.6800000000000011E-3</v>
      </c>
      <c r="BJ635" s="56">
        <f>G635*AQ635</f>
        <v>0</v>
      </c>
      <c r="BK635" s="56">
        <f>G635*AR635</f>
        <v>0</v>
      </c>
      <c r="BL635" s="56">
        <f>G635*H635</f>
        <v>0</v>
      </c>
      <c r="BM635" s="56"/>
      <c r="BN635" s="56">
        <v>771</v>
      </c>
    </row>
    <row r="636" spans="1:66" ht="15" customHeight="1">
      <c r="A636" s="36"/>
      <c r="D636" s="45" t="s">
        <v>2217</v>
      </c>
      <c r="E636" s="104" t="s">
        <v>1597</v>
      </c>
      <c r="G636" s="13">
        <v>24.000000000000004</v>
      </c>
      <c r="N636" s="19"/>
      <c r="P636" s="592"/>
      <c r="Q636" s="592"/>
      <c r="R636" s="592"/>
      <c r="S636" s="592"/>
      <c r="T636" s="592"/>
      <c r="U636" s="592"/>
      <c r="V636" s="592"/>
      <c r="W636" s="592"/>
      <c r="X636" s="592"/>
    </row>
    <row r="637" spans="1:66" ht="15" customHeight="1">
      <c r="A637" s="8" t="s">
        <v>2584</v>
      </c>
      <c r="B637" s="75" t="s">
        <v>1746</v>
      </c>
      <c r="C637" s="75" t="s">
        <v>999</v>
      </c>
      <c r="D637" s="710" t="s">
        <v>1205</v>
      </c>
      <c r="E637" s="710"/>
      <c r="F637" s="75" t="s">
        <v>2274</v>
      </c>
      <c r="G637" s="80">
        <v>8</v>
      </c>
      <c r="H637" s="626"/>
      <c r="I637" s="80">
        <f>G637*AQ637</f>
        <v>0</v>
      </c>
      <c r="J637" s="80">
        <f>G637*AR637</f>
        <v>0</v>
      </c>
      <c r="K637" s="80">
        <f>G637*H637</f>
        <v>0</v>
      </c>
      <c r="L637" s="80">
        <v>1.9199999999999998E-2</v>
      </c>
      <c r="M637" s="80">
        <f>G637*L637</f>
        <v>0.15359999999999999</v>
      </c>
      <c r="N637" s="38" t="s">
        <v>1579</v>
      </c>
      <c r="P637" s="592"/>
      <c r="Q637" s="592"/>
      <c r="R637" s="592"/>
      <c r="S637" s="592"/>
      <c r="T637" s="592"/>
      <c r="U637" s="592"/>
      <c r="V637" s="592"/>
      <c r="W637" s="592"/>
      <c r="X637" s="592"/>
      <c r="AB637" s="56">
        <f>IF(AS637="5",BL637,0)</f>
        <v>0</v>
      </c>
      <c r="AD637" s="56">
        <f>IF(AS637="1",BJ637,0)</f>
        <v>0</v>
      </c>
      <c r="AE637" s="56">
        <f>IF(AS637="1",BK637,0)</f>
        <v>0</v>
      </c>
      <c r="AF637" s="56">
        <f>IF(AS637="7",BJ637,0)</f>
        <v>0</v>
      </c>
      <c r="AG637" s="56">
        <f>IF(AS637="7",BK637,0)</f>
        <v>0</v>
      </c>
      <c r="AH637" s="56">
        <f>IF(AS637="2",BJ637,0)</f>
        <v>0</v>
      </c>
      <c r="AI637" s="56">
        <f>IF(AS637="2",BK637,0)</f>
        <v>0</v>
      </c>
      <c r="AJ637" s="56">
        <f>IF(AS637="0",BL637,0)</f>
        <v>0</v>
      </c>
      <c r="AK637" s="7" t="s">
        <v>1746</v>
      </c>
      <c r="AL637" s="80">
        <f>IF(AP637=0,K637,0)</f>
        <v>0</v>
      </c>
      <c r="AM637" s="80">
        <f>IF(AP637=15,K637,0)</f>
        <v>0</v>
      </c>
      <c r="AN637" s="80">
        <f>IF(AP637=21,K637,0)</f>
        <v>0</v>
      </c>
      <c r="AP637" s="56">
        <v>21</v>
      </c>
      <c r="AQ637" s="88">
        <f>H637*1</f>
        <v>0</v>
      </c>
      <c r="AR637" s="88">
        <f>H637*(1-1)</f>
        <v>0</v>
      </c>
      <c r="AS637" s="64" t="s">
        <v>2311</v>
      </c>
      <c r="AX637" s="56">
        <f>AY637+AZ637</f>
        <v>0</v>
      </c>
      <c r="AY637" s="56">
        <f>G637*AQ637</f>
        <v>0</v>
      </c>
      <c r="AZ637" s="56">
        <f>G637*AR637</f>
        <v>0</v>
      </c>
      <c r="BA637" s="21" t="s">
        <v>2365</v>
      </c>
      <c r="BB637" s="21" t="s">
        <v>1791</v>
      </c>
      <c r="BC637" s="7" t="s">
        <v>1747</v>
      </c>
      <c r="BE637" s="56">
        <f>AY637+AZ637</f>
        <v>0</v>
      </c>
      <c r="BF637" s="56">
        <f>H637/(100-BG637)*100</f>
        <v>0</v>
      </c>
      <c r="BG637" s="56">
        <v>0</v>
      </c>
      <c r="BH637" s="56">
        <f>M637</f>
        <v>0.15359999999999999</v>
      </c>
      <c r="BJ637" s="80">
        <f>G637*AQ637</f>
        <v>0</v>
      </c>
      <c r="BK637" s="80">
        <f>G637*AR637</f>
        <v>0</v>
      </c>
      <c r="BL637" s="80">
        <f>G637*H637</f>
        <v>0</v>
      </c>
      <c r="BM637" s="80"/>
      <c r="BN637" s="56">
        <v>771</v>
      </c>
    </row>
    <row r="638" spans="1:66" ht="15" customHeight="1">
      <c r="A638" s="36"/>
      <c r="D638" s="45" t="s">
        <v>1829</v>
      </c>
      <c r="E638" s="104" t="s">
        <v>1597</v>
      </c>
      <c r="G638" s="13">
        <v>8</v>
      </c>
      <c r="N638" s="19"/>
      <c r="P638" s="592"/>
      <c r="Q638" s="592"/>
      <c r="R638" s="592"/>
      <c r="S638" s="592"/>
      <c r="T638" s="592"/>
      <c r="U638" s="592"/>
      <c r="V638" s="592"/>
      <c r="W638" s="592"/>
      <c r="X638" s="592"/>
    </row>
    <row r="639" spans="1:66" ht="15" customHeight="1">
      <c r="A639" s="32" t="s">
        <v>1597</v>
      </c>
      <c r="B639" s="26" t="s">
        <v>1746</v>
      </c>
      <c r="C639" s="537" t="s">
        <v>849</v>
      </c>
      <c r="D639" s="709" t="s">
        <v>271</v>
      </c>
      <c r="E639" s="709"/>
      <c r="F639" s="46" t="s">
        <v>2144</v>
      </c>
      <c r="G639" s="46" t="s">
        <v>2144</v>
      </c>
      <c r="H639" s="46" t="s">
        <v>2144</v>
      </c>
      <c r="I639" s="17">
        <f>SUM(I640:I643)</f>
        <v>0</v>
      </c>
      <c r="J639" s="17">
        <f>SUM(J640:J643)</f>
        <v>0</v>
      </c>
      <c r="K639" s="539">
        <f>SUM(K640:K643)</f>
        <v>0</v>
      </c>
      <c r="L639" s="7" t="s">
        <v>1597</v>
      </c>
      <c r="M639" s="17">
        <f>SUM(M640:M643)</f>
        <v>5.3686885000000002</v>
      </c>
      <c r="N639" s="20" t="s">
        <v>1597</v>
      </c>
      <c r="P639" s="592"/>
      <c r="Q639" s="592"/>
      <c r="R639" s="592"/>
      <c r="S639" s="592"/>
      <c r="T639" s="592"/>
      <c r="U639" s="592">
        <f>K639</f>
        <v>0</v>
      </c>
      <c r="V639" s="592"/>
      <c r="W639" s="592"/>
      <c r="X639" s="592"/>
      <c r="AK639" s="7" t="s">
        <v>1746</v>
      </c>
      <c r="AU639" s="17">
        <f>SUM(AL640:AL643)</f>
        <v>0</v>
      </c>
      <c r="AV639" s="17">
        <f>SUM(AM640:AM643)</f>
        <v>0</v>
      </c>
      <c r="AW639" s="17">
        <f>SUM(AN640:AN643)</f>
        <v>0</v>
      </c>
    </row>
    <row r="640" spans="1:66" ht="15" customHeight="1">
      <c r="A640" s="24" t="s">
        <v>2484</v>
      </c>
      <c r="B640" s="12" t="s">
        <v>1746</v>
      </c>
      <c r="C640" s="12" t="s">
        <v>98</v>
      </c>
      <c r="D640" s="630" t="s">
        <v>1391</v>
      </c>
      <c r="E640" s="630"/>
      <c r="F640" s="12" t="s">
        <v>2274</v>
      </c>
      <c r="G640" s="56">
        <v>301.95</v>
      </c>
      <c r="H640" s="625"/>
      <c r="I640" s="56">
        <f>G640*AQ640</f>
        <v>0</v>
      </c>
      <c r="J640" s="56">
        <f>G640*AR640</f>
        <v>0</v>
      </c>
      <c r="K640" s="56">
        <f>G640*H640</f>
        <v>0</v>
      </c>
      <c r="L640" s="56">
        <v>1.7430000000000001E-2</v>
      </c>
      <c r="M640" s="56">
        <f>G640*L640</f>
        <v>5.2629885000000005</v>
      </c>
      <c r="N640" s="31" t="s">
        <v>1579</v>
      </c>
      <c r="P640" s="592"/>
      <c r="Q640" s="592"/>
      <c r="R640" s="592"/>
      <c r="S640" s="592"/>
      <c r="T640" s="592"/>
      <c r="U640" s="592"/>
      <c r="V640" s="592"/>
      <c r="W640" s="592"/>
      <c r="X640" s="592"/>
      <c r="AB640" s="56">
        <f>IF(AS640="5",BL640,0)</f>
        <v>0</v>
      </c>
      <c r="AD640" s="56">
        <f>IF(AS640="1",BJ640,0)</f>
        <v>0</v>
      </c>
      <c r="AE640" s="56">
        <f>IF(AS640="1",BK640,0)</f>
        <v>0</v>
      </c>
      <c r="AF640" s="56">
        <f>IF(AS640="7",BJ640,0)</f>
        <v>0</v>
      </c>
      <c r="AG640" s="56">
        <f>IF(AS640="7",BK640,0)</f>
        <v>0</v>
      </c>
      <c r="AH640" s="56">
        <f>IF(AS640="2",BJ640,0)</f>
        <v>0</v>
      </c>
      <c r="AI640" s="56">
        <f>IF(AS640="2",BK640,0)</f>
        <v>0</v>
      </c>
      <c r="AJ640" s="56">
        <f>IF(AS640="0",BL640,0)</f>
        <v>0</v>
      </c>
      <c r="AK640" s="7" t="s">
        <v>1746</v>
      </c>
      <c r="AL640" s="56">
        <f>IF(AP640=0,K640,0)</f>
        <v>0</v>
      </c>
      <c r="AM640" s="56">
        <f>IF(AP640=15,K640,0)</f>
        <v>0</v>
      </c>
      <c r="AN640" s="56">
        <f>IF(AP640=21,K640,0)</f>
        <v>0</v>
      </c>
      <c r="AP640" s="56">
        <v>21</v>
      </c>
      <c r="AQ640" s="88">
        <f>H640*0.75926638917794</f>
        <v>0</v>
      </c>
      <c r="AR640" s="88">
        <f>H640*(1-0.75926638917794)</f>
        <v>0</v>
      </c>
      <c r="AS640" s="21" t="s">
        <v>2311</v>
      </c>
      <c r="AX640" s="56">
        <f>AY640+AZ640</f>
        <v>0</v>
      </c>
      <c r="AY640" s="56">
        <f>G640*AQ640</f>
        <v>0</v>
      </c>
      <c r="AZ640" s="56">
        <f>G640*AR640</f>
        <v>0</v>
      </c>
      <c r="BA640" s="21" t="s">
        <v>1820</v>
      </c>
      <c r="BB640" s="21" t="s">
        <v>1791</v>
      </c>
      <c r="BC640" s="7" t="s">
        <v>1747</v>
      </c>
      <c r="BE640" s="56">
        <f>AY640+AZ640</f>
        <v>0</v>
      </c>
      <c r="BF640" s="56">
        <f>H640/(100-BG640)*100</f>
        <v>0</v>
      </c>
      <c r="BG640" s="56">
        <v>0</v>
      </c>
      <c r="BH640" s="56">
        <f>M640</f>
        <v>5.2629885000000005</v>
      </c>
      <c r="BJ640" s="56">
        <f>G640*AQ640</f>
        <v>0</v>
      </c>
      <c r="BK640" s="56">
        <f>G640*AR640</f>
        <v>0</v>
      </c>
      <c r="BL640" s="56">
        <f>G640*H640</f>
        <v>0</v>
      </c>
      <c r="BM640" s="56"/>
      <c r="BN640" s="56">
        <v>775</v>
      </c>
    </row>
    <row r="641" spans="1:66" ht="15" customHeight="1">
      <c r="A641" s="36"/>
      <c r="D641" s="45" t="s">
        <v>865</v>
      </c>
      <c r="E641" s="104" t="s">
        <v>265</v>
      </c>
      <c r="G641" s="13">
        <v>274.5</v>
      </c>
      <c r="N641" s="19"/>
      <c r="P641" s="592"/>
      <c r="Q641" s="592"/>
      <c r="R641" s="592"/>
      <c r="S641" s="592"/>
      <c r="T641" s="592"/>
      <c r="U641" s="592"/>
      <c r="V641" s="592"/>
      <c r="W641" s="592"/>
      <c r="X641" s="592"/>
    </row>
    <row r="642" spans="1:66" ht="15" customHeight="1">
      <c r="A642" s="36"/>
      <c r="D642" s="45" t="s">
        <v>2041</v>
      </c>
      <c r="E642" s="104" t="s">
        <v>1597</v>
      </c>
      <c r="G642" s="13">
        <v>27.450000000000003</v>
      </c>
      <c r="N642" s="19"/>
      <c r="P642" s="592"/>
      <c r="Q642" s="592"/>
      <c r="R642" s="592"/>
      <c r="S642" s="592"/>
      <c r="T642" s="592"/>
      <c r="U642" s="592"/>
      <c r="V642" s="592"/>
      <c r="W642" s="592"/>
      <c r="X642" s="592"/>
    </row>
    <row r="643" spans="1:66" ht="15" customHeight="1">
      <c r="A643" s="24" t="s">
        <v>1088</v>
      </c>
      <c r="B643" s="12" t="s">
        <v>1746</v>
      </c>
      <c r="C643" s="12" t="s">
        <v>2513</v>
      </c>
      <c r="D643" s="630" t="s">
        <v>461</v>
      </c>
      <c r="E643" s="630"/>
      <c r="F643" s="12" t="s">
        <v>2274</v>
      </c>
      <c r="G643" s="56">
        <v>302</v>
      </c>
      <c r="H643" s="625"/>
      <c r="I643" s="56">
        <f>G643*AQ643</f>
        <v>0</v>
      </c>
      <c r="J643" s="56">
        <f>G643*AR643</f>
        <v>0</v>
      </c>
      <c r="K643" s="56">
        <f>G643*H643</f>
        <v>0</v>
      </c>
      <c r="L643" s="56">
        <v>3.5E-4</v>
      </c>
      <c r="M643" s="56">
        <f>G643*L643</f>
        <v>0.1057</v>
      </c>
      <c r="N643" s="31" t="s">
        <v>1579</v>
      </c>
      <c r="P643" s="592"/>
      <c r="Q643" s="592"/>
      <c r="R643" s="592"/>
      <c r="S643" s="592"/>
      <c r="T643" s="592"/>
      <c r="U643" s="592"/>
      <c r="V643" s="592"/>
      <c r="W643" s="592"/>
      <c r="X643" s="592"/>
      <c r="AB643" s="56">
        <f>IF(AS643="5",BL643,0)</f>
        <v>0</v>
      </c>
      <c r="AD643" s="56">
        <f>IF(AS643="1",BJ643,0)</f>
        <v>0</v>
      </c>
      <c r="AE643" s="56">
        <f>IF(AS643="1",BK643,0)</f>
        <v>0</v>
      </c>
      <c r="AF643" s="56">
        <f>IF(AS643="7",BJ643,0)</f>
        <v>0</v>
      </c>
      <c r="AG643" s="56">
        <f>IF(AS643="7",BK643,0)</f>
        <v>0</v>
      </c>
      <c r="AH643" s="56">
        <f>IF(AS643="2",BJ643,0)</f>
        <v>0</v>
      </c>
      <c r="AI643" s="56">
        <f>IF(AS643="2",BK643,0)</f>
        <v>0</v>
      </c>
      <c r="AJ643" s="56">
        <f>IF(AS643="0",BL643,0)</f>
        <v>0</v>
      </c>
      <c r="AK643" s="7" t="s">
        <v>1746</v>
      </c>
      <c r="AL643" s="56">
        <f>IF(AP643=0,K643,0)</f>
        <v>0</v>
      </c>
      <c r="AM643" s="56">
        <f>IF(AP643=15,K643,0)</f>
        <v>0</v>
      </c>
      <c r="AN643" s="56">
        <f>IF(AP643=21,K643,0)</f>
        <v>0</v>
      </c>
      <c r="AP643" s="56">
        <v>21</v>
      </c>
      <c r="AQ643" s="88">
        <f>H643*0.454474637681159</f>
        <v>0</v>
      </c>
      <c r="AR643" s="88">
        <f>H643*(1-0.454474637681159)</f>
        <v>0</v>
      </c>
      <c r="AS643" s="21" t="s">
        <v>2311</v>
      </c>
      <c r="AX643" s="56">
        <f>AY643+AZ643</f>
        <v>0</v>
      </c>
      <c r="AY643" s="56">
        <f>G643*AQ643</f>
        <v>0</v>
      </c>
      <c r="AZ643" s="56">
        <f>G643*AR643</f>
        <v>0</v>
      </c>
      <c r="BA643" s="21" t="s">
        <v>1820</v>
      </c>
      <c r="BB643" s="21" t="s">
        <v>1791</v>
      </c>
      <c r="BC643" s="7" t="s">
        <v>1747</v>
      </c>
      <c r="BE643" s="56">
        <f>AY643+AZ643</f>
        <v>0</v>
      </c>
      <c r="BF643" s="56">
        <f>H643/(100-BG643)*100</f>
        <v>0</v>
      </c>
      <c r="BG643" s="56">
        <v>0</v>
      </c>
      <c r="BH643" s="56">
        <f>M643</f>
        <v>0.1057</v>
      </c>
      <c r="BJ643" s="56">
        <f>G643*AQ643</f>
        <v>0</v>
      </c>
      <c r="BK643" s="56">
        <f>G643*AR643</f>
        <v>0</v>
      </c>
      <c r="BL643" s="56">
        <f>G643*H643</f>
        <v>0</v>
      </c>
      <c r="BM643" s="56"/>
      <c r="BN643" s="56">
        <v>775</v>
      </c>
    </row>
    <row r="644" spans="1:66" ht="15" customHeight="1">
      <c r="A644" s="36"/>
      <c r="D644" s="45" t="s">
        <v>1310</v>
      </c>
      <c r="E644" s="104" t="s">
        <v>1577</v>
      </c>
      <c r="G644" s="13">
        <v>302</v>
      </c>
      <c r="N644" s="19"/>
      <c r="P644" s="592"/>
      <c r="Q644" s="592"/>
      <c r="R644" s="592"/>
      <c r="S644" s="592"/>
      <c r="T644" s="592"/>
      <c r="U644" s="592"/>
      <c r="V644" s="592"/>
      <c r="W644" s="592"/>
      <c r="X644" s="592"/>
    </row>
    <row r="645" spans="1:66" ht="15" customHeight="1">
      <c r="A645" s="32" t="s">
        <v>1597</v>
      </c>
      <c r="B645" s="26" t="s">
        <v>1746</v>
      </c>
      <c r="C645" s="537" t="s">
        <v>1990</v>
      </c>
      <c r="D645" s="709" t="s">
        <v>2124</v>
      </c>
      <c r="E645" s="709"/>
      <c r="F645" s="46" t="s">
        <v>2144</v>
      </c>
      <c r="G645" s="46" t="s">
        <v>2144</v>
      </c>
      <c r="H645" s="46" t="s">
        <v>2144</v>
      </c>
      <c r="I645" s="17">
        <f>SUM(I646:I652)</f>
        <v>0</v>
      </c>
      <c r="J645" s="17">
        <f>SUM(J646:J652)</f>
        <v>0</v>
      </c>
      <c r="K645" s="539">
        <f>SUM(K646:K652)</f>
        <v>0</v>
      </c>
      <c r="L645" s="7" t="s">
        <v>1597</v>
      </c>
      <c r="M645" s="17">
        <f>SUM(M646:M652)</f>
        <v>3.1224930000000004</v>
      </c>
      <c r="N645" s="20" t="s">
        <v>1597</v>
      </c>
      <c r="P645" s="592"/>
      <c r="Q645" s="592"/>
      <c r="R645" s="592"/>
      <c r="S645" s="592"/>
      <c r="T645" s="592"/>
      <c r="U645" s="592">
        <f>K645</f>
        <v>0</v>
      </c>
      <c r="V645" s="592"/>
      <c r="W645" s="592"/>
      <c r="X645" s="592"/>
      <c r="AK645" s="7" t="s">
        <v>1746</v>
      </c>
      <c r="AU645" s="17">
        <f>SUM(AL646:AL652)</f>
        <v>0</v>
      </c>
      <c r="AV645" s="17">
        <f>SUM(AM646:AM652)</f>
        <v>0</v>
      </c>
      <c r="AW645" s="17">
        <f>SUM(AN646:AN652)</f>
        <v>0</v>
      </c>
    </row>
    <row r="646" spans="1:66" ht="15" customHeight="1">
      <c r="A646" s="24" t="s">
        <v>2468</v>
      </c>
      <c r="B646" s="12" t="s">
        <v>1746</v>
      </c>
      <c r="C646" s="12" t="s">
        <v>1622</v>
      </c>
      <c r="D646" s="630" t="s">
        <v>3606</v>
      </c>
      <c r="E646" s="630"/>
      <c r="F646" s="12" t="s">
        <v>2274</v>
      </c>
      <c r="G646" s="56">
        <v>440</v>
      </c>
      <c r="H646" s="625"/>
      <c r="I646" s="56">
        <f>G646*AQ646</f>
        <v>0</v>
      </c>
      <c r="J646" s="56">
        <f>G646*AR646</f>
        <v>0</v>
      </c>
      <c r="K646" s="56">
        <f>G646*H646</f>
        <v>0</v>
      </c>
      <c r="L646" s="56">
        <v>3.0000000000000001E-3</v>
      </c>
      <c r="M646" s="56">
        <f>G646*L646</f>
        <v>1.32</v>
      </c>
      <c r="N646" s="31" t="s">
        <v>1579</v>
      </c>
      <c r="P646" s="592"/>
      <c r="Q646" s="592"/>
      <c r="R646" s="592"/>
      <c r="S646" s="592"/>
      <c r="T646" s="592"/>
      <c r="U646" s="592"/>
      <c r="V646" s="592"/>
      <c r="W646" s="592"/>
      <c r="X646" s="592"/>
      <c r="AB646" s="56">
        <f>IF(AS646="5",BL646,0)</f>
        <v>0</v>
      </c>
      <c r="AD646" s="56">
        <f>IF(AS646="1",BJ646,0)</f>
        <v>0</v>
      </c>
      <c r="AE646" s="56">
        <f>IF(AS646="1",BK646,0)</f>
        <v>0</v>
      </c>
      <c r="AF646" s="56">
        <f>IF(AS646="7",BJ646,0)</f>
        <v>0</v>
      </c>
      <c r="AG646" s="56">
        <f>IF(AS646="7",BK646,0)</f>
        <v>0</v>
      </c>
      <c r="AH646" s="56">
        <f>IF(AS646="2",BJ646,0)</f>
        <v>0</v>
      </c>
      <c r="AI646" s="56">
        <f>IF(AS646="2",BK646,0)</f>
        <v>0</v>
      </c>
      <c r="AJ646" s="56">
        <f>IF(AS646="0",BL646,0)</f>
        <v>0</v>
      </c>
      <c r="AK646" s="7" t="s">
        <v>1746</v>
      </c>
      <c r="AL646" s="56">
        <f>IF(AP646=0,K646,0)</f>
        <v>0</v>
      </c>
      <c r="AM646" s="56">
        <f>IF(AP646=15,K646,0)</f>
        <v>0</v>
      </c>
      <c r="AN646" s="56">
        <f>IF(AP646=21,K646,0)</f>
        <v>0</v>
      </c>
      <c r="AP646" s="56">
        <v>21</v>
      </c>
      <c r="AQ646" s="88">
        <f>H646*0.227472527472527</f>
        <v>0</v>
      </c>
      <c r="AR646" s="88">
        <f>H646*(1-0.227472527472527)</f>
        <v>0</v>
      </c>
      <c r="AS646" s="21" t="s">
        <v>2311</v>
      </c>
      <c r="AX646" s="56">
        <f>AY646+AZ646</f>
        <v>0</v>
      </c>
      <c r="AY646" s="56">
        <f>G646*AQ646</f>
        <v>0</v>
      </c>
      <c r="AZ646" s="56">
        <f>G646*AR646</f>
        <v>0</v>
      </c>
      <c r="BA646" s="21" t="s">
        <v>715</v>
      </c>
      <c r="BB646" s="21" t="s">
        <v>1791</v>
      </c>
      <c r="BC646" s="7" t="s">
        <v>1747</v>
      </c>
      <c r="BE646" s="56">
        <f>AY646+AZ646</f>
        <v>0</v>
      </c>
      <c r="BF646" s="56">
        <f>H646/(100-BG646)*100</f>
        <v>0</v>
      </c>
      <c r="BG646" s="56">
        <v>0</v>
      </c>
      <c r="BH646" s="56">
        <f>M646</f>
        <v>1.32</v>
      </c>
      <c r="BJ646" s="56">
        <f>G646*AQ646</f>
        <v>0</v>
      </c>
      <c r="BK646" s="56">
        <f>G646*AR646</f>
        <v>0</v>
      </c>
      <c r="BL646" s="56">
        <f>G646*H646</f>
        <v>0</v>
      </c>
      <c r="BM646" s="56"/>
      <c r="BN646" s="56">
        <v>777</v>
      </c>
    </row>
    <row r="647" spans="1:66" ht="15" customHeight="1">
      <c r="A647" s="36"/>
      <c r="D647" s="45" t="s">
        <v>492</v>
      </c>
      <c r="E647" s="104" t="s">
        <v>1597</v>
      </c>
      <c r="G647" s="13">
        <v>440.00000000000006</v>
      </c>
      <c r="N647" s="19"/>
      <c r="P647" s="592"/>
      <c r="Q647" s="592"/>
      <c r="R647" s="592"/>
      <c r="S647" s="592"/>
      <c r="T647" s="592"/>
      <c r="U647" s="592"/>
      <c r="V647" s="592"/>
      <c r="W647" s="592"/>
      <c r="X647" s="592"/>
    </row>
    <row r="648" spans="1:66" ht="15" customHeight="1">
      <c r="A648" s="24" t="s">
        <v>1247</v>
      </c>
      <c r="B648" s="12" t="s">
        <v>1746</v>
      </c>
      <c r="C648" s="12" t="s">
        <v>2321</v>
      </c>
      <c r="D648" s="630" t="s">
        <v>3607</v>
      </c>
      <c r="E648" s="630"/>
      <c r="F648" s="12" t="s">
        <v>2274</v>
      </c>
      <c r="G648" s="56">
        <v>168.3</v>
      </c>
      <c r="H648" s="625"/>
      <c r="I648" s="56">
        <f>G648*AQ648</f>
        <v>0</v>
      </c>
      <c r="J648" s="56">
        <f>G648*AR648</f>
        <v>0</v>
      </c>
      <c r="K648" s="56">
        <f>G648*H648</f>
        <v>0</v>
      </c>
      <c r="L648" s="56">
        <v>1.0710000000000001E-2</v>
      </c>
      <c r="M648" s="56">
        <f>G648*L648</f>
        <v>1.8024930000000003</v>
      </c>
      <c r="N648" s="31" t="s">
        <v>1579</v>
      </c>
      <c r="P648" s="592"/>
      <c r="Q648" s="592"/>
      <c r="R648" s="592"/>
      <c r="S648" s="592"/>
      <c r="T648" s="592"/>
      <c r="U648" s="592"/>
      <c r="V648" s="592"/>
      <c r="W648" s="592"/>
      <c r="X648" s="592"/>
      <c r="AB648" s="56">
        <f>IF(AS648="5",BL648,0)</f>
        <v>0</v>
      </c>
      <c r="AD648" s="56">
        <f>IF(AS648="1",BJ648,0)</f>
        <v>0</v>
      </c>
      <c r="AE648" s="56">
        <f>IF(AS648="1",BK648,0)</f>
        <v>0</v>
      </c>
      <c r="AF648" s="56">
        <f>IF(AS648="7",BJ648,0)</f>
        <v>0</v>
      </c>
      <c r="AG648" s="56">
        <f>IF(AS648="7",BK648,0)</f>
        <v>0</v>
      </c>
      <c r="AH648" s="56">
        <f>IF(AS648="2",BJ648,0)</f>
        <v>0</v>
      </c>
      <c r="AI648" s="56">
        <f>IF(AS648="2",BK648,0)</f>
        <v>0</v>
      </c>
      <c r="AJ648" s="56">
        <f>IF(AS648="0",BL648,0)</f>
        <v>0</v>
      </c>
      <c r="AK648" s="7" t="s">
        <v>1746</v>
      </c>
      <c r="AL648" s="56">
        <f>IF(AP648=0,K648,0)</f>
        <v>0</v>
      </c>
      <c r="AM648" s="56">
        <f>IF(AP648=15,K648,0)</f>
        <v>0</v>
      </c>
      <c r="AN648" s="56">
        <f>IF(AP648=21,K648,0)</f>
        <v>0</v>
      </c>
      <c r="AP648" s="56">
        <v>21</v>
      </c>
      <c r="AQ648" s="88">
        <f>H648*0.835513253012048</f>
        <v>0</v>
      </c>
      <c r="AR648" s="88">
        <f>H648*(1-0.835513253012048)</f>
        <v>0</v>
      </c>
      <c r="AS648" s="21" t="s">
        <v>2311</v>
      </c>
      <c r="AX648" s="56">
        <f>AY648+AZ648</f>
        <v>0</v>
      </c>
      <c r="AY648" s="56">
        <f>G648*AQ648</f>
        <v>0</v>
      </c>
      <c r="AZ648" s="56">
        <f>G648*AR648</f>
        <v>0</v>
      </c>
      <c r="BA648" s="21" t="s">
        <v>715</v>
      </c>
      <c r="BB648" s="21" t="s">
        <v>1791</v>
      </c>
      <c r="BC648" s="7" t="s">
        <v>1747</v>
      </c>
      <c r="BE648" s="56">
        <f>AY648+AZ648</f>
        <v>0</v>
      </c>
      <c r="BF648" s="56">
        <f>H648/(100-BG648)*100</f>
        <v>0</v>
      </c>
      <c r="BG648" s="56">
        <v>0</v>
      </c>
      <c r="BH648" s="56">
        <f>M648</f>
        <v>1.8024930000000003</v>
      </c>
      <c r="BJ648" s="56">
        <f>G648*AQ648</f>
        <v>0</v>
      </c>
      <c r="BK648" s="56">
        <f>G648*AR648</f>
        <v>0</v>
      </c>
      <c r="BL648" s="56">
        <f>G648*H648</f>
        <v>0</v>
      </c>
      <c r="BM648" s="56"/>
      <c r="BN648" s="56">
        <v>777</v>
      </c>
    </row>
    <row r="649" spans="1:66" ht="15" customHeight="1">
      <c r="A649" s="36"/>
      <c r="D649" s="45" t="s">
        <v>2360</v>
      </c>
      <c r="E649" s="104" t="s">
        <v>1597</v>
      </c>
      <c r="G649" s="13">
        <v>168.3</v>
      </c>
      <c r="N649" s="19"/>
      <c r="P649" s="592"/>
      <c r="Q649" s="592"/>
      <c r="R649" s="592"/>
      <c r="S649" s="592"/>
      <c r="T649" s="592"/>
      <c r="U649" s="592"/>
      <c r="V649" s="592"/>
      <c r="W649" s="592"/>
      <c r="X649" s="592"/>
    </row>
    <row r="650" spans="1:66" ht="15" customHeight="1">
      <c r="A650" s="24" t="s">
        <v>1739</v>
      </c>
      <c r="B650" s="12" t="s">
        <v>1746</v>
      </c>
      <c r="C650" s="12" t="s">
        <v>1121</v>
      </c>
      <c r="D650" s="630" t="s">
        <v>1459</v>
      </c>
      <c r="E650" s="630"/>
      <c r="F650" s="12" t="s">
        <v>2274</v>
      </c>
      <c r="G650" s="56">
        <v>440</v>
      </c>
      <c r="H650" s="625"/>
      <c r="I650" s="56">
        <f>G650*AQ650</f>
        <v>0</v>
      </c>
      <c r="J650" s="56">
        <f>G650*AR650</f>
        <v>0</v>
      </c>
      <c r="K650" s="56">
        <f>G650*H650</f>
        <v>0</v>
      </c>
      <c r="L650" s="56">
        <v>0</v>
      </c>
      <c r="M650" s="56">
        <f>G650*L650</f>
        <v>0</v>
      </c>
      <c r="N650" s="31" t="s">
        <v>1579</v>
      </c>
      <c r="P650" s="592"/>
      <c r="Q650" s="592"/>
      <c r="R650" s="592"/>
      <c r="S650" s="592"/>
      <c r="T650" s="592"/>
      <c r="U650" s="592"/>
      <c r="V650" s="592"/>
      <c r="W650" s="592"/>
      <c r="X650" s="592"/>
      <c r="AB650" s="56">
        <f>IF(AS650="5",BL650,0)</f>
        <v>0</v>
      </c>
      <c r="AD650" s="56">
        <f>IF(AS650="1",BJ650,0)</f>
        <v>0</v>
      </c>
      <c r="AE650" s="56">
        <f>IF(AS650="1",BK650,0)</f>
        <v>0</v>
      </c>
      <c r="AF650" s="56">
        <f>IF(AS650="7",BJ650,0)</f>
        <v>0</v>
      </c>
      <c r="AG650" s="56">
        <f>IF(AS650="7",BK650,0)</f>
        <v>0</v>
      </c>
      <c r="AH650" s="56">
        <f>IF(AS650="2",BJ650,0)</f>
        <v>0</v>
      </c>
      <c r="AI650" s="56">
        <f>IF(AS650="2",BK650,0)</f>
        <v>0</v>
      </c>
      <c r="AJ650" s="56">
        <f>IF(AS650="0",BL650,0)</f>
        <v>0</v>
      </c>
      <c r="AK650" s="7" t="s">
        <v>1746</v>
      </c>
      <c r="AL650" s="56">
        <f>IF(AP650=0,K650,0)</f>
        <v>0</v>
      </c>
      <c r="AM650" s="56">
        <f>IF(AP650=15,K650,0)</f>
        <v>0</v>
      </c>
      <c r="AN650" s="56">
        <f>IF(AP650=21,K650,0)</f>
        <v>0</v>
      </c>
      <c r="AP650" s="56">
        <v>21</v>
      </c>
      <c r="AQ650" s="88">
        <f>H650*0</f>
        <v>0</v>
      </c>
      <c r="AR650" s="88">
        <f>H650*(1-0)</f>
        <v>0</v>
      </c>
      <c r="AS650" s="21" t="s">
        <v>2311</v>
      </c>
      <c r="AX650" s="56">
        <f>AY650+AZ650</f>
        <v>0</v>
      </c>
      <c r="AY650" s="56">
        <f>G650*AQ650</f>
        <v>0</v>
      </c>
      <c r="AZ650" s="56">
        <f>G650*AR650</f>
        <v>0</v>
      </c>
      <c r="BA650" s="21" t="s">
        <v>715</v>
      </c>
      <c r="BB650" s="21" t="s">
        <v>1791</v>
      </c>
      <c r="BC650" s="7" t="s">
        <v>1747</v>
      </c>
      <c r="BE650" s="56">
        <f>AY650+AZ650</f>
        <v>0</v>
      </c>
      <c r="BF650" s="56">
        <f>H650/(100-BG650)*100</f>
        <v>0</v>
      </c>
      <c r="BG650" s="56">
        <v>0</v>
      </c>
      <c r="BH650" s="56">
        <f>M650</f>
        <v>0</v>
      </c>
      <c r="BJ650" s="56">
        <f>G650*AQ650</f>
        <v>0</v>
      </c>
      <c r="BK650" s="56">
        <f>G650*AR650</f>
        <v>0</v>
      </c>
      <c r="BL650" s="56">
        <f>G650*H650</f>
        <v>0</v>
      </c>
      <c r="BM650" s="56"/>
      <c r="BN650" s="56">
        <v>777</v>
      </c>
    </row>
    <row r="651" spans="1:66" ht="15" customHeight="1">
      <c r="A651" s="36"/>
      <c r="D651" s="45" t="s">
        <v>492</v>
      </c>
      <c r="E651" s="104" t="s">
        <v>1597</v>
      </c>
      <c r="G651" s="13">
        <v>440.00000000000006</v>
      </c>
      <c r="N651" s="19"/>
      <c r="P651" s="592"/>
      <c r="Q651" s="592"/>
      <c r="R651" s="592"/>
      <c r="S651" s="592"/>
      <c r="T651" s="592"/>
      <c r="U651" s="592"/>
      <c r="V651" s="592"/>
      <c r="W651" s="592"/>
      <c r="X651" s="592"/>
    </row>
    <row r="652" spans="1:66" ht="15" customHeight="1">
      <c r="A652" s="24" t="s">
        <v>1060</v>
      </c>
      <c r="B652" s="12" t="s">
        <v>1746</v>
      </c>
      <c r="C652" s="12" t="s">
        <v>1968</v>
      </c>
      <c r="D652" s="630" t="s">
        <v>1283</v>
      </c>
      <c r="E652" s="630"/>
      <c r="F652" s="12" t="s">
        <v>2274</v>
      </c>
      <c r="G652" s="56">
        <v>440</v>
      </c>
      <c r="H652" s="625"/>
      <c r="I652" s="56">
        <f>G652*AQ652</f>
        <v>0</v>
      </c>
      <c r="J652" s="56">
        <f>G652*AR652</f>
        <v>0</v>
      </c>
      <c r="K652" s="56">
        <f>G652*H652</f>
        <v>0</v>
      </c>
      <c r="L652" s="56">
        <v>0</v>
      </c>
      <c r="M652" s="56">
        <f>G652*L652</f>
        <v>0</v>
      </c>
      <c r="N652" s="31" t="s">
        <v>1597</v>
      </c>
      <c r="P652" s="592"/>
      <c r="Q652" s="592"/>
      <c r="R652" s="592"/>
      <c r="S652" s="592"/>
      <c r="T652" s="592"/>
      <c r="U652" s="592"/>
      <c r="V652" s="592"/>
      <c r="W652" s="592"/>
      <c r="X652" s="592"/>
      <c r="AB652" s="56">
        <f>IF(AS652="5",BL652,0)</f>
        <v>0</v>
      </c>
      <c r="AD652" s="56">
        <f>IF(AS652="1",BJ652,0)</f>
        <v>0</v>
      </c>
      <c r="AE652" s="56">
        <f>IF(AS652="1",BK652,0)</f>
        <v>0</v>
      </c>
      <c r="AF652" s="56">
        <f>IF(AS652="7",BJ652,0)</f>
        <v>0</v>
      </c>
      <c r="AG652" s="56">
        <f>IF(AS652="7",BK652,0)</f>
        <v>0</v>
      </c>
      <c r="AH652" s="56">
        <f>IF(AS652="2",BJ652,0)</f>
        <v>0</v>
      </c>
      <c r="AI652" s="56">
        <f>IF(AS652="2",BK652,0)</f>
        <v>0</v>
      </c>
      <c r="AJ652" s="56">
        <f>IF(AS652="0",BL652,0)</f>
        <v>0</v>
      </c>
      <c r="AK652" s="7" t="s">
        <v>1746</v>
      </c>
      <c r="AL652" s="56">
        <f>IF(AP652=0,K652,0)</f>
        <v>0</v>
      </c>
      <c r="AM652" s="56">
        <f>IF(AP652=15,K652,0)</f>
        <v>0</v>
      </c>
      <c r="AN652" s="56">
        <f>IF(AP652=21,K652,0)</f>
        <v>0</v>
      </c>
      <c r="AP652" s="56">
        <v>21</v>
      </c>
      <c r="AQ652" s="88">
        <f>H652*0.148769230769231</f>
        <v>0</v>
      </c>
      <c r="AR652" s="88">
        <f>H652*(1-0.148769230769231)</f>
        <v>0</v>
      </c>
      <c r="AS652" s="21" t="s">
        <v>2311</v>
      </c>
      <c r="AX652" s="56">
        <f>AY652+AZ652</f>
        <v>0</v>
      </c>
      <c r="AY652" s="56">
        <f>G652*AQ652</f>
        <v>0</v>
      </c>
      <c r="AZ652" s="56">
        <f>G652*AR652</f>
        <v>0</v>
      </c>
      <c r="BA652" s="21" t="s">
        <v>715</v>
      </c>
      <c r="BB652" s="21" t="s">
        <v>1791</v>
      </c>
      <c r="BC652" s="7" t="s">
        <v>1747</v>
      </c>
      <c r="BE652" s="56">
        <f>AY652+AZ652</f>
        <v>0</v>
      </c>
      <c r="BF652" s="56">
        <f>H652/(100-BG652)*100</f>
        <v>0</v>
      </c>
      <c r="BG652" s="56">
        <v>0</v>
      </c>
      <c r="BH652" s="56">
        <f>M652</f>
        <v>0</v>
      </c>
      <c r="BJ652" s="56">
        <f>G652*AQ652</f>
        <v>0</v>
      </c>
      <c r="BK652" s="56">
        <f>G652*AR652</f>
        <v>0</v>
      </c>
      <c r="BL652" s="56">
        <f>G652*H652</f>
        <v>0</v>
      </c>
      <c r="BM652" s="56"/>
      <c r="BN652" s="56">
        <v>777</v>
      </c>
    </row>
    <row r="653" spans="1:66" ht="15" customHeight="1">
      <c r="A653" s="36"/>
      <c r="D653" s="45" t="s">
        <v>492</v>
      </c>
      <c r="E653" s="104" t="s">
        <v>1597</v>
      </c>
      <c r="G653" s="13">
        <v>440.00000000000006</v>
      </c>
      <c r="N653" s="19"/>
      <c r="P653" s="592"/>
      <c r="Q653" s="592"/>
      <c r="R653" s="592"/>
      <c r="S653" s="592"/>
      <c r="T653" s="592"/>
      <c r="U653" s="592"/>
      <c r="V653" s="592"/>
      <c r="W653" s="592"/>
      <c r="X653" s="592"/>
    </row>
    <row r="654" spans="1:66" ht="15" customHeight="1">
      <c r="A654" s="32" t="s">
        <v>1597</v>
      </c>
      <c r="B654" s="26" t="s">
        <v>1746</v>
      </c>
      <c r="C654" s="537" t="s">
        <v>1859</v>
      </c>
      <c r="D654" s="709" t="s">
        <v>1001</v>
      </c>
      <c r="E654" s="709"/>
      <c r="F654" s="46" t="s">
        <v>2144</v>
      </c>
      <c r="G654" s="46" t="s">
        <v>2144</v>
      </c>
      <c r="H654" s="46" t="s">
        <v>2144</v>
      </c>
      <c r="I654" s="17">
        <f>SUM(I655:I663)</f>
        <v>0</v>
      </c>
      <c r="J654" s="17">
        <f>SUM(J655:J663)</f>
        <v>0</v>
      </c>
      <c r="K654" s="539">
        <f>SUM(K655:K663)</f>
        <v>0</v>
      </c>
      <c r="L654" s="7" t="s">
        <v>1597</v>
      </c>
      <c r="M654" s="17">
        <f>SUM(M655:M663)</f>
        <v>1.8636135</v>
      </c>
      <c r="N654" s="20" t="s">
        <v>1597</v>
      </c>
      <c r="P654" s="592"/>
      <c r="Q654" s="592"/>
      <c r="R654" s="592"/>
      <c r="S654" s="592"/>
      <c r="T654" s="592"/>
      <c r="U654" s="592">
        <f>K654</f>
        <v>0</v>
      </c>
      <c r="V654" s="592"/>
      <c r="W654" s="592"/>
      <c r="X654" s="592"/>
      <c r="AK654" s="7" t="s">
        <v>1746</v>
      </c>
      <c r="AU654" s="17">
        <f>SUM(AL655:AL663)</f>
        <v>0</v>
      </c>
      <c r="AV654" s="17">
        <f>SUM(AM655:AM663)</f>
        <v>0</v>
      </c>
      <c r="AW654" s="17">
        <f>SUM(AN655:AN663)</f>
        <v>0</v>
      </c>
    </row>
    <row r="655" spans="1:66" ht="15" customHeight="1">
      <c r="A655" s="24" t="s">
        <v>2291</v>
      </c>
      <c r="B655" s="12" t="s">
        <v>1746</v>
      </c>
      <c r="C655" s="12" t="s">
        <v>2241</v>
      </c>
      <c r="D655" s="630" t="s">
        <v>1304</v>
      </c>
      <c r="E655" s="630"/>
      <c r="F655" s="12" t="s">
        <v>2274</v>
      </c>
      <c r="G655" s="56">
        <v>82.8</v>
      </c>
      <c r="H655" s="625"/>
      <c r="I655" s="56">
        <f>G655*AQ655</f>
        <v>0</v>
      </c>
      <c r="J655" s="56">
        <f>G655*AR655</f>
        <v>0</v>
      </c>
      <c r="K655" s="56">
        <f>G655*H655</f>
        <v>0</v>
      </c>
      <c r="L655" s="56">
        <v>0</v>
      </c>
      <c r="M655" s="56">
        <f>G655*L655</f>
        <v>0</v>
      </c>
      <c r="N655" s="31" t="s">
        <v>1579</v>
      </c>
      <c r="P655" s="592"/>
      <c r="Q655" s="592"/>
      <c r="R655" s="592"/>
      <c r="S655" s="592"/>
      <c r="T655" s="592"/>
      <c r="U655" s="592"/>
      <c r="V655" s="592"/>
      <c r="W655" s="592"/>
      <c r="X655" s="592"/>
      <c r="AB655" s="56">
        <f>IF(AS655="5",BL655,0)</f>
        <v>0</v>
      </c>
      <c r="AD655" s="56">
        <f>IF(AS655="1",BJ655,0)</f>
        <v>0</v>
      </c>
      <c r="AE655" s="56">
        <f>IF(AS655="1",BK655,0)</f>
        <v>0</v>
      </c>
      <c r="AF655" s="56">
        <f>IF(AS655="7",BJ655,0)</f>
        <v>0</v>
      </c>
      <c r="AG655" s="56">
        <f>IF(AS655="7",BK655,0)</f>
        <v>0</v>
      </c>
      <c r="AH655" s="56">
        <f>IF(AS655="2",BJ655,0)</f>
        <v>0</v>
      </c>
      <c r="AI655" s="56">
        <f>IF(AS655="2",BK655,0)</f>
        <v>0</v>
      </c>
      <c r="AJ655" s="56">
        <f>IF(AS655="0",BL655,0)</f>
        <v>0</v>
      </c>
      <c r="AK655" s="7" t="s">
        <v>1746</v>
      </c>
      <c r="AL655" s="56">
        <f>IF(AP655=0,K655,0)</f>
        <v>0</v>
      </c>
      <c r="AM655" s="56">
        <f>IF(AP655=15,K655,0)</f>
        <v>0</v>
      </c>
      <c r="AN655" s="56">
        <f>IF(AP655=21,K655,0)</f>
        <v>0</v>
      </c>
      <c r="AP655" s="56">
        <v>21</v>
      </c>
      <c r="AQ655" s="88">
        <f>H655*0</f>
        <v>0</v>
      </c>
      <c r="AR655" s="88">
        <f>H655*(1-0)</f>
        <v>0</v>
      </c>
      <c r="AS655" s="21" t="s">
        <v>2311</v>
      </c>
      <c r="AX655" s="56">
        <f>AY655+AZ655</f>
        <v>0</v>
      </c>
      <c r="AY655" s="56">
        <f>G655*AQ655</f>
        <v>0</v>
      </c>
      <c r="AZ655" s="56">
        <f>G655*AR655</f>
        <v>0</v>
      </c>
      <c r="BA655" s="21" t="s">
        <v>1037</v>
      </c>
      <c r="BB655" s="21" t="s">
        <v>79</v>
      </c>
      <c r="BC655" s="7" t="s">
        <v>1747</v>
      </c>
      <c r="BE655" s="56">
        <f>AY655+AZ655</f>
        <v>0</v>
      </c>
      <c r="BF655" s="56">
        <f>H655/(100-BG655)*100</f>
        <v>0</v>
      </c>
      <c r="BG655" s="56">
        <v>0</v>
      </c>
      <c r="BH655" s="56">
        <f>M655</f>
        <v>0</v>
      </c>
      <c r="BJ655" s="56">
        <f>G655*AQ655</f>
        <v>0</v>
      </c>
      <c r="BK655" s="56">
        <f>G655*AR655</f>
        <v>0</v>
      </c>
      <c r="BL655" s="56">
        <f>G655*H655</f>
        <v>0</v>
      </c>
      <c r="BM655" s="56"/>
      <c r="BN655" s="56">
        <v>781</v>
      </c>
    </row>
    <row r="656" spans="1:66" ht="15" customHeight="1">
      <c r="A656" s="36"/>
      <c r="D656" s="45" t="s">
        <v>2295</v>
      </c>
      <c r="E656" s="104" t="s">
        <v>1597</v>
      </c>
      <c r="G656" s="13">
        <v>71.600000000000009</v>
      </c>
      <c r="N656" s="19"/>
      <c r="P656" s="592"/>
      <c r="Q656" s="592"/>
      <c r="R656" s="592"/>
      <c r="S656" s="592"/>
      <c r="T656" s="592"/>
      <c r="U656" s="592"/>
      <c r="V656" s="592"/>
      <c r="W656" s="592"/>
      <c r="X656" s="592"/>
    </row>
    <row r="657" spans="1:66" ht="15" customHeight="1">
      <c r="A657" s="36"/>
      <c r="D657" s="45" t="s">
        <v>195</v>
      </c>
      <c r="E657" s="104" t="s">
        <v>1597</v>
      </c>
      <c r="G657" s="13">
        <v>11.200000000000001</v>
      </c>
      <c r="N657" s="19"/>
      <c r="P657" s="592"/>
      <c r="Q657" s="592"/>
      <c r="R657" s="592"/>
      <c r="S657" s="592"/>
      <c r="T657" s="592"/>
      <c r="U657" s="592"/>
      <c r="V657" s="592"/>
      <c r="W657" s="592"/>
      <c r="X657" s="592"/>
    </row>
    <row r="658" spans="1:66" ht="15" customHeight="1">
      <c r="A658" s="8" t="s">
        <v>932</v>
      </c>
      <c r="B658" s="75" t="s">
        <v>1746</v>
      </c>
      <c r="C658" s="75" t="s">
        <v>2240</v>
      </c>
      <c r="D658" s="710" t="s">
        <v>473</v>
      </c>
      <c r="E658" s="710"/>
      <c r="F658" s="75" t="s">
        <v>2274</v>
      </c>
      <c r="G658" s="80">
        <v>95.45</v>
      </c>
      <c r="H658" s="626"/>
      <c r="I658" s="80">
        <f>G658*AQ658</f>
        <v>0</v>
      </c>
      <c r="J658" s="80">
        <f>G658*AR658</f>
        <v>0</v>
      </c>
      <c r="K658" s="80">
        <f>G658*H658</f>
        <v>0</v>
      </c>
      <c r="L658" s="80">
        <v>1.9429999999999999E-2</v>
      </c>
      <c r="M658" s="80">
        <f>G658*L658</f>
        <v>1.8545935</v>
      </c>
      <c r="N658" s="38" t="s">
        <v>1579</v>
      </c>
      <c r="P658" s="592"/>
      <c r="Q658" s="592"/>
      <c r="R658" s="592"/>
      <c r="S658" s="592"/>
      <c r="T658" s="592"/>
      <c r="U658" s="592"/>
      <c r="V658" s="592"/>
      <c r="W658" s="592"/>
      <c r="X658" s="592"/>
      <c r="AB658" s="56">
        <f>IF(AS658="5",BL658,0)</f>
        <v>0</v>
      </c>
      <c r="AD658" s="56">
        <f>IF(AS658="1",BJ658,0)</f>
        <v>0</v>
      </c>
      <c r="AE658" s="56">
        <f>IF(AS658="1",BK658,0)</f>
        <v>0</v>
      </c>
      <c r="AF658" s="56">
        <f>IF(AS658="7",BJ658,0)</f>
        <v>0</v>
      </c>
      <c r="AG658" s="56">
        <f>IF(AS658="7",BK658,0)</f>
        <v>0</v>
      </c>
      <c r="AH658" s="56">
        <f>IF(AS658="2",BJ658,0)</f>
        <v>0</v>
      </c>
      <c r="AI658" s="56">
        <f>IF(AS658="2",BK658,0)</f>
        <v>0</v>
      </c>
      <c r="AJ658" s="56">
        <f>IF(AS658="0",BL658,0)</f>
        <v>0</v>
      </c>
      <c r="AK658" s="7" t="s">
        <v>1746</v>
      </c>
      <c r="AL658" s="80">
        <f>IF(AP658=0,K658,0)</f>
        <v>0</v>
      </c>
      <c r="AM658" s="80">
        <f>IF(AP658=15,K658,0)</f>
        <v>0</v>
      </c>
      <c r="AN658" s="80">
        <f>IF(AP658=21,K658,0)</f>
        <v>0</v>
      </c>
      <c r="AP658" s="56">
        <v>21</v>
      </c>
      <c r="AQ658" s="88">
        <f>H658*1</f>
        <v>0</v>
      </c>
      <c r="AR658" s="88">
        <f>H658*(1-1)</f>
        <v>0</v>
      </c>
      <c r="AS658" s="64" t="s">
        <v>2311</v>
      </c>
      <c r="AX658" s="56">
        <f>AY658+AZ658</f>
        <v>0</v>
      </c>
      <c r="AY658" s="56">
        <f>G658*AQ658</f>
        <v>0</v>
      </c>
      <c r="AZ658" s="56">
        <f>G658*AR658</f>
        <v>0</v>
      </c>
      <c r="BA658" s="21" t="s">
        <v>1037</v>
      </c>
      <c r="BB658" s="21" t="s">
        <v>79</v>
      </c>
      <c r="BC658" s="7" t="s">
        <v>1747</v>
      </c>
      <c r="BE658" s="56">
        <f>AY658+AZ658</f>
        <v>0</v>
      </c>
      <c r="BF658" s="56">
        <f>H658/(100-BG658)*100</f>
        <v>0</v>
      </c>
      <c r="BG658" s="56">
        <v>0</v>
      </c>
      <c r="BH658" s="56">
        <f>M658</f>
        <v>1.8545935</v>
      </c>
      <c r="BJ658" s="80">
        <f>G658*AQ658</f>
        <v>0</v>
      </c>
      <c r="BK658" s="80">
        <f>G658*AR658</f>
        <v>0</v>
      </c>
      <c r="BL658" s="80">
        <f>G658*H658</f>
        <v>0</v>
      </c>
      <c r="BM658" s="80"/>
      <c r="BN658" s="56">
        <v>781</v>
      </c>
    </row>
    <row r="659" spans="1:66" ht="15" customHeight="1">
      <c r="A659" s="36"/>
      <c r="D659" s="45" t="s">
        <v>2359</v>
      </c>
      <c r="E659" s="104" t="s">
        <v>1597</v>
      </c>
      <c r="G659" s="13">
        <v>83</v>
      </c>
      <c r="N659" s="19"/>
      <c r="P659" s="592"/>
      <c r="Q659" s="592"/>
      <c r="R659" s="592"/>
      <c r="S659" s="592"/>
      <c r="T659" s="592"/>
      <c r="U659" s="592"/>
      <c r="V659" s="592"/>
      <c r="W659" s="592"/>
      <c r="X659" s="592"/>
    </row>
    <row r="660" spans="1:66" ht="15" customHeight="1">
      <c r="A660" s="36"/>
      <c r="D660" s="45" t="s">
        <v>1869</v>
      </c>
      <c r="E660" s="104" t="s">
        <v>1597</v>
      </c>
      <c r="G660" s="13">
        <v>12.450000000000001</v>
      </c>
      <c r="N660" s="19"/>
      <c r="P660" s="592"/>
      <c r="Q660" s="592"/>
      <c r="R660" s="592"/>
      <c r="S660" s="592"/>
      <c r="T660" s="592"/>
      <c r="U660" s="592"/>
      <c r="V660" s="592"/>
      <c r="W660" s="592"/>
      <c r="X660" s="592"/>
    </row>
    <row r="661" spans="1:66" ht="15" customHeight="1">
      <c r="A661" s="24" t="s">
        <v>304</v>
      </c>
      <c r="B661" s="12" t="s">
        <v>1746</v>
      </c>
      <c r="C661" s="12" t="s">
        <v>1068</v>
      </c>
      <c r="D661" s="630" t="s">
        <v>59</v>
      </c>
      <c r="E661" s="630"/>
      <c r="F661" s="12" t="s">
        <v>2274</v>
      </c>
      <c r="G661" s="56">
        <v>82</v>
      </c>
      <c r="H661" s="625"/>
      <c r="I661" s="56">
        <f>G661*AQ661</f>
        <v>0</v>
      </c>
      <c r="J661" s="56">
        <f>G661*AR661</f>
        <v>0</v>
      </c>
      <c r="K661" s="56">
        <f>G661*H661</f>
        <v>0</v>
      </c>
      <c r="L661" s="56">
        <v>0</v>
      </c>
      <c r="M661" s="56">
        <f>G661*L661</f>
        <v>0</v>
      </c>
      <c r="N661" s="31" t="s">
        <v>1579</v>
      </c>
      <c r="P661" s="592"/>
      <c r="Q661" s="592"/>
      <c r="R661" s="592"/>
      <c r="S661" s="592"/>
      <c r="T661" s="592"/>
      <c r="U661" s="592"/>
      <c r="V661" s="592"/>
      <c r="W661" s="592"/>
      <c r="X661" s="592"/>
      <c r="AB661" s="56">
        <f>IF(AS661="5",BL661,0)</f>
        <v>0</v>
      </c>
      <c r="AD661" s="56">
        <f>IF(AS661="1",BJ661,0)</f>
        <v>0</v>
      </c>
      <c r="AE661" s="56">
        <f>IF(AS661="1",BK661,0)</f>
        <v>0</v>
      </c>
      <c r="AF661" s="56">
        <f>IF(AS661="7",BJ661,0)</f>
        <v>0</v>
      </c>
      <c r="AG661" s="56">
        <f>IF(AS661="7",BK661,0)</f>
        <v>0</v>
      </c>
      <c r="AH661" s="56">
        <f>IF(AS661="2",BJ661,0)</f>
        <v>0</v>
      </c>
      <c r="AI661" s="56">
        <f>IF(AS661="2",BK661,0)</f>
        <v>0</v>
      </c>
      <c r="AJ661" s="56">
        <f>IF(AS661="0",BL661,0)</f>
        <v>0</v>
      </c>
      <c r="AK661" s="7" t="s">
        <v>1746</v>
      </c>
      <c r="AL661" s="56">
        <f>IF(AP661=0,K661,0)</f>
        <v>0</v>
      </c>
      <c r="AM661" s="56">
        <f>IF(AP661=15,K661,0)</f>
        <v>0</v>
      </c>
      <c r="AN661" s="56">
        <f>IF(AP661=21,K661,0)</f>
        <v>0</v>
      </c>
      <c r="AP661" s="56">
        <v>21</v>
      </c>
      <c r="AQ661" s="88">
        <f>H661*0</f>
        <v>0</v>
      </c>
      <c r="AR661" s="88">
        <f>H661*(1-0)</f>
        <v>0</v>
      </c>
      <c r="AS661" s="21" t="s">
        <v>2311</v>
      </c>
      <c r="AX661" s="56">
        <f>AY661+AZ661</f>
        <v>0</v>
      </c>
      <c r="AY661" s="56">
        <f>G661*AQ661</f>
        <v>0</v>
      </c>
      <c r="AZ661" s="56">
        <f>G661*AR661</f>
        <v>0</v>
      </c>
      <c r="BA661" s="21" t="s">
        <v>1037</v>
      </c>
      <c r="BB661" s="21" t="s">
        <v>79</v>
      </c>
      <c r="BC661" s="7" t="s">
        <v>1747</v>
      </c>
      <c r="BE661" s="56">
        <f>AY661+AZ661</f>
        <v>0</v>
      </c>
      <c r="BF661" s="56">
        <f>H661/(100-BG661)*100</f>
        <v>0</v>
      </c>
      <c r="BG661" s="56">
        <v>0</v>
      </c>
      <c r="BH661" s="56">
        <f>M661</f>
        <v>0</v>
      </c>
      <c r="BJ661" s="56">
        <f>G661*AQ661</f>
        <v>0</v>
      </c>
      <c r="BK661" s="56">
        <f>G661*AR661</f>
        <v>0</v>
      </c>
      <c r="BL661" s="56">
        <f>G661*H661</f>
        <v>0</v>
      </c>
      <c r="BM661" s="56"/>
      <c r="BN661" s="56">
        <v>781</v>
      </c>
    </row>
    <row r="662" spans="1:66" ht="15" customHeight="1">
      <c r="A662" s="36"/>
      <c r="D662" s="45" t="s">
        <v>436</v>
      </c>
      <c r="E662" s="104" t="s">
        <v>1597</v>
      </c>
      <c r="G662" s="13">
        <v>82</v>
      </c>
      <c r="N662" s="19"/>
      <c r="P662" s="592"/>
      <c r="Q662" s="592"/>
      <c r="R662" s="592"/>
      <c r="S662" s="592"/>
      <c r="T662" s="592"/>
      <c r="U662" s="592"/>
      <c r="V662" s="592"/>
      <c r="W662" s="592"/>
      <c r="X662" s="592"/>
    </row>
    <row r="663" spans="1:66" ht="15" customHeight="1">
      <c r="A663" s="24" t="s">
        <v>636</v>
      </c>
      <c r="B663" s="12" t="s">
        <v>1746</v>
      </c>
      <c r="C663" s="12" t="s">
        <v>350</v>
      </c>
      <c r="D663" s="630" t="s">
        <v>1316</v>
      </c>
      <c r="E663" s="630"/>
      <c r="F663" s="12" t="s">
        <v>2274</v>
      </c>
      <c r="G663" s="56">
        <v>82</v>
      </c>
      <c r="H663" s="625"/>
      <c r="I663" s="56">
        <f>G663*AQ663</f>
        <v>0</v>
      </c>
      <c r="J663" s="56">
        <f>G663*AR663</f>
        <v>0</v>
      </c>
      <c r="K663" s="56">
        <f>G663*H663</f>
        <v>0</v>
      </c>
      <c r="L663" s="56">
        <v>1.1E-4</v>
      </c>
      <c r="M663" s="56">
        <f>G663*L663</f>
        <v>9.0200000000000002E-3</v>
      </c>
      <c r="N663" s="31" t="s">
        <v>1579</v>
      </c>
      <c r="P663" s="592"/>
      <c r="Q663" s="592"/>
      <c r="R663" s="592"/>
      <c r="S663" s="592"/>
      <c r="T663" s="592"/>
      <c r="U663" s="592"/>
      <c r="V663" s="592"/>
      <c r="W663" s="592"/>
      <c r="X663" s="592"/>
      <c r="AB663" s="56">
        <f>IF(AS663="5",BL663,0)</f>
        <v>0</v>
      </c>
      <c r="AD663" s="56">
        <f>IF(AS663="1",BJ663,0)</f>
        <v>0</v>
      </c>
      <c r="AE663" s="56">
        <f>IF(AS663="1",BK663,0)</f>
        <v>0</v>
      </c>
      <c r="AF663" s="56">
        <f>IF(AS663="7",BJ663,0)</f>
        <v>0</v>
      </c>
      <c r="AG663" s="56">
        <f>IF(AS663="7",BK663,0)</f>
        <v>0</v>
      </c>
      <c r="AH663" s="56">
        <f>IF(AS663="2",BJ663,0)</f>
        <v>0</v>
      </c>
      <c r="AI663" s="56">
        <f>IF(AS663="2",BK663,0)</f>
        <v>0</v>
      </c>
      <c r="AJ663" s="56">
        <f>IF(AS663="0",BL663,0)</f>
        <v>0</v>
      </c>
      <c r="AK663" s="7" t="s">
        <v>1746</v>
      </c>
      <c r="AL663" s="56">
        <f>IF(AP663=0,K663,0)</f>
        <v>0</v>
      </c>
      <c r="AM663" s="56">
        <f>IF(AP663=15,K663,0)</f>
        <v>0</v>
      </c>
      <c r="AN663" s="56">
        <f>IF(AP663=21,K663,0)</f>
        <v>0</v>
      </c>
      <c r="AP663" s="56">
        <v>21</v>
      </c>
      <c r="AQ663" s="88">
        <f>H663*1</f>
        <v>0</v>
      </c>
      <c r="AR663" s="88">
        <f>H663*(1-1)</f>
        <v>0</v>
      </c>
      <c r="AS663" s="21" t="s">
        <v>2311</v>
      </c>
      <c r="AX663" s="56">
        <f>AY663+AZ663</f>
        <v>0</v>
      </c>
      <c r="AY663" s="56">
        <f>G663*AQ663</f>
        <v>0</v>
      </c>
      <c r="AZ663" s="56">
        <f>G663*AR663</f>
        <v>0</v>
      </c>
      <c r="BA663" s="21" t="s">
        <v>1037</v>
      </c>
      <c r="BB663" s="21" t="s">
        <v>79</v>
      </c>
      <c r="BC663" s="7" t="s">
        <v>1747</v>
      </c>
      <c r="BE663" s="56">
        <f>AY663+AZ663</f>
        <v>0</v>
      </c>
      <c r="BF663" s="56">
        <f>H663/(100-BG663)*100</f>
        <v>0</v>
      </c>
      <c r="BG663" s="56">
        <v>0</v>
      </c>
      <c r="BH663" s="56">
        <f>M663</f>
        <v>9.0200000000000002E-3</v>
      </c>
      <c r="BJ663" s="56">
        <f>G663*AQ663</f>
        <v>0</v>
      </c>
      <c r="BK663" s="56">
        <f>G663*AR663</f>
        <v>0</v>
      </c>
      <c r="BL663" s="56">
        <f>G663*H663</f>
        <v>0</v>
      </c>
      <c r="BM663" s="56"/>
      <c r="BN663" s="56">
        <v>781</v>
      </c>
    </row>
    <row r="664" spans="1:66" ht="15" customHeight="1">
      <c r="A664" s="36"/>
      <c r="D664" s="45" t="s">
        <v>436</v>
      </c>
      <c r="E664" s="104" t="s">
        <v>1597</v>
      </c>
      <c r="G664" s="13">
        <v>82</v>
      </c>
      <c r="N664" s="19"/>
      <c r="P664" s="592"/>
      <c r="Q664" s="592"/>
      <c r="R664" s="592"/>
      <c r="S664" s="592"/>
      <c r="T664" s="592"/>
      <c r="U664" s="592"/>
      <c r="V664" s="592"/>
      <c r="W664" s="592"/>
      <c r="X664" s="592"/>
    </row>
    <row r="665" spans="1:66" ht="15" customHeight="1">
      <c r="A665" s="32" t="s">
        <v>1597</v>
      </c>
      <c r="B665" s="26" t="s">
        <v>1746</v>
      </c>
      <c r="C665" s="537" t="s">
        <v>1335</v>
      </c>
      <c r="D665" s="709" t="s">
        <v>1838</v>
      </c>
      <c r="E665" s="709"/>
      <c r="F665" s="46" t="s">
        <v>2144</v>
      </c>
      <c r="G665" s="46" t="s">
        <v>2144</v>
      </c>
      <c r="H665" s="46" t="s">
        <v>2144</v>
      </c>
      <c r="I665" s="17">
        <f>SUM(I666:I666)</f>
        <v>0</v>
      </c>
      <c r="J665" s="17">
        <f>SUM(J666:J666)</f>
        <v>0</v>
      </c>
      <c r="K665" s="539">
        <f>SUM(K666:K666)</f>
        <v>0</v>
      </c>
      <c r="L665" s="7" t="s">
        <v>1597</v>
      </c>
      <c r="M665" s="17">
        <f>SUM(M666:M666)</f>
        <v>0.16167999999999999</v>
      </c>
      <c r="N665" s="20" t="s">
        <v>1597</v>
      </c>
      <c r="P665" s="592"/>
      <c r="Q665" s="592"/>
      <c r="R665" s="592"/>
      <c r="S665" s="592"/>
      <c r="T665" s="592"/>
      <c r="U665" s="592">
        <f>K665</f>
        <v>0</v>
      </c>
      <c r="V665" s="592"/>
      <c r="W665" s="592"/>
      <c r="X665" s="592"/>
      <c r="AK665" s="7" t="s">
        <v>1746</v>
      </c>
      <c r="AU665" s="17">
        <f>SUM(AL666:AL666)</f>
        <v>0</v>
      </c>
      <c r="AV665" s="17">
        <f>SUM(AM666:AM666)</f>
        <v>0</v>
      </c>
      <c r="AW665" s="17">
        <f>SUM(AN666:AN666)</f>
        <v>0</v>
      </c>
    </row>
    <row r="666" spans="1:66" ht="15" customHeight="1">
      <c r="A666" s="24" t="s">
        <v>1151</v>
      </c>
      <c r="B666" s="12" t="s">
        <v>1746</v>
      </c>
      <c r="C666" s="12" t="s">
        <v>2349</v>
      </c>
      <c r="D666" s="630" t="s">
        <v>449</v>
      </c>
      <c r="E666" s="630"/>
      <c r="F666" s="12" t="s">
        <v>2274</v>
      </c>
      <c r="G666" s="56">
        <v>376</v>
      </c>
      <c r="H666" s="625"/>
      <c r="I666" s="56">
        <f>G666*AQ666</f>
        <v>0</v>
      </c>
      <c r="J666" s="56">
        <f>G666*AR666</f>
        <v>0</v>
      </c>
      <c r="K666" s="56">
        <f>G666*H666</f>
        <v>0</v>
      </c>
      <c r="L666" s="56">
        <v>4.2999999999999999E-4</v>
      </c>
      <c r="M666" s="56">
        <f>G666*L666</f>
        <v>0.16167999999999999</v>
      </c>
      <c r="N666" s="31" t="s">
        <v>1579</v>
      </c>
      <c r="P666" s="592"/>
      <c r="Q666" s="592"/>
      <c r="R666" s="592"/>
      <c r="S666" s="592"/>
      <c r="T666" s="592"/>
      <c r="U666" s="592"/>
      <c r="V666" s="592"/>
      <c r="W666" s="592"/>
      <c r="X666" s="592"/>
      <c r="AB666" s="56">
        <f>IF(AS666="5",BL666,0)</f>
        <v>0</v>
      </c>
      <c r="AD666" s="56">
        <f>IF(AS666="1",BJ666,0)</f>
        <v>0</v>
      </c>
      <c r="AE666" s="56">
        <f>IF(AS666="1",BK666,0)</f>
        <v>0</v>
      </c>
      <c r="AF666" s="56">
        <f>IF(AS666="7",BJ666,0)</f>
        <v>0</v>
      </c>
      <c r="AG666" s="56">
        <f>IF(AS666="7",BK666,0)</f>
        <v>0</v>
      </c>
      <c r="AH666" s="56">
        <f>IF(AS666="2",BJ666,0)</f>
        <v>0</v>
      </c>
      <c r="AI666" s="56">
        <f>IF(AS666="2",BK666,0)</f>
        <v>0</v>
      </c>
      <c r="AJ666" s="56">
        <f>IF(AS666="0",BL666,0)</f>
        <v>0</v>
      </c>
      <c r="AK666" s="7" t="s">
        <v>1746</v>
      </c>
      <c r="AL666" s="56">
        <f>IF(AP666=0,K666,0)</f>
        <v>0</v>
      </c>
      <c r="AM666" s="56">
        <f>IF(AP666=15,K666,0)</f>
        <v>0</v>
      </c>
      <c r="AN666" s="56">
        <f>IF(AP666=21,K666,0)</f>
        <v>0</v>
      </c>
      <c r="AP666" s="56">
        <v>21</v>
      </c>
      <c r="AQ666" s="88">
        <f>H666*0.444843304843305</f>
        <v>0</v>
      </c>
      <c r="AR666" s="88">
        <f>H666*(1-0.444843304843305)</f>
        <v>0</v>
      </c>
      <c r="AS666" s="21" t="s">
        <v>2311</v>
      </c>
      <c r="AX666" s="56">
        <f>AY666+AZ666</f>
        <v>0</v>
      </c>
      <c r="AY666" s="56">
        <f>G666*AQ666</f>
        <v>0</v>
      </c>
      <c r="AZ666" s="56">
        <f>G666*AR666</f>
        <v>0</v>
      </c>
      <c r="BA666" s="21" t="s">
        <v>531</v>
      </c>
      <c r="BB666" s="21" t="s">
        <v>79</v>
      </c>
      <c r="BC666" s="7" t="s">
        <v>1747</v>
      </c>
      <c r="BE666" s="56">
        <f>AY666+AZ666</f>
        <v>0</v>
      </c>
      <c r="BF666" s="56">
        <f>H666/(100-BG666)*100</f>
        <v>0</v>
      </c>
      <c r="BG666" s="56">
        <v>0</v>
      </c>
      <c r="BH666" s="56">
        <f>M666</f>
        <v>0.16167999999999999</v>
      </c>
      <c r="BJ666" s="56">
        <f>G666*AQ666</f>
        <v>0</v>
      </c>
      <c r="BK666" s="56">
        <f>G666*AR666</f>
        <v>0</v>
      </c>
      <c r="BL666" s="56">
        <f>G666*H666</f>
        <v>0</v>
      </c>
      <c r="BM666" s="56"/>
      <c r="BN666" s="56">
        <v>783</v>
      </c>
    </row>
    <row r="667" spans="1:66" ht="15" customHeight="1">
      <c r="A667" s="36"/>
      <c r="D667" s="45" t="s">
        <v>2567</v>
      </c>
      <c r="E667" s="104" t="s">
        <v>1221</v>
      </c>
      <c r="G667" s="13">
        <v>376.00000000000006</v>
      </c>
      <c r="N667" s="19"/>
      <c r="P667" s="592"/>
      <c r="Q667" s="592"/>
      <c r="R667" s="592"/>
      <c r="S667" s="592"/>
      <c r="T667" s="592"/>
      <c r="U667" s="592"/>
      <c r="V667" s="592"/>
      <c r="W667" s="592"/>
      <c r="X667" s="592"/>
    </row>
    <row r="668" spans="1:66" ht="15" customHeight="1">
      <c r="A668" s="32" t="s">
        <v>1597</v>
      </c>
      <c r="B668" s="26" t="s">
        <v>1746</v>
      </c>
      <c r="C668" s="537" t="s">
        <v>1284</v>
      </c>
      <c r="D668" s="709" t="s">
        <v>44</v>
      </c>
      <c r="E668" s="709"/>
      <c r="F668" s="46" t="s">
        <v>2144</v>
      </c>
      <c r="G668" s="46" t="s">
        <v>2144</v>
      </c>
      <c r="H668" s="46" t="s">
        <v>2144</v>
      </c>
      <c r="I668" s="17">
        <f>SUM(I669:I671)</f>
        <v>0</v>
      </c>
      <c r="J668" s="17">
        <f>SUM(J669:J671)</f>
        <v>0</v>
      </c>
      <c r="K668" s="539">
        <f>SUM(K669:K671)</f>
        <v>0</v>
      </c>
      <c r="L668" s="7" t="s">
        <v>1597</v>
      </c>
      <c r="M668" s="17">
        <f>SUM(M669:M671)</f>
        <v>0.3049</v>
      </c>
      <c r="N668" s="20" t="s">
        <v>1597</v>
      </c>
      <c r="P668" s="592"/>
      <c r="Q668" s="592"/>
      <c r="R668" s="592"/>
      <c r="S668" s="592"/>
      <c r="T668" s="592"/>
      <c r="U668" s="592">
        <f>K668</f>
        <v>0</v>
      </c>
      <c r="V668" s="592"/>
      <c r="W668" s="592"/>
      <c r="X668" s="592"/>
      <c r="AK668" s="7" t="s">
        <v>1746</v>
      </c>
      <c r="AU668" s="17">
        <f>SUM(AL669:AL671)</f>
        <v>0</v>
      </c>
      <c r="AV668" s="17">
        <f>SUM(AM669:AM671)</f>
        <v>0</v>
      </c>
      <c r="AW668" s="17">
        <f>SUM(AN669:AN671)</f>
        <v>0</v>
      </c>
    </row>
    <row r="669" spans="1:66" ht="15" customHeight="1">
      <c r="A669" s="24" t="s">
        <v>1446</v>
      </c>
      <c r="B669" s="12" t="s">
        <v>1746</v>
      </c>
      <c r="C669" s="12" t="s">
        <v>186</v>
      </c>
      <c r="D669" s="630" t="s">
        <v>3608</v>
      </c>
      <c r="E669" s="630"/>
      <c r="F669" s="12" t="s">
        <v>2274</v>
      </c>
      <c r="G669" s="56">
        <v>190</v>
      </c>
      <c r="H669" s="625"/>
      <c r="I669" s="56">
        <f>G669*AQ669</f>
        <v>0</v>
      </c>
      <c r="J669" s="56">
        <f>G669*AR669</f>
        <v>0</v>
      </c>
      <c r="K669" s="56">
        <f>G669*H669</f>
        <v>0</v>
      </c>
      <c r="L669" s="56">
        <v>2.0000000000000001E-4</v>
      </c>
      <c r="M669" s="56">
        <f>G669*L669</f>
        <v>3.7999999999999999E-2</v>
      </c>
      <c r="N669" s="31" t="s">
        <v>1579</v>
      </c>
      <c r="P669" s="592"/>
      <c r="Q669" s="592"/>
      <c r="R669" s="592"/>
      <c r="S669" s="592"/>
      <c r="T669" s="592"/>
      <c r="U669" s="592"/>
      <c r="V669" s="592"/>
      <c r="W669" s="592"/>
      <c r="X669" s="592"/>
      <c r="AB669" s="56">
        <f>IF(AS669="5",BL669,0)</f>
        <v>0</v>
      </c>
      <c r="AD669" s="56">
        <f>IF(AS669="1",BJ669,0)</f>
        <v>0</v>
      </c>
      <c r="AE669" s="56">
        <f>IF(AS669="1",BK669,0)</f>
        <v>0</v>
      </c>
      <c r="AF669" s="56">
        <f>IF(AS669="7",BJ669,0)</f>
        <v>0</v>
      </c>
      <c r="AG669" s="56">
        <f>IF(AS669="7",BK669,0)</f>
        <v>0</v>
      </c>
      <c r="AH669" s="56">
        <f>IF(AS669="2",BJ669,0)</f>
        <v>0</v>
      </c>
      <c r="AI669" s="56">
        <f>IF(AS669="2",BK669,0)</f>
        <v>0</v>
      </c>
      <c r="AJ669" s="56">
        <f>IF(AS669="0",BL669,0)</f>
        <v>0</v>
      </c>
      <c r="AK669" s="7" t="s">
        <v>1746</v>
      </c>
      <c r="AL669" s="56">
        <f>IF(AP669=0,K669,0)</f>
        <v>0</v>
      </c>
      <c r="AM669" s="56">
        <f>IF(AP669=15,K669,0)</f>
        <v>0</v>
      </c>
      <c r="AN669" s="56">
        <f>IF(AP669=21,K669,0)</f>
        <v>0</v>
      </c>
      <c r="AP669" s="56">
        <v>21</v>
      </c>
      <c r="AQ669" s="88">
        <f>H669*0.352014652014652</f>
        <v>0</v>
      </c>
      <c r="AR669" s="88">
        <f>H669*(1-0.352014652014652)</f>
        <v>0</v>
      </c>
      <c r="AS669" s="21" t="s">
        <v>2311</v>
      </c>
      <c r="AX669" s="56">
        <f>AY669+AZ669</f>
        <v>0</v>
      </c>
      <c r="AY669" s="56">
        <f>G669*AQ669</f>
        <v>0</v>
      </c>
      <c r="AZ669" s="56">
        <f>G669*AR669</f>
        <v>0</v>
      </c>
      <c r="BA669" s="21" t="s">
        <v>2055</v>
      </c>
      <c r="BB669" s="21" t="s">
        <v>79</v>
      </c>
      <c r="BC669" s="7" t="s">
        <v>1747</v>
      </c>
      <c r="BE669" s="56">
        <f>AY669+AZ669</f>
        <v>0</v>
      </c>
      <c r="BF669" s="56">
        <f>H669/(100-BG669)*100</f>
        <v>0</v>
      </c>
      <c r="BG669" s="56">
        <v>0</v>
      </c>
      <c r="BH669" s="56">
        <f>M669</f>
        <v>3.7999999999999999E-2</v>
      </c>
      <c r="BJ669" s="56">
        <f>G669*AQ669</f>
        <v>0</v>
      </c>
      <c r="BK669" s="56">
        <f>G669*AR669</f>
        <v>0</v>
      </c>
      <c r="BL669" s="56">
        <f>G669*H669</f>
        <v>0</v>
      </c>
      <c r="BM669" s="56"/>
      <c r="BN669" s="56">
        <v>784</v>
      </c>
    </row>
    <row r="670" spans="1:66" ht="15" customHeight="1">
      <c r="A670" s="36"/>
      <c r="D670" s="45" t="s">
        <v>1583</v>
      </c>
      <c r="E670" s="104" t="s">
        <v>1597</v>
      </c>
      <c r="G670" s="13">
        <v>190.00000000000003</v>
      </c>
      <c r="N670" s="19"/>
      <c r="P670" s="592"/>
      <c r="Q670" s="592"/>
      <c r="R670" s="592"/>
      <c r="S670" s="592"/>
      <c r="T670" s="592"/>
      <c r="U670" s="592"/>
      <c r="V670" s="592"/>
      <c r="W670" s="592"/>
      <c r="X670" s="592"/>
    </row>
    <row r="671" spans="1:66" ht="15" customHeight="1">
      <c r="A671" s="24" t="s">
        <v>2196</v>
      </c>
      <c r="B671" s="12" t="s">
        <v>1746</v>
      </c>
      <c r="C671" s="12" t="s">
        <v>2094</v>
      </c>
      <c r="D671" s="630" t="s">
        <v>3609</v>
      </c>
      <c r="E671" s="630"/>
      <c r="F671" s="12" t="s">
        <v>2274</v>
      </c>
      <c r="G671" s="56">
        <v>785</v>
      </c>
      <c r="H671" s="625"/>
      <c r="I671" s="56">
        <f>G671*AQ671</f>
        <v>0</v>
      </c>
      <c r="J671" s="56">
        <f>G671*AR671</f>
        <v>0</v>
      </c>
      <c r="K671" s="56">
        <f>G671*H671</f>
        <v>0</v>
      </c>
      <c r="L671" s="56">
        <v>3.4000000000000002E-4</v>
      </c>
      <c r="M671" s="56">
        <f>G671*L671</f>
        <v>0.26690000000000003</v>
      </c>
      <c r="N671" s="31" t="s">
        <v>1579</v>
      </c>
      <c r="P671" s="592"/>
      <c r="Q671" s="592"/>
      <c r="R671" s="592"/>
      <c r="S671" s="592"/>
      <c r="T671" s="592"/>
      <c r="U671" s="592"/>
      <c r="V671" s="592"/>
      <c r="W671" s="592"/>
      <c r="X671" s="592"/>
      <c r="AB671" s="56">
        <f>IF(AS671="5",BL671,0)</f>
        <v>0</v>
      </c>
      <c r="AD671" s="56">
        <f>IF(AS671="1",BJ671,0)</f>
        <v>0</v>
      </c>
      <c r="AE671" s="56">
        <f>IF(AS671="1",BK671,0)</f>
        <v>0</v>
      </c>
      <c r="AF671" s="56">
        <f>IF(AS671="7",BJ671,0)</f>
        <v>0</v>
      </c>
      <c r="AG671" s="56">
        <f>IF(AS671="7",BK671,0)</f>
        <v>0</v>
      </c>
      <c r="AH671" s="56">
        <f>IF(AS671="2",BJ671,0)</f>
        <v>0</v>
      </c>
      <c r="AI671" s="56">
        <f>IF(AS671="2",BK671,0)</f>
        <v>0</v>
      </c>
      <c r="AJ671" s="56">
        <f>IF(AS671="0",BL671,0)</f>
        <v>0</v>
      </c>
      <c r="AK671" s="7" t="s">
        <v>1746</v>
      </c>
      <c r="AL671" s="56">
        <f>IF(AP671=0,K671,0)</f>
        <v>0</v>
      </c>
      <c r="AM671" s="56">
        <f>IF(AP671=15,K671,0)</f>
        <v>0</v>
      </c>
      <c r="AN671" s="56">
        <f>IF(AP671=21,K671,0)</f>
        <v>0</v>
      </c>
      <c r="AP671" s="56">
        <v>21</v>
      </c>
      <c r="AQ671" s="88">
        <f>H671*0.28421686746988</f>
        <v>0</v>
      </c>
      <c r="AR671" s="88">
        <f>H671*(1-0.28421686746988)</f>
        <v>0</v>
      </c>
      <c r="AS671" s="21" t="s">
        <v>2311</v>
      </c>
      <c r="AX671" s="56">
        <f>AY671+AZ671</f>
        <v>0</v>
      </c>
      <c r="AY671" s="56">
        <f>G671*AQ671</f>
        <v>0</v>
      </c>
      <c r="AZ671" s="56">
        <f>G671*AR671</f>
        <v>0</v>
      </c>
      <c r="BA671" s="21" t="s">
        <v>2055</v>
      </c>
      <c r="BB671" s="21" t="s">
        <v>79</v>
      </c>
      <c r="BC671" s="7" t="s">
        <v>1747</v>
      </c>
      <c r="BE671" s="56">
        <f>AY671+AZ671</f>
        <v>0</v>
      </c>
      <c r="BF671" s="56">
        <f>H671/(100-BG671)*100</f>
        <v>0</v>
      </c>
      <c r="BG671" s="56">
        <v>0</v>
      </c>
      <c r="BH671" s="56">
        <f>M671</f>
        <v>0.26690000000000003</v>
      </c>
      <c r="BJ671" s="56">
        <f>G671*AQ671</f>
        <v>0</v>
      </c>
      <c r="BK671" s="56">
        <f>G671*AR671</f>
        <v>0</v>
      </c>
      <c r="BL671" s="56">
        <f>G671*H671</f>
        <v>0</v>
      </c>
      <c r="BM671" s="56"/>
      <c r="BN671" s="56">
        <v>784</v>
      </c>
    </row>
    <row r="672" spans="1:66" ht="15" customHeight="1">
      <c r="A672" s="36"/>
      <c r="D672" s="45" t="s">
        <v>606</v>
      </c>
      <c r="E672" s="104" t="s">
        <v>2064</v>
      </c>
      <c r="G672" s="13">
        <v>785.00000000000011</v>
      </c>
      <c r="N672" s="19"/>
      <c r="P672" s="592"/>
      <c r="Q672" s="592"/>
      <c r="R672" s="592"/>
      <c r="S672" s="592"/>
      <c r="T672" s="592"/>
      <c r="U672" s="592"/>
      <c r="V672" s="592"/>
      <c r="W672" s="592"/>
      <c r="X672" s="592"/>
    </row>
    <row r="673" spans="1:66" ht="15" customHeight="1">
      <c r="A673" s="32" t="s">
        <v>1597</v>
      </c>
      <c r="B673" s="26" t="s">
        <v>1746</v>
      </c>
      <c r="C673" s="512" t="s">
        <v>261</v>
      </c>
      <c r="D673" s="709" t="s">
        <v>1628</v>
      </c>
      <c r="E673" s="709"/>
      <c r="F673" s="46" t="s">
        <v>2144</v>
      </c>
      <c r="G673" s="46" t="s">
        <v>2144</v>
      </c>
      <c r="H673" s="46" t="s">
        <v>2144</v>
      </c>
      <c r="I673" s="17">
        <f>SUM(I674:I682)</f>
        <v>0</v>
      </c>
      <c r="J673" s="17">
        <f>SUM(J674:J682)</f>
        <v>0</v>
      </c>
      <c r="K673" s="515">
        <f>SUM(K674:K682)</f>
        <v>0</v>
      </c>
      <c r="L673" s="7" t="s">
        <v>1597</v>
      </c>
      <c r="M673" s="17">
        <f>SUM(M674:M682)</f>
        <v>12.674199999999999</v>
      </c>
      <c r="N673" s="20" t="s">
        <v>1597</v>
      </c>
      <c r="P673" s="592">
        <f>K673</f>
        <v>0</v>
      </c>
      <c r="Q673" s="592"/>
      <c r="R673" s="592"/>
      <c r="S673" s="592"/>
      <c r="T673" s="592"/>
      <c r="U673" s="592"/>
      <c r="V673" s="592"/>
      <c r="W673" s="592"/>
      <c r="X673" s="592"/>
      <c r="AK673" s="7" t="s">
        <v>1746</v>
      </c>
      <c r="AU673" s="17">
        <f>SUM(AL674:AL682)</f>
        <v>0</v>
      </c>
      <c r="AV673" s="17">
        <f>SUM(AM674:AM682)</f>
        <v>0</v>
      </c>
      <c r="AW673" s="17">
        <f>SUM(AN674:AN682)</f>
        <v>0</v>
      </c>
    </row>
    <row r="674" spans="1:66" ht="15" customHeight="1">
      <c r="A674" s="24" t="s">
        <v>504</v>
      </c>
      <c r="B674" s="12" t="s">
        <v>1746</v>
      </c>
      <c r="C674" s="12" t="s">
        <v>1071</v>
      </c>
      <c r="D674" s="630" t="s">
        <v>2074</v>
      </c>
      <c r="E674" s="630"/>
      <c r="F674" s="12" t="s">
        <v>2274</v>
      </c>
      <c r="G674" s="56">
        <v>680</v>
      </c>
      <c r="H674" s="625"/>
      <c r="I674" s="56">
        <f>G674*AQ674</f>
        <v>0</v>
      </c>
      <c r="J674" s="56">
        <f>G674*AR674</f>
        <v>0</v>
      </c>
      <c r="K674" s="56">
        <f>G674*H674</f>
        <v>0</v>
      </c>
      <c r="L674" s="56">
        <v>1.8380000000000001E-2</v>
      </c>
      <c r="M674" s="56">
        <f>G674*L674</f>
        <v>12.4984</v>
      </c>
      <c r="N674" s="31" t="s">
        <v>1579</v>
      </c>
      <c r="P674" s="592"/>
      <c r="Q674" s="592"/>
      <c r="R674" s="592"/>
      <c r="S674" s="592"/>
      <c r="T674" s="592"/>
      <c r="U674" s="592"/>
      <c r="V674" s="592"/>
      <c r="W674" s="592"/>
      <c r="X674" s="592"/>
      <c r="AB674" s="56">
        <f>IF(AS674="5",BL674,0)</f>
        <v>0</v>
      </c>
      <c r="AD674" s="56">
        <f>IF(AS674="1",BJ674,0)</f>
        <v>0</v>
      </c>
      <c r="AE674" s="56">
        <f>IF(AS674="1",BK674,0)</f>
        <v>0</v>
      </c>
      <c r="AF674" s="56">
        <f>IF(AS674="7",BJ674,0)</f>
        <v>0</v>
      </c>
      <c r="AG674" s="56">
        <f>IF(AS674="7",BK674,0)</f>
        <v>0</v>
      </c>
      <c r="AH674" s="56">
        <f>IF(AS674="2",BJ674,0)</f>
        <v>0</v>
      </c>
      <c r="AI674" s="56">
        <f>IF(AS674="2",BK674,0)</f>
        <v>0</v>
      </c>
      <c r="AJ674" s="56">
        <f>IF(AS674="0",BL674,0)</f>
        <v>0</v>
      </c>
      <c r="AK674" s="7" t="s">
        <v>1746</v>
      </c>
      <c r="AL674" s="56">
        <f>IF(AP674=0,K674,0)</f>
        <v>0</v>
      </c>
      <c r="AM674" s="56">
        <f>IF(AP674=15,K674,0)</f>
        <v>0</v>
      </c>
      <c r="AN674" s="56">
        <f>IF(AP674=21,K674,0)</f>
        <v>0</v>
      </c>
      <c r="AP674" s="56">
        <v>21</v>
      </c>
      <c r="AQ674" s="88">
        <f>H674*0.000685871056241427</f>
        <v>0</v>
      </c>
      <c r="AR674" s="88">
        <f>H674*(1-0.000685871056241427)</f>
        <v>0</v>
      </c>
      <c r="AS674" s="21" t="s">
        <v>2297</v>
      </c>
      <c r="AX674" s="56">
        <f>AY674+AZ674</f>
        <v>0</v>
      </c>
      <c r="AY674" s="56">
        <f>G674*AQ674</f>
        <v>0</v>
      </c>
      <c r="AZ674" s="56">
        <f>G674*AR674</f>
        <v>0</v>
      </c>
      <c r="BA674" s="21" t="s">
        <v>2568</v>
      </c>
      <c r="BB674" s="21" t="s">
        <v>294</v>
      </c>
      <c r="BC674" s="7" t="s">
        <v>1747</v>
      </c>
      <c r="BE674" s="56">
        <f>AY674+AZ674</f>
        <v>0</v>
      </c>
      <c r="BF674" s="56">
        <f>H674/(100-BG674)*100</f>
        <v>0</v>
      </c>
      <c r="BG674" s="56">
        <v>0</v>
      </c>
      <c r="BH674" s="56">
        <f>M674</f>
        <v>12.4984</v>
      </c>
      <c r="BJ674" s="56">
        <f>G674*AQ674</f>
        <v>0</v>
      </c>
      <c r="BK674" s="56">
        <f>G674*AR674</f>
        <v>0</v>
      </c>
      <c r="BL674" s="56">
        <f>G674*H674</f>
        <v>0</v>
      </c>
      <c r="BM674" s="56"/>
      <c r="BN674" s="56">
        <v>94</v>
      </c>
    </row>
    <row r="675" spans="1:66" ht="15" customHeight="1">
      <c r="A675" s="36"/>
      <c r="D675" s="45" t="s">
        <v>1158</v>
      </c>
      <c r="E675" s="104" t="s">
        <v>1597</v>
      </c>
      <c r="G675" s="13">
        <v>680</v>
      </c>
      <c r="N675" s="19"/>
      <c r="P675" s="592"/>
      <c r="Q675" s="592"/>
      <c r="R675" s="592"/>
      <c r="S675" s="592"/>
      <c r="T675" s="592"/>
      <c r="U675" s="592"/>
      <c r="V675" s="592"/>
      <c r="W675" s="592"/>
      <c r="X675" s="592"/>
    </row>
    <row r="676" spans="1:66" ht="15" customHeight="1">
      <c r="A676" s="24" t="s">
        <v>2244</v>
      </c>
      <c r="B676" s="12" t="s">
        <v>1746</v>
      </c>
      <c r="C676" s="12" t="s">
        <v>1741</v>
      </c>
      <c r="D676" s="630" t="s">
        <v>965</v>
      </c>
      <c r="E676" s="630"/>
      <c r="F676" s="12" t="s">
        <v>2274</v>
      </c>
      <c r="G676" s="56">
        <v>2040</v>
      </c>
      <c r="H676" s="625"/>
      <c r="I676" s="56">
        <f>G676*AQ676</f>
        <v>0</v>
      </c>
      <c r="J676" s="56">
        <f>G676*AR676</f>
        <v>0</v>
      </c>
      <c r="K676" s="56">
        <f>G676*H676</f>
        <v>0</v>
      </c>
      <c r="L676" s="56">
        <v>0</v>
      </c>
      <c r="M676" s="56">
        <f>G676*L676</f>
        <v>0</v>
      </c>
      <c r="N676" s="31" t="s">
        <v>1579</v>
      </c>
      <c r="P676" s="592"/>
      <c r="Q676" s="592"/>
      <c r="R676" s="592"/>
      <c r="S676" s="592"/>
      <c r="T676" s="592"/>
      <c r="U676" s="592"/>
      <c r="V676" s="592"/>
      <c r="W676" s="592"/>
      <c r="X676" s="592"/>
      <c r="AB676" s="56">
        <f>IF(AS676="5",BL676,0)</f>
        <v>0</v>
      </c>
      <c r="AD676" s="56">
        <f>IF(AS676="1",BJ676,0)</f>
        <v>0</v>
      </c>
      <c r="AE676" s="56">
        <f>IF(AS676="1",BK676,0)</f>
        <v>0</v>
      </c>
      <c r="AF676" s="56">
        <f>IF(AS676="7",BJ676,0)</f>
        <v>0</v>
      </c>
      <c r="AG676" s="56">
        <f>IF(AS676="7",BK676,0)</f>
        <v>0</v>
      </c>
      <c r="AH676" s="56">
        <f>IF(AS676="2",BJ676,0)</f>
        <v>0</v>
      </c>
      <c r="AI676" s="56">
        <f>IF(AS676="2",BK676,0)</f>
        <v>0</v>
      </c>
      <c r="AJ676" s="56">
        <f>IF(AS676="0",BL676,0)</f>
        <v>0</v>
      </c>
      <c r="AK676" s="7" t="s">
        <v>1746</v>
      </c>
      <c r="AL676" s="56">
        <f>IF(AP676=0,K676,0)</f>
        <v>0</v>
      </c>
      <c r="AM676" s="56">
        <f>IF(AP676=15,K676,0)</f>
        <v>0</v>
      </c>
      <c r="AN676" s="56">
        <f>IF(AP676=21,K676,0)</f>
        <v>0</v>
      </c>
      <c r="AP676" s="56">
        <v>21</v>
      </c>
      <c r="AQ676" s="88">
        <f>H676*0</f>
        <v>0</v>
      </c>
      <c r="AR676" s="88">
        <f>H676*(1-0)</f>
        <v>0</v>
      </c>
      <c r="AS676" s="21" t="s">
        <v>2297</v>
      </c>
      <c r="AX676" s="56">
        <f>AY676+AZ676</f>
        <v>0</v>
      </c>
      <c r="AY676" s="56">
        <f>G676*AQ676</f>
        <v>0</v>
      </c>
      <c r="AZ676" s="56">
        <f>G676*AR676</f>
        <v>0</v>
      </c>
      <c r="BA676" s="21" t="s">
        <v>2568</v>
      </c>
      <c r="BB676" s="21" t="s">
        <v>294</v>
      </c>
      <c r="BC676" s="7" t="s">
        <v>1747</v>
      </c>
      <c r="BE676" s="56">
        <f>AY676+AZ676</f>
        <v>0</v>
      </c>
      <c r="BF676" s="56">
        <f>H676/(100-BG676)*100</f>
        <v>0</v>
      </c>
      <c r="BG676" s="56">
        <v>0</v>
      </c>
      <c r="BH676" s="56">
        <f>M676</f>
        <v>0</v>
      </c>
      <c r="BJ676" s="56">
        <f>G676*AQ676</f>
        <v>0</v>
      </c>
      <c r="BK676" s="56">
        <f>G676*AR676</f>
        <v>0</v>
      </c>
      <c r="BL676" s="56">
        <f>G676*H676</f>
        <v>0</v>
      </c>
      <c r="BM676" s="56"/>
      <c r="BN676" s="56">
        <v>94</v>
      </c>
    </row>
    <row r="677" spans="1:66" ht="15" customHeight="1">
      <c r="A677" s="36"/>
      <c r="D677" s="45" t="s">
        <v>555</v>
      </c>
      <c r="E677" s="104" t="s">
        <v>1597</v>
      </c>
      <c r="G677" s="13">
        <v>2040.0000000000002</v>
      </c>
      <c r="N677" s="19"/>
      <c r="P677" s="592"/>
      <c r="Q677" s="592"/>
      <c r="R677" s="592"/>
      <c r="S677" s="592"/>
      <c r="T677" s="592"/>
      <c r="U677" s="592"/>
      <c r="V677" s="592"/>
      <c r="W677" s="592"/>
      <c r="X677" s="592"/>
    </row>
    <row r="678" spans="1:66" ht="15" customHeight="1">
      <c r="A678" s="24" t="s">
        <v>946</v>
      </c>
      <c r="B678" s="12" t="s">
        <v>1746</v>
      </c>
      <c r="C678" s="12" t="s">
        <v>2641</v>
      </c>
      <c r="D678" s="630" t="s">
        <v>807</v>
      </c>
      <c r="E678" s="630"/>
      <c r="F678" s="12" t="s">
        <v>2274</v>
      </c>
      <c r="G678" s="56">
        <v>680</v>
      </c>
      <c r="H678" s="625"/>
      <c r="I678" s="56">
        <f>G678*AQ678</f>
        <v>0</v>
      </c>
      <c r="J678" s="56">
        <f>G678*AR678</f>
        <v>0</v>
      </c>
      <c r="K678" s="56">
        <f>G678*H678</f>
        <v>0</v>
      </c>
      <c r="L678" s="56">
        <v>0</v>
      </c>
      <c r="M678" s="56">
        <f>G678*L678</f>
        <v>0</v>
      </c>
      <c r="N678" s="31" t="s">
        <v>1579</v>
      </c>
      <c r="P678" s="592"/>
      <c r="Q678" s="592"/>
      <c r="R678" s="592"/>
      <c r="S678" s="592"/>
      <c r="T678" s="592"/>
      <c r="U678" s="592"/>
      <c r="V678" s="592"/>
      <c r="W678" s="592"/>
      <c r="X678" s="592"/>
      <c r="AB678" s="56">
        <f>IF(AS678="5",BL678,0)</f>
        <v>0</v>
      </c>
      <c r="AD678" s="56">
        <f>IF(AS678="1",BJ678,0)</f>
        <v>0</v>
      </c>
      <c r="AE678" s="56">
        <f>IF(AS678="1",BK678,0)</f>
        <v>0</v>
      </c>
      <c r="AF678" s="56">
        <f>IF(AS678="7",BJ678,0)</f>
        <v>0</v>
      </c>
      <c r="AG678" s="56">
        <f>IF(AS678="7",BK678,0)</f>
        <v>0</v>
      </c>
      <c r="AH678" s="56">
        <f>IF(AS678="2",BJ678,0)</f>
        <v>0</v>
      </c>
      <c r="AI678" s="56">
        <f>IF(AS678="2",BK678,0)</f>
        <v>0</v>
      </c>
      <c r="AJ678" s="56">
        <f>IF(AS678="0",BL678,0)</f>
        <v>0</v>
      </c>
      <c r="AK678" s="7" t="s">
        <v>1746</v>
      </c>
      <c r="AL678" s="56">
        <f>IF(AP678=0,K678,0)</f>
        <v>0</v>
      </c>
      <c r="AM678" s="56">
        <f>IF(AP678=15,K678,0)</f>
        <v>0</v>
      </c>
      <c r="AN678" s="56">
        <f>IF(AP678=21,K678,0)</f>
        <v>0</v>
      </c>
      <c r="AP678" s="56">
        <v>21</v>
      </c>
      <c r="AQ678" s="88">
        <f>H678*0</f>
        <v>0</v>
      </c>
      <c r="AR678" s="88">
        <f>H678*(1-0)</f>
        <v>0</v>
      </c>
      <c r="AS678" s="21" t="s">
        <v>2297</v>
      </c>
      <c r="AX678" s="56">
        <f>AY678+AZ678</f>
        <v>0</v>
      </c>
      <c r="AY678" s="56">
        <f>G678*AQ678</f>
        <v>0</v>
      </c>
      <c r="AZ678" s="56">
        <f>G678*AR678</f>
        <v>0</v>
      </c>
      <c r="BA678" s="21" t="s">
        <v>2568</v>
      </c>
      <c r="BB678" s="21" t="s">
        <v>294</v>
      </c>
      <c r="BC678" s="7" t="s">
        <v>1747</v>
      </c>
      <c r="BE678" s="56">
        <f>AY678+AZ678</f>
        <v>0</v>
      </c>
      <c r="BF678" s="56">
        <f>H678/(100-BG678)*100</f>
        <v>0</v>
      </c>
      <c r="BG678" s="56">
        <v>0</v>
      </c>
      <c r="BH678" s="56">
        <f>M678</f>
        <v>0</v>
      </c>
      <c r="BJ678" s="56">
        <f>G678*AQ678</f>
        <v>0</v>
      </c>
      <c r="BK678" s="56">
        <f>G678*AR678</f>
        <v>0</v>
      </c>
      <c r="BL678" s="56">
        <f>G678*H678</f>
        <v>0</v>
      </c>
      <c r="BM678" s="56"/>
      <c r="BN678" s="56">
        <v>94</v>
      </c>
    </row>
    <row r="679" spans="1:66" ht="15" customHeight="1">
      <c r="A679" s="36"/>
      <c r="D679" s="45" t="s">
        <v>2401</v>
      </c>
      <c r="E679" s="104" t="s">
        <v>1597</v>
      </c>
      <c r="G679" s="13">
        <v>680</v>
      </c>
      <c r="N679" s="19"/>
      <c r="P679" s="592"/>
      <c r="Q679" s="592"/>
      <c r="R679" s="592"/>
      <c r="S679" s="592"/>
      <c r="T679" s="592"/>
      <c r="U679" s="592"/>
      <c r="V679" s="592"/>
      <c r="W679" s="592"/>
      <c r="X679" s="592"/>
    </row>
    <row r="680" spans="1:66" ht="15" customHeight="1">
      <c r="A680" s="24" t="s">
        <v>20</v>
      </c>
      <c r="B680" s="12" t="s">
        <v>1746</v>
      </c>
      <c r="C680" s="12" t="s">
        <v>824</v>
      </c>
      <c r="D680" s="630" t="s">
        <v>808</v>
      </c>
      <c r="E680" s="630"/>
      <c r="F680" s="12" t="s">
        <v>2274</v>
      </c>
      <c r="G680" s="56">
        <v>120</v>
      </c>
      <c r="H680" s="625"/>
      <c r="I680" s="56">
        <f>G680*AQ680</f>
        <v>0</v>
      </c>
      <c r="J680" s="56">
        <f>G680*AR680</f>
        <v>0</v>
      </c>
      <c r="K680" s="56">
        <f>G680*H680</f>
        <v>0</v>
      </c>
      <c r="L680" s="56">
        <v>1.2099999999999999E-3</v>
      </c>
      <c r="M680" s="56">
        <f>G680*L680</f>
        <v>0.1452</v>
      </c>
      <c r="N680" s="31" t="s">
        <v>1579</v>
      </c>
      <c r="P680" s="592"/>
      <c r="Q680" s="592"/>
      <c r="R680" s="592"/>
      <c r="S680" s="592"/>
      <c r="T680" s="592"/>
      <c r="U680" s="592"/>
      <c r="V680" s="592"/>
      <c r="W680" s="592"/>
      <c r="X680" s="592"/>
      <c r="AB680" s="56">
        <f>IF(AS680="5",BL680,0)</f>
        <v>0</v>
      </c>
      <c r="AD680" s="56">
        <f>IF(AS680="1",BJ680,0)</f>
        <v>0</v>
      </c>
      <c r="AE680" s="56">
        <f>IF(AS680="1",BK680,0)</f>
        <v>0</v>
      </c>
      <c r="AF680" s="56">
        <f>IF(AS680="7",BJ680,0)</f>
        <v>0</v>
      </c>
      <c r="AG680" s="56">
        <f>IF(AS680="7",BK680,0)</f>
        <v>0</v>
      </c>
      <c r="AH680" s="56">
        <f>IF(AS680="2",BJ680,0)</f>
        <v>0</v>
      </c>
      <c r="AI680" s="56">
        <f>IF(AS680="2",BK680,0)</f>
        <v>0</v>
      </c>
      <c r="AJ680" s="56">
        <f>IF(AS680="0",BL680,0)</f>
        <v>0</v>
      </c>
      <c r="AK680" s="7" t="s">
        <v>1746</v>
      </c>
      <c r="AL680" s="56">
        <f>IF(AP680=0,K680,0)</f>
        <v>0</v>
      </c>
      <c r="AM680" s="56">
        <f>IF(AP680=15,K680,0)</f>
        <v>0</v>
      </c>
      <c r="AN680" s="56">
        <f>IF(AP680=21,K680,0)</f>
        <v>0</v>
      </c>
      <c r="AP680" s="56">
        <v>21</v>
      </c>
      <c r="AQ680" s="88">
        <f>H680*0.327179487179487</f>
        <v>0</v>
      </c>
      <c r="AR680" s="88">
        <f>H680*(1-0.327179487179487)</f>
        <v>0</v>
      </c>
      <c r="AS680" s="21" t="s">
        <v>2297</v>
      </c>
      <c r="AX680" s="56">
        <f>AY680+AZ680</f>
        <v>0</v>
      </c>
      <c r="AY680" s="56">
        <f>G680*AQ680</f>
        <v>0</v>
      </c>
      <c r="AZ680" s="56">
        <f>G680*AR680</f>
        <v>0</v>
      </c>
      <c r="BA680" s="21" t="s">
        <v>2568</v>
      </c>
      <c r="BB680" s="21" t="s">
        <v>294</v>
      </c>
      <c r="BC680" s="7" t="s">
        <v>1747</v>
      </c>
      <c r="BE680" s="56">
        <f>AY680+AZ680</f>
        <v>0</v>
      </c>
      <c r="BF680" s="56">
        <f>H680/(100-BG680)*100</f>
        <v>0</v>
      </c>
      <c r="BG680" s="56">
        <v>0</v>
      </c>
      <c r="BH680" s="56">
        <f>M680</f>
        <v>0.1452</v>
      </c>
      <c r="BJ680" s="56">
        <f>G680*AQ680</f>
        <v>0</v>
      </c>
      <c r="BK680" s="56">
        <f>G680*AR680</f>
        <v>0</v>
      </c>
      <c r="BL680" s="56">
        <f>G680*H680</f>
        <v>0</v>
      </c>
      <c r="BM680" s="56"/>
      <c r="BN680" s="56">
        <v>94</v>
      </c>
    </row>
    <row r="681" spans="1:66" ht="15" customHeight="1">
      <c r="A681" s="36"/>
      <c r="D681" s="45" t="s">
        <v>523</v>
      </c>
      <c r="E681" s="104" t="s">
        <v>1597</v>
      </c>
      <c r="G681" s="13">
        <v>120.00000000000001</v>
      </c>
      <c r="N681" s="19"/>
      <c r="P681" s="592"/>
      <c r="Q681" s="592"/>
      <c r="R681" s="592"/>
      <c r="S681" s="592"/>
      <c r="T681" s="592"/>
      <c r="U681" s="592"/>
      <c r="V681" s="592"/>
      <c r="W681" s="592"/>
      <c r="X681" s="592"/>
    </row>
    <row r="682" spans="1:66" ht="15" customHeight="1">
      <c r="A682" s="24" t="s">
        <v>1038</v>
      </c>
      <c r="B682" s="12" t="s">
        <v>1746</v>
      </c>
      <c r="C682" s="12" t="s">
        <v>2247</v>
      </c>
      <c r="D682" s="630" t="s">
        <v>1691</v>
      </c>
      <c r="E682" s="630"/>
      <c r="F682" s="12" t="s">
        <v>2274</v>
      </c>
      <c r="G682" s="56">
        <v>10</v>
      </c>
      <c r="H682" s="625"/>
      <c r="I682" s="56">
        <f>G682*AQ682</f>
        <v>0</v>
      </c>
      <c r="J682" s="56">
        <f>G682*AR682</f>
        <v>0</v>
      </c>
      <c r="K682" s="56">
        <f>G682*H682</f>
        <v>0</v>
      </c>
      <c r="L682" s="56">
        <v>3.0599999999999998E-3</v>
      </c>
      <c r="M682" s="56">
        <f>G682*L682</f>
        <v>3.0599999999999999E-2</v>
      </c>
      <c r="N682" s="31" t="s">
        <v>1579</v>
      </c>
      <c r="P682" s="592"/>
      <c r="Q682" s="592"/>
      <c r="R682" s="592"/>
      <c r="S682" s="592"/>
      <c r="T682" s="592"/>
      <c r="U682" s="592"/>
      <c r="V682" s="592"/>
      <c r="W682" s="592"/>
      <c r="X682" s="592"/>
      <c r="AB682" s="56">
        <f>IF(AS682="5",BL682,0)</f>
        <v>0</v>
      </c>
      <c r="AD682" s="56">
        <f>IF(AS682="1",BJ682,0)</f>
        <v>0</v>
      </c>
      <c r="AE682" s="56">
        <f>IF(AS682="1",BK682,0)</f>
        <v>0</v>
      </c>
      <c r="AF682" s="56">
        <f>IF(AS682="7",BJ682,0)</f>
        <v>0</v>
      </c>
      <c r="AG682" s="56">
        <f>IF(AS682="7",BK682,0)</f>
        <v>0</v>
      </c>
      <c r="AH682" s="56">
        <f>IF(AS682="2",BJ682,0)</f>
        <v>0</v>
      </c>
      <c r="AI682" s="56">
        <f>IF(AS682="2",BK682,0)</f>
        <v>0</v>
      </c>
      <c r="AJ682" s="56">
        <f>IF(AS682="0",BL682,0)</f>
        <v>0</v>
      </c>
      <c r="AK682" s="7" t="s">
        <v>1746</v>
      </c>
      <c r="AL682" s="56">
        <f>IF(AP682=0,K682,0)</f>
        <v>0</v>
      </c>
      <c r="AM682" s="56">
        <f>IF(AP682=15,K682,0)</f>
        <v>0</v>
      </c>
      <c r="AN682" s="56">
        <f>IF(AP682=21,K682,0)</f>
        <v>0</v>
      </c>
      <c r="AP682" s="56">
        <v>21</v>
      </c>
      <c r="AQ682" s="88">
        <f>H682*0.290324387920892</f>
        <v>0</v>
      </c>
      <c r="AR682" s="88">
        <f>H682*(1-0.290324387920892)</f>
        <v>0</v>
      </c>
      <c r="AS682" s="21" t="s">
        <v>2297</v>
      </c>
      <c r="AX682" s="56">
        <f>AY682+AZ682</f>
        <v>0</v>
      </c>
      <c r="AY682" s="56">
        <f>G682*AQ682</f>
        <v>0</v>
      </c>
      <c r="AZ682" s="56">
        <f>G682*AR682</f>
        <v>0</v>
      </c>
      <c r="BA682" s="21" t="s">
        <v>2568</v>
      </c>
      <c r="BB682" s="21" t="s">
        <v>294</v>
      </c>
      <c r="BC682" s="7" t="s">
        <v>1747</v>
      </c>
      <c r="BE682" s="56">
        <f>AY682+AZ682</f>
        <v>0</v>
      </c>
      <c r="BF682" s="56">
        <f>H682/(100-BG682)*100</f>
        <v>0</v>
      </c>
      <c r="BG682" s="56">
        <v>0</v>
      </c>
      <c r="BH682" s="56">
        <f>M682</f>
        <v>3.0599999999999999E-2</v>
      </c>
      <c r="BJ682" s="56">
        <f>G682*AQ682</f>
        <v>0</v>
      </c>
      <c r="BK682" s="56">
        <f>G682*AR682</f>
        <v>0</v>
      </c>
      <c r="BL682" s="56">
        <f>G682*H682</f>
        <v>0</v>
      </c>
      <c r="BM682" s="56"/>
      <c r="BN682" s="56">
        <v>94</v>
      </c>
    </row>
    <row r="683" spans="1:66" ht="15" customHeight="1">
      <c r="A683" s="36"/>
      <c r="D683" s="45" t="s">
        <v>1346</v>
      </c>
      <c r="E683" s="104" t="s">
        <v>1597</v>
      </c>
      <c r="G683" s="13">
        <v>10</v>
      </c>
      <c r="N683" s="19"/>
      <c r="P683" s="592"/>
      <c r="Q683" s="592"/>
      <c r="R683" s="592"/>
      <c r="S683" s="592"/>
      <c r="T683" s="592"/>
      <c r="U683" s="592"/>
      <c r="V683" s="592"/>
      <c r="W683" s="592"/>
      <c r="X683" s="592"/>
    </row>
    <row r="684" spans="1:66" ht="15" customHeight="1">
      <c r="A684" s="32" t="s">
        <v>1597</v>
      </c>
      <c r="B684" s="26" t="s">
        <v>1746</v>
      </c>
      <c r="C684" s="537" t="s">
        <v>919</v>
      </c>
      <c r="D684" s="709" t="s">
        <v>1714</v>
      </c>
      <c r="E684" s="709"/>
      <c r="F684" s="46" t="s">
        <v>2144</v>
      </c>
      <c r="G684" s="46" t="s">
        <v>2144</v>
      </c>
      <c r="H684" s="46" t="s">
        <v>2144</v>
      </c>
      <c r="I684" s="17">
        <f>SUM(I685:I685)</f>
        <v>0</v>
      </c>
      <c r="J684" s="17">
        <f>SUM(J685:J685)</f>
        <v>0</v>
      </c>
      <c r="K684" s="539">
        <f>SUM(K685:K685)</f>
        <v>0</v>
      </c>
      <c r="L684" s="7" t="s">
        <v>1597</v>
      </c>
      <c r="M684" s="17">
        <f>SUM(M685:M685)</f>
        <v>2.1600000000000001E-2</v>
      </c>
      <c r="N684" s="20" t="s">
        <v>1597</v>
      </c>
      <c r="P684" s="592"/>
      <c r="Q684" s="592"/>
      <c r="R684" s="592"/>
      <c r="S684" s="592"/>
      <c r="T684" s="592"/>
      <c r="U684" s="592">
        <f>K684</f>
        <v>0</v>
      </c>
      <c r="V684" s="592"/>
      <c r="W684" s="592"/>
      <c r="X684" s="592"/>
      <c r="AK684" s="7" t="s">
        <v>1746</v>
      </c>
      <c r="AU684" s="17">
        <f>SUM(AL685:AL685)</f>
        <v>0</v>
      </c>
      <c r="AV684" s="17">
        <f>SUM(AM685:AM685)</f>
        <v>0</v>
      </c>
      <c r="AW684" s="17">
        <f>SUM(AN685:AN685)</f>
        <v>0</v>
      </c>
    </row>
    <row r="685" spans="1:66" ht="15" customHeight="1">
      <c r="A685" s="24" t="s">
        <v>505</v>
      </c>
      <c r="B685" s="12" t="s">
        <v>1746</v>
      </c>
      <c r="C685" s="12" t="s">
        <v>2051</v>
      </c>
      <c r="D685" s="630" t="s">
        <v>736</v>
      </c>
      <c r="E685" s="630"/>
      <c r="F685" s="12" t="s">
        <v>2274</v>
      </c>
      <c r="G685" s="56">
        <v>540</v>
      </c>
      <c r="H685" s="625"/>
      <c r="I685" s="56">
        <f>G685*AQ685</f>
        <v>0</v>
      </c>
      <c r="J685" s="56">
        <f>G685*AR685</f>
        <v>0</v>
      </c>
      <c r="K685" s="56">
        <f>G685*H685</f>
        <v>0</v>
      </c>
      <c r="L685" s="56">
        <v>4.0000000000000003E-5</v>
      </c>
      <c r="M685" s="56">
        <f>G685*L685</f>
        <v>2.1600000000000001E-2</v>
      </c>
      <c r="N685" s="31" t="s">
        <v>1579</v>
      </c>
      <c r="P685" s="592"/>
      <c r="Q685" s="592"/>
      <c r="R685" s="592"/>
      <c r="S685" s="592"/>
      <c r="T685" s="592"/>
      <c r="U685" s="592"/>
      <c r="V685" s="592"/>
      <c r="W685" s="592"/>
      <c r="X685" s="592"/>
      <c r="AB685" s="56">
        <f>IF(AS685="5",BL685,0)</f>
        <v>0</v>
      </c>
      <c r="AD685" s="56">
        <f>IF(AS685="1",BJ685,0)</f>
        <v>0</v>
      </c>
      <c r="AE685" s="56">
        <f>IF(AS685="1",BK685,0)</f>
        <v>0</v>
      </c>
      <c r="AF685" s="56">
        <f>IF(AS685="7",BJ685,0)</f>
        <v>0</v>
      </c>
      <c r="AG685" s="56">
        <f>IF(AS685="7",BK685,0)</f>
        <v>0</v>
      </c>
      <c r="AH685" s="56">
        <f>IF(AS685="2",BJ685,0)</f>
        <v>0</v>
      </c>
      <c r="AI685" s="56">
        <f>IF(AS685="2",BK685,0)</f>
        <v>0</v>
      </c>
      <c r="AJ685" s="56">
        <f>IF(AS685="0",BL685,0)</f>
        <v>0</v>
      </c>
      <c r="AK685" s="7" t="s">
        <v>1746</v>
      </c>
      <c r="AL685" s="56">
        <f>IF(AP685=0,K685,0)</f>
        <v>0</v>
      </c>
      <c r="AM685" s="56">
        <f>IF(AP685=15,K685,0)</f>
        <v>0</v>
      </c>
      <c r="AN685" s="56">
        <f>IF(AP685=21,K685,0)</f>
        <v>0</v>
      </c>
      <c r="AP685" s="56">
        <v>21</v>
      </c>
      <c r="AQ685" s="88">
        <f>H685*0.0135315985130112</f>
        <v>0</v>
      </c>
      <c r="AR685" s="88">
        <f>H685*(1-0.0135315985130112)</f>
        <v>0</v>
      </c>
      <c r="AS685" s="21" t="s">
        <v>2297</v>
      </c>
      <c r="AX685" s="56">
        <f>AY685+AZ685</f>
        <v>0</v>
      </c>
      <c r="AY685" s="56">
        <f>G685*AQ685</f>
        <v>0</v>
      </c>
      <c r="AZ685" s="56">
        <f>G685*AR685</f>
        <v>0</v>
      </c>
      <c r="BA685" s="21" t="s">
        <v>1417</v>
      </c>
      <c r="BB685" s="21" t="s">
        <v>294</v>
      </c>
      <c r="BC685" s="7" t="s">
        <v>1747</v>
      </c>
      <c r="BE685" s="56">
        <f>AY685+AZ685</f>
        <v>0</v>
      </c>
      <c r="BF685" s="56">
        <f>H685/(100-BG685)*100</f>
        <v>0</v>
      </c>
      <c r="BG685" s="56">
        <v>0</v>
      </c>
      <c r="BH685" s="56">
        <f>M685</f>
        <v>2.1600000000000001E-2</v>
      </c>
      <c r="BJ685" s="56">
        <f>G685*AQ685</f>
        <v>0</v>
      </c>
      <c r="BK685" s="56">
        <f>G685*AR685</f>
        <v>0</v>
      </c>
      <c r="BL685" s="56">
        <f>G685*H685</f>
        <v>0</v>
      </c>
      <c r="BM685" s="56"/>
      <c r="BN685" s="56">
        <v>95</v>
      </c>
    </row>
    <row r="686" spans="1:66" ht="15" customHeight="1">
      <c r="A686" s="36"/>
      <c r="D686" s="45" t="s">
        <v>785</v>
      </c>
      <c r="E686" s="104" t="s">
        <v>1597</v>
      </c>
      <c r="G686" s="13">
        <v>540</v>
      </c>
      <c r="N686" s="19"/>
      <c r="P686" s="592"/>
      <c r="Q686" s="592"/>
      <c r="R686" s="592"/>
      <c r="S686" s="592"/>
      <c r="T686" s="592"/>
      <c r="U686" s="592"/>
      <c r="V686" s="592"/>
      <c r="W686" s="592"/>
      <c r="X686" s="592"/>
    </row>
    <row r="687" spans="1:66" ht="15" customHeight="1">
      <c r="A687" s="32" t="s">
        <v>1597</v>
      </c>
      <c r="B687" s="26" t="s">
        <v>1746</v>
      </c>
      <c r="C687" s="512" t="s">
        <v>259</v>
      </c>
      <c r="D687" s="709" t="s">
        <v>2580</v>
      </c>
      <c r="E687" s="709"/>
      <c r="F687" s="46" t="s">
        <v>2144</v>
      </c>
      <c r="G687" s="46" t="s">
        <v>2144</v>
      </c>
      <c r="H687" s="46" t="s">
        <v>2144</v>
      </c>
      <c r="I687" s="17">
        <f>SUM(I688:I688)</f>
        <v>0</v>
      </c>
      <c r="J687" s="17">
        <f>SUM(J688:J688)</f>
        <v>0</v>
      </c>
      <c r="K687" s="515">
        <f>SUM(K688:K688)</f>
        <v>0</v>
      </c>
      <c r="L687" s="7" t="s">
        <v>1597</v>
      </c>
      <c r="M687" s="17">
        <f>SUM(M688:M688)</f>
        <v>1.3510425000000001</v>
      </c>
      <c r="N687" s="20" t="s">
        <v>1597</v>
      </c>
      <c r="P687" s="592">
        <f>K687</f>
        <v>0</v>
      </c>
      <c r="Q687" s="592"/>
      <c r="R687" s="592"/>
      <c r="S687" s="592"/>
      <c r="T687" s="592"/>
      <c r="U687" s="592"/>
      <c r="V687" s="592"/>
      <c r="W687" s="592"/>
      <c r="X687" s="592"/>
      <c r="AK687" s="7" t="s">
        <v>1746</v>
      </c>
      <c r="AU687" s="17">
        <f>SUM(AL688:AL688)</f>
        <v>0</v>
      </c>
      <c r="AV687" s="17">
        <f>SUM(AM688:AM688)</f>
        <v>0</v>
      </c>
      <c r="AW687" s="17">
        <f>SUM(AN688:AN688)</f>
        <v>0</v>
      </c>
    </row>
    <row r="688" spans="1:66" ht="15" customHeight="1">
      <c r="A688" s="24" t="s">
        <v>1260</v>
      </c>
      <c r="B688" s="12" t="s">
        <v>1746</v>
      </c>
      <c r="C688" s="12" t="s">
        <v>315</v>
      </c>
      <c r="D688" s="630" t="s">
        <v>34</v>
      </c>
      <c r="E688" s="630"/>
      <c r="F688" s="12" t="s">
        <v>2236</v>
      </c>
      <c r="G688" s="56">
        <v>0.75</v>
      </c>
      <c r="H688" s="625"/>
      <c r="I688" s="56">
        <f>G688*AQ688</f>
        <v>0</v>
      </c>
      <c r="J688" s="56">
        <f>G688*AR688</f>
        <v>0</v>
      </c>
      <c r="K688" s="56">
        <f>G688*H688</f>
        <v>0</v>
      </c>
      <c r="L688" s="56">
        <v>1.80139</v>
      </c>
      <c r="M688" s="56">
        <f>G688*L688</f>
        <v>1.3510425000000001</v>
      </c>
      <c r="N688" s="31" t="s">
        <v>1579</v>
      </c>
      <c r="P688" s="592"/>
      <c r="Q688" s="592"/>
      <c r="R688" s="592"/>
      <c r="S688" s="592"/>
      <c r="T688" s="592"/>
      <c r="U688" s="592"/>
      <c r="V688" s="592"/>
      <c r="W688" s="592"/>
      <c r="X688" s="592"/>
      <c r="AB688" s="56">
        <f>IF(AS688="5",BL688,0)</f>
        <v>0</v>
      </c>
      <c r="AD688" s="56">
        <f>IF(AS688="1",BJ688,0)</f>
        <v>0</v>
      </c>
      <c r="AE688" s="56">
        <f>IF(AS688="1",BK688,0)</f>
        <v>0</v>
      </c>
      <c r="AF688" s="56">
        <f>IF(AS688="7",BJ688,0)</f>
        <v>0</v>
      </c>
      <c r="AG688" s="56">
        <f>IF(AS688="7",BK688,0)</f>
        <v>0</v>
      </c>
      <c r="AH688" s="56">
        <f>IF(AS688="2",BJ688,0)</f>
        <v>0</v>
      </c>
      <c r="AI688" s="56">
        <f>IF(AS688="2",BK688,0)</f>
        <v>0</v>
      </c>
      <c r="AJ688" s="56">
        <f>IF(AS688="0",BL688,0)</f>
        <v>0</v>
      </c>
      <c r="AK688" s="7" t="s">
        <v>1746</v>
      </c>
      <c r="AL688" s="56">
        <f>IF(AP688=0,K688,0)</f>
        <v>0</v>
      </c>
      <c r="AM688" s="56">
        <f>IF(AP688=15,K688,0)</f>
        <v>0</v>
      </c>
      <c r="AN688" s="56">
        <f>IF(AP688=21,K688,0)</f>
        <v>0</v>
      </c>
      <c r="AP688" s="56">
        <v>21</v>
      </c>
      <c r="AQ688" s="88">
        <f>H688*0.00831862505960962</f>
        <v>0</v>
      </c>
      <c r="AR688" s="88">
        <f>H688*(1-0.00831862505960962)</f>
        <v>0</v>
      </c>
      <c r="AS688" s="21" t="s">
        <v>2297</v>
      </c>
      <c r="AX688" s="56">
        <f>AY688+AZ688</f>
        <v>0</v>
      </c>
      <c r="AY688" s="56">
        <f>G688*AQ688</f>
        <v>0</v>
      </c>
      <c r="AZ688" s="56">
        <f>G688*AR688</f>
        <v>0</v>
      </c>
      <c r="BA688" s="21" t="s">
        <v>725</v>
      </c>
      <c r="BB688" s="21" t="s">
        <v>294</v>
      </c>
      <c r="BC688" s="7" t="s">
        <v>1747</v>
      </c>
      <c r="BE688" s="56">
        <f>AY688+AZ688</f>
        <v>0</v>
      </c>
      <c r="BF688" s="56">
        <f>H688/(100-BG688)*100</f>
        <v>0</v>
      </c>
      <c r="BG688" s="56">
        <v>0</v>
      </c>
      <c r="BH688" s="56">
        <f>M688</f>
        <v>1.3510425000000001</v>
      </c>
      <c r="BJ688" s="56">
        <f>G688*AQ688</f>
        <v>0</v>
      </c>
      <c r="BK688" s="56">
        <f>G688*AR688</f>
        <v>0</v>
      </c>
      <c r="BL688" s="56">
        <f>G688*H688</f>
        <v>0</v>
      </c>
      <c r="BM688" s="56"/>
      <c r="BN688" s="56">
        <v>97</v>
      </c>
    </row>
    <row r="689" spans="1:66" ht="15" customHeight="1">
      <c r="A689" s="36"/>
      <c r="D689" s="45" t="s">
        <v>68</v>
      </c>
      <c r="E689" s="104" t="s">
        <v>521</v>
      </c>
      <c r="G689" s="13">
        <v>0.75000000000000011</v>
      </c>
      <c r="N689" s="19"/>
      <c r="P689" s="592"/>
      <c r="Q689" s="592"/>
      <c r="R689" s="592"/>
      <c r="S689" s="592"/>
      <c r="T689" s="592"/>
      <c r="U689" s="592"/>
      <c r="V689" s="592"/>
      <c r="W689" s="592"/>
      <c r="X689" s="592"/>
    </row>
    <row r="690" spans="1:66" ht="15" customHeight="1">
      <c r="A690" s="32" t="s">
        <v>1597</v>
      </c>
      <c r="B690" s="26" t="s">
        <v>1746</v>
      </c>
      <c r="C690" s="512" t="s">
        <v>1494</v>
      </c>
      <c r="D690" s="709" t="s">
        <v>1414</v>
      </c>
      <c r="E690" s="709"/>
      <c r="F690" s="46" t="s">
        <v>2144</v>
      </c>
      <c r="G690" s="46" t="s">
        <v>2144</v>
      </c>
      <c r="H690" s="46" t="s">
        <v>2144</v>
      </c>
      <c r="I690" s="17">
        <f>SUM(I691:I691)</f>
        <v>0</v>
      </c>
      <c r="J690" s="17">
        <f>SUM(J691:J691)</f>
        <v>0</v>
      </c>
      <c r="K690" s="515">
        <f>SUM(K691:K691)</f>
        <v>0</v>
      </c>
      <c r="L690" s="7" t="s">
        <v>1597</v>
      </c>
      <c r="M690" s="17">
        <f>SUM(M691:M691)</f>
        <v>0</v>
      </c>
      <c r="N690" s="20" t="s">
        <v>1597</v>
      </c>
      <c r="P690" s="592">
        <f>K690</f>
        <v>0</v>
      </c>
      <c r="Q690" s="592"/>
      <c r="R690" s="592"/>
      <c r="S690" s="592"/>
      <c r="T690" s="592"/>
      <c r="U690" s="592"/>
      <c r="V690" s="592"/>
      <c r="W690" s="592"/>
      <c r="X690" s="592"/>
      <c r="AK690" s="7" t="s">
        <v>1746</v>
      </c>
      <c r="AU690" s="17">
        <f>SUM(AL691:AL691)</f>
        <v>0</v>
      </c>
      <c r="AV690" s="17">
        <f>SUM(AM691:AM691)</f>
        <v>0</v>
      </c>
      <c r="AW690" s="17">
        <f>SUM(AN691:AN691)</f>
        <v>0</v>
      </c>
    </row>
    <row r="691" spans="1:66" ht="15" customHeight="1">
      <c r="A691" s="24" t="s">
        <v>2242</v>
      </c>
      <c r="B691" s="12" t="s">
        <v>1746</v>
      </c>
      <c r="C691" s="12" t="s">
        <v>607</v>
      </c>
      <c r="D691" s="630" t="s">
        <v>429</v>
      </c>
      <c r="E691" s="630"/>
      <c r="F691" s="12" t="s">
        <v>1074</v>
      </c>
      <c r="G691" s="56">
        <v>870.52</v>
      </c>
      <c r="H691" s="625"/>
      <c r="I691" s="56">
        <f>G691*AQ691</f>
        <v>0</v>
      </c>
      <c r="J691" s="56">
        <f>G691*AR691</f>
        <v>0</v>
      </c>
      <c r="K691" s="56">
        <f>G691*H691</f>
        <v>0</v>
      </c>
      <c r="L691" s="56">
        <v>0</v>
      </c>
      <c r="M691" s="56">
        <f>G691*L691</f>
        <v>0</v>
      </c>
      <c r="N691" s="31" t="s">
        <v>1579</v>
      </c>
      <c r="P691" s="592"/>
      <c r="Q691" s="592"/>
      <c r="R691" s="592"/>
      <c r="S691" s="592"/>
      <c r="T691" s="592"/>
      <c r="U691" s="592"/>
      <c r="V691" s="592"/>
      <c r="W691" s="592"/>
      <c r="X691" s="592"/>
      <c r="AB691" s="56">
        <f>IF(AS691="5",BL691,0)</f>
        <v>0</v>
      </c>
      <c r="AD691" s="56">
        <f>IF(AS691="1",BJ691,0)</f>
        <v>0</v>
      </c>
      <c r="AE691" s="56">
        <f>IF(AS691="1",BK691,0)</f>
        <v>0</v>
      </c>
      <c r="AF691" s="56">
        <f>IF(AS691="7",BJ691,0)</f>
        <v>0</v>
      </c>
      <c r="AG691" s="56">
        <f>IF(AS691="7",BK691,0)</f>
        <v>0</v>
      </c>
      <c r="AH691" s="56">
        <f>IF(AS691="2",BJ691,0)</f>
        <v>0</v>
      </c>
      <c r="AI691" s="56">
        <f>IF(AS691="2",BK691,0)</f>
        <v>0</v>
      </c>
      <c r="AJ691" s="56">
        <f>IF(AS691="0",BL691,0)</f>
        <v>0</v>
      </c>
      <c r="AK691" s="7" t="s">
        <v>1746</v>
      </c>
      <c r="AL691" s="56">
        <f>IF(AP691=0,K691,0)</f>
        <v>0</v>
      </c>
      <c r="AM691" s="56">
        <f>IF(AP691=15,K691,0)</f>
        <v>0</v>
      </c>
      <c r="AN691" s="56">
        <f>IF(AP691=21,K691,0)</f>
        <v>0</v>
      </c>
      <c r="AP691" s="56">
        <v>21</v>
      </c>
      <c r="AQ691" s="88">
        <f>H691*0</f>
        <v>0</v>
      </c>
      <c r="AR691" s="88">
        <f>H691*(1-0)</f>
        <v>0</v>
      </c>
      <c r="AS691" s="21" t="s">
        <v>1227</v>
      </c>
      <c r="AX691" s="56">
        <f>AY691+AZ691</f>
        <v>0</v>
      </c>
      <c r="AY691" s="56">
        <f>G691*AQ691</f>
        <v>0</v>
      </c>
      <c r="AZ691" s="56">
        <f>G691*AR691</f>
        <v>0</v>
      </c>
      <c r="BA691" s="21" t="s">
        <v>2353</v>
      </c>
      <c r="BB691" s="21" t="s">
        <v>294</v>
      </c>
      <c r="BC691" s="7" t="s">
        <v>1747</v>
      </c>
      <c r="BE691" s="56">
        <f>AY691+AZ691</f>
        <v>0</v>
      </c>
      <c r="BF691" s="56">
        <f>H691/(100-BG691)*100</f>
        <v>0</v>
      </c>
      <c r="BG691" s="56">
        <v>0</v>
      </c>
      <c r="BH691" s="56">
        <f>M691</f>
        <v>0</v>
      </c>
      <c r="BJ691" s="56">
        <f>G691*AQ691</f>
        <v>0</v>
      </c>
      <c r="BK691" s="56">
        <f>G691*AR691</f>
        <v>0</v>
      </c>
      <c r="BL691" s="56">
        <f>G691*H691</f>
        <v>0</v>
      </c>
      <c r="BM691" s="56"/>
      <c r="BN691" s="56"/>
    </row>
    <row r="692" spans="1:66" ht="15" customHeight="1">
      <c r="A692" s="36"/>
      <c r="D692" s="45" t="s">
        <v>297</v>
      </c>
      <c r="E692" s="104" t="s">
        <v>1597</v>
      </c>
      <c r="G692" s="13">
        <v>870.5200000000001</v>
      </c>
      <c r="N692" s="19"/>
      <c r="P692" s="592"/>
      <c r="Q692" s="592"/>
      <c r="R692" s="592"/>
      <c r="S692" s="592"/>
      <c r="T692" s="592"/>
      <c r="U692" s="592"/>
      <c r="V692" s="592"/>
      <c r="W692" s="592"/>
      <c r="X692" s="592"/>
    </row>
    <row r="693" spans="1:66" ht="15" customHeight="1">
      <c r="A693" s="32" t="s">
        <v>1597</v>
      </c>
      <c r="B693" s="26" t="s">
        <v>1746</v>
      </c>
      <c r="C693" s="512" t="s">
        <v>2296</v>
      </c>
      <c r="D693" s="709" t="s">
        <v>2620</v>
      </c>
      <c r="E693" s="709"/>
      <c r="F693" s="46" t="s">
        <v>2144</v>
      </c>
      <c r="G693" s="46" t="s">
        <v>2144</v>
      </c>
      <c r="H693" s="46" t="s">
        <v>2144</v>
      </c>
      <c r="I693" s="17">
        <f>SUM(I694:I694)</f>
        <v>0</v>
      </c>
      <c r="J693" s="17">
        <f>SUM(J694:J694)</f>
        <v>0</v>
      </c>
      <c r="K693" s="515">
        <f>SUM(K694:K694)</f>
        <v>0</v>
      </c>
      <c r="L693" s="7" t="s">
        <v>1597</v>
      </c>
      <c r="M693" s="17">
        <f>SUM(M694:M694)</f>
        <v>0</v>
      </c>
      <c r="N693" s="20" t="s">
        <v>1597</v>
      </c>
      <c r="P693" s="592">
        <f>K693</f>
        <v>0</v>
      </c>
      <c r="Q693" s="592"/>
      <c r="R693" s="592"/>
      <c r="S693" s="592"/>
      <c r="T693" s="592"/>
      <c r="U693" s="592"/>
      <c r="V693" s="592"/>
      <c r="W693" s="592"/>
      <c r="X693" s="592"/>
      <c r="AK693" s="7" t="s">
        <v>1746</v>
      </c>
      <c r="AU693" s="17">
        <f>SUM(AL694:AL694)</f>
        <v>0</v>
      </c>
      <c r="AV693" s="17">
        <f>SUM(AM694:AM694)</f>
        <v>0</v>
      </c>
      <c r="AW693" s="17">
        <f>SUM(AN694:AN694)</f>
        <v>0</v>
      </c>
    </row>
    <row r="694" spans="1:66" ht="15" customHeight="1">
      <c r="A694" s="24" t="s">
        <v>1843</v>
      </c>
      <c r="B694" s="12" t="s">
        <v>1746</v>
      </c>
      <c r="C694" s="12" t="s">
        <v>2198</v>
      </c>
      <c r="D694" s="630" t="s">
        <v>1818</v>
      </c>
      <c r="E694" s="630"/>
      <c r="F694" s="12" t="s">
        <v>1074</v>
      </c>
      <c r="G694" s="56">
        <v>1.85</v>
      </c>
      <c r="H694" s="625"/>
      <c r="I694" s="56">
        <f>G694*AQ694</f>
        <v>0</v>
      </c>
      <c r="J694" s="56">
        <f>G694*AR694</f>
        <v>0</v>
      </c>
      <c r="K694" s="56">
        <f>G694*H694</f>
        <v>0</v>
      </c>
      <c r="L694" s="56">
        <v>0</v>
      </c>
      <c r="M694" s="56">
        <f>G694*L694</f>
        <v>0</v>
      </c>
      <c r="N694" s="31" t="s">
        <v>1579</v>
      </c>
      <c r="P694" s="592"/>
      <c r="Q694" s="592"/>
      <c r="R694" s="592"/>
      <c r="S694" s="592"/>
      <c r="T694" s="592"/>
      <c r="U694" s="592"/>
      <c r="V694" s="592"/>
      <c r="W694" s="592"/>
      <c r="X694" s="592"/>
      <c r="AB694" s="56">
        <f>IF(AS694="5",BL694,0)</f>
        <v>0</v>
      </c>
      <c r="AD694" s="56">
        <f>IF(AS694="1",BJ694,0)</f>
        <v>0</v>
      </c>
      <c r="AE694" s="56">
        <f>IF(AS694="1",BK694,0)</f>
        <v>0</v>
      </c>
      <c r="AF694" s="56">
        <f>IF(AS694="7",BJ694,0)</f>
        <v>0</v>
      </c>
      <c r="AG694" s="56">
        <f>IF(AS694="7",BK694,0)</f>
        <v>0</v>
      </c>
      <c r="AH694" s="56">
        <f>IF(AS694="2",BJ694,0)</f>
        <v>0</v>
      </c>
      <c r="AI694" s="56">
        <f>IF(AS694="2",BK694,0)</f>
        <v>0</v>
      </c>
      <c r="AJ694" s="56">
        <f>IF(AS694="0",BL694,0)</f>
        <v>0</v>
      </c>
      <c r="AK694" s="7" t="s">
        <v>1746</v>
      </c>
      <c r="AL694" s="56">
        <f>IF(AP694=0,K694,0)</f>
        <v>0</v>
      </c>
      <c r="AM694" s="56">
        <f>IF(AP694=15,K694,0)</f>
        <v>0</v>
      </c>
      <c r="AN694" s="56">
        <f>IF(AP694=21,K694,0)</f>
        <v>0</v>
      </c>
      <c r="AP694" s="56">
        <v>21</v>
      </c>
      <c r="AQ694" s="88">
        <f>H694*0</f>
        <v>0</v>
      </c>
      <c r="AR694" s="88">
        <f>H694*(1-0)</f>
        <v>0</v>
      </c>
      <c r="AS694" s="21" t="s">
        <v>1227</v>
      </c>
      <c r="AX694" s="56">
        <f>AY694+AZ694</f>
        <v>0</v>
      </c>
      <c r="AY694" s="56">
        <f>G694*AQ694</f>
        <v>0</v>
      </c>
      <c r="AZ694" s="56">
        <f>G694*AR694</f>
        <v>0</v>
      </c>
      <c r="BA694" s="21" t="s">
        <v>816</v>
      </c>
      <c r="BB694" s="21" t="s">
        <v>294</v>
      </c>
      <c r="BC694" s="7" t="s">
        <v>1747</v>
      </c>
      <c r="BE694" s="56">
        <f>AY694+AZ694</f>
        <v>0</v>
      </c>
      <c r="BF694" s="56">
        <f>H694/(100-BG694)*100</f>
        <v>0</v>
      </c>
      <c r="BG694" s="56">
        <v>0</v>
      </c>
      <c r="BH694" s="56">
        <f>M694</f>
        <v>0</v>
      </c>
      <c r="BJ694" s="56">
        <f>G694*AQ694</f>
        <v>0</v>
      </c>
      <c r="BK694" s="56">
        <f>G694*AR694</f>
        <v>0</v>
      </c>
      <c r="BL694" s="56">
        <f>G694*H694</f>
        <v>0</v>
      </c>
      <c r="BM694" s="56"/>
      <c r="BN694" s="56"/>
    </row>
    <row r="695" spans="1:66" ht="15" customHeight="1">
      <c r="A695" s="36"/>
      <c r="D695" s="45" t="s">
        <v>730</v>
      </c>
      <c r="E695" s="104" t="s">
        <v>1597</v>
      </c>
      <c r="G695" s="13">
        <v>1.85</v>
      </c>
      <c r="N695" s="19"/>
      <c r="P695" s="592"/>
      <c r="Q695" s="592"/>
      <c r="R695" s="592"/>
      <c r="S695" s="592"/>
      <c r="T695" s="592"/>
      <c r="U695" s="592"/>
      <c r="V695" s="592"/>
      <c r="W695" s="592"/>
      <c r="X695" s="592"/>
    </row>
    <row r="696" spans="1:66" ht="15" customHeight="1">
      <c r="A696" s="32" t="s">
        <v>1597</v>
      </c>
      <c r="B696" s="26" t="s">
        <v>1746</v>
      </c>
      <c r="C696" s="512" t="s">
        <v>302</v>
      </c>
      <c r="D696" s="709" t="s">
        <v>1993</v>
      </c>
      <c r="E696" s="709"/>
      <c r="F696" s="46" t="s">
        <v>2144</v>
      </c>
      <c r="G696" s="46" t="s">
        <v>2144</v>
      </c>
      <c r="H696" s="46" t="s">
        <v>2144</v>
      </c>
      <c r="I696" s="17">
        <f>SUM(I697:I697)</f>
        <v>0</v>
      </c>
      <c r="J696" s="17">
        <f>SUM(J697:J697)</f>
        <v>0</v>
      </c>
      <c r="K696" s="515">
        <f>SUM(K697:K697)</f>
        <v>0</v>
      </c>
      <c r="L696" s="7" t="s">
        <v>1597</v>
      </c>
      <c r="M696" s="17">
        <f>SUM(M697:M697)</f>
        <v>0</v>
      </c>
      <c r="N696" s="20" t="s">
        <v>1597</v>
      </c>
      <c r="P696" s="592">
        <f>K696</f>
        <v>0</v>
      </c>
      <c r="Q696" s="592"/>
      <c r="R696" s="592"/>
      <c r="S696" s="592"/>
      <c r="T696" s="592"/>
      <c r="U696" s="592"/>
      <c r="V696" s="592"/>
      <c r="W696" s="592"/>
      <c r="X696" s="592"/>
      <c r="AK696" s="7" t="s">
        <v>1746</v>
      </c>
      <c r="AU696" s="17">
        <f>SUM(AL697:AL697)</f>
        <v>0</v>
      </c>
      <c r="AV696" s="17">
        <f>SUM(AM697:AM697)</f>
        <v>0</v>
      </c>
      <c r="AW696" s="17">
        <f>SUM(AN697:AN697)</f>
        <v>0</v>
      </c>
    </row>
    <row r="697" spans="1:66" ht="15" customHeight="1">
      <c r="A697" s="24" t="s">
        <v>1821</v>
      </c>
      <c r="B697" s="12" t="s">
        <v>1746</v>
      </c>
      <c r="C697" s="12" t="s">
        <v>821</v>
      </c>
      <c r="D697" s="630" t="s">
        <v>2147</v>
      </c>
      <c r="E697" s="630"/>
      <c r="F697" s="12" t="s">
        <v>1074</v>
      </c>
      <c r="G697" s="56">
        <v>28.34</v>
      </c>
      <c r="H697" s="625"/>
      <c r="I697" s="56">
        <f>G697*AQ697</f>
        <v>0</v>
      </c>
      <c r="J697" s="56">
        <f>G697*AR697</f>
        <v>0</v>
      </c>
      <c r="K697" s="56">
        <f>G697*H697</f>
        <v>0</v>
      </c>
      <c r="L697" s="56">
        <v>0</v>
      </c>
      <c r="M697" s="56">
        <f>G697*L697</f>
        <v>0</v>
      </c>
      <c r="N697" s="31" t="s">
        <v>1579</v>
      </c>
      <c r="P697" s="592"/>
      <c r="Q697" s="592"/>
      <c r="R697" s="592"/>
      <c r="S697" s="592"/>
      <c r="T697" s="592"/>
      <c r="U697" s="592"/>
      <c r="V697" s="592"/>
      <c r="W697" s="592"/>
      <c r="X697" s="592"/>
      <c r="AB697" s="56">
        <f>IF(AS697="5",BL697,0)</f>
        <v>0</v>
      </c>
      <c r="AD697" s="56">
        <f>IF(AS697="1",BJ697,0)</f>
        <v>0</v>
      </c>
      <c r="AE697" s="56">
        <f>IF(AS697="1",BK697,0)</f>
        <v>0</v>
      </c>
      <c r="AF697" s="56">
        <f>IF(AS697="7",BJ697,0)</f>
        <v>0</v>
      </c>
      <c r="AG697" s="56">
        <f>IF(AS697="7",BK697,0)</f>
        <v>0</v>
      </c>
      <c r="AH697" s="56">
        <f>IF(AS697="2",BJ697,0)</f>
        <v>0</v>
      </c>
      <c r="AI697" s="56">
        <f>IF(AS697="2",BK697,0)</f>
        <v>0</v>
      </c>
      <c r="AJ697" s="56">
        <f>IF(AS697="0",BL697,0)</f>
        <v>0</v>
      </c>
      <c r="AK697" s="7" t="s">
        <v>1746</v>
      </c>
      <c r="AL697" s="56">
        <f>IF(AP697=0,K697,0)</f>
        <v>0</v>
      </c>
      <c r="AM697" s="56">
        <f>IF(AP697=15,K697,0)</f>
        <v>0</v>
      </c>
      <c r="AN697" s="56">
        <f>IF(AP697=21,K697,0)</f>
        <v>0</v>
      </c>
      <c r="AP697" s="56">
        <v>21</v>
      </c>
      <c r="AQ697" s="88">
        <f>H697*0</f>
        <v>0</v>
      </c>
      <c r="AR697" s="88">
        <f>H697*(1-0)</f>
        <v>0</v>
      </c>
      <c r="AS697" s="21" t="s">
        <v>1227</v>
      </c>
      <c r="AX697" s="56">
        <f>AY697+AZ697</f>
        <v>0</v>
      </c>
      <c r="AY697" s="56">
        <f>G697*AQ697</f>
        <v>0</v>
      </c>
      <c r="AZ697" s="56">
        <f>G697*AR697</f>
        <v>0</v>
      </c>
      <c r="BA697" s="21" t="s">
        <v>2087</v>
      </c>
      <c r="BB697" s="21" t="s">
        <v>294</v>
      </c>
      <c r="BC697" s="7" t="s">
        <v>1747</v>
      </c>
      <c r="BE697" s="56">
        <f>AY697+AZ697</f>
        <v>0</v>
      </c>
      <c r="BF697" s="56">
        <f>H697/(100-BG697)*100</f>
        <v>0</v>
      </c>
      <c r="BG697" s="56">
        <v>0</v>
      </c>
      <c r="BH697" s="56">
        <f>M697</f>
        <v>0</v>
      </c>
      <c r="BJ697" s="56">
        <f>G697*AQ697</f>
        <v>0</v>
      </c>
      <c r="BK697" s="56">
        <f>G697*AR697</f>
        <v>0</v>
      </c>
      <c r="BL697" s="56">
        <f>G697*H697</f>
        <v>0</v>
      </c>
      <c r="BM697" s="56"/>
      <c r="BN697" s="56"/>
    </row>
    <row r="698" spans="1:66" ht="15" customHeight="1">
      <c r="A698" s="36"/>
      <c r="D698" s="45" t="s">
        <v>2254</v>
      </c>
      <c r="E698" s="104" t="s">
        <v>1597</v>
      </c>
      <c r="G698" s="13">
        <v>28.340000000000003</v>
      </c>
      <c r="N698" s="19"/>
      <c r="P698" s="592"/>
      <c r="Q698" s="592"/>
      <c r="R698" s="592"/>
      <c r="S698" s="592"/>
      <c r="T698" s="592"/>
      <c r="U698" s="592"/>
      <c r="V698" s="592"/>
      <c r="W698" s="592"/>
      <c r="X698" s="592"/>
    </row>
    <row r="699" spans="1:66" ht="15" customHeight="1">
      <c r="A699" s="32" t="s">
        <v>1597</v>
      </c>
      <c r="B699" s="26" t="s">
        <v>1746</v>
      </c>
      <c r="C699" s="512" t="s">
        <v>835</v>
      </c>
      <c r="D699" s="709" t="s">
        <v>2463</v>
      </c>
      <c r="E699" s="709"/>
      <c r="F699" s="46" t="s">
        <v>2144</v>
      </c>
      <c r="G699" s="46" t="s">
        <v>2144</v>
      </c>
      <c r="H699" s="46" t="s">
        <v>2144</v>
      </c>
      <c r="I699" s="17">
        <f>SUM(I700:I700)</f>
        <v>0</v>
      </c>
      <c r="J699" s="17">
        <f>SUM(J700:J700)</f>
        <v>0</v>
      </c>
      <c r="K699" s="515">
        <f>SUM(K700:K700)</f>
        <v>0</v>
      </c>
      <c r="L699" s="7" t="s">
        <v>1597</v>
      </c>
      <c r="M699" s="17">
        <f>SUM(M700:M700)</f>
        <v>0</v>
      </c>
      <c r="N699" s="20" t="s">
        <v>1597</v>
      </c>
      <c r="P699" s="592">
        <f>K699</f>
        <v>0</v>
      </c>
      <c r="Q699" s="592"/>
      <c r="R699" s="592"/>
      <c r="S699" s="592"/>
      <c r="T699" s="592"/>
      <c r="U699" s="592"/>
      <c r="V699" s="592"/>
      <c r="W699" s="592"/>
      <c r="X699" s="592"/>
      <c r="AK699" s="7" t="s">
        <v>1746</v>
      </c>
      <c r="AU699" s="17">
        <f>SUM(AL700:AL700)</f>
        <v>0</v>
      </c>
      <c r="AV699" s="17">
        <f>SUM(AM700:AM700)</f>
        <v>0</v>
      </c>
      <c r="AW699" s="17">
        <f>SUM(AN700:AN700)</f>
        <v>0</v>
      </c>
    </row>
    <row r="700" spans="1:66" ht="15" customHeight="1">
      <c r="A700" s="24" t="s">
        <v>334</v>
      </c>
      <c r="B700" s="12" t="s">
        <v>1746</v>
      </c>
      <c r="C700" s="12" t="s">
        <v>1774</v>
      </c>
      <c r="D700" s="630" t="s">
        <v>2510</v>
      </c>
      <c r="E700" s="630"/>
      <c r="F700" s="12" t="s">
        <v>1074</v>
      </c>
      <c r="G700" s="56">
        <v>11.31</v>
      </c>
      <c r="H700" s="625"/>
      <c r="I700" s="56">
        <f>G700*AQ700</f>
        <v>0</v>
      </c>
      <c r="J700" s="56">
        <f>G700*AR700</f>
        <v>0</v>
      </c>
      <c r="K700" s="56">
        <f>G700*H700</f>
        <v>0</v>
      </c>
      <c r="L700" s="56">
        <v>0</v>
      </c>
      <c r="M700" s="56">
        <f>G700*L700</f>
        <v>0</v>
      </c>
      <c r="N700" s="31" t="s">
        <v>1579</v>
      </c>
      <c r="P700" s="592"/>
      <c r="Q700" s="592"/>
      <c r="R700" s="592"/>
      <c r="S700" s="592"/>
      <c r="T700" s="592"/>
      <c r="U700" s="592"/>
      <c r="V700" s="592"/>
      <c r="W700" s="592"/>
      <c r="X700" s="592"/>
      <c r="AB700" s="56">
        <f>IF(AS700="5",BL700,0)</f>
        <v>0</v>
      </c>
      <c r="AD700" s="56">
        <f>IF(AS700="1",BJ700,0)</f>
        <v>0</v>
      </c>
      <c r="AE700" s="56">
        <f>IF(AS700="1",BK700,0)</f>
        <v>0</v>
      </c>
      <c r="AF700" s="56">
        <f>IF(AS700="7",BJ700,0)</f>
        <v>0</v>
      </c>
      <c r="AG700" s="56">
        <f>IF(AS700="7",BK700,0)</f>
        <v>0</v>
      </c>
      <c r="AH700" s="56">
        <f>IF(AS700="2",BJ700,0)</f>
        <v>0</v>
      </c>
      <c r="AI700" s="56">
        <f>IF(AS700="2",BK700,0)</f>
        <v>0</v>
      </c>
      <c r="AJ700" s="56">
        <f>IF(AS700="0",BL700,0)</f>
        <v>0</v>
      </c>
      <c r="AK700" s="7" t="s">
        <v>1746</v>
      </c>
      <c r="AL700" s="56">
        <f>IF(AP700=0,K700,0)</f>
        <v>0</v>
      </c>
      <c r="AM700" s="56">
        <f>IF(AP700=15,K700,0)</f>
        <v>0</v>
      </c>
      <c r="AN700" s="56">
        <f>IF(AP700=21,K700,0)</f>
        <v>0</v>
      </c>
      <c r="AP700" s="56">
        <v>21</v>
      </c>
      <c r="AQ700" s="88">
        <f>H700*0</f>
        <v>0</v>
      </c>
      <c r="AR700" s="88">
        <f>H700*(1-0)</f>
        <v>0</v>
      </c>
      <c r="AS700" s="21" t="s">
        <v>1227</v>
      </c>
      <c r="AX700" s="56">
        <f>AY700+AZ700</f>
        <v>0</v>
      </c>
      <c r="AY700" s="56">
        <f>G700*AQ700</f>
        <v>0</v>
      </c>
      <c r="AZ700" s="56">
        <f>G700*AR700</f>
        <v>0</v>
      </c>
      <c r="BA700" s="21" t="s">
        <v>190</v>
      </c>
      <c r="BB700" s="21" t="s">
        <v>294</v>
      </c>
      <c r="BC700" s="7" t="s">
        <v>1747</v>
      </c>
      <c r="BE700" s="56">
        <f>AY700+AZ700</f>
        <v>0</v>
      </c>
      <c r="BF700" s="56">
        <f>H700/(100-BG700)*100</f>
        <v>0</v>
      </c>
      <c r="BG700" s="56">
        <v>0</v>
      </c>
      <c r="BH700" s="56">
        <f>M700</f>
        <v>0</v>
      </c>
      <c r="BJ700" s="56">
        <f>G700*AQ700</f>
        <v>0</v>
      </c>
      <c r="BK700" s="56">
        <f>G700*AR700</f>
        <v>0</v>
      </c>
      <c r="BL700" s="56">
        <f>G700*H700</f>
        <v>0</v>
      </c>
      <c r="BM700" s="56"/>
      <c r="BN700" s="56"/>
    </row>
    <row r="701" spans="1:66" ht="15" customHeight="1">
      <c r="A701" s="36"/>
      <c r="D701" s="45" t="s">
        <v>2306</v>
      </c>
      <c r="E701" s="104" t="s">
        <v>1597</v>
      </c>
      <c r="G701" s="13">
        <v>11.31</v>
      </c>
      <c r="N701" s="19"/>
      <c r="P701" s="592"/>
      <c r="Q701" s="592"/>
      <c r="R701" s="592"/>
      <c r="S701" s="592"/>
      <c r="T701" s="592"/>
      <c r="U701" s="592"/>
      <c r="V701" s="592"/>
      <c r="W701" s="592"/>
      <c r="X701" s="592"/>
    </row>
    <row r="702" spans="1:66" ht="15" customHeight="1">
      <c r="A702" s="32" t="s">
        <v>1597</v>
      </c>
      <c r="B702" s="26" t="s">
        <v>1746</v>
      </c>
      <c r="C702" s="512" t="s">
        <v>458</v>
      </c>
      <c r="D702" s="709" t="s">
        <v>305</v>
      </c>
      <c r="E702" s="709"/>
      <c r="F702" s="46" t="s">
        <v>2144</v>
      </c>
      <c r="G702" s="46" t="s">
        <v>2144</v>
      </c>
      <c r="H702" s="46" t="s">
        <v>2144</v>
      </c>
      <c r="I702" s="17">
        <f>SUM(I703:I703)</f>
        <v>0</v>
      </c>
      <c r="J702" s="17">
        <f>SUM(J703:J703)</f>
        <v>0</v>
      </c>
      <c r="K702" s="515">
        <f>SUM(K703:K703)</f>
        <v>0</v>
      </c>
      <c r="L702" s="7" t="s">
        <v>1597</v>
      </c>
      <c r="M702" s="17">
        <f>SUM(M703:M703)</f>
        <v>0</v>
      </c>
      <c r="N702" s="20" t="s">
        <v>1597</v>
      </c>
      <c r="P702" s="592">
        <f>K702</f>
        <v>0</v>
      </c>
      <c r="Q702" s="592"/>
      <c r="R702" s="592"/>
      <c r="S702" s="592"/>
      <c r="T702" s="592"/>
      <c r="U702" s="592"/>
      <c r="V702" s="592"/>
      <c r="W702" s="592"/>
      <c r="X702" s="592"/>
      <c r="AK702" s="7" t="s">
        <v>1746</v>
      </c>
      <c r="AU702" s="17">
        <f>SUM(AL703:AL703)</f>
        <v>0</v>
      </c>
      <c r="AV702" s="17">
        <f>SUM(AM703:AM703)</f>
        <v>0</v>
      </c>
      <c r="AW702" s="17">
        <f>SUM(AN703:AN703)</f>
        <v>0</v>
      </c>
    </row>
    <row r="703" spans="1:66" ht="15" customHeight="1">
      <c r="A703" s="24" t="s">
        <v>989</v>
      </c>
      <c r="B703" s="12" t="s">
        <v>1746</v>
      </c>
      <c r="C703" s="12" t="s">
        <v>1768</v>
      </c>
      <c r="D703" s="630" t="s">
        <v>2508</v>
      </c>
      <c r="E703" s="630"/>
      <c r="F703" s="12" t="s">
        <v>1074</v>
      </c>
      <c r="G703" s="56">
        <v>2.66</v>
      </c>
      <c r="H703" s="625"/>
      <c r="I703" s="56">
        <f>G703*AQ703</f>
        <v>0</v>
      </c>
      <c r="J703" s="56">
        <f>G703*AR703</f>
        <v>0</v>
      </c>
      <c r="K703" s="56">
        <f>G703*H703</f>
        <v>0</v>
      </c>
      <c r="L703" s="56">
        <v>0</v>
      </c>
      <c r="M703" s="56">
        <f>G703*L703</f>
        <v>0</v>
      </c>
      <c r="N703" s="31" t="s">
        <v>1579</v>
      </c>
      <c r="P703" s="592"/>
      <c r="Q703" s="592"/>
      <c r="R703" s="592"/>
      <c r="S703" s="592"/>
      <c r="T703" s="592"/>
      <c r="U703" s="592"/>
      <c r="V703" s="592"/>
      <c r="W703" s="592"/>
      <c r="X703" s="592"/>
      <c r="AB703" s="56">
        <f>IF(AS703="5",BL703,0)</f>
        <v>0</v>
      </c>
      <c r="AD703" s="56">
        <f>IF(AS703="1",BJ703,0)</f>
        <v>0</v>
      </c>
      <c r="AE703" s="56">
        <f>IF(AS703="1",BK703,0)</f>
        <v>0</v>
      </c>
      <c r="AF703" s="56">
        <f>IF(AS703="7",BJ703,0)</f>
        <v>0</v>
      </c>
      <c r="AG703" s="56">
        <f>IF(AS703="7",BK703,0)</f>
        <v>0</v>
      </c>
      <c r="AH703" s="56">
        <f>IF(AS703="2",BJ703,0)</f>
        <v>0</v>
      </c>
      <c r="AI703" s="56">
        <f>IF(AS703="2",BK703,0)</f>
        <v>0</v>
      </c>
      <c r="AJ703" s="56">
        <f>IF(AS703="0",BL703,0)</f>
        <v>0</v>
      </c>
      <c r="AK703" s="7" t="s">
        <v>1746</v>
      </c>
      <c r="AL703" s="56">
        <f>IF(AP703=0,K703,0)</f>
        <v>0</v>
      </c>
      <c r="AM703" s="56">
        <f>IF(AP703=15,K703,0)</f>
        <v>0</v>
      </c>
      <c r="AN703" s="56">
        <f>IF(AP703=21,K703,0)</f>
        <v>0</v>
      </c>
      <c r="AP703" s="56">
        <v>21</v>
      </c>
      <c r="AQ703" s="88">
        <f>H703*0</f>
        <v>0</v>
      </c>
      <c r="AR703" s="88">
        <f>H703*(1-0)</f>
        <v>0</v>
      </c>
      <c r="AS703" s="21" t="s">
        <v>1227</v>
      </c>
      <c r="AX703" s="56">
        <f>AY703+AZ703</f>
        <v>0</v>
      </c>
      <c r="AY703" s="56">
        <f>G703*AQ703</f>
        <v>0</v>
      </c>
      <c r="AZ703" s="56">
        <f>G703*AR703</f>
        <v>0</v>
      </c>
      <c r="BA703" s="21" t="s">
        <v>536</v>
      </c>
      <c r="BB703" s="21" t="s">
        <v>294</v>
      </c>
      <c r="BC703" s="7" t="s">
        <v>1747</v>
      </c>
      <c r="BE703" s="56">
        <f>AY703+AZ703</f>
        <v>0</v>
      </c>
      <c r="BF703" s="56">
        <f>H703/(100-BG703)*100</f>
        <v>0</v>
      </c>
      <c r="BG703" s="56">
        <v>0</v>
      </c>
      <c r="BH703" s="56">
        <f>M703</f>
        <v>0</v>
      </c>
      <c r="BJ703" s="56">
        <f>G703*AQ703</f>
        <v>0</v>
      </c>
      <c r="BK703" s="56">
        <f>G703*AR703</f>
        <v>0</v>
      </c>
      <c r="BL703" s="56">
        <f>G703*H703</f>
        <v>0</v>
      </c>
      <c r="BM703" s="56"/>
      <c r="BN703" s="56"/>
    </row>
    <row r="704" spans="1:66" ht="15" customHeight="1">
      <c r="A704" s="36"/>
      <c r="D704" s="45" t="s">
        <v>1758</v>
      </c>
      <c r="E704" s="104" t="s">
        <v>1597</v>
      </c>
      <c r="G704" s="13">
        <v>2.66</v>
      </c>
      <c r="N704" s="19"/>
      <c r="P704" s="592"/>
      <c r="Q704" s="592"/>
      <c r="R704" s="592"/>
      <c r="S704" s="592"/>
      <c r="T704" s="592"/>
      <c r="U704" s="592"/>
      <c r="V704" s="592"/>
      <c r="W704" s="592"/>
      <c r="X704" s="592"/>
    </row>
    <row r="705" spans="1:68" ht="15" customHeight="1">
      <c r="A705" s="32" t="s">
        <v>1597</v>
      </c>
      <c r="B705" s="26" t="s">
        <v>1746</v>
      </c>
      <c r="C705" s="553" t="s">
        <v>1531</v>
      </c>
      <c r="D705" s="709" t="s">
        <v>1091</v>
      </c>
      <c r="E705" s="709"/>
      <c r="F705" s="46" t="s">
        <v>2144</v>
      </c>
      <c r="G705" s="46" t="s">
        <v>2144</v>
      </c>
      <c r="H705" s="46" t="s">
        <v>2144</v>
      </c>
      <c r="I705" s="17">
        <f>SUM(I706:I706)</f>
        <v>0</v>
      </c>
      <c r="J705" s="17">
        <f>SUM(J706:J706)</f>
        <v>0</v>
      </c>
      <c r="K705" s="554">
        <f>SUM(K706:K706)</f>
        <v>0</v>
      </c>
      <c r="L705" s="7" t="s">
        <v>1597</v>
      </c>
      <c r="M705" s="17">
        <f>SUM(M706:M706)</f>
        <v>0</v>
      </c>
      <c r="N705" s="20" t="s">
        <v>1597</v>
      </c>
      <c r="P705" s="592"/>
      <c r="Q705" s="592"/>
      <c r="R705" s="592">
        <f>K705/3*2</f>
        <v>0</v>
      </c>
      <c r="S705" s="592">
        <f>K705/6*1</f>
        <v>0</v>
      </c>
      <c r="T705" s="592"/>
      <c r="U705" s="592"/>
      <c r="V705" s="592">
        <f>K705/6*1</f>
        <v>0</v>
      </c>
      <c r="W705" s="592"/>
      <c r="X705" s="592"/>
      <c r="AK705" s="7" t="s">
        <v>1746</v>
      </c>
      <c r="AU705" s="17">
        <f>SUM(AL706:AL706)</f>
        <v>0</v>
      </c>
      <c r="AV705" s="17">
        <f>SUM(AM706:AM706)</f>
        <v>0</v>
      </c>
      <c r="AW705" s="17">
        <f>SUM(AN706:AN706)</f>
        <v>0</v>
      </c>
      <c r="BP705" s="592">
        <f>SUM(P705:X705)</f>
        <v>0</v>
      </c>
    </row>
    <row r="706" spans="1:68" ht="15" customHeight="1">
      <c r="A706" s="24" t="s">
        <v>500</v>
      </c>
      <c r="B706" s="12" t="s">
        <v>1746</v>
      </c>
      <c r="C706" s="12" t="s">
        <v>1973</v>
      </c>
      <c r="D706" s="630" t="s">
        <v>1851</v>
      </c>
      <c r="E706" s="630"/>
      <c r="F706" s="12" t="s">
        <v>1074</v>
      </c>
      <c r="G706" s="56">
        <v>7.83</v>
      </c>
      <c r="H706" s="625"/>
      <c r="I706" s="56">
        <f>G706*AQ706</f>
        <v>0</v>
      </c>
      <c r="J706" s="56">
        <f>G706*AR706</f>
        <v>0</v>
      </c>
      <c r="K706" s="56">
        <f>G706*H706</f>
        <v>0</v>
      </c>
      <c r="L706" s="56">
        <v>0</v>
      </c>
      <c r="M706" s="56">
        <f>G706*L706</f>
        <v>0</v>
      </c>
      <c r="N706" s="31" t="s">
        <v>1579</v>
      </c>
      <c r="P706" s="592"/>
      <c r="Q706" s="592"/>
      <c r="R706" s="592"/>
      <c r="S706" s="592"/>
      <c r="T706" s="592"/>
      <c r="U706" s="592"/>
      <c r="V706" s="592"/>
      <c r="W706" s="592"/>
      <c r="X706" s="592"/>
      <c r="AB706" s="56">
        <f>IF(AS706="5",BL706,0)</f>
        <v>0</v>
      </c>
      <c r="AD706" s="56">
        <f>IF(AS706="1",BJ706,0)</f>
        <v>0</v>
      </c>
      <c r="AE706" s="56">
        <f>IF(AS706="1",BK706,0)</f>
        <v>0</v>
      </c>
      <c r="AF706" s="56">
        <f>IF(AS706="7",BJ706,0)</f>
        <v>0</v>
      </c>
      <c r="AG706" s="56">
        <f>IF(AS706="7",BK706,0)</f>
        <v>0</v>
      </c>
      <c r="AH706" s="56">
        <f>IF(AS706="2",BJ706,0)</f>
        <v>0</v>
      </c>
      <c r="AI706" s="56">
        <f>IF(AS706="2",BK706,0)</f>
        <v>0</v>
      </c>
      <c r="AJ706" s="56">
        <f>IF(AS706="0",BL706,0)</f>
        <v>0</v>
      </c>
      <c r="AK706" s="7" t="s">
        <v>1746</v>
      </c>
      <c r="AL706" s="56">
        <f>IF(AP706=0,K706,0)</f>
        <v>0</v>
      </c>
      <c r="AM706" s="56">
        <f>IF(AP706=15,K706,0)</f>
        <v>0</v>
      </c>
      <c r="AN706" s="56">
        <f>IF(AP706=21,K706,0)</f>
        <v>0</v>
      </c>
      <c r="AP706" s="56">
        <v>21</v>
      </c>
      <c r="AQ706" s="88">
        <f>H706*0</f>
        <v>0</v>
      </c>
      <c r="AR706" s="88">
        <f>H706*(1-0)</f>
        <v>0</v>
      </c>
      <c r="AS706" s="21" t="s">
        <v>1227</v>
      </c>
      <c r="AX706" s="56">
        <f>AY706+AZ706</f>
        <v>0</v>
      </c>
      <c r="AY706" s="56">
        <f>G706*AQ706</f>
        <v>0</v>
      </c>
      <c r="AZ706" s="56">
        <f>G706*AR706</f>
        <v>0</v>
      </c>
      <c r="BA706" s="21" t="s">
        <v>1052</v>
      </c>
      <c r="BB706" s="21" t="s">
        <v>294</v>
      </c>
      <c r="BC706" s="7" t="s">
        <v>1747</v>
      </c>
      <c r="BE706" s="56">
        <f>AY706+AZ706</f>
        <v>0</v>
      </c>
      <c r="BF706" s="56">
        <f>H706/(100-BG706)*100</f>
        <v>0</v>
      </c>
      <c r="BG706" s="56">
        <v>0</v>
      </c>
      <c r="BH706" s="56">
        <f>M706</f>
        <v>0</v>
      </c>
      <c r="BJ706" s="56">
        <f>G706*AQ706</f>
        <v>0</v>
      </c>
      <c r="BK706" s="56">
        <f>G706*AR706</f>
        <v>0</v>
      </c>
      <c r="BL706" s="56">
        <f>G706*H706</f>
        <v>0</v>
      </c>
      <c r="BM706" s="56"/>
      <c r="BN706" s="56"/>
    </row>
    <row r="707" spans="1:68" ht="15" customHeight="1">
      <c r="A707" s="36"/>
      <c r="D707" s="45" t="s">
        <v>2063</v>
      </c>
      <c r="E707" s="104" t="s">
        <v>1597</v>
      </c>
      <c r="G707" s="13">
        <v>7.830000000000001</v>
      </c>
      <c r="N707" s="19"/>
      <c r="P707" s="592"/>
      <c r="Q707" s="592"/>
      <c r="R707" s="592"/>
      <c r="S707" s="592"/>
      <c r="T707" s="592"/>
      <c r="U707" s="592"/>
      <c r="V707" s="592"/>
      <c r="W707" s="592"/>
      <c r="X707" s="592"/>
    </row>
    <row r="708" spans="1:68" ht="15" customHeight="1">
      <c r="A708" s="32" t="s">
        <v>1597</v>
      </c>
      <c r="B708" s="26" t="s">
        <v>1746</v>
      </c>
      <c r="C708" s="512" t="s">
        <v>1919</v>
      </c>
      <c r="D708" s="709" t="s">
        <v>703</v>
      </c>
      <c r="E708" s="709"/>
      <c r="F708" s="46" t="s">
        <v>2144</v>
      </c>
      <c r="G708" s="46" t="s">
        <v>2144</v>
      </c>
      <c r="H708" s="46" t="s">
        <v>2144</v>
      </c>
      <c r="I708" s="17">
        <f>SUM(I709:I709)</f>
        <v>0</v>
      </c>
      <c r="J708" s="17">
        <f>SUM(J709:J709)</f>
        <v>0</v>
      </c>
      <c r="K708" s="515">
        <f>SUM(K709:K709)</f>
        <v>0</v>
      </c>
      <c r="L708" s="7" t="s">
        <v>1597</v>
      </c>
      <c r="M708" s="17">
        <f>SUM(M709:M709)</f>
        <v>0</v>
      </c>
      <c r="N708" s="20" t="s">
        <v>1597</v>
      </c>
      <c r="P708" s="592">
        <f>K708</f>
        <v>0</v>
      </c>
      <c r="Q708" s="592"/>
      <c r="R708" s="592"/>
      <c r="S708" s="592"/>
      <c r="T708" s="592"/>
      <c r="U708" s="592"/>
      <c r="V708" s="592"/>
      <c r="W708" s="592"/>
      <c r="X708" s="592"/>
      <c r="AK708" s="7" t="s">
        <v>1746</v>
      </c>
      <c r="AU708" s="17">
        <f>SUM(AL709:AL709)</f>
        <v>0</v>
      </c>
      <c r="AV708" s="17">
        <f>SUM(AM709:AM709)</f>
        <v>0</v>
      </c>
      <c r="AW708" s="17">
        <f>SUM(AN709:AN709)</f>
        <v>0</v>
      </c>
    </row>
    <row r="709" spans="1:68" ht="15" customHeight="1">
      <c r="A709" s="24" t="s">
        <v>970</v>
      </c>
      <c r="B709" s="12" t="s">
        <v>1746</v>
      </c>
      <c r="C709" s="12" t="s">
        <v>132</v>
      </c>
      <c r="D709" s="630" t="s">
        <v>1508</v>
      </c>
      <c r="E709" s="630"/>
      <c r="F709" s="12" t="s">
        <v>1074</v>
      </c>
      <c r="G709" s="56">
        <v>18.829999999999998</v>
      </c>
      <c r="H709" s="625"/>
      <c r="I709" s="56">
        <f>G709*AQ709</f>
        <v>0</v>
      </c>
      <c r="J709" s="56">
        <f>G709*AR709</f>
        <v>0</v>
      </c>
      <c r="K709" s="56">
        <f>G709*H709</f>
        <v>0</v>
      </c>
      <c r="L709" s="56">
        <v>0</v>
      </c>
      <c r="M709" s="56">
        <f>G709*L709</f>
        <v>0</v>
      </c>
      <c r="N709" s="31" t="s">
        <v>1579</v>
      </c>
      <c r="P709" s="592"/>
      <c r="Q709" s="592"/>
      <c r="R709" s="592"/>
      <c r="S709" s="592"/>
      <c r="T709" s="592"/>
      <c r="U709" s="592"/>
      <c r="V709" s="592"/>
      <c r="W709" s="592"/>
      <c r="X709" s="592"/>
      <c r="AB709" s="56">
        <f>IF(AS709="5",BL709,0)</f>
        <v>0</v>
      </c>
      <c r="AD709" s="56">
        <f>IF(AS709="1",BJ709,0)</f>
        <v>0</v>
      </c>
      <c r="AE709" s="56">
        <f>IF(AS709="1",BK709,0)</f>
        <v>0</v>
      </c>
      <c r="AF709" s="56">
        <f>IF(AS709="7",BJ709,0)</f>
        <v>0</v>
      </c>
      <c r="AG709" s="56">
        <f>IF(AS709="7",BK709,0)</f>
        <v>0</v>
      </c>
      <c r="AH709" s="56">
        <f>IF(AS709="2",BJ709,0)</f>
        <v>0</v>
      </c>
      <c r="AI709" s="56">
        <f>IF(AS709="2",BK709,0)</f>
        <v>0</v>
      </c>
      <c r="AJ709" s="56">
        <f>IF(AS709="0",BL709,0)</f>
        <v>0</v>
      </c>
      <c r="AK709" s="7" t="s">
        <v>1746</v>
      </c>
      <c r="AL709" s="56">
        <f>IF(AP709=0,K709,0)</f>
        <v>0</v>
      </c>
      <c r="AM709" s="56">
        <f>IF(AP709=15,K709,0)</f>
        <v>0</v>
      </c>
      <c r="AN709" s="56">
        <f>IF(AP709=21,K709,0)</f>
        <v>0</v>
      </c>
      <c r="AP709" s="56">
        <v>21</v>
      </c>
      <c r="AQ709" s="88">
        <f>H709*0</f>
        <v>0</v>
      </c>
      <c r="AR709" s="88">
        <f>H709*(1-0)</f>
        <v>0</v>
      </c>
      <c r="AS709" s="21" t="s">
        <v>1227</v>
      </c>
      <c r="AX709" s="56">
        <f>AY709+AZ709</f>
        <v>0</v>
      </c>
      <c r="AY709" s="56">
        <f>G709*AQ709</f>
        <v>0</v>
      </c>
      <c r="AZ709" s="56">
        <f>G709*AR709</f>
        <v>0</v>
      </c>
      <c r="BA709" s="21" t="s">
        <v>2320</v>
      </c>
      <c r="BB709" s="21" t="s">
        <v>294</v>
      </c>
      <c r="BC709" s="7" t="s">
        <v>1747</v>
      </c>
      <c r="BE709" s="56">
        <f>AY709+AZ709</f>
        <v>0</v>
      </c>
      <c r="BF709" s="56">
        <f>H709/(100-BG709)*100</f>
        <v>0</v>
      </c>
      <c r="BG709" s="56">
        <v>0</v>
      </c>
      <c r="BH709" s="56">
        <f>M709</f>
        <v>0</v>
      </c>
      <c r="BJ709" s="56">
        <f>G709*AQ709</f>
        <v>0</v>
      </c>
      <c r="BK709" s="56">
        <f>G709*AR709</f>
        <v>0</v>
      </c>
      <c r="BL709" s="56">
        <f>G709*H709</f>
        <v>0</v>
      </c>
      <c r="BM709" s="56"/>
      <c r="BN709" s="56"/>
    </row>
    <row r="710" spans="1:68" ht="15" customHeight="1">
      <c r="A710" s="36"/>
      <c r="D710" s="45" t="s">
        <v>519</v>
      </c>
      <c r="E710" s="104" t="s">
        <v>1597</v>
      </c>
      <c r="G710" s="13">
        <v>18.830000000000002</v>
      </c>
      <c r="N710" s="19"/>
      <c r="P710" s="592"/>
      <c r="Q710" s="592"/>
      <c r="R710" s="592"/>
      <c r="S710" s="592"/>
      <c r="T710" s="592"/>
      <c r="U710" s="592"/>
      <c r="V710" s="592"/>
      <c r="W710" s="592"/>
      <c r="X710" s="592"/>
    </row>
    <row r="711" spans="1:68" ht="15" customHeight="1">
      <c r="A711" s="32" t="s">
        <v>1597</v>
      </c>
      <c r="B711" s="26" t="s">
        <v>1746</v>
      </c>
      <c r="C711" s="537" t="s">
        <v>1822</v>
      </c>
      <c r="D711" s="709" t="s">
        <v>2045</v>
      </c>
      <c r="E711" s="709"/>
      <c r="F711" s="46" t="s">
        <v>2144</v>
      </c>
      <c r="G711" s="46" t="s">
        <v>2144</v>
      </c>
      <c r="H711" s="46" t="s">
        <v>2144</v>
      </c>
      <c r="I711" s="17">
        <f>SUM(I712:I712)</f>
        <v>0</v>
      </c>
      <c r="J711" s="17">
        <f>SUM(J712:J712)</f>
        <v>0</v>
      </c>
      <c r="K711" s="539">
        <f>SUM(K712:K712)</f>
        <v>0</v>
      </c>
      <c r="L711" s="7" t="s">
        <v>1597</v>
      </c>
      <c r="M711" s="17">
        <f>SUM(M712:M712)</f>
        <v>0</v>
      </c>
      <c r="N711" s="20" t="s">
        <v>1597</v>
      </c>
      <c r="P711" s="592"/>
      <c r="Q711" s="592"/>
      <c r="R711" s="592"/>
      <c r="S711" s="592"/>
      <c r="T711" s="592"/>
      <c r="U711" s="592">
        <f>K711</f>
        <v>0</v>
      </c>
      <c r="V711" s="592"/>
      <c r="W711" s="592"/>
      <c r="X711" s="592"/>
      <c r="AK711" s="7" t="s">
        <v>1746</v>
      </c>
      <c r="AU711" s="17">
        <f>SUM(AL712:AL712)</f>
        <v>0</v>
      </c>
      <c r="AV711" s="17">
        <f>SUM(AM712:AM712)</f>
        <v>0</v>
      </c>
      <c r="AW711" s="17">
        <f>SUM(AN712:AN712)</f>
        <v>0</v>
      </c>
    </row>
    <row r="712" spans="1:68" ht="15" customHeight="1">
      <c r="A712" s="24" t="s">
        <v>38</v>
      </c>
      <c r="B712" s="12" t="s">
        <v>1746</v>
      </c>
      <c r="C712" s="12" t="s">
        <v>721</v>
      </c>
      <c r="D712" s="630" t="s">
        <v>1794</v>
      </c>
      <c r="E712" s="630"/>
      <c r="F712" s="12" t="s">
        <v>1074</v>
      </c>
      <c r="G712" s="56">
        <v>4.29</v>
      </c>
      <c r="H712" s="625"/>
      <c r="I712" s="56">
        <f>G712*AQ712</f>
        <v>0</v>
      </c>
      <c r="J712" s="56">
        <f>G712*AR712</f>
        <v>0</v>
      </c>
      <c r="K712" s="56">
        <f>G712*H712</f>
        <v>0</v>
      </c>
      <c r="L712" s="56">
        <v>0</v>
      </c>
      <c r="M712" s="56">
        <f>G712*L712</f>
        <v>0</v>
      </c>
      <c r="N712" s="31" t="s">
        <v>1579</v>
      </c>
      <c r="P712" s="592"/>
      <c r="Q712" s="592"/>
      <c r="R712" s="592"/>
      <c r="S712" s="592"/>
      <c r="T712" s="592"/>
      <c r="U712" s="592"/>
      <c r="V712" s="592"/>
      <c r="W712" s="592"/>
      <c r="X712" s="592"/>
      <c r="AB712" s="56">
        <f>IF(AS712="5",BL712,0)</f>
        <v>0</v>
      </c>
      <c r="AD712" s="56">
        <f>IF(AS712="1",BJ712,0)</f>
        <v>0</v>
      </c>
      <c r="AE712" s="56">
        <f>IF(AS712="1",BK712,0)</f>
        <v>0</v>
      </c>
      <c r="AF712" s="56">
        <f>IF(AS712="7",BJ712,0)</f>
        <v>0</v>
      </c>
      <c r="AG712" s="56">
        <f>IF(AS712="7",BK712,0)</f>
        <v>0</v>
      </c>
      <c r="AH712" s="56">
        <f>IF(AS712="2",BJ712,0)</f>
        <v>0</v>
      </c>
      <c r="AI712" s="56">
        <f>IF(AS712="2",BK712,0)</f>
        <v>0</v>
      </c>
      <c r="AJ712" s="56">
        <f>IF(AS712="0",BL712,0)</f>
        <v>0</v>
      </c>
      <c r="AK712" s="7" t="s">
        <v>1746</v>
      </c>
      <c r="AL712" s="56">
        <f>IF(AP712=0,K712,0)</f>
        <v>0</v>
      </c>
      <c r="AM712" s="56">
        <f>IF(AP712=15,K712,0)</f>
        <v>0</v>
      </c>
      <c r="AN712" s="56">
        <f>IF(AP712=21,K712,0)</f>
        <v>0</v>
      </c>
      <c r="AP712" s="56">
        <v>21</v>
      </c>
      <c r="AQ712" s="88">
        <f>H712*0</f>
        <v>0</v>
      </c>
      <c r="AR712" s="88">
        <f>H712*(1-0)</f>
        <v>0</v>
      </c>
      <c r="AS712" s="21" t="s">
        <v>1227</v>
      </c>
      <c r="AX712" s="56">
        <f>AY712+AZ712</f>
        <v>0</v>
      </c>
      <c r="AY712" s="56">
        <f>G712*AQ712</f>
        <v>0</v>
      </c>
      <c r="AZ712" s="56">
        <f>G712*AR712</f>
        <v>0</v>
      </c>
      <c r="BA712" s="21" t="s">
        <v>968</v>
      </c>
      <c r="BB712" s="21" t="s">
        <v>294</v>
      </c>
      <c r="BC712" s="7" t="s">
        <v>1747</v>
      </c>
      <c r="BE712" s="56">
        <f>AY712+AZ712</f>
        <v>0</v>
      </c>
      <c r="BF712" s="56">
        <f>H712/(100-BG712)*100</f>
        <v>0</v>
      </c>
      <c r="BG712" s="56">
        <v>0</v>
      </c>
      <c r="BH712" s="56">
        <f>M712</f>
        <v>0</v>
      </c>
      <c r="BJ712" s="56">
        <f>G712*AQ712</f>
        <v>0</v>
      </c>
      <c r="BK712" s="56">
        <f>G712*AR712</f>
        <v>0</v>
      </c>
      <c r="BL712" s="56">
        <f>G712*H712</f>
        <v>0</v>
      </c>
      <c r="BM712" s="56"/>
      <c r="BN712" s="56"/>
    </row>
    <row r="713" spans="1:68" ht="15" customHeight="1">
      <c r="A713" s="36"/>
      <c r="D713" s="45" t="s">
        <v>1007</v>
      </c>
      <c r="E713" s="104" t="s">
        <v>1597</v>
      </c>
      <c r="G713" s="13">
        <v>4.29</v>
      </c>
      <c r="N713" s="19"/>
      <c r="P713" s="592"/>
      <c r="Q713" s="592"/>
      <c r="R713" s="592"/>
      <c r="S713" s="592"/>
      <c r="T713" s="592"/>
      <c r="U713" s="592"/>
      <c r="V713" s="592"/>
      <c r="W713" s="592"/>
      <c r="X713" s="592"/>
    </row>
    <row r="714" spans="1:68" ht="15" customHeight="1">
      <c r="A714" s="32" t="s">
        <v>1597</v>
      </c>
      <c r="B714" s="26" t="s">
        <v>1746</v>
      </c>
      <c r="C714" s="537" t="s">
        <v>32</v>
      </c>
      <c r="D714" s="709" t="s">
        <v>271</v>
      </c>
      <c r="E714" s="709"/>
      <c r="F714" s="46" t="s">
        <v>2144</v>
      </c>
      <c r="G714" s="46" t="s">
        <v>2144</v>
      </c>
      <c r="H714" s="46" t="s">
        <v>2144</v>
      </c>
      <c r="I714" s="17">
        <f>SUM(I715:I715)</f>
        <v>0</v>
      </c>
      <c r="J714" s="17">
        <f>SUM(J715:J715)</f>
        <v>0</v>
      </c>
      <c r="K714" s="539">
        <f>SUM(K715:K715)</f>
        <v>0</v>
      </c>
      <c r="L714" s="7" t="s">
        <v>1597</v>
      </c>
      <c r="M714" s="17">
        <f>SUM(M715:M715)</f>
        <v>0</v>
      </c>
      <c r="N714" s="20" t="s">
        <v>1597</v>
      </c>
      <c r="P714" s="592"/>
      <c r="Q714" s="592"/>
      <c r="R714" s="592"/>
      <c r="S714" s="592"/>
      <c r="T714" s="592"/>
      <c r="U714" s="592">
        <f>K714</f>
        <v>0</v>
      </c>
      <c r="V714" s="592"/>
      <c r="W714" s="592"/>
      <c r="X714" s="592"/>
      <c r="AK714" s="7" t="s">
        <v>1746</v>
      </c>
      <c r="AU714" s="17">
        <f>SUM(AL715:AL715)</f>
        <v>0</v>
      </c>
      <c r="AV714" s="17">
        <f>SUM(AM715:AM715)</f>
        <v>0</v>
      </c>
      <c r="AW714" s="17">
        <f>SUM(AN715:AN715)</f>
        <v>0</v>
      </c>
    </row>
    <row r="715" spans="1:68" ht="15" customHeight="1">
      <c r="A715" s="24" t="s">
        <v>2001</v>
      </c>
      <c r="B715" s="12" t="s">
        <v>1746</v>
      </c>
      <c r="C715" s="12" t="s">
        <v>2218</v>
      </c>
      <c r="D715" s="630" t="s">
        <v>1409</v>
      </c>
      <c r="E715" s="630"/>
      <c r="F715" s="12" t="s">
        <v>1074</v>
      </c>
      <c r="G715" s="56">
        <v>9.5500000000000007</v>
      </c>
      <c r="H715" s="625"/>
      <c r="I715" s="56">
        <f>G715*AQ715</f>
        <v>0</v>
      </c>
      <c r="J715" s="56">
        <f>G715*AR715</f>
        <v>0</v>
      </c>
      <c r="K715" s="56">
        <f>G715*H715</f>
        <v>0</v>
      </c>
      <c r="L715" s="56">
        <v>0</v>
      </c>
      <c r="M715" s="56">
        <f>G715*L715</f>
        <v>0</v>
      </c>
      <c r="N715" s="31" t="s">
        <v>1579</v>
      </c>
      <c r="P715" s="592"/>
      <c r="Q715" s="592"/>
      <c r="R715" s="592"/>
      <c r="S715" s="592"/>
      <c r="T715" s="592"/>
      <c r="U715" s="592"/>
      <c r="V715" s="592"/>
      <c r="W715" s="592"/>
      <c r="X715" s="592"/>
      <c r="AB715" s="56">
        <f>IF(AS715="5",BL715,0)</f>
        <v>0</v>
      </c>
      <c r="AD715" s="56">
        <f>IF(AS715="1",BJ715,0)</f>
        <v>0</v>
      </c>
      <c r="AE715" s="56">
        <f>IF(AS715="1",BK715,0)</f>
        <v>0</v>
      </c>
      <c r="AF715" s="56">
        <f>IF(AS715="7",BJ715,0)</f>
        <v>0</v>
      </c>
      <c r="AG715" s="56">
        <f>IF(AS715="7",BK715,0)</f>
        <v>0</v>
      </c>
      <c r="AH715" s="56">
        <f>IF(AS715="2",BJ715,0)</f>
        <v>0</v>
      </c>
      <c r="AI715" s="56">
        <f>IF(AS715="2",BK715,0)</f>
        <v>0</v>
      </c>
      <c r="AJ715" s="56">
        <f>IF(AS715="0",BL715,0)</f>
        <v>0</v>
      </c>
      <c r="AK715" s="7" t="s">
        <v>1746</v>
      </c>
      <c r="AL715" s="56">
        <f>IF(AP715=0,K715,0)</f>
        <v>0</v>
      </c>
      <c r="AM715" s="56">
        <f>IF(AP715=15,K715,0)</f>
        <v>0</v>
      </c>
      <c r="AN715" s="56">
        <f>IF(AP715=21,K715,0)</f>
        <v>0</v>
      </c>
      <c r="AP715" s="56">
        <v>21</v>
      </c>
      <c r="AQ715" s="88">
        <f>H715*0</f>
        <v>0</v>
      </c>
      <c r="AR715" s="88">
        <f>H715*(1-0)</f>
        <v>0</v>
      </c>
      <c r="AS715" s="21" t="s">
        <v>1227</v>
      </c>
      <c r="AX715" s="56">
        <f>AY715+AZ715</f>
        <v>0</v>
      </c>
      <c r="AY715" s="56">
        <f>G715*AQ715</f>
        <v>0</v>
      </c>
      <c r="AZ715" s="56">
        <f>G715*AR715</f>
        <v>0</v>
      </c>
      <c r="BA715" s="21" t="s">
        <v>216</v>
      </c>
      <c r="BB715" s="21" t="s">
        <v>294</v>
      </c>
      <c r="BC715" s="7" t="s">
        <v>1747</v>
      </c>
      <c r="BE715" s="56">
        <f>AY715+AZ715</f>
        <v>0</v>
      </c>
      <c r="BF715" s="56">
        <f>H715/(100-BG715)*100</f>
        <v>0</v>
      </c>
      <c r="BG715" s="56">
        <v>0</v>
      </c>
      <c r="BH715" s="56">
        <f>M715</f>
        <v>0</v>
      </c>
      <c r="BJ715" s="56">
        <f>G715*AQ715</f>
        <v>0</v>
      </c>
      <c r="BK715" s="56">
        <f>G715*AR715</f>
        <v>0</v>
      </c>
      <c r="BL715" s="56">
        <f>G715*H715</f>
        <v>0</v>
      </c>
      <c r="BM715" s="56"/>
      <c r="BN715" s="56"/>
    </row>
    <row r="716" spans="1:68" ht="15" customHeight="1">
      <c r="A716" s="36"/>
      <c r="D716" s="45" t="s">
        <v>1249</v>
      </c>
      <c r="E716" s="104" t="s">
        <v>1597</v>
      </c>
      <c r="G716" s="13">
        <v>9.5500000000000007</v>
      </c>
      <c r="N716" s="19"/>
      <c r="P716" s="592"/>
      <c r="Q716" s="592"/>
      <c r="R716" s="592"/>
      <c r="S716" s="592"/>
      <c r="T716" s="592"/>
      <c r="U716" s="592"/>
      <c r="V716" s="592"/>
      <c r="W716" s="592"/>
      <c r="X716" s="592"/>
    </row>
    <row r="717" spans="1:68" ht="15" customHeight="1">
      <c r="A717" s="32" t="s">
        <v>1597</v>
      </c>
      <c r="B717" s="26" t="s">
        <v>1746</v>
      </c>
      <c r="C717" s="537" t="s">
        <v>1896</v>
      </c>
      <c r="D717" s="709" t="s">
        <v>2124</v>
      </c>
      <c r="E717" s="709"/>
      <c r="F717" s="46" t="s">
        <v>2144</v>
      </c>
      <c r="G717" s="46" t="s">
        <v>2144</v>
      </c>
      <c r="H717" s="46" t="s">
        <v>2144</v>
      </c>
      <c r="I717" s="17">
        <f>SUM(I718:I718)</f>
        <v>0</v>
      </c>
      <c r="J717" s="17">
        <f>SUM(J718:J718)</f>
        <v>0</v>
      </c>
      <c r="K717" s="539">
        <f>SUM(K718:K718)</f>
        <v>0</v>
      </c>
      <c r="L717" s="7" t="s">
        <v>1597</v>
      </c>
      <c r="M717" s="17">
        <f>SUM(M718:M718)</f>
        <v>0</v>
      </c>
      <c r="N717" s="20" t="s">
        <v>1597</v>
      </c>
      <c r="P717" s="592"/>
      <c r="Q717" s="592"/>
      <c r="R717" s="592"/>
      <c r="S717" s="592"/>
      <c r="T717" s="592"/>
      <c r="U717" s="592">
        <f>K717</f>
        <v>0</v>
      </c>
      <c r="V717" s="592"/>
      <c r="W717" s="592"/>
      <c r="X717" s="592"/>
      <c r="AK717" s="7" t="s">
        <v>1746</v>
      </c>
      <c r="AU717" s="17">
        <f>SUM(AL718:AL718)</f>
        <v>0</v>
      </c>
      <c r="AV717" s="17">
        <f>SUM(AM718:AM718)</f>
        <v>0</v>
      </c>
      <c r="AW717" s="17">
        <f>SUM(AN718:AN718)</f>
        <v>0</v>
      </c>
    </row>
    <row r="718" spans="1:68" ht="15" customHeight="1">
      <c r="A718" s="24" t="s">
        <v>2103</v>
      </c>
      <c r="B718" s="12" t="s">
        <v>1746</v>
      </c>
      <c r="C718" s="12" t="s">
        <v>2086</v>
      </c>
      <c r="D718" s="630" t="s">
        <v>176</v>
      </c>
      <c r="E718" s="630"/>
      <c r="F718" s="12" t="s">
        <v>1074</v>
      </c>
      <c r="G718" s="56">
        <v>3.12</v>
      </c>
      <c r="H718" s="625"/>
      <c r="I718" s="56">
        <f>G718*AQ718</f>
        <v>0</v>
      </c>
      <c r="J718" s="56">
        <f>G718*AR718</f>
        <v>0</v>
      </c>
      <c r="K718" s="56">
        <f>G718*H718</f>
        <v>0</v>
      </c>
      <c r="L718" s="56">
        <v>0</v>
      </c>
      <c r="M718" s="56">
        <f>G718*L718</f>
        <v>0</v>
      </c>
      <c r="N718" s="31" t="s">
        <v>1579</v>
      </c>
      <c r="P718" s="592"/>
      <c r="Q718" s="592"/>
      <c r="R718" s="592"/>
      <c r="S718" s="592"/>
      <c r="T718" s="592"/>
      <c r="U718" s="592"/>
      <c r="V718" s="592"/>
      <c r="W718" s="592"/>
      <c r="X718" s="592"/>
      <c r="AB718" s="56">
        <f>IF(AS718="5",BL718,0)</f>
        <v>0</v>
      </c>
      <c r="AD718" s="56">
        <f>IF(AS718="1",BJ718,0)</f>
        <v>0</v>
      </c>
      <c r="AE718" s="56">
        <f>IF(AS718="1",BK718,0)</f>
        <v>0</v>
      </c>
      <c r="AF718" s="56">
        <f>IF(AS718="7",BJ718,0)</f>
        <v>0</v>
      </c>
      <c r="AG718" s="56">
        <f>IF(AS718="7",BK718,0)</f>
        <v>0</v>
      </c>
      <c r="AH718" s="56">
        <f>IF(AS718="2",BJ718,0)</f>
        <v>0</v>
      </c>
      <c r="AI718" s="56">
        <f>IF(AS718="2",BK718,0)</f>
        <v>0</v>
      </c>
      <c r="AJ718" s="56">
        <f>IF(AS718="0",BL718,0)</f>
        <v>0</v>
      </c>
      <c r="AK718" s="7" t="s">
        <v>1746</v>
      </c>
      <c r="AL718" s="56">
        <f>IF(AP718=0,K718,0)</f>
        <v>0</v>
      </c>
      <c r="AM718" s="56">
        <f>IF(AP718=15,K718,0)</f>
        <v>0</v>
      </c>
      <c r="AN718" s="56">
        <f>IF(AP718=21,K718,0)</f>
        <v>0</v>
      </c>
      <c r="AP718" s="56">
        <v>21</v>
      </c>
      <c r="AQ718" s="88">
        <f>H718*0</f>
        <v>0</v>
      </c>
      <c r="AR718" s="88">
        <f>H718*(1-0)</f>
        <v>0</v>
      </c>
      <c r="AS718" s="21" t="s">
        <v>1227</v>
      </c>
      <c r="AX718" s="56">
        <f>AY718+AZ718</f>
        <v>0</v>
      </c>
      <c r="AY718" s="56">
        <f>G718*AQ718</f>
        <v>0</v>
      </c>
      <c r="AZ718" s="56">
        <f>G718*AR718</f>
        <v>0</v>
      </c>
      <c r="BA718" s="21" t="s">
        <v>2120</v>
      </c>
      <c r="BB718" s="21" t="s">
        <v>294</v>
      </c>
      <c r="BC718" s="7" t="s">
        <v>1747</v>
      </c>
      <c r="BE718" s="56">
        <f>AY718+AZ718</f>
        <v>0</v>
      </c>
      <c r="BF718" s="56">
        <f>H718/(100-BG718)*100</f>
        <v>0</v>
      </c>
      <c r="BG718" s="56">
        <v>0</v>
      </c>
      <c r="BH718" s="56">
        <f>M718</f>
        <v>0</v>
      </c>
      <c r="BJ718" s="56">
        <f>G718*AQ718</f>
        <v>0</v>
      </c>
      <c r="BK718" s="56">
        <f>G718*AR718</f>
        <v>0</v>
      </c>
      <c r="BL718" s="56">
        <f>G718*H718</f>
        <v>0</v>
      </c>
      <c r="BM718" s="56"/>
      <c r="BN718" s="56"/>
    </row>
    <row r="719" spans="1:68" ht="15" customHeight="1">
      <c r="A719" s="36"/>
      <c r="D719" s="45" t="s">
        <v>823</v>
      </c>
      <c r="E719" s="104" t="s">
        <v>1597</v>
      </c>
      <c r="G719" s="13">
        <v>3.12</v>
      </c>
      <c r="N719" s="19"/>
      <c r="P719" s="592"/>
      <c r="Q719" s="592"/>
      <c r="R719" s="592"/>
      <c r="S719" s="592"/>
      <c r="T719" s="592"/>
      <c r="U719" s="592"/>
      <c r="V719" s="592"/>
      <c r="W719" s="592"/>
      <c r="X719" s="592"/>
    </row>
    <row r="720" spans="1:68" ht="15" customHeight="1">
      <c r="A720" s="32" t="s">
        <v>1597</v>
      </c>
      <c r="B720" s="26" t="s">
        <v>1746</v>
      </c>
      <c r="C720" s="537" t="s">
        <v>1350</v>
      </c>
      <c r="D720" s="709" t="s">
        <v>1001</v>
      </c>
      <c r="E720" s="709"/>
      <c r="F720" s="46" t="s">
        <v>2144</v>
      </c>
      <c r="G720" s="46" t="s">
        <v>2144</v>
      </c>
      <c r="H720" s="46" t="s">
        <v>2144</v>
      </c>
      <c r="I720" s="17">
        <f>SUM(I721:I721)</f>
        <v>0</v>
      </c>
      <c r="J720" s="17">
        <f>SUM(J721:J721)</f>
        <v>0</v>
      </c>
      <c r="K720" s="539">
        <f>SUM(K721:K721)</f>
        <v>0</v>
      </c>
      <c r="L720" s="7" t="s">
        <v>1597</v>
      </c>
      <c r="M720" s="17">
        <f>SUM(M721:M721)</f>
        <v>0</v>
      </c>
      <c r="N720" s="20" t="s">
        <v>1597</v>
      </c>
      <c r="P720" s="592"/>
      <c r="Q720" s="592"/>
      <c r="R720" s="592"/>
      <c r="S720" s="592"/>
      <c r="T720" s="592"/>
      <c r="U720" s="592">
        <f>K720</f>
        <v>0</v>
      </c>
      <c r="V720" s="592"/>
      <c r="W720" s="592"/>
      <c r="X720" s="592"/>
      <c r="AK720" s="7" t="s">
        <v>1746</v>
      </c>
      <c r="AU720" s="17">
        <f>SUM(AL721:AL721)</f>
        <v>0</v>
      </c>
      <c r="AV720" s="17">
        <f>SUM(AM721:AM721)</f>
        <v>0</v>
      </c>
      <c r="AW720" s="17">
        <f>SUM(AN721:AN721)</f>
        <v>0</v>
      </c>
    </row>
    <row r="721" spans="1:68" ht="15" customHeight="1">
      <c r="A721" s="24" t="s">
        <v>1805</v>
      </c>
      <c r="B721" s="12" t="s">
        <v>1746</v>
      </c>
      <c r="C721" s="12" t="s">
        <v>110</v>
      </c>
      <c r="D721" s="630" t="s">
        <v>113</v>
      </c>
      <c r="E721" s="630"/>
      <c r="F721" s="12" t="s">
        <v>1074</v>
      </c>
      <c r="G721" s="56">
        <v>1.86</v>
      </c>
      <c r="H721" s="625"/>
      <c r="I721" s="56">
        <f>G721*AQ721</f>
        <v>0</v>
      </c>
      <c r="J721" s="56">
        <f>G721*AR721</f>
        <v>0</v>
      </c>
      <c r="K721" s="56">
        <f>G721*H721</f>
        <v>0</v>
      </c>
      <c r="L721" s="56">
        <v>0</v>
      </c>
      <c r="M721" s="56">
        <f>G721*L721</f>
        <v>0</v>
      </c>
      <c r="N721" s="31" t="s">
        <v>1579</v>
      </c>
      <c r="P721" s="592"/>
      <c r="Q721" s="592"/>
      <c r="R721" s="592"/>
      <c r="S721" s="592"/>
      <c r="T721" s="592"/>
      <c r="U721" s="592"/>
      <c r="V721" s="592"/>
      <c r="W721" s="592"/>
      <c r="X721" s="592"/>
      <c r="AB721" s="56">
        <f>IF(AS721="5",BL721,0)</f>
        <v>0</v>
      </c>
      <c r="AD721" s="56">
        <f>IF(AS721="1",BJ721,0)</f>
        <v>0</v>
      </c>
      <c r="AE721" s="56">
        <f>IF(AS721="1",BK721,0)</f>
        <v>0</v>
      </c>
      <c r="AF721" s="56">
        <f>IF(AS721="7",BJ721,0)</f>
        <v>0</v>
      </c>
      <c r="AG721" s="56">
        <f>IF(AS721="7",BK721,0)</f>
        <v>0</v>
      </c>
      <c r="AH721" s="56">
        <f>IF(AS721="2",BJ721,0)</f>
        <v>0</v>
      </c>
      <c r="AI721" s="56">
        <f>IF(AS721="2",BK721,0)</f>
        <v>0</v>
      </c>
      <c r="AJ721" s="56">
        <f>IF(AS721="0",BL721,0)</f>
        <v>0</v>
      </c>
      <c r="AK721" s="7" t="s">
        <v>1746</v>
      </c>
      <c r="AL721" s="56">
        <f>IF(AP721=0,K721,0)</f>
        <v>0</v>
      </c>
      <c r="AM721" s="56">
        <f>IF(AP721=15,K721,0)</f>
        <v>0</v>
      </c>
      <c r="AN721" s="56">
        <f>IF(AP721=21,K721,0)</f>
        <v>0</v>
      </c>
      <c r="AP721" s="56">
        <v>21</v>
      </c>
      <c r="AQ721" s="88">
        <f>H721*0</f>
        <v>0</v>
      </c>
      <c r="AR721" s="88">
        <f>H721*(1-0)</f>
        <v>0</v>
      </c>
      <c r="AS721" s="21" t="s">
        <v>1227</v>
      </c>
      <c r="AX721" s="56">
        <f>AY721+AZ721</f>
        <v>0</v>
      </c>
      <c r="AY721" s="56">
        <f>G721*AQ721</f>
        <v>0</v>
      </c>
      <c r="AZ721" s="56">
        <f>G721*AR721</f>
        <v>0</v>
      </c>
      <c r="BA721" s="21" t="s">
        <v>1837</v>
      </c>
      <c r="BB721" s="21" t="s">
        <v>294</v>
      </c>
      <c r="BC721" s="7" t="s">
        <v>1747</v>
      </c>
      <c r="BE721" s="56">
        <f>AY721+AZ721</f>
        <v>0</v>
      </c>
      <c r="BF721" s="56">
        <f>H721/(100-BG721)*100</f>
        <v>0</v>
      </c>
      <c r="BG721" s="56">
        <v>0</v>
      </c>
      <c r="BH721" s="56">
        <f>M721</f>
        <v>0</v>
      </c>
      <c r="BJ721" s="56">
        <f>G721*AQ721</f>
        <v>0</v>
      </c>
      <c r="BK721" s="56">
        <f>G721*AR721</f>
        <v>0</v>
      </c>
      <c r="BL721" s="56">
        <f>G721*H721</f>
        <v>0</v>
      </c>
      <c r="BM721" s="56"/>
      <c r="BN721" s="56"/>
    </row>
    <row r="722" spans="1:68" ht="15" customHeight="1">
      <c r="A722" s="36"/>
      <c r="D722" s="45" t="s">
        <v>1587</v>
      </c>
      <c r="E722" s="104" t="s">
        <v>1597</v>
      </c>
      <c r="G722" s="13">
        <v>1.86</v>
      </c>
      <c r="N722" s="19"/>
      <c r="P722" s="592"/>
      <c r="Q722" s="592"/>
      <c r="R722" s="592"/>
      <c r="S722" s="592"/>
      <c r="T722" s="592"/>
      <c r="U722" s="592"/>
      <c r="V722" s="592"/>
      <c r="W722" s="592"/>
      <c r="X722" s="592"/>
    </row>
    <row r="723" spans="1:68" ht="15" customHeight="1">
      <c r="A723" s="32" t="s">
        <v>1597</v>
      </c>
      <c r="B723" s="26" t="s">
        <v>1746</v>
      </c>
      <c r="C723" s="511" t="s">
        <v>765</v>
      </c>
      <c r="D723" s="709" t="s">
        <v>985</v>
      </c>
      <c r="E723" s="709"/>
      <c r="F723" s="46" t="s">
        <v>2144</v>
      </c>
      <c r="G723" s="46" t="s">
        <v>2144</v>
      </c>
      <c r="H723" s="46" t="s">
        <v>2144</v>
      </c>
      <c r="I723" s="17">
        <f>SUM(I724:I730)</f>
        <v>0</v>
      </c>
      <c r="J723" s="17">
        <f>SUM(J724:J730)</f>
        <v>0</v>
      </c>
      <c r="K723" s="516">
        <f>SUM(K724:K730)</f>
        <v>0</v>
      </c>
      <c r="L723" s="7" t="s">
        <v>1597</v>
      </c>
      <c r="M723" s="17">
        <f>SUM(M724:M730)</f>
        <v>0</v>
      </c>
      <c r="N723" s="20" t="s">
        <v>1597</v>
      </c>
      <c r="P723" s="592"/>
      <c r="Q723" s="592"/>
      <c r="R723" s="592"/>
      <c r="S723" s="592"/>
      <c r="T723" s="592"/>
      <c r="U723" s="592"/>
      <c r="V723" s="592"/>
      <c r="W723" s="592">
        <f>K723*0.2</f>
        <v>0</v>
      </c>
      <c r="X723" s="592">
        <f>K723*0.8</f>
        <v>0</v>
      </c>
      <c r="AK723" s="7" t="s">
        <v>1746</v>
      </c>
      <c r="AU723" s="17">
        <f>SUM(AL724:AL730)</f>
        <v>0</v>
      </c>
      <c r="AV723" s="17">
        <f>SUM(AM724:AM730)</f>
        <v>0</v>
      </c>
      <c r="AW723" s="17">
        <f>SUM(AN724:AN730)</f>
        <v>0</v>
      </c>
      <c r="BP723" s="592">
        <f>SUM(P723:X723)</f>
        <v>0</v>
      </c>
    </row>
    <row r="724" spans="1:68" ht="15" customHeight="1">
      <c r="A724" s="24" t="s">
        <v>790</v>
      </c>
      <c r="B724" s="12" t="s">
        <v>1746</v>
      </c>
      <c r="C724" s="12" t="s">
        <v>2354</v>
      </c>
      <c r="D724" s="630" t="s">
        <v>599</v>
      </c>
      <c r="E724" s="630"/>
      <c r="F724" s="12" t="s">
        <v>1074</v>
      </c>
      <c r="G724" s="56">
        <v>14.5</v>
      </c>
      <c r="H724" s="625"/>
      <c r="I724" s="56">
        <f>G724*AQ724</f>
        <v>0</v>
      </c>
      <c r="J724" s="56">
        <f>G724*AR724</f>
        <v>0</v>
      </c>
      <c r="K724" s="56">
        <f>G724*H724</f>
        <v>0</v>
      </c>
      <c r="L724" s="56">
        <v>0</v>
      </c>
      <c r="M724" s="56">
        <f>G724*L724</f>
        <v>0</v>
      </c>
      <c r="N724" s="31" t="s">
        <v>1579</v>
      </c>
      <c r="P724" s="592"/>
      <c r="Q724" s="592"/>
      <c r="R724" s="592"/>
      <c r="S724" s="592"/>
      <c r="T724" s="592"/>
      <c r="U724" s="592"/>
      <c r="V724" s="592"/>
      <c r="W724" s="592"/>
      <c r="X724" s="592"/>
      <c r="AB724" s="56">
        <f>IF(AS724="5",BL724,0)</f>
        <v>0</v>
      </c>
      <c r="AD724" s="56">
        <f>IF(AS724="1",BJ724,0)</f>
        <v>0</v>
      </c>
      <c r="AE724" s="56">
        <f>IF(AS724="1",BK724,0)</f>
        <v>0</v>
      </c>
      <c r="AF724" s="56">
        <f>IF(AS724="7",BJ724,0)</f>
        <v>0</v>
      </c>
      <c r="AG724" s="56">
        <f>IF(AS724="7",BK724,0)</f>
        <v>0</v>
      </c>
      <c r="AH724" s="56">
        <f>IF(AS724="2",BJ724,0)</f>
        <v>0</v>
      </c>
      <c r="AI724" s="56">
        <f>IF(AS724="2",BK724,0)</f>
        <v>0</v>
      </c>
      <c r="AJ724" s="56">
        <f>IF(AS724="0",BL724,0)</f>
        <v>0</v>
      </c>
      <c r="AK724" s="7" t="s">
        <v>1746</v>
      </c>
      <c r="AL724" s="56">
        <f>IF(AP724=0,K724,0)</f>
        <v>0</v>
      </c>
      <c r="AM724" s="56">
        <f>IF(AP724=15,K724,0)</f>
        <v>0</v>
      </c>
      <c r="AN724" s="56">
        <f>IF(AP724=21,K724,0)</f>
        <v>0</v>
      </c>
      <c r="AP724" s="56">
        <v>21</v>
      </c>
      <c r="AQ724" s="88">
        <f>H724*0</f>
        <v>0</v>
      </c>
      <c r="AR724" s="88">
        <f>H724*(1-0)</f>
        <v>0</v>
      </c>
      <c r="AS724" s="21" t="s">
        <v>1227</v>
      </c>
      <c r="AX724" s="56">
        <f>AY724+AZ724</f>
        <v>0</v>
      </c>
      <c r="AY724" s="56">
        <f>G724*AQ724</f>
        <v>0</v>
      </c>
      <c r="AZ724" s="56">
        <f>G724*AR724</f>
        <v>0</v>
      </c>
      <c r="BA724" s="21" t="s">
        <v>942</v>
      </c>
      <c r="BB724" s="21" t="s">
        <v>294</v>
      </c>
      <c r="BC724" s="7" t="s">
        <v>1747</v>
      </c>
      <c r="BE724" s="56">
        <f>AY724+AZ724</f>
        <v>0</v>
      </c>
      <c r="BF724" s="56">
        <f>H724/(100-BG724)*100</f>
        <v>0</v>
      </c>
      <c r="BG724" s="56">
        <v>0</v>
      </c>
      <c r="BH724" s="56">
        <f>M724</f>
        <v>0</v>
      </c>
      <c r="BJ724" s="56">
        <f>G724*AQ724</f>
        <v>0</v>
      </c>
      <c r="BK724" s="56">
        <f>G724*AR724</f>
        <v>0</v>
      </c>
      <c r="BL724" s="56">
        <f>G724*H724</f>
        <v>0</v>
      </c>
      <c r="BM724" s="56"/>
      <c r="BN724" s="56"/>
    </row>
    <row r="725" spans="1:68" ht="15" customHeight="1">
      <c r="A725" s="36"/>
      <c r="D725" s="45" t="s">
        <v>60</v>
      </c>
      <c r="E725" s="104" t="s">
        <v>1597</v>
      </c>
      <c r="G725" s="13">
        <v>14.500000000000002</v>
      </c>
      <c r="N725" s="19"/>
      <c r="P725" s="592"/>
      <c r="Q725" s="592"/>
      <c r="R725" s="592"/>
      <c r="S725" s="592"/>
      <c r="T725" s="592"/>
      <c r="U725" s="592"/>
      <c r="V725" s="592"/>
      <c r="W725" s="592"/>
      <c r="X725" s="592"/>
    </row>
    <row r="726" spans="1:68" ht="15" customHeight="1">
      <c r="A726" s="24" t="s">
        <v>1828</v>
      </c>
      <c r="B726" s="12" t="s">
        <v>1746</v>
      </c>
      <c r="C726" s="12" t="s">
        <v>625</v>
      </c>
      <c r="D726" s="630" t="s">
        <v>1711</v>
      </c>
      <c r="E726" s="630"/>
      <c r="F726" s="12" t="s">
        <v>1074</v>
      </c>
      <c r="G726" s="56">
        <v>14.5</v>
      </c>
      <c r="H726" s="625"/>
      <c r="I726" s="56">
        <f>G726*AQ726</f>
        <v>0</v>
      </c>
      <c r="J726" s="56">
        <f>G726*AR726</f>
        <v>0</v>
      </c>
      <c r="K726" s="56">
        <f>G726*H726</f>
        <v>0</v>
      </c>
      <c r="L726" s="56">
        <v>0</v>
      </c>
      <c r="M726" s="56">
        <f>G726*L726</f>
        <v>0</v>
      </c>
      <c r="N726" s="31" t="s">
        <v>1579</v>
      </c>
      <c r="P726" s="592"/>
      <c r="Q726" s="592"/>
      <c r="R726" s="592"/>
      <c r="S726" s="592"/>
      <c r="T726" s="592"/>
      <c r="U726" s="592"/>
      <c r="V726" s="592"/>
      <c r="W726" s="592"/>
      <c r="X726" s="592"/>
      <c r="AB726" s="56">
        <f>IF(AS726="5",BL726,0)</f>
        <v>0</v>
      </c>
      <c r="AD726" s="56">
        <f>IF(AS726="1",BJ726,0)</f>
        <v>0</v>
      </c>
      <c r="AE726" s="56">
        <f>IF(AS726="1",BK726,0)</f>
        <v>0</v>
      </c>
      <c r="AF726" s="56">
        <f>IF(AS726="7",BJ726,0)</f>
        <v>0</v>
      </c>
      <c r="AG726" s="56">
        <f>IF(AS726="7",BK726,0)</f>
        <v>0</v>
      </c>
      <c r="AH726" s="56">
        <f>IF(AS726="2",BJ726,0)</f>
        <v>0</v>
      </c>
      <c r="AI726" s="56">
        <f>IF(AS726="2",BK726,0)</f>
        <v>0</v>
      </c>
      <c r="AJ726" s="56">
        <f>IF(AS726="0",BL726,0)</f>
        <v>0</v>
      </c>
      <c r="AK726" s="7" t="s">
        <v>1746</v>
      </c>
      <c r="AL726" s="56">
        <f>IF(AP726=0,K726,0)</f>
        <v>0</v>
      </c>
      <c r="AM726" s="56">
        <f>IF(AP726=15,K726,0)</f>
        <v>0</v>
      </c>
      <c r="AN726" s="56">
        <f>IF(AP726=21,K726,0)</f>
        <v>0</v>
      </c>
      <c r="AP726" s="56">
        <v>21</v>
      </c>
      <c r="AQ726" s="88">
        <f>H726*0</f>
        <v>0</v>
      </c>
      <c r="AR726" s="88">
        <f>H726*(1-0)</f>
        <v>0</v>
      </c>
      <c r="AS726" s="21" t="s">
        <v>1227</v>
      </c>
      <c r="AX726" s="56">
        <f>AY726+AZ726</f>
        <v>0</v>
      </c>
      <c r="AY726" s="56">
        <f>G726*AQ726</f>
        <v>0</v>
      </c>
      <c r="AZ726" s="56">
        <f>G726*AR726</f>
        <v>0</v>
      </c>
      <c r="BA726" s="21" t="s">
        <v>942</v>
      </c>
      <c r="BB726" s="21" t="s">
        <v>294</v>
      </c>
      <c r="BC726" s="7" t="s">
        <v>1747</v>
      </c>
      <c r="BE726" s="56">
        <f>AY726+AZ726</f>
        <v>0</v>
      </c>
      <c r="BF726" s="56">
        <f>H726/(100-BG726)*100</f>
        <v>0</v>
      </c>
      <c r="BG726" s="56">
        <v>0</v>
      </c>
      <c r="BH726" s="56">
        <f>M726</f>
        <v>0</v>
      </c>
      <c r="BJ726" s="56">
        <f>G726*AQ726</f>
        <v>0</v>
      </c>
      <c r="BK726" s="56">
        <f>G726*AR726</f>
        <v>0</v>
      </c>
      <c r="BL726" s="56">
        <f>G726*H726</f>
        <v>0</v>
      </c>
      <c r="BM726" s="56"/>
      <c r="BN726" s="56"/>
    </row>
    <row r="727" spans="1:68" ht="15" customHeight="1">
      <c r="A727" s="36"/>
      <c r="D727" s="45" t="s">
        <v>60</v>
      </c>
      <c r="E727" s="104" t="s">
        <v>1182</v>
      </c>
      <c r="G727" s="13">
        <v>14.500000000000002</v>
      </c>
      <c r="N727" s="19"/>
      <c r="P727" s="592"/>
      <c r="Q727" s="592"/>
      <c r="R727" s="592"/>
      <c r="S727" s="592"/>
      <c r="T727" s="592"/>
      <c r="U727" s="592"/>
      <c r="V727" s="592"/>
      <c r="W727" s="592"/>
      <c r="X727" s="592"/>
    </row>
    <row r="728" spans="1:68" ht="15" customHeight="1">
      <c r="A728" s="24" t="s">
        <v>1511</v>
      </c>
      <c r="B728" s="12" t="s">
        <v>1746</v>
      </c>
      <c r="C728" s="12" t="s">
        <v>341</v>
      </c>
      <c r="D728" s="630" t="s">
        <v>1016</v>
      </c>
      <c r="E728" s="630"/>
      <c r="F728" s="12" t="s">
        <v>1074</v>
      </c>
      <c r="G728" s="56">
        <v>217.5</v>
      </c>
      <c r="H728" s="625"/>
      <c r="I728" s="56">
        <f>G728*AQ728</f>
        <v>0</v>
      </c>
      <c r="J728" s="56">
        <f>G728*AR728</f>
        <v>0</v>
      </c>
      <c r="K728" s="56">
        <f>G728*H728</f>
        <v>0</v>
      </c>
      <c r="L728" s="56">
        <v>0</v>
      </c>
      <c r="M728" s="56">
        <f>G728*L728</f>
        <v>0</v>
      </c>
      <c r="N728" s="31" t="s">
        <v>1579</v>
      </c>
      <c r="P728" s="592"/>
      <c r="Q728" s="592"/>
      <c r="R728" s="592"/>
      <c r="S728" s="592"/>
      <c r="T728" s="592"/>
      <c r="U728" s="592"/>
      <c r="V728" s="592"/>
      <c r="W728" s="592"/>
      <c r="X728" s="592"/>
      <c r="AB728" s="56">
        <f>IF(AS728="5",BL728,0)</f>
        <v>0</v>
      </c>
      <c r="AD728" s="56">
        <f>IF(AS728="1",BJ728,0)</f>
        <v>0</v>
      </c>
      <c r="AE728" s="56">
        <f>IF(AS728="1",BK728,0)</f>
        <v>0</v>
      </c>
      <c r="AF728" s="56">
        <f>IF(AS728="7",BJ728,0)</f>
        <v>0</v>
      </c>
      <c r="AG728" s="56">
        <f>IF(AS728="7",BK728,0)</f>
        <v>0</v>
      </c>
      <c r="AH728" s="56">
        <f>IF(AS728="2",BJ728,0)</f>
        <v>0</v>
      </c>
      <c r="AI728" s="56">
        <f>IF(AS728="2",BK728,0)</f>
        <v>0</v>
      </c>
      <c r="AJ728" s="56">
        <f>IF(AS728="0",BL728,0)</f>
        <v>0</v>
      </c>
      <c r="AK728" s="7" t="s">
        <v>1746</v>
      </c>
      <c r="AL728" s="56">
        <f>IF(AP728=0,K728,0)</f>
        <v>0</v>
      </c>
      <c r="AM728" s="56">
        <f>IF(AP728=15,K728,0)</f>
        <v>0</v>
      </c>
      <c r="AN728" s="56">
        <f>IF(AP728=21,K728,0)</f>
        <v>0</v>
      </c>
      <c r="AP728" s="56">
        <v>21</v>
      </c>
      <c r="AQ728" s="88">
        <f>H728*0</f>
        <v>0</v>
      </c>
      <c r="AR728" s="88">
        <f>H728*(1-0)</f>
        <v>0</v>
      </c>
      <c r="AS728" s="21" t="s">
        <v>1227</v>
      </c>
      <c r="AX728" s="56">
        <f>AY728+AZ728</f>
        <v>0</v>
      </c>
      <c r="AY728" s="56">
        <f>G728*AQ728</f>
        <v>0</v>
      </c>
      <c r="AZ728" s="56">
        <f>G728*AR728</f>
        <v>0</v>
      </c>
      <c r="BA728" s="21" t="s">
        <v>942</v>
      </c>
      <c r="BB728" s="21" t="s">
        <v>294</v>
      </c>
      <c r="BC728" s="7" t="s">
        <v>1747</v>
      </c>
      <c r="BE728" s="56">
        <f>AY728+AZ728</f>
        <v>0</v>
      </c>
      <c r="BF728" s="56">
        <f>H728/(100-BG728)*100</f>
        <v>0</v>
      </c>
      <c r="BG728" s="56">
        <v>0</v>
      </c>
      <c r="BH728" s="56">
        <f>M728</f>
        <v>0</v>
      </c>
      <c r="BJ728" s="56">
        <f>G728*AQ728</f>
        <v>0</v>
      </c>
      <c r="BK728" s="56">
        <f>G728*AR728</f>
        <v>0</v>
      </c>
      <c r="BL728" s="56">
        <f>G728*H728</f>
        <v>0</v>
      </c>
      <c r="BM728" s="56"/>
      <c r="BN728" s="56"/>
    </row>
    <row r="729" spans="1:68" ht="15" customHeight="1">
      <c r="A729" s="36"/>
      <c r="D729" s="45" t="s">
        <v>1860</v>
      </c>
      <c r="E729" s="104" t="s">
        <v>1597</v>
      </c>
      <c r="G729" s="13">
        <v>217.50000000000003</v>
      </c>
      <c r="N729" s="19"/>
      <c r="P729" s="592"/>
      <c r="Q729" s="592"/>
      <c r="R729" s="592"/>
      <c r="S729" s="592"/>
      <c r="T729" s="592"/>
      <c r="U729" s="592"/>
      <c r="V729" s="592"/>
      <c r="W729" s="592"/>
      <c r="X729" s="592"/>
    </row>
    <row r="730" spans="1:68" ht="15" customHeight="1">
      <c r="A730" s="24" t="s">
        <v>2114</v>
      </c>
      <c r="B730" s="12" t="s">
        <v>1746</v>
      </c>
      <c r="C730" s="12" t="s">
        <v>783</v>
      </c>
      <c r="D730" s="630" t="s">
        <v>1870</v>
      </c>
      <c r="E730" s="630"/>
      <c r="F730" s="12" t="s">
        <v>1074</v>
      </c>
      <c r="G730" s="56">
        <v>14.5</v>
      </c>
      <c r="H730" s="625"/>
      <c r="I730" s="56">
        <f>G730*AQ730</f>
        <v>0</v>
      </c>
      <c r="J730" s="56">
        <f>G730*AR730</f>
        <v>0</v>
      </c>
      <c r="K730" s="56">
        <f>G730*H730</f>
        <v>0</v>
      </c>
      <c r="L730" s="56">
        <v>0</v>
      </c>
      <c r="M730" s="56">
        <f>G730*L730</f>
        <v>0</v>
      </c>
      <c r="N730" s="31" t="s">
        <v>1579</v>
      </c>
      <c r="P730" s="592"/>
      <c r="Q730" s="592"/>
      <c r="R730" s="592"/>
      <c r="S730" s="592"/>
      <c r="T730" s="592"/>
      <c r="U730" s="592"/>
      <c r="V730" s="592"/>
      <c r="W730" s="592"/>
      <c r="X730" s="592"/>
      <c r="AB730" s="56">
        <f>IF(AS730="5",BL730,0)</f>
        <v>0</v>
      </c>
      <c r="AD730" s="56">
        <f>IF(AS730="1",BJ730,0)</f>
        <v>0</v>
      </c>
      <c r="AE730" s="56">
        <f>IF(AS730="1",BK730,0)</f>
        <v>0</v>
      </c>
      <c r="AF730" s="56">
        <f>IF(AS730="7",BJ730,0)</f>
        <v>0</v>
      </c>
      <c r="AG730" s="56">
        <f>IF(AS730="7",BK730,0)</f>
        <v>0</v>
      </c>
      <c r="AH730" s="56">
        <f>IF(AS730="2",BJ730,0)</f>
        <v>0</v>
      </c>
      <c r="AI730" s="56">
        <f>IF(AS730="2",BK730,0)</f>
        <v>0</v>
      </c>
      <c r="AJ730" s="56">
        <f>IF(AS730="0",BL730,0)</f>
        <v>0</v>
      </c>
      <c r="AK730" s="7" t="s">
        <v>1746</v>
      </c>
      <c r="AL730" s="56">
        <f>IF(AP730=0,K730,0)</f>
        <v>0</v>
      </c>
      <c r="AM730" s="56">
        <f>IF(AP730=15,K730,0)</f>
        <v>0</v>
      </c>
      <c r="AN730" s="56">
        <f>IF(AP730=21,K730,0)</f>
        <v>0</v>
      </c>
      <c r="AP730" s="56">
        <v>21</v>
      </c>
      <c r="AQ730" s="88">
        <f>H730*0</f>
        <v>0</v>
      </c>
      <c r="AR730" s="88">
        <f>H730*(1-0)</f>
        <v>0</v>
      </c>
      <c r="AS730" s="21" t="s">
        <v>1227</v>
      </c>
      <c r="AX730" s="56">
        <f>AY730+AZ730</f>
        <v>0</v>
      </c>
      <c r="AY730" s="56">
        <f>G730*AQ730</f>
        <v>0</v>
      </c>
      <c r="AZ730" s="56">
        <f>G730*AR730</f>
        <v>0</v>
      </c>
      <c r="BA730" s="21" t="s">
        <v>942</v>
      </c>
      <c r="BB730" s="21" t="s">
        <v>294</v>
      </c>
      <c r="BC730" s="7" t="s">
        <v>1747</v>
      </c>
      <c r="BE730" s="56">
        <f>AY730+AZ730</f>
        <v>0</v>
      </c>
      <c r="BF730" s="56">
        <f>H730/(100-BG730)*100</f>
        <v>0</v>
      </c>
      <c r="BG730" s="56">
        <v>0</v>
      </c>
      <c r="BH730" s="56">
        <f>M730</f>
        <v>0</v>
      </c>
      <c r="BJ730" s="56">
        <f>G730*AQ730</f>
        <v>0</v>
      </c>
      <c r="BK730" s="56">
        <f>G730*AR730</f>
        <v>0</v>
      </c>
      <c r="BL730" s="56">
        <f>G730*H730</f>
        <v>0</v>
      </c>
      <c r="BM730" s="56"/>
      <c r="BN730" s="56"/>
    </row>
    <row r="731" spans="1:68" ht="15" customHeight="1">
      <c r="A731" s="36"/>
      <c r="D731" s="45" t="s">
        <v>60</v>
      </c>
      <c r="E731" s="104" t="s">
        <v>1597</v>
      </c>
      <c r="G731" s="13">
        <v>14.500000000000002</v>
      </c>
      <c r="N731" s="19"/>
      <c r="P731" s="592"/>
      <c r="Q731" s="592"/>
      <c r="R731" s="592"/>
      <c r="S731" s="592"/>
      <c r="T731" s="592"/>
      <c r="U731" s="592"/>
      <c r="V731" s="592"/>
      <c r="W731" s="592"/>
      <c r="X731" s="592"/>
    </row>
    <row r="732" spans="1:68" ht="15" customHeight="1">
      <c r="A732" s="67" t="s">
        <v>1597</v>
      </c>
      <c r="B732" s="65" t="s">
        <v>527</v>
      </c>
      <c r="C732" s="511" t="s">
        <v>1597</v>
      </c>
      <c r="D732" s="708" t="s">
        <v>1906</v>
      </c>
      <c r="E732" s="708"/>
      <c r="F732" s="78" t="s">
        <v>2144</v>
      </c>
      <c r="G732" s="78" t="s">
        <v>2144</v>
      </c>
      <c r="H732" s="78" t="s">
        <v>2144</v>
      </c>
      <c r="I732" s="11">
        <f>I733+I747+I756+I768+I778+I781+I795+I803+I820+I834+I839+I918+I937+I982+I1005+I1024+I1030+I1043+I1048+I1055+I1060+I1063+I1066+I1069+I1072+I1075+I1078+I1081</f>
        <v>0</v>
      </c>
      <c r="J732" s="11">
        <f>J733+J747+J756+J768+J778+J781+J795+J803+J820+J834+J839+J918+J937+J982+J1005+J1024+J1030+J1043+J1048+J1055+J1060+J1063+J1066+J1069+J1072+J1075+J1078+J1081</f>
        <v>0</v>
      </c>
      <c r="K732" s="516">
        <f>K733+K747+K756+K768+K778+K781+K795+K803+K820+K834+K839+K918+K937+K982+K1005+K1024+K1030+K1043+K1048+K1055+K1060+K1063+K1066+K1069+K1072+K1075+K1078+K1081</f>
        <v>0</v>
      </c>
      <c r="L732" s="44" t="s">
        <v>1597</v>
      </c>
      <c r="M732" s="11">
        <f>M733+M747+M756+M768+M778+M781+M795+M803+M820+M834+M839+M918+M937+M982+M1005+M1024+M1030+M1043+M1048+M1055+M1060+M1063+M1066+M1069+M1072+M1075+M1078+M1081</f>
        <v>272.24063340000004</v>
      </c>
      <c r="N732" s="5" t="s">
        <v>1597</v>
      </c>
      <c r="P732" s="592"/>
      <c r="Q732" s="592"/>
      <c r="R732" s="592"/>
      <c r="S732" s="592"/>
      <c r="T732" s="592"/>
      <c r="U732" s="592"/>
      <c r="V732" s="592"/>
      <c r="W732" s="592"/>
      <c r="X732" s="592"/>
    </row>
    <row r="733" spans="1:68" ht="15" customHeight="1">
      <c r="A733" s="32" t="s">
        <v>1597</v>
      </c>
      <c r="B733" s="26" t="s">
        <v>527</v>
      </c>
      <c r="C733" s="512" t="s">
        <v>1846</v>
      </c>
      <c r="D733" s="709" t="s">
        <v>2344</v>
      </c>
      <c r="E733" s="709"/>
      <c r="F733" s="46" t="s">
        <v>2144</v>
      </c>
      <c r="G733" s="46" t="s">
        <v>2144</v>
      </c>
      <c r="H733" s="46" t="s">
        <v>2144</v>
      </c>
      <c r="I733" s="17">
        <f>SUM(I734:I744)</f>
        <v>0</v>
      </c>
      <c r="J733" s="17">
        <f>SUM(J734:J744)</f>
        <v>0</v>
      </c>
      <c r="K733" s="515">
        <f>SUM(K734:K744)</f>
        <v>0</v>
      </c>
      <c r="L733" s="7" t="s">
        <v>1597</v>
      </c>
      <c r="M733" s="17">
        <f>SUM(M734:M744)</f>
        <v>74.861159999999998</v>
      </c>
      <c r="N733" s="20" t="s">
        <v>1597</v>
      </c>
      <c r="P733" s="592">
        <f>K733</f>
        <v>0</v>
      </c>
      <c r="Q733" s="592"/>
      <c r="R733" s="592"/>
      <c r="S733" s="592"/>
      <c r="T733" s="592"/>
      <c r="U733" s="592"/>
      <c r="V733" s="592"/>
      <c r="W733" s="592"/>
      <c r="X733" s="592"/>
      <c r="AK733" s="7" t="s">
        <v>527</v>
      </c>
      <c r="AU733" s="17">
        <f>SUM(AL734:AL744)</f>
        <v>0</v>
      </c>
      <c r="AV733" s="17">
        <f>SUM(AM734:AM744)</f>
        <v>0</v>
      </c>
      <c r="AW733" s="17">
        <f>SUM(AN734:AN744)</f>
        <v>0</v>
      </c>
    </row>
    <row r="734" spans="1:68" ht="15" customHeight="1">
      <c r="A734" s="24" t="s">
        <v>1985</v>
      </c>
      <c r="B734" s="12" t="s">
        <v>527</v>
      </c>
      <c r="C734" s="12" t="s">
        <v>1372</v>
      </c>
      <c r="D734" s="630" t="s">
        <v>1604</v>
      </c>
      <c r="E734" s="630"/>
      <c r="F734" s="12" t="s">
        <v>2274</v>
      </c>
      <c r="G734" s="56">
        <v>162</v>
      </c>
      <c r="H734" s="625"/>
      <c r="I734" s="56">
        <f>G734*AQ734</f>
        <v>0</v>
      </c>
      <c r="J734" s="56">
        <f>G734*AR734</f>
        <v>0</v>
      </c>
      <c r="K734" s="56">
        <f>G734*H734</f>
        <v>0</v>
      </c>
      <c r="L734" s="56">
        <v>0.37018000000000001</v>
      </c>
      <c r="M734" s="56">
        <f>G734*L734</f>
        <v>59.969160000000002</v>
      </c>
      <c r="N734" s="31" t="s">
        <v>1579</v>
      </c>
      <c r="P734" s="592"/>
      <c r="Q734" s="592"/>
      <c r="R734" s="592"/>
      <c r="S734" s="592"/>
      <c r="T734" s="592"/>
      <c r="U734" s="592"/>
      <c r="V734" s="592"/>
      <c r="W734" s="592"/>
      <c r="X734" s="592"/>
      <c r="AB734" s="56">
        <f>IF(AS734="5",BL734,0)</f>
        <v>0</v>
      </c>
      <c r="AD734" s="56">
        <f>IF(AS734="1",BJ734,0)</f>
        <v>0</v>
      </c>
      <c r="AE734" s="56">
        <f>IF(AS734="1",BK734,0)</f>
        <v>0</v>
      </c>
      <c r="AF734" s="56">
        <f>IF(AS734="7",BJ734,0)</f>
        <v>0</v>
      </c>
      <c r="AG734" s="56">
        <f>IF(AS734="7",BK734,0)</f>
        <v>0</v>
      </c>
      <c r="AH734" s="56">
        <f>IF(AS734="2",BJ734,0)</f>
        <v>0</v>
      </c>
      <c r="AI734" s="56">
        <f>IF(AS734="2",BK734,0)</f>
        <v>0</v>
      </c>
      <c r="AJ734" s="56">
        <f>IF(AS734="0",BL734,0)</f>
        <v>0</v>
      </c>
      <c r="AK734" s="7" t="s">
        <v>527</v>
      </c>
      <c r="AL734" s="56">
        <f>IF(AP734=0,K734,0)</f>
        <v>0</v>
      </c>
      <c r="AM734" s="56">
        <f>IF(AP734=15,K734,0)</f>
        <v>0</v>
      </c>
      <c r="AN734" s="56">
        <f>IF(AP734=21,K734,0)</f>
        <v>0</v>
      </c>
      <c r="AP734" s="56">
        <v>21</v>
      </c>
      <c r="AQ734" s="88">
        <f>H734*0.160418060200669</f>
        <v>0</v>
      </c>
      <c r="AR734" s="88">
        <f>H734*(1-0.160418060200669)</f>
        <v>0</v>
      </c>
      <c r="AS734" s="21" t="s">
        <v>2297</v>
      </c>
      <c r="AX734" s="56">
        <f>AY734+AZ734</f>
        <v>0</v>
      </c>
      <c r="AY734" s="56">
        <f>G734*AQ734</f>
        <v>0</v>
      </c>
      <c r="AZ734" s="56">
        <f>G734*AR734</f>
        <v>0</v>
      </c>
      <c r="BA734" s="21" t="s">
        <v>1138</v>
      </c>
      <c r="BB734" s="21" t="s">
        <v>1188</v>
      </c>
      <c r="BC734" s="7" t="s">
        <v>1887</v>
      </c>
      <c r="BE734" s="56">
        <f>AY734+AZ734</f>
        <v>0</v>
      </c>
      <c r="BF734" s="56">
        <f>H734/(100-BG734)*100</f>
        <v>0</v>
      </c>
      <c r="BG734" s="56">
        <v>0</v>
      </c>
      <c r="BH734" s="56">
        <f>M734</f>
        <v>59.969160000000002</v>
      </c>
      <c r="BJ734" s="56">
        <f>G734*AQ734</f>
        <v>0</v>
      </c>
      <c r="BK734" s="56">
        <f>G734*AR734</f>
        <v>0</v>
      </c>
      <c r="BL734" s="56">
        <f>G734*H734</f>
        <v>0</v>
      </c>
      <c r="BM734" s="56"/>
      <c r="BN734" s="56">
        <v>18</v>
      </c>
    </row>
    <row r="735" spans="1:68" ht="15" customHeight="1">
      <c r="A735" s="36"/>
      <c r="D735" s="45" t="s">
        <v>2333</v>
      </c>
      <c r="E735" s="104" t="s">
        <v>1597</v>
      </c>
      <c r="G735" s="13">
        <v>162</v>
      </c>
      <c r="N735" s="19"/>
      <c r="P735" s="592"/>
      <c r="Q735" s="592"/>
      <c r="R735" s="592"/>
      <c r="S735" s="592"/>
      <c r="T735" s="592"/>
      <c r="U735" s="592"/>
      <c r="V735" s="592"/>
      <c r="W735" s="592"/>
      <c r="X735" s="592"/>
    </row>
    <row r="736" spans="1:68" ht="15" customHeight="1">
      <c r="A736" s="8" t="s">
        <v>626</v>
      </c>
      <c r="B736" s="75" t="s">
        <v>527</v>
      </c>
      <c r="C736" s="75" t="s">
        <v>187</v>
      </c>
      <c r="D736" s="710" t="s">
        <v>2340</v>
      </c>
      <c r="E736" s="710"/>
      <c r="F736" s="75" t="s">
        <v>2236</v>
      </c>
      <c r="G736" s="80">
        <v>24.3</v>
      </c>
      <c r="H736" s="626"/>
      <c r="I736" s="80">
        <f>G736*AQ736</f>
        <v>0</v>
      </c>
      <c r="J736" s="80">
        <f>G736*AR736</f>
        <v>0</v>
      </c>
      <c r="K736" s="80">
        <f>G736*H736</f>
        <v>0</v>
      </c>
      <c r="L736" s="80">
        <v>0.6</v>
      </c>
      <c r="M736" s="80">
        <f>G736*L736</f>
        <v>14.58</v>
      </c>
      <c r="N736" s="38" t="s">
        <v>1579</v>
      </c>
      <c r="P736" s="592"/>
      <c r="Q736" s="592"/>
      <c r="R736" s="592"/>
      <c r="S736" s="592"/>
      <c r="T736" s="592"/>
      <c r="U736" s="592"/>
      <c r="V736" s="592"/>
      <c r="W736" s="592"/>
      <c r="X736" s="592"/>
      <c r="AB736" s="56">
        <f>IF(AS736="5",BL736,0)</f>
        <v>0</v>
      </c>
      <c r="AD736" s="56">
        <f>IF(AS736="1",BJ736,0)</f>
        <v>0</v>
      </c>
      <c r="AE736" s="56">
        <f>IF(AS736="1",BK736,0)</f>
        <v>0</v>
      </c>
      <c r="AF736" s="56">
        <f>IF(AS736="7",BJ736,0)</f>
        <v>0</v>
      </c>
      <c r="AG736" s="56">
        <f>IF(AS736="7",BK736,0)</f>
        <v>0</v>
      </c>
      <c r="AH736" s="56">
        <f>IF(AS736="2",BJ736,0)</f>
        <v>0</v>
      </c>
      <c r="AI736" s="56">
        <f>IF(AS736="2",BK736,0)</f>
        <v>0</v>
      </c>
      <c r="AJ736" s="56">
        <f>IF(AS736="0",BL736,0)</f>
        <v>0</v>
      </c>
      <c r="AK736" s="7" t="s">
        <v>527</v>
      </c>
      <c r="AL736" s="80">
        <f>IF(AP736=0,K736,0)</f>
        <v>0</v>
      </c>
      <c r="AM736" s="80">
        <f>IF(AP736=15,K736,0)</f>
        <v>0</v>
      </c>
      <c r="AN736" s="80">
        <f>IF(AP736=21,K736,0)</f>
        <v>0</v>
      </c>
      <c r="AP736" s="56">
        <v>21</v>
      </c>
      <c r="AQ736" s="88">
        <f>H736*1</f>
        <v>0</v>
      </c>
      <c r="AR736" s="88">
        <f>H736*(1-1)</f>
        <v>0</v>
      </c>
      <c r="AS736" s="64" t="s">
        <v>2297</v>
      </c>
      <c r="AX736" s="56">
        <f>AY736+AZ736</f>
        <v>0</v>
      </c>
      <c r="AY736" s="56">
        <f>G736*AQ736</f>
        <v>0</v>
      </c>
      <c r="AZ736" s="56">
        <f>G736*AR736</f>
        <v>0</v>
      </c>
      <c r="BA736" s="21" t="s">
        <v>1138</v>
      </c>
      <c r="BB736" s="21" t="s">
        <v>1188</v>
      </c>
      <c r="BC736" s="7" t="s">
        <v>1887</v>
      </c>
      <c r="BE736" s="56">
        <f>AY736+AZ736</f>
        <v>0</v>
      </c>
      <c r="BF736" s="56">
        <f>H736/(100-BG736)*100</f>
        <v>0</v>
      </c>
      <c r="BG736" s="56">
        <v>0</v>
      </c>
      <c r="BH736" s="56">
        <f>M736</f>
        <v>14.58</v>
      </c>
      <c r="BJ736" s="80">
        <f>G736*AQ736</f>
        <v>0</v>
      </c>
      <c r="BK736" s="80">
        <f>G736*AR736</f>
        <v>0</v>
      </c>
      <c r="BL736" s="80">
        <f>G736*H736</f>
        <v>0</v>
      </c>
      <c r="BM736" s="80"/>
      <c r="BN736" s="56">
        <v>18</v>
      </c>
    </row>
    <row r="737" spans="1:68" ht="15" customHeight="1">
      <c r="A737" s="36"/>
      <c r="D737" s="45" t="s">
        <v>872</v>
      </c>
      <c r="E737" s="104" t="s">
        <v>1597</v>
      </c>
      <c r="G737" s="13">
        <v>24.3</v>
      </c>
      <c r="N737" s="19"/>
      <c r="P737" s="592"/>
      <c r="Q737" s="592"/>
      <c r="R737" s="592"/>
      <c r="S737" s="592"/>
      <c r="T737" s="592"/>
      <c r="U737" s="592"/>
      <c r="V737" s="592"/>
      <c r="W737" s="592"/>
      <c r="X737" s="592"/>
    </row>
    <row r="738" spans="1:68" ht="15" customHeight="1">
      <c r="A738" s="8" t="s">
        <v>1070</v>
      </c>
      <c r="B738" s="75" t="s">
        <v>527</v>
      </c>
      <c r="C738" s="75" t="s">
        <v>2277</v>
      </c>
      <c r="D738" s="710" t="s">
        <v>2076</v>
      </c>
      <c r="E738" s="710"/>
      <c r="F738" s="75" t="s">
        <v>2274</v>
      </c>
      <c r="G738" s="80">
        <v>252</v>
      </c>
      <c r="H738" s="626"/>
      <c r="I738" s="80">
        <f>G738*AQ738</f>
        <v>0</v>
      </c>
      <c r="J738" s="80">
        <f>G738*AR738</f>
        <v>0</v>
      </c>
      <c r="K738" s="80">
        <f>G738*H738</f>
        <v>0</v>
      </c>
      <c r="L738" s="80">
        <v>1E-3</v>
      </c>
      <c r="M738" s="80">
        <f>G738*L738</f>
        <v>0.252</v>
      </c>
      <c r="N738" s="38" t="s">
        <v>1579</v>
      </c>
      <c r="P738" s="592"/>
      <c r="Q738" s="592"/>
      <c r="R738" s="592"/>
      <c r="S738" s="592"/>
      <c r="T738" s="592"/>
      <c r="U738" s="592"/>
      <c r="V738" s="592"/>
      <c r="W738" s="592"/>
      <c r="X738" s="592"/>
      <c r="AB738" s="56">
        <f>IF(AS738="5",BL738,0)</f>
        <v>0</v>
      </c>
      <c r="AD738" s="56">
        <f>IF(AS738="1",BJ738,0)</f>
        <v>0</v>
      </c>
      <c r="AE738" s="56">
        <f>IF(AS738="1",BK738,0)</f>
        <v>0</v>
      </c>
      <c r="AF738" s="56">
        <f>IF(AS738="7",BJ738,0)</f>
        <v>0</v>
      </c>
      <c r="AG738" s="56">
        <f>IF(AS738="7",BK738,0)</f>
        <v>0</v>
      </c>
      <c r="AH738" s="56">
        <f>IF(AS738="2",BJ738,0)</f>
        <v>0</v>
      </c>
      <c r="AI738" s="56">
        <f>IF(AS738="2",BK738,0)</f>
        <v>0</v>
      </c>
      <c r="AJ738" s="56">
        <f>IF(AS738="0",BL738,0)</f>
        <v>0</v>
      </c>
      <c r="AK738" s="7" t="s">
        <v>527</v>
      </c>
      <c r="AL738" s="80">
        <f>IF(AP738=0,K738,0)</f>
        <v>0</v>
      </c>
      <c r="AM738" s="80">
        <f>IF(AP738=15,K738,0)</f>
        <v>0</v>
      </c>
      <c r="AN738" s="80">
        <f>IF(AP738=21,K738,0)</f>
        <v>0</v>
      </c>
      <c r="AP738" s="56">
        <v>21</v>
      </c>
      <c r="AQ738" s="88">
        <f>H738*1</f>
        <v>0</v>
      </c>
      <c r="AR738" s="88">
        <f>H738*(1-1)</f>
        <v>0</v>
      </c>
      <c r="AS738" s="64" t="s">
        <v>2297</v>
      </c>
      <c r="AX738" s="56">
        <f>AY738+AZ738</f>
        <v>0</v>
      </c>
      <c r="AY738" s="56">
        <f>G738*AQ738</f>
        <v>0</v>
      </c>
      <c r="AZ738" s="56">
        <f>G738*AR738</f>
        <v>0</v>
      </c>
      <c r="BA738" s="21" t="s">
        <v>1138</v>
      </c>
      <c r="BB738" s="21" t="s">
        <v>1188</v>
      </c>
      <c r="BC738" s="7" t="s">
        <v>1887</v>
      </c>
      <c r="BE738" s="56">
        <f>AY738+AZ738</f>
        <v>0</v>
      </c>
      <c r="BF738" s="56">
        <f>H738/(100-BG738)*100</f>
        <v>0</v>
      </c>
      <c r="BG738" s="56">
        <v>0</v>
      </c>
      <c r="BH738" s="56">
        <f>M738</f>
        <v>0.252</v>
      </c>
      <c r="BJ738" s="80">
        <f>G738*AQ738</f>
        <v>0</v>
      </c>
      <c r="BK738" s="80">
        <f>G738*AR738</f>
        <v>0</v>
      </c>
      <c r="BL738" s="80">
        <f>G738*H738</f>
        <v>0</v>
      </c>
      <c r="BM738" s="80"/>
      <c r="BN738" s="56">
        <v>18</v>
      </c>
    </row>
    <row r="739" spans="1:68" ht="15" customHeight="1">
      <c r="A739" s="36"/>
      <c r="D739" s="45" t="s">
        <v>2475</v>
      </c>
      <c r="E739" s="104" t="s">
        <v>1597</v>
      </c>
      <c r="G739" s="13">
        <v>210.00000000000003</v>
      </c>
      <c r="N739" s="19"/>
      <c r="P739" s="592"/>
      <c r="Q739" s="592"/>
      <c r="R739" s="592"/>
      <c r="S739" s="592"/>
      <c r="T739" s="592"/>
      <c r="U739" s="592"/>
      <c r="V739" s="592"/>
      <c r="W739" s="592"/>
      <c r="X739" s="592"/>
    </row>
    <row r="740" spans="1:68" ht="15" customHeight="1">
      <c r="A740" s="36"/>
      <c r="D740" s="45" t="s">
        <v>1385</v>
      </c>
      <c r="E740" s="104" t="s">
        <v>1597</v>
      </c>
      <c r="G740" s="13">
        <v>42</v>
      </c>
      <c r="N740" s="19"/>
      <c r="P740" s="592"/>
      <c r="Q740" s="592"/>
      <c r="R740" s="592"/>
      <c r="S740" s="592"/>
      <c r="T740" s="592"/>
      <c r="U740" s="592"/>
      <c r="V740" s="592"/>
      <c r="W740" s="592"/>
      <c r="X740" s="592"/>
    </row>
    <row r="741" spans="1:68" ht="15" customHeight="1">
      <c r="A741" s="8" t="s">
        <v>41</v>
      </c>
      <c r="B741" s="75" t="s">
        <v>527</v>
      </c>
      <c r="C741" s="75" t="s">
        <v>1773</v>
      </c>
      <c r="D741" s="710" t="s">
        <v>3610</v>
      </c>
      <c r="E741" s="710"/>
      <c r="F741" s="75" t="s">
        <v>2274</v>
      </c>
      <c r="G741" s="80">
        <v>300</v>
      </c>
      <c r="H741" s="626"/>
      <c r="I741" s="80">
        <f>G741*AQ741</f>
        <v>0</v>
      </c>
      <c r="J741" s="80">
        <f>G741*AR741</f>
        <v>0</v>
      </c>
      <c r="K741" s="80">
        <f>G741*H741</f>
        <v>0</v>
      </c>
      <c r="L741" s="80">
        <v>0</v>
      </c>
      <c r="M741" s="80">
        <f>G741*L741</f>
        <v>0</v>
      </c>
      <c r="N741" s="38" t="s">
        <v>1579</v>
      </c>
      <c r="P741" s="592"/>
      <c r="Q741" s="592"/>
      <c r="R741" s="592"/>
      <c r="S741" s="592"/>
      <c r="T741" s="592"/>
      <c r="U741" s="592"/>
      <c r="V741" s="592"/>
      <c r="W741" s="592"/>
      <c r="X741" s="592"/>
      <c r="AB741" s="56">
        <f>IF(AS741="5",BL741,0)</f>
        <v>0</v>
      </c>
      <c r="AD741" s="56">
        <f>IF(AS741="1",BJ741,0)</f>
        <v>0</v>
      </c>
      <c r="AE741" s="56">
        <f>IF(AS741="1",BK741,0)</f>
        <v>0</v>
      </c>
      <c r="AF741" s="56">
        <f>IF(AS741="7",BJ741,0)</f>
        <v>0</v>
      </c>
      <c r="AG741" s="56">
        <f>IF(AS741="7",BK741,0)</f>
        <v>0</v>
      </c>
      <c r="AH741" s="56">
        <f>IF(AS741="2",BJ741,0)</f>
        <v>0</v>
      </c>
      <c r="AI741" s="56">
        <f>IF(AS741="2",BK741,0)</f>
        <v>0</v>
      </c>
      <c r="AJ741" s="56">
        <f>IF(AS741="0",BL741,0)</f>
        <v>0</v>
      </c>
      <c r="AK741" s="7" t="s">
        <v>527</v>
      </c>
      <c r="AL741" s="80">
        <f>IF(AP741=0,K741,0)</f>
        <v>0</v>
      </c>
      <c r="AM741" s="80">
        <f>IF(AP741=15,K741,0)</f>
        <v>0</v>
      </c>
      <c r="AN741" s="80">
        <f>IF(AP741=21,K741,0)</f>
        <v>0</v>
      </c>
      <c r="AP741" s="56">
        <v>21</v>
      </c>
      <c r="AQ741" s="88">
        <f>H741*1</f>
        <v>0</v>
      </c>
      <c r="AR741" s="88">
        <f>H741*(1-1)</f>
        <v>0</v>
      </c>
      <c r="AS741" s="64" t="s">
        <v>2297</v>
      </c>
      <c r="AX741" s="56">
        <f>AY741+AZ741</f>
        <v>0</v>
      </c>
      <c r="AY741" s="56">
        <f>G741*AQ741</f>
        <v>0</v>
      </c>
      <c r="AZ741" s="56">
        <f>G741*AR741</f>
        <v>0</v>
      </c>
      <c r="BA741" s="21" t="s">
        <v>1138</v>
      </c>
      <c r="BB741" s="21" t="s">
        <v>1188</v>
      </c>
      <c r="BC741" s="7" t="s">
        <v>1887</v>
      </c>
      <c r="BE741" s="56">
        <f>AY741+AZ741</f>
        <v>0</v>
      </c>
      <c r="BF741" s="56">
        <f>H741/(100-BG741)*100</f>
        <v>0</v>
      </c>
      <c r="BG741" s="56">
        <v>0</v>
      </c>
      <c r="BH741" s="56">
        <f>M741</f>
        <v>0</v>
      </c>
      <c r="BJ741" s="80">
        <f>G741*AQ741</f>
        <v>0</v>
      </c>
      <c r="BK741" s="80">
        <f>G741*AR741</f>
        <v>0</v>
      </c>
      <c r="BL741" s="80">
        <f>G741*H741</f>
        <v>0</v>
      </c>
      <c r="BM741" s="80"/>
      <c r="BN741" s="56">
        <v>18</v>
      </c>
    </row>
    <row r="742" spans="1:68" ht="15" customHeight="1">
      <c r="A742" s="36"/>
      <c r="D742" s="45" t="s">
        <v>1060</v>
      </c>
      <c r="E742" s="104" t="s">
        <v>1597</v>
      </c>
      <c r="G742" s="13">
        <v>250.00000000000003</v>
      </c>
      <c r="N742" s="19"/>
      <c r="P742" s="592"/>
      <c r="Q742" s="592"/>
      <c r="R742" s="592"/>
      <c r="S742" s="592"/>
      <c r="T742" s="592"/>
      <c r="U742" s="592"/>
      <c r="V742" s="592"/>
      <c r="W742" s="592"/>
      <c r="X742" s="592"/>
    </row>
    <row r="743" spans="1:68" ht="15" customHeight="1">
      <c r="A743" s="36"/>
      <c r="D743" s="45" t="s">
        <v>551</v>
      </c>
      <c r="E743" s="104" t="s">
        <v>1597</v>
      </c>
      <c r="G743" s="13">
        <v>50.000000000000007</v>
      </c>
      <c r="N743" s="19"/>
      <c r="P743" s="592"/>
      <c r="Q743" s="592"/>
      <c r="R743" s="592"/>
      <c r="S743" s="592"/>
      <c r="T743" s="592"/>
      <c r="U743" s="592"/>
      <c r="V743" s="592"/>
      <c r="W743" s="592"/>
      <c r="X743" s="592"/>
    </row>
    <row r="744" spans="1:68" ht="15" customHeight="1">
      <c r="A744" s="8" t="s">
        <v>1362</v>
      </c>
      <c r="B744" s="75" t="s">
        <v>527</v>
      </c>
      <c r="C744" s="75" t="s">
        <v>857</v>
      </c>
      <c r="D744" s="710" t="s">
        <v>1835</v>
      </c>
      <c r="E744" s="710"/>
      <c r="F744" s="75" t="s">
        <v>2274</v>
      </c>
      <c r="G744" s="80">
        <v>300</v>
      </c>
      <c r="H744" s="626"/>
      <c r="I744" s="80">
        <f>G744*AQ744</f>
        <v>0</v>
      </c>
      <c r="J744" s="80">
        <f>G744*AR744</f>
        <v>0</v>
      </c>
      <c r="K744" s="80">
        <f>G744*H744</f>
        <v>0</v>
      </c>
      <c r="L744" s="80">
        <v>2.0000000000000001E-4</v>
      </c>
      <c r="M744" s="80">
        <f>G744*L744</f>
        <v>6.0000000000000005E-2</v>
      </c>
      <c r="N744" s="38" t="s">
        <v>1579</v>
      </c>
      <c r="P744" s="592"/>
      <c r="Q744" s="592"/>
      <c r="R744" s="592"/>
      <c r="S744" s="592"/>
      <c r="T744" s="592"/>
      <c r="U744" s="592"/>
      <c r="V744" s="592"/>
      <c r="W744" s="592"/>
      <c r="X744" s="592"/>
      <c r="AB744" s="56">
        <f>IF(AS744="5",BL744,0)</f>
        <v>0</v>
      </c>
      <c r="AD744" s="56">
        <f>IF(AS744="1",BJ744,0)</f>
        <v>0</v>
      </c>
      <c r="AE744" s="56">
        <f>IF(AS744="1",BK744,0)</f>
        <v>0</v>
      </c>
      <c r="AF744" s="56">
        <f>IF(AS744="7",BJ744,0)</f>
        <v>0</v>
      </c>
      <c r="AG744" s="56">
        <f>IF(AS744="7",BK744,0)</f>
        <v>0</v>
      </c>
      <c r="AH744" s="56">
        <f>IF(AS744="2",BJ744,0)</f>
        <v>0</v>
      </c>
      <c r="AI744" s="56">
        <f>IF(AS744="2",BK744,0)</f>
        <v>0</v>
      </c>
      <c r="AJ744" s="56">
        <f>IF(AS744="0",BL744,0)</f>
        <v>0</v>
      </c>
      <c r="AK744" s="7" t="s">
        <v>527</v>
      </c>
      <c r="AL744" s="80">
        <f>IF(AP744=0,K744,0)</f>
        <v>0</v>
      </c>
      <c r="AM744" s="80">
        <f>IF(AP744=15,K744,0)</f>
        <v>0</v>
      </c>
      <c r="AN744" s="80">
        <f>IF(AP744=21,K744,0)</f>
        <v>0</v>
      </c>
      <c r="AP744" s="56">
        <v>21</v>
      </c>
      <c r="AQ744" s="88">
        <f>H744*1</f>
        <v>0</v>
      </c>
      <c r="AR744" s="88">
        <f>H744*(1-1)</f>
        <v>0</v>
      </c>
      <c r="AS744" s="64" t="s">
        <v>2297</v>
      </c>
      <c r="AX744" s="56">
        <f>AY744+AZ744</f>
        <v>0</v>
      </c>
      <c r="AY744" s="56">
        <f>G744*AQ744</f>
        <v>0</v>
      </c>
      <c r="AZ744" s="56">
        <f>G744*AR744</f>
        <v>0</v>
      </c>
      <c r="BA744" s="21" t="s">
        <v>1138</v>
      </c>
      <c r="BB744" s="21" t="s">
        <v>1188</v>
      </c>
      <c r="BC744" s="7" t="s">
        <v>1887</v>
      </c>
      <c r="BE744" s="56">
        <f>AY744+AZ744</f>
        <v>0</v>
      </c>
      <c r="BF744" s="56">
        <f>H744/(100-BG744)*100</f>
        <v>0</v>
      </c>
      <c r="BG744" s="56">
        <v>0</v>
      </c>
      <c r="BH744" s="56">
        <f>M744</f>
        <v>6.0000000000000005E-2</v>
      </c>
      <c r="BJ744" s="80">
        <f>G744*AQ744</f>
        <v>0</v>
      </c>
      <c r="BK744" s="80">
        <f>G744*AR744</f>
        <v>0</v>
      </c>
      <c r="BL744" s="80">
        <f>G744*H744</f>
        <v>0</v>
      </c>
      <c r="BM744" s="80"/>
      <c r="BN744" s="56">
        <v>18</v>
      </c>
    </row>
    <row r="745" spans="1:68" ht="15" customHeight="1">
      <c r="A745" s="36"/>
      <c r="D745" s="45" t="s">
        <v>1060</v>
      </c>
      <c r="E745" s="104" t="s">
        <v>1597</v>
      </c>
      <c r="G745" s="13">
        <v>250.00000000000003</v>
      </c>
      <c r="N745" s="19"/>
      <c r="P745" s="592"/>
      <c r="Q745" s="592"/>
      <c r="R745" s="592"/>
      <c r="S745" s="592"/>
      <c r="T745" s="592"/>
      <c r="U745" s="592"/>
      <c r="V745" s="592"/>
      <c r="W745" s="592"/>
      <c r="X745" s="592"/>
    </row>
    <row r="746" spans="1:68" ht="15" customHeight="1">
      <c r="A746" s="36"/>
      <c r="D746" s="45" t="s">
        <v>551</v>
      </c>
      <c r="E746" s="104" t="s">
        <v>1597</v>
      </c>
      <c r="G746" s="13">
        <v>50.000000000000007</v>
      </c>
      <c r="N746" s="19"/>
      <c r="P746" s="592"/>
      <c r="Q746" s="592"/>
      <c r="R746" s="592"/>
      <c r="S746" s="592"/>
      <c r="T746" s="592"/>
      <c r="U746" s="592"/>
      <c r="V746" s="592"/>
      <c r="W746" s="592"/>
      <c r="X746" s="592"/>
    </row>
    <row r="747" spans="1:68" ht="15" customHeight="1">
      <c r="A747" s="32" t="s">
        <v>1597</v>
      </c>
      <c r="B747" s="26" t="s">
        <v>527</v>
      </c>
      <c r="C747" s="553" t="s">
        <v>1378</v>
      </c>
      <c r="D747" s="709" t="s">
        <v>2229</v>
      </c>
      <c r="E747" s="709"/>
      <c r="F747" s="46" t="s">
        <v>2144</v>
      </c>
      <c r="G747" s="46" t="s">
        <v>2144</v>
      </c>
      <c r="H747" s="46" t="s">
        <v>2144</v>
      </c>
      <c r="I747" s="17">
        <f>SUM(I748:I754)</f>
        <v>0</v>
      </c>
      <c r="J747" s="17">
        <f>SUM(J748:J754)</f>
        <v>0</v>
      </c>
      <c r="K747" s="554">
        <f>SUM(K748:K754)</f>
        <v>0</v>
      </c>
      <c r="L747" s="7" t="s">
        <v>1597</v>
      </c>
      <c r="M747" s="17">
        <f>SUM(M748:M754)</f>
        <v>57.00848640000001</v>
      </c>
      <c r="N747" s="20" t="s">
        <v>1597</v>
      </c>
      <c r="P747" s="592"/>
      <c r="Q747" s="592"/>
      <c r="R747" s="592">
        <f>K748-(G750*G748)+K754</f>
        <v>-12228.963600000003</v>
      </c>
      <c r="S747" s="592">
        <f>G750*G748</f>
        <v>12228.963600000003</v>
      </c>
      <c r="T747" s="592"/>
      <c r="U747" s="592"/>
      <c r="V747" s="592"/>
      <c r="W747" s="592"/>
      <c r="X747" s="592"/>
      <c r="AK747" s="7" t="s">
        <v>527</v>
      </c>
      <c r="AU747" s="17">
        <f>SUM(AL748:AL754)</f>
        <v>0</v>
      </c>
      <c r="AV747" s="17">
        <f>SUM(AM748:AM754)</f>
        <v>0</v>
      </c>
      <c r="AW747" s="17">
        <f>SUM(AN748:AN754)</f>
        <v>0</v>
      </c>
      <c r="BP747" s="592">
        <f>SUM(P747:X747)</f>
        <v>0</v>
      </c>
    </row>
    <row r="748" spans="1:68" ht="15" customHeight="1">
      <c r="A748" s="83" t="s">
        <v>2113</v>
      </c>
      <c r="B748" s="6" t="s">
        <v>527</v>
      </c>
      <c r="C748" s="6" t="s">
        <v>530</v>
      </c>
      <c r="D748" s="717" t="s">
        <v>2181</v>
      </c>
      <c r="E748" s="717"/>
      <c r="F748" s="6" t="s">
        <v>2274</v>
      </c>
      <c r="G748" s="30">
        <v>177.18</v>
      </c>
      <c r="H748" s="625"/>
      <c r="I748" s="30">
        <f>G748*AQ748</f>
        <v>0</v>
      </c>
      <c r="J748" s="30">
        <f>G748*AR748</f>
        <v>0</v>
      </c>
      <c r="K748" s="30">
        <f>G748*H748</f>
        <v>0</v>
      </c>
      <c r="L748" s="30">
        <v>0.27964</v>
      </c>
      <c r="M748" s="30">
        <f>G748*L748</f>
        <v>49.546615200000005</v>
      </c>
      <c r="N748" s="72" t="s">
        <v>1579</v>
      </c>
      <c r="P748" s="592"/>
      <c r="Q748" s="592"/>
      <c r="T748" s="592"/>
      <c r="U748" s="592"/>
      <c r="V748" s="592"/>
      <c r="W748" s="592"/>
      <c r="X748" s="592"/>
      <c r="AB748" s="56">
        <f>IF(AS748="5",BL748,0)</f>
        <v>0</v>
      </c>
      <c r="AD748" s="56">
        <f>IF(AS748="1",BJ748,0)</f>
        <v>0</v>
      </c>
      <c r="AE748" s="56">
        <f>IF(AS748="1",BK748,0)</f>
        <v>0</v>
      </c>
      <c r="AF748" s="56">
        <f>IF(AS748="7",BJ748,0)</f>
        <v>0</v>
      </c>
      <c r="AG748" s="56">
        <f>IF(AS748="7",BK748,0)</f>
        <v>0</v>
      </c>
      <c r="AH748" s="56">
        <f>IF(AS748="2",BJ748,0)</f>
        <v>0</v>
      </c>
      <c r="AI748" s="56">
        <f>IF(AS748="2",BK748,0)</f>
        <v>0</v>
      </c>
      <c r="AJ748" s="56">
        <f>IF(AS748="0",BL748,0)</f>
        <v>0</v>
      </c>
      <c r="AK748" s="7" t="s">
        <v>527</v>
      </c>
      <c r="AL748" s="56">
        <f>IF(AP748=0,K748,0)</f>
        <v>0</v>
      </c>
      <c r="AM748" s="56">
        <f>IF(AP748=15,K748,0)</f>
        <v>0</v>
      </c>
      <c r="AN748" s="56">
        <f>IF(AP748=21,K748,0)</f>
        <v>0</v>
      </c>
      <c r="AP748" s="56">
        <v>21</v>
      </c>
      <c r="AQ748" s="88">
        <f>H748*0.870179245283019</f>
        <v>0</v>
      </c>
      <c r="AR748" s="88">
        <f>H748*(1-0.870179245283019)</f>
        <v>0</v>
      </c>
      <c r="AS748" s="21" t="s">
        <v>2297</v>
      </c>
      <c r="AX748" s="56">
        <f>AY748+AZ748</f>
        <v>0</v>
      </c>
      <c r="AY748" s="56">
        <f>G748*AQ748</f>
        <v>0</v>
      </c>
      <c r="AZ748" s="56">
        <f>G748*AR748</f>
        <v>0</v>
      </c>
      <c r="BA748" s="21" t="s">
        <v>1666</v>
      </c>
      <c r="BB748" s="21" t="s">
        <v>1028</v>
      </c>
      <c r="BC748" s="7" t="s">
        <v>1887</v>
      </c>
      <c r="BE748" s="56">
        <f>AY748+AZ748</f>
        <v>0</v>
      </c>
      <c r="BF748" s="56">
        <f>H748/(100-BG748)*100</f>
        <v>0</v>
      </c>
      <c r="BG748" s="56">
        <v>0</v>
      </c>
      <c r="BH748" s="56">
        <f>M748</f>
        <v>49.546615200000005</v>
      </c>
      <c r="BJ748" s="56">
        <f>G748*AQ748</f>
        <v>0</v>
      </c>
      <c r="BK748" s="56">
        <f>G748*AR748</f>
        <v>0</v>
      </c>
      <c r="BL748" s="56">
        <f>G748*H748</f>
        <v>0</v>
      </c>
      <c r="BM748" s="56"/>
      <c r="BN748" s="56">
        <v>31</v>
      </c>
    </row>
    <row r="749" spans="1:68" ht="15" customHeight="1">
      <c r="A749" s="35"/>
      <c r="B749" s="100"/>
      <c r="C749" s="100"/>
      <c r="D749" s="25" t="s">
        <v>1924</v>
      </c>
      <c r="E749" s="525" t="s">
        <v>291</v>
      </c>
      <c r="F749" s="100"/>
      <c r="G749" s="37">
        <v>69.02000000000001</v>
      </c>
      <c r="H749" s="100"/>
      <c r="I749" s="100"/>
      <c r="J749" s="100"/>
      <c r="K749" s="100"/>
      <c r="L749" s="100"/>
      <c r="M749" s="100"/>
      <c r="N749" s="103"/>
      <c r="P749" s="592"/>
      <c r="Q749" s="592"/>
      <c r="R749" s="592"/>
      <c r="S749" s="592"/>
      <c r="T749" s="592"/>
      <c r="U749" s="592"/>
      <c r="V749" s="592"/>
      <c r="W749" s="592"/>
      <c r="X749" s="592"/>
    </row>
    <row r="750" spans="1:68" ht="15" customHeight="1">
      <c r="A750" s="35"/>
      <c r="B750" s="100"/>
      <c r="C750" s="100"/>
      <c r="D750" s="25" t="s">
        <v>1924</v>
      </c>
      <c r="E750" s="526" t="s">
        <v>1337</v>
      </c>
      <c r="F750" s="100"/>
      <c r="G750" s="37">
        <v>69.02000000000001</v>
      </c>
      <c r="H750" s="100"/>
      <c r="I750" s="100"/>
      <c r="J750" s="100"/>
      <c r="K750" s="100"/>
      <c r="L750" s="100"/>
      <c r="M750" s="100"/>
      <c r="N750" s="103"/>
      <c r="P750" s="592"/>
      <c r="Q750" s="592"/>
      <c r="R750" s="592"/>
      <c r="S750" s="592"/>
      <c r="T750" s="592"/>
      <c r="U750" s="592"/>
      <c r="V750" s="592"/>
      <c r="W750" s="592"/>
      <c r="X750" s="592"/>
    </row>
    <row r="751" spans="1:68" ht="15" customHeight="1">
      <c r="A751" s="35"/>
      <c r="B751" s="100"/>
      <c r="C751" s="100"/>
      <c r="D751" s="25" t="s">
        <v>752</v>
      </c>
      <c r="E751" s="89" t="s">
        <v>596</v>
      </c>
      <c r="F751" s="100"/>
      <c r="G751" s="37">
        <v>-12.360000000000001</v>
      </c>
      <c r="H751" s="100"/>
      <c r="I751" s="100"/>
      <c r="J751" s="100"/>
      <c r="K751" s="100"/>
      <c r="L751" s="100"/>
      <c r="M751" s="100"/>
      <c r="N751" s="103"/>
      <c r="P751" s="592"/>
      <c r="Q751" s="592"/>
      <c r="R751" s="592"/>
      <c r="S751" s="592"/>
      <c r="T751" s="592"/>
      <c r="U751" s="592"/>
      <c r="V751" s="592"/>
      <c r="W751" s="592"/>
      <c r="X751" s="592"/>
    </row>
    <row r="752" spans="1:68" ht="15" customHeight="1">
      <c r="A752" s="35"/>
      <c r="B752" s="100"/>
      <c r="C752" s="100"/>
      <c r="D752" s="25" t="s">
        <v>2179</v>
      </c>
      <c r="E752" s="525" t="s">
        <v>1951</v>
      </c>
      <c r="F752" s="100"/>
      <c r="G752" s="37">
        <v>14.000000000000002</v>
      </c>
      <c r="H752" s="100"/>
      <c r="I752" s="100"/>
      <c r="J752" s="100"/>
      <c r="K752" s="100"/>
      <c r="L752" s="100"/>
      <c r="M752" s="100"/>
      <c r="N752" s="103"/>
      <c r="P752" s="592"/>
      <c r="Q752" s="592"/>
      <c r="R752" s="592"/>
      <c r="S752" s="592"/>
      <c r="T752" s="592"/>
      <c r="U752" s="592"/>
      <c r="V752" s="592"/>
      <c r="W752" s="592"/>
      <c r="X752" s="592"/>
    </row>
    <row r="753" spans="1:68" ht="15" customHeight="1">
      <c r="A753" s="35"/>
      <c r="B753" s="100"/>
      <c r="C753" s="100"/>
      <c r="D753" s="25" t="s">
        <v>326</v>
      </c>
      <c r="E753" s="525" t="s">
        <v>961</v>
      </c>
      <c r="F753" s="100"/>
      <c r="G753" s="37">
        <v>37.5</v>
      </c>
      <c r="H753" s="100"/>
      <c r="I753" s="100"/>
      <c r="J753" s="100"/>
      <c r="K753" s="100"/>
      <c r="L753" s="100"/>
      <c r="M753" s="100"/>
      <c r="N753" s="103"/>
      <c r="P753" s="592"/>
      <c r="Q753" s="592"/>
      <c r="R753" s="592"/>
      <c r="S753" s="592"/>
      <c r="T753" s="592"/>
      <c r="U753" s="592"/>
      <c r="V753" s="592"/>
      <c r="W753" s="592"/>
      <c r="X753" s="592"/>
    </row>
    <row r="754" spans="1:68" ht="15" customHeight="1">
      <c r="A754" s="83" t="s">
        <v>1202</v>
      </c>
      <c r="B754" s="6" t="s">
        <v>527</v>
      </c>
      <c r="C754" s="6" t="s">
        <v>2146</v>
      </c>
      <c r="D754" s="717" t="s">
        <v>1733</v>
      </c>
      <c r="E754" s="717"/>
      <c r="F754" s="6" t="s">
        <v>2274</v>
      </c>
      <c r="G754" s="30">
        <v>32.130000000000003</v>
      </c>
      <c r="H754" s="625"/>
      <c r="I754" s="30">
        <f>G754*AQ754</f>
        <v>0</v>
      </c>
      <c r="J754" s="30">
        <f>G754*AR754</f>
        <v>0</v>
      </c>
      <c r="K754" s="30">
        <f>G754*H754</f>
        <v>0</v>
      </c>
      <c r="L754" s="30">
        <v>0.23224</v>
      </c>
      <c r="M754" s="30">
        <f>G754*L754</f>
        <v>7.4618712000000009</v>
      </c>
      <c r="N754" s="72" t="s">
        <v>1579</v>
      </c>
      <c r="P754" s="592"/>
      <c r="Q754" s="592"/>
      <c r="R754" s="592"/>
      <c r="S754" s="592"/>
      <c r="T754" s="592"/>
      <c r="U754" s="592"/>
      <c r="V754" s="592"/>
      <c r="W754" s="592"/>
      <c r="X754" s="592"/>
      <c r="AB754" s="56">
        <f>IF(AS754="5",BL754,0)</f>
        <v>0</v>
      </c>
      <c r="AD754" s="56">
        <f>IF(AS754="1",BJ754,0)</f>
        <v>0</v>
      </c>
      <c r="AE754" s="56">
        <f>IF(AS754="1",BK754,0)</f>
        <v>0</v>
      </c>
      <c r="AF754" s="56">
        <f>IF(AS754="7",BJ754,0)</f>
        <v>0</v>
      </c>
      <c r="AG754" s="56">
        <f>IF(AS754="7",BK754,0)</f>
        <v>0</v>
      </c>
      <c r="AH754" s="56">
        <f>IF(AS754="2",BJ754,0)</f>
        <v>0</v>
      </c>
      <c r="AI754" s="56">
        <f>IF(AS754="2",BK754,0)</f>
        <v>0</v>
      </c>
      <c r="AJ754" s="56">
        <f>IF(AS754="0",BL754,0)</f>
        <v>0</v>
      </c>
      <c r="AK754" s="7" t="s">
        <v>527</v>
      </c>
      <c r="AL754" s="56">
        <f>IF(AP754=0,K754,0)</f>
        <v>0</v>
      </c>
      <c r="AM754" s="56">
        <f>IF(AP754=15,K754,0)</f>
        <v>0</v>
      </c>
      <c r="AN754" s="56">
        <f>IF(AP754=21,K754,0)</f>
        <v>0</v>
      </c>
      <c r="AP754" s="56">
        <v>21</v>
      </c>
      <c r="AQ754" s="88">
        <f>H754*0.869681722341801</f>
        <v>0</v>
      </c>
      <c r="AR754" s="88">
        <f>H754*(1-0.869681722341801)</f>
        <v>0</v>
      </c>
      <c r="AS754" s="21" t="s">
        <v>2297</v>
      </c>
      <c r="AX754" s="56">
        <f>AY754+AZ754</f>
        <v>0</v>
      </c>
      <c r="AY754" s="56">
        <f>G754*AQ754</f>
        <v>0</v>
      </c>
      <c r="AZ754" s="56">
        <f>G754*AR754</f>
        <v>0</v>
      </c>
      <c r="BA754" s="21" t="s">
        <v>1666</v>
      </c>
      <c r="BB754" s="21" t="s">
        <v>1028</v>
      </c>
      <c r="BC754" s="7" t="s">
        <v>1887</v>
      </c>
      <c r="BE754" s="56">
        <f>AY754+AZ754</f>
        <v>0</v>
      </c>
      <c r="BF754" s="56">
        <f>H754/(100-BG754)*100</f>
        <v>0</v>
      </c>
      <c r="BG754" s="56">
        <v>0</v>
      </c>
      <c r="BH754" s="56">
        <f>M754</f>
        <v>7.4618712000000009</v>
      </c>
      <c r="BJ754" s="56">
        <f>G754*AQ754</f>
        <v>0</v>
      </c>
      <c r="BK754" s="56">
        <f>G754*AR754</f>
        <v>0</v>
      </c>
      <c r="BL754" s="56">
        <f>G754*H754</f>
        <v>0</v>
      </c>
      <c r="BM754" s="56"/>
      <c r="BN754" s="56">
        <v>31</v>
      </c>
    </row>
    <row r="755" spans="1:68" ht="15" customHeight="1">
      <c r="A755" s="35"/>
      <c r="B755" s="100"/>
      <c r="C755" s="100"/>
      <c r="D755" s="25" t="s">
        <v>2027</v>
      </c>
      <c r="E755" s="525" t="s">
        <v>798</v>
      </c>
      <c r="F755" s="100"/>
      <c r="G755" s="37">
        <v>32.130000000000003</v>
      </c>
      <c r="H755" s="100"/>
      <c r="I755" s="100"/>
      <c r="J755" s="100"/>
      <c r="K755" s="100"/>
      <c r="L755" s="100"/>
      <c r="M755" s="100"/>
      <c r="N755" s="103"/>
      <c r="P755" s="592"/>
      <c r="Q755" s="592"/>
      <c r="R755" s="592"/>
      <c r="S755" s="592"/>
      <c r="T755" s="592"/>
      <c r="U755" s="592"/>
      <c r="V755" s="592"/>
      <c r="W755" s="592"/>
      <c r="X755" s="592"/>
    </row>
    <row r="756" spans="1:68" ht="15" customHeight="1">
      <c r="A756" s="32" t="s">
        <v>1597</v>
      </c>
      <c r="B756" s="26" t="s">
        <v>527</v>
      </c>
      <c r="C756" s="553" t="s">
        <v>2591</v>
      </c>
      <c r="D756" s="709" t="s">
        <v>532</v>
      </c>
      <c r="E756" s="709"/>
      <c r="F756" s="46" t="s">
        <v>2144</v>
      </c>
      <c r="G756" s="46" t="s">
        <v>2144</v>
      </c>
      <c r="H756" s="46" t="s">
        <v>2144</v>
      </c>
      <c r="I756" s="17">
        <f>SUM(I757:I765)</f>
        <v>0</v>
      </c>
      <c r="J756" s="17">
        <f>SUM(J757:J765)</f>
        <v>0</v>
      </c>
      <c r="K756" s="554">
        <f>SUM(K757:K765)</f>
        <v>0</v>
      </c>
      <c r="L756" s="7" t="s">
        <v>1597</v>
      </c>
      <c r="M756" s="17">
        <f>SUM(M757:M765)</f>
        <v>9.2590164999999995</v>
      </c>
      <c r="N756" s="20" t="s">
        <v>1597</v>
      </c>
      <c r="P756" s="592"/>
      <c r="Q756" s="592"/>
      <c r="T756" s="592"/>
      <c r="U756" s="592"/>
      <c r="V756" s="592"/>
      <c r="W756" s="592"/>
      <c r="X756" s="592"/>
      <c r="AK756" s="7" t="s">
        <v>527</v>
      </c>
      <c r="AU756" s="17">
        <f>SUM(AL757:AL765)</f>
        <v>0</v>
      </c>
      <c r="AV756" s="17">
        <f>SUM(AM757:AM765)</f>
        <v>0</v>
      </c>
      <c r="AW756" s="17">
        <f>SUM(AN757:AN765)</f>
        <v>0</v>
      </c>
    </row>
    <row r="757" spans="1:68" ht="15" customHeight="1">
      <c r="A757" s="24" t="s">
        <v>2083</v>
      </c>
      <c r="B757" s="12" t="s">
        <v>527</v>
      </c>
      <c r="C757" s="12" t="s">
        <v>918</v>
      </c>
      <c r="D757" s="696" t="s">
        <v>2014</v>
      </c>
      <c r="E757" s="696"/>
      <c r="F757" s="12" t="s">
        <v>2274</v>
      </c>
      <c r="G757" s="56">
        <v>522.6</v>
      </c>
      <c r="H757" s="625"/>
      <c r="I757" s="56">
        <f>G757*AQ757</f>
        <v>0</v>
      </c>
      <c r="J757" s="56">
        <f>G757*AR757</f>
        <v>0</v>
      </c>
      <c r="K757" s="552">
        <f>G757*H757</f>
        <v>0</v>
      </c>
      <c r="L757" s="56">
        <v>1.2149999999999999E-2</v>
      </c>
      <c r="M757" s="56">
        <f>G757*L757</f>
        <v>6.3495900000000001</v>
      </c>
      <c r="N757" s="31" t="s">
        <v>1579</v>
      </c>
      <c r="P757" s="592"/>
      <c r="Q757" s="592"/>
      <c r="R757" s="592">
        <f>K757-(G759*G757)</f>
        <v>-43166.760000000009</v>
      </c>
      <c r="S757" s="592">
        <f>G759*G757</f>
        <v>43166.760000000009</v>
      </c>
      <c r="T757" s="592"/>
      <c r="U757" s="592"/>
      <c r="V757" s="592"/>
      <c r="W757" s="592"/>
      <c r="X757" s="592"/>
      <c r="AB757" s="56">
        <f>IF(AS757="5",BL757,0)</f>
        <v>0</v>
      </c>
      <c r="AD757" s="56">
        <f>IF(AS757="1",BJ757,0)</f>
        <v>0</v>
      </c>
      <c r="AE757" s="56">
        <f>IF(AS757="1",BK757,0)</f>
        <v>0</v>
      </c>
      <c r="AF757" s="56">
        <f>IF(AS757="7",BJ757,0)</f>
        <v>0</v>
      </c>
      <c r="AG757" s="56">
        <f>IF(AS757="7",BK757,0)</f>
        <v>0</v>
      </c>
      <c r="AH757" s="56">
        <f>IF(AS757="2",BJ757,0)</f>
        <v>0</v>
      </c>
      <c r="AI757" s="56">
        <f>IF(AS757="2",BK757,0)</f>
        <v>0</v>
      </c>
      <c r="AJ757" s="56">
        <f>IF(AS757="0",BL757,0)</f>
        <v>0</v>
      </c>
      <c r="AK757" s="7" t="s">
        <v>527</v>
      </c>
      <c r="AL757" s="56">
        <f>IF(AP757=0,K757,0)</f>
        <v>0</v>
      </c>
      <c r="AM757" s="56">
        <f>IF(AP757=15,K757,0)</f>
        <v>0</v>
      </c>
      <c r="AN757" s="56">
        <f>IF(AP757=21,K757,0)</f>
        <v>0</v>
      </c>
      <c r="AP757" s="56">
        <v>21</v>
      </c>
      <c r="AQ757" s="88">
        <f>H757*0.422757389945742</f>
        <v>0</v>
      </c>
      <c r="AR757" s="88">
        <f>H757*(1-0.422757389945742)</f>
        <v>0</v>
      </c>
      <c r="AS757" s="21" t="s">
        <v>2297</v>
      </c>
      <c r="AX757" s="56">
        <f>AY757+AZ757</f>
        <v>0</v>
      </c>
      <c r="AY757" s="56">
        <f>G757*AQ757</f>
        <v>0</v>
      </c>
      <c r="AZ757" s="56">
        <f>G757*AR757</f>
        <v>0</v>
      </c>
      <c r="BA757" s="21" t="s">
        <v>1639</v>
      </c>
      <c r="BB757" s="21" t="s">
        <v>1028</v>
      </c>
      <c r="BC757" s="7" t="s">
        <v>1887</v>
      </c>
      <c r="BE757" s="56">
        <f>AY757+AZ757</f>
        <v>0</v>
      </c>
      <c r="BF757" s="56">
        <f>H757/(100-BG757)*100</f>
        <v>0</v>
      </c>
      <c r="BG757" s="56">
        <v>0</v>
      </c>
      <c r="BH757" s="56">
        <f>M757</f>
        <v>6.3495900000000001</v>
      </c>
      <c r="BJ757" s="56">
        <f>G757*AQ757</f>
        <v>0</v>
      </c>
      <c r="BK757" s="56">
        <f>G757*AR757</f>
        <v>0</v>
      </c>
      <c r="BL757" s="56">
        <f>G757*H757</f>
        <v>0</v>
      </c>
      <c r="BM757" s="56"/>
      <c r="BN757" s="56">
        <v>34</v>
      </c>
      <c r="BP757" s="592">
        <f>SUM(P757:X757)</f>
        <v>0</v>
      </c>
    </row>
    <row r="758" spans="1:68" ht="15" customHeight="1">
      <c r="A758" s="36"/>
      <c r="D758" s="533" t="s">
        <v>492</v>
      </c>
      <c r="E758" s="525" t="s">
        <v>1239</v>
      </c>
      <c r="G758" s="13">
        <v>440.00000000000006</v>
      </c>
      <c r="K758" s="522"/>
      <c r="N758" s="19"/>
      <c r="P758" s="592"/>
      <c r="Q758" s="592"/>
      <c r="R758" s="592"/>
      <c r="S758" s="592"/>
      <c r="T758" s="592"/>
      <c r="U758" s="592"/>
      <c r="V758" s="592"/>
      <c r="W758" s="592"/>
      <c r="X758" s="592"/>
    </row>
    <row r="759" spans="1:68" ht="15" customHeight="1">
      <c r="A759" s="36"/>
      <c r="D759" s="45" t="s">
        <v>2518</v>
      </c>
      <c r="E759" s="526" t="s">
        <v>1662</v>
      </c>
      <c r="G759" s="13">
        <v>82.600000000000009</v>
      </c>
      <c r="K759" s="535"/>
      <c r="N759" s="19"/>
      <c r="P759" s="592"/>
      <c r="Q759" s="592"/>
      <c r="R759" s="592"/>
      <c r="S759" s="592"/>
      <c r="T759" s="592"/>
      <c r="U759" s="592"/>
      <c r="V759" s="592"/>
      <c r="W759" s="592"/>
      <c r="X759" s="592"/>
    </row>
    <row r="760" spans="1:68" ht="15" customHeight="1">
      <c r="A760" s="8" t="s">
        <v>2452</v>
      </c>
      <c r="B760" s="75" t="s">
        <v>527</v>
      </c>
      <c r="C760" s="75" t="s">
        <v>355</v>
      </c>
      <c r="D760" s="713" t="s">
        <v>1286</v>
      </c>
      <c r="E760" s="713"/>
      <c r="F760" s="75" t="s">
        <v>2274</v>
      </c>
      <c r="G760" s="80">
        <v>549.15</v>
      </c>
      <c r="H760" s="626"/>
      <c r="I760" s="80">
        <f>G760*AQ760</f>
        <v>0</v>
      </c>
      <c r="J760" s="80">
        <f>G760*AR760</f>
        <v>0</v>
      </c>
      <c r="K760" s="523">
        <f>G760*H760</f>
        <v>0</v>
      </c>
      <c r="L760" s="80">
        <v>1.1199999999999999E-3</v>
      </c>
      <c r="M760" s="80">
        <f>G760*L760</f>
        <v>0.61504799999999993</v>
      </c>
      <c r="N760" s="38" t="s">
        <v>1579</v>
      </c>
      <c r="P760" s="592">
        <f>K760</f>
        <v>0</v>
      </c>
      <c r="Q760" s="592"/>
      <c r="R760" s="592"/>
      <c r="S760" s="592"/>
      <c r="T760" s="592"/>
      <c r="U760" s="592"/>
      <c r="V760" s="592"/>
      <c r="W760" s="592"/>
      <c r="X760" s="592"/>
      <c r="AB760" s="56">
        <f>IF(AS760="5",BL760,0)</f>
        <v>0</v>
      </c>
      <c r="AD760" s="56">
        <f>IF(AS760="1",BJ760,0)</f>
        <v>0</v>
      </c>
      <c r="AE760" s="56">
        <f>IF(AS760="1",BK760,0)</f>
        <v>0</v>
      </c>
      <c r="AF760" s="56">
        <f>IF(AS760="7",BJ760,0)</f>
        <v>0</v>
      </c>
      <c r="AG760" s="56">
        <f>IF(AS760="7",BK760,0)</f>
        <v>0</v>
      </c>
      <c r="AH760" s="56">
        <f>IF(AS760="2",BJ760,0)</f>
        <v>0</v>
      </c>
      <c r="AI760" s="56">
        <f>IF(AS760="2",BK760,0)</f>
        <v>0</v>
      </c>
      <c r="AJ760" s="56">
        <f>IF(AS760="0",BL760,0)</f>
        <v>0</v>
      </c>
      <c r="AK760" s="7" t="s">
        <v>527</v>
      </c>
      <c r="AL760" s="80">
        <f>IF(AP760=0,K760,0)</f>
        <v>0</v>
      </c>
      <c r="AM760" s="80">
        <f>IF(AP760=15,K760,0)</f>
        <v>0</v>
      </c>
      <c r="AN760" s="80">
        <f>IF(AP760=21,K760,0)</f>
        <v>0</v>
      </c>
      <c r="AP760" s="56">
        <v>21</v>
      </c>
      <c r="AQ760" s="88">
        <f>H760*1</f>
        <v>0</v>
      </c>
      <c r="AR760" s="88">
        <f>H760*(1-1)</f>
        <v>0</v>
      </c>
      <c r="AS760" s="64" t="s">
        <v>2297</v>
      </c>
      <c r="AX760" s="56">
        <f>AY760+AZ760</f>
        <v>0</v>
      </c>
      <c r="AY760" s="56">
        <f>G760*AQ760</f>
        <v>0</v>
      </c>
      <c r="AZ760" s="56">
        <f>G760*AR760</f>
        <v>0</v>
      </c>
      <c r="BA760" s="21" t="s">
        <v>1639</v>
      </c>
      <c r="BB760" s="21" t="s">
        <v>1028</v>
      </c>
      <c r="BC760" s="7" t="s">
        <v>1887</v>
      </c>
      <c r="BE760" s="56">
        <f>AY760+AZ760</f>
        <v>0</v>
      </c>
      <c r="BF760" s="56">
        <f>H760/(100-BG760)*100</f>
        <v>0</v>
      </c>
      <c r="BG760" s="56">
        <v>0</v>
      </c>
      <c r="BH760" s="56">
        <f>M760</f>
        <v>0.61504799999999993</v>
      </c>
      <c r="BJ760" s="80">
        <f>G760*AQ760</f>
        <v>0</v>
      </c>
      <c r="BK760" s="80">
        <f>G760*AR760</f>
        <v>0</v>
      </c>
      <c r="BL760" s="80">
        <f>G760*H760</f>
        <v>0</v>
      </c>
      <c r="BM760" s="80"/>
      <c r="BN760" s="56">
        <v>34</v>
      </c>
    </row>
    <row r="761" spans="1:68" ht="15" customHeight="1">
      <c r="A761" s="36"/>
      <c r="D761" s="533" t="s">
        <v>1044</v>
      </c>
      <c r="E761" s="525" t="s">
        <v>1877</v>
      </c>
      <c r="G761" s="13">
        <v>523</v>
      </c>
      <c r="N761" s="19"/>
      <c r="P761" s="592"/>
      <c r="Q761" s="592"/>
      <c r="R761" s="592"/>
      <c r="S761" s="592"/>
      <c r="T761" s="592"/>
      <c r="U761" s="592"/>
      <c r="V761" s="592"/>
      <c r="W761" s="592"/>
      <c r="X761" s="592"/>
    </row>
    <row r="762" spans="1:68" ht="15" customHeight="1">
      <c r="A762" s="36"/>
      <c r="D762" s="45" t="s">
        <v>904</v>
      </c>
      <c r="E762" s="104" t="s">
        <v>1597</v>
      </c>
      <c r="G762" s="13">
        <v>26.150000000000002</v>
      </c>
      <c r="N762" s="19"/>
      <c r="P762" s="592"/>
      <c r="Q762" s="592"/>
      <c r="R762" s="592"/>
      <c r="S762" s="592"/>
      <c r="T762" s="592"/>
      <c r="U762" s="592"/>
      <c r="V762" s="592"/>
      <c r="W762" s="592"/>
      <c r="X762" s="592"/>
    </row>
    <row r="763" spans="1:68" ht="15" customHeight="1">
      <c r="A763" s="24" t="s">
        <v>683</v>
      </c>
      <c r="B763" s="12" t="s">
        <v>527</v>
      </c>
      <c r="C763" s="12" t="s">
        <v>1513</v>
      </c>
      <c r="D763" s="696" t="s">
        <v>262</v>
      </c>
      <c r="E763" s="696"/>
      <c r="F763" s="12" t="s">
        <v>2274</v>
      </c>
      <c r="G763" s="56">
        <v>523</v>
      </c>
      <c r="H763" s="625"/>
      <c r="I763" s="56">
        <f>G763*AQ763</f>
        <v>0</v>
      </c>
      <c r="J763" s="56">
        <f>G763*AR763</f>
        <v>0</v>
      </c>
      <c r="K763" s="517">
        <f>G763*H763</f>
        <v>0</v>
      </c>
      <c r="L763" s="56">
        <v>1.81E-3</v>
      </c>
      <c r="M763" s="56">
        <f>G763*L763</f>
        <v>0.94662999999999997</v>
      </c>
      <c r="N763" s="31" t="s">
        <v>1579</v>
      </c>
      <c r="P763" s="592">
        <f>K763</f>
        <v>0</v>
      </c>
      <c r="Q763" s="592"/>
      <c r="R763" s="592"/>
      <c r="S763" s="592"/>
      <c r="T763" s="592"/>
      <c r="U763" s="592"/>
      <c r="V763" s="592"/>
      <c r="W763" s="592"/>
      <c r="X763" s="592"/>
      <c r="AB763" s="56">
        <f>IF(AS763="5",BL763,0)</f>
        <v>0</v>
      </c>
      <c r="AD763" s="56">
        <f>IF(AS763="1",BJ763,0)</f>
        <v>0</v>
      </c>
      <c r="AE763" s="56">
        <f>IF(AS763="1",BK763,0)</f>
        <v>0</v>
      </c>
      <c r="AF763" s="56">
        <f>IF(AS763="7",BJ763,0)</f>
        <v>0</v>
      </c>
      <c r="AG763" s="56">
        <f>IF(AS763="7",BK763,0)</f>
        <v>0</v>
      </c>
      <c r="AH763" s="56">
        <f>IF(AS763="2",BJ763,0)</f>
        <v>0</v>
      </c>
      <c r="AI763" s="56">
        <f>IF(AS763="2",BK763,0)</f>
        <v>0</v>
      </c>
      <c r="AJ763" s="56">
        <f>IF(AS763="0",BL763,0)</f>
        <v>0</v>
      </c>
      <c r="AK763" s="7" t="s">
        <v>527</v>
      </c>
      <c r="AL763" s="56">
        <f>IF(AP763=0,K763,0)</f>
        <v>0</v>
      </c>
      <c r="AM763" s="56">
        <f>IF(AP763=15,K763,0)</f>
        <v>0</v>
      </c>
      <c r="AN763" s="56">
        <f>IF(AP763=21,K763,0)</f>
        <v>0</v>
      </c>
      <c r="AP763" s="56">
        <v>21</v>
      </c>
      <c r="AQ763" s="88">
        <f>H763*0.697743055555555</f>
        <v>0</v>
      </c>
      <c r="AR763" s="88">
        <f>H763*(1-0.697743055555555)</f>
        <v>0</v>
      </c>
      <c r="AS763" s="21" t="s">
        <v>2297</v>
      </c>
      <c r="AX763" s="56">
        <f>AY763+AZ763</f>
        <v>0</v>
      </c>
      <c r="AY763" s="56">
        <f>G763*AQ763</f>
        <v>0</v>
      </c>
      <c r="AZ763" s="56">
        <f>G763*AR763</f>
        <v>0</v>
      </c>
      <c r="BA763" s="21" t="s">
        <v>1639</v>
      </c>
      <c r="BB763" s="21" t="s">
        <v>1028</v>
      </c>
      <c r="BC763" s="7" t="s">
        <v>1887</v>
      </c>
      <c r="BE763" s="56">
        <f>AY763+AZ763</f>
        <v>0</v>
      </c>
      <c r="BF763" s="56">
        <f>H763/(100-BG763)*100</f>
        <v>0</v>
      </c>
      <c r="BG763" s="56">
        <v>0</v>
      </c>
      <c r="BH763" s="56">
        <f>M763</f>
        <v>0.94662999999999997</v>
      </c>
      <c r="BJ763" s="56">
        <f>G763*AQ763</f>
        <v>0</v>
      </c>
      <c r="BK763" s="56">
        <f>G763*AR763</f>
        <v>0</v>
      </c>
      <c r="BL763" s="56">
        <f>G763*H763</f>
        <v>0</v>
      </c>
      <c r="BM763" s="56"/>
      <c r="BN763" s="56">
        <v>34</v>
      </c>
    </row>
    <row r="764" spans="1:68" ht="15" customHeight="1">
      <c r="A764" s="36"/>
      <c r="D764" s="533" t="s">
        <v>1044</v>
      </c>
      <c r="E764" s="525" t="s">
        <v>1597</v>
      </c>
      <c r="G764" s="13">
        <v>523</v>
      </c>
      <c r="N764" s="19"/>
      <c r="P764" s="592"/>
      <c r="Q764" s="592"/>
      <c r="R764" s="592"/>
      <c r="S764" s="592"/>
      <c r="T764" s="592"/>
      <c r="U764" s="592"/>
      <c r="V764" s="592"/>
      <c r="W764" s="592"/>
      <c r="X764" s="592"/>
    </row>
    <row r="765" spans="1:68" ht="15" customHeight="1">
      <c r="A765" s="24" t="s">
        <v>1544</v>
      </c>
      <c r="B765" s="12" t="s">
        <v>527</v>
      </c>
      <c r="C765" s="527" t="s">
        <v>910</v>
      </c>
      <c r="D765" s="715" t="s">
        <v>145</v>
      </c>
      <c r="E765" s="715"/>
      <c r="F765" s="12" t="s">
        <v>2274</v>
      </c>
      <c r="G765" s="56">
        <v>49.35</v>
      </c>
      <c r="H765" s="625"/>
      <c r="I765" s="56">
        <f>G765*AQ765</f>
        <v>0</v>
      </c>
      <c r="J765" s="56">
        <f>G765*AR765</f>
        <v>0</v>
      </c>
      <c r="K765" s="528">
        <f>G765*H765</f>
        <v>0</v>
      </c>
      <c r="L765" s="56">
        <v>2.7310000000000001E-2</v>
      </c>
      <c r="M765" s="56">
        <f>G765*L765</f>
        <v>1.3477485</v>
      </c>
      <c r="N765" s="31" t="s">
        <v>1579</v>
      </c>
      <c r="P765" s="592"/>
      <c r="Q765" s="592">
        <f>K765</f>
        <v>0</v>
      </c>
      <c r="R765" s="592"/>
      <c r="S765" s="592"/>
      <c r="T765" s="592"/>
      <c r="U765" s="592"/>
      <c r="V765" s="592"/>
      <c r="W765" s="592"/>
      <c r="X765" s="592"/>
      <c r="AB765" s="56">
        <f>IF(AS765="5",BL765,0)</f>
        <v>0</v>
      </c>
      <c r="AD765" s="56">
        <f>IF(AS765="1",BJ765,0)</f>
        <v>0</v>
      </c>
      <c r="AE765" s="56">
        <f>IF(AS765="1",BK765,0)</f>
        <v>0</v>
      </c>
      <c r="AF765" s="56">
        <f>IF(AS765="7",BJ765,0)</f>
        <v>0</v>
      </c>
      <c r="AG765" s="56">
        <f>IF(AS765="7",BK765,0)</f>
        <v>0</v>
      </c>
      <c r="AH765" s="56">
        <f>IF(AS765="2",BJ765,0)</f>
        <v>0</v>
      </c>
      <c r="AI765" s="56">
        <f>IF(AS765="2",BK765,0)</f>
        <v>0</v>
      </c>
      <c r="AJ765" s="56">
        <f>IF(AS765="0",BL765,0)</f>
        <v>0</v>
      </c>
      <c r="AK765" s="7" t="s">
        <v>527</v>
      </c>
      <c r="AL765" s="56">
        <f>IF(AP765=0,K765,0)</f>
        <v>0</v>
      </c>
      <c r="AM765" s="56">
        <f>IF(AP765=15,K765,0)</f>
        <v>0</v>
      </c>
      <c r="AN765" s="56">
        <f>IF(AP765=21,K765,0)</f>
        <v>0</v>
      </c>
      <c r="AP765" s="56">
        <v>21</v>
      </c>
      <c r="AQ765" s="88">
        <f>H765*0.559242647058824</f>
        <v>0</v>
      </c>
      <c r="AR765" s="88">
        <f>H765*(1-0.559242647058824)</f>
        <v>0</v>
      </c>
      <c r="AS765" s="21" t="s">
        <v>2297</v>
      </c>
      <c r="AX765" s="56">
        <f>AY765+AZ765</f>
        <v>0</v>
      </c>
      <c r="AY765" s="56">
        <f>G765*AQ765</f>
        <v>0</v>
      </c>
      <c r="AZ765" s="56">
        <f>G765*AR765</f>
        <v>0</v>
      </c>
      <c r="BA765" s="21" t="s">
        <v>1639</v>
      </c>
      <c r="BB765" s="21" t="s">
        <v>1028</v>
      </c>
      <c r="BC765" s="7" t="s">
        <v>1887</v>
      </c>
      <c r="BE765" s="56">
        <f>AY765+AZ765</f>
        <v>0</v>
      </c>
      <c r="BF765" s="56">
        <f>H765/(100-BG765)*100</f>
        <v>0</v>
      </c>
      <c r="BG765" s="56">
        <v>0</v>
      </c>
      <c r="BH765" s="56">
        <f>M765</f>
        <v>1.3477485</v>
      </c>
      <c r="BJ765" s="56">
        <f>G765*AQ765</f>
        <v>0</v>
      </c>
      <c r="BK765" s="56">
        <f>G765*AR765</f>
        <v>0</v>
      </c>
      <c r="BL765" s="56">
        <f>G765*H765</f>
        <v>0</v>
      </c>
      <c r="BM765" s="56"/>
      <c r="BN765" s="56">
        <v>34</v>
      </c>
    </row>
    <row r="766" spans="1:68" ht="15" customHeight="1">
      <c r="A766" s="36"/>
      <c r="D766" s="45" t="s">
        <v>1670</v>
      </c>
      <c r="E766" s="104" t="s">
        <v>875</v>
      </c>
      <c r="G766" s="13">
        <v>59.750000000000007</v>
      </c>
      <c r="N766" s="19"/>
      <c r="P766" s="592"/>
      <c r="Q766" s="592"/>
      <c r="R766" s="592"/>
      <c r="S766" s="592"/>
      <c r="T766" s="592"/>
      <c r="U766" s="592"/>
      <c r="V766" s="592"/>
      <c r="W766" s="592"/>
      <c r="X766" s="592"/>
    </row>
    <row r="767" spans="1:68" ht="15" customHeight="1">
      <c r="A767" s="36"/>
      <c r="D767" s="45" t="s">
        <v>674</v>
      </c>
      <c r="E767" s="104" t="s">
        <v>352</v>
      </c>
      <c r="G767" s="13">
        <v>-10.4</v>
      </c>
      <c r="N767" s="19"/>
      <c r="P767" s="592"/>
      <c r="Q767" s="592"/>
      <c r="R767" s="592"/>
      <c r="S767" s="592"/>
      <c r="T767" s="592"/>
      <c r="U767" s="592"/>
      <c r="V767" s="592"/>
      <c r="W767" s="592"/>
      <c r="X767" s="592"/>
    </row>
    <row r="768" spans="1:68" ht="15" customHeight="1">
      <c r="A768" s="32" t="s">
        <v>1597</v>
      </c>
      <c r="B768" s="26" t="s">
        <v>527</v>
      </c>
      <c r="C768" s="512" t="s">
        <v>2275</v>
      </c>
      <c r="D768" s="709" t="s">
        <v>1719</v>
      </c>
      <c r="E768" s="709"/>
      <c r="F768" s="46" t="s">
        <v>2144</v>
      </c>
      <c r="G768" s="46" t="s">
        <v>2144</v>
      </c>
      <c r="H768" s="46" t="s">
        <v>2144</v>
      </c>
      <c r="I768" s="17">
        <f>SUM(I769:I776)</f>
        <v>0</v>
      </c>
      <c r="J768" s="17">
        <f>SUM(J769:J776)</f>
        <v>0</v>
      </c>
      <c r="K768" s="515">
        <f>SUM(K769:K776)</f>
        <v>0</v>
      </c>
      <c r="L768" s="7" t="s">
        <v>1597</v>
      </c>
      <c r="M768" s="17">
        <f>SUM(M769:M776)</f>
        <v>35.263852700000001</v>
      </c>
      <c r="N768" s="20" t="s">
        <v>1597</v>
      </c>
      <c r="P768" s="592">
        <f>K768</f>
        <v>0</v>
      </c>
      <c r="Q768" s="592"/>
      <c r="R768" s="592"/>
      <c r="S768" s="592"/>
      <c r="T768" s="592"/>
      <c r="U768" s="592"/>
      <c r="V768" s="592"/>
      <c r="W768" s="592"/>
      <c r="X768" s="592"/>
      <c r="AK768" s="7" t="s">
        <v>527</v>
      </c>
      <c r="AU768" s="17">
        <f>SUM(AL769:AL776)</f>
        <v>0</v>
      </c>
      <c r="AV768" s="17">
        <f>SUM(AM769:AM776)</f>
        <v>0</v>
      </c>
      <c r="AW768" s="17">
        <f>SUM(AN769:AN776)</f>
        <v>0</v>
      </c>
    </row>
    <row r="769" spans="1:66" ht="15" customHeight="1">
      <c r="A769" s="24" t="s">
        <v>342</v>
      </c>
      <c r="B769" s="12" t="s">
        <v>527</v>
      </c>
      <c r="C769" s="12" t="s">
        <v>926</v>
      </c>
      <c r="D769" s="630" t="s">
        <v>603</v>
      </c>
      <c r="E769" s="630"/>
      <c r="F769" s="12" t="s">
        <v>2236</v>
      </c>
      <c r="G769" s="56">
        <v>11.62</v>
      </c>
      <c r="H769" s="625"/>
      <c r="I769" s="56">
        <f>G769*AQ769</f>
        <v>0</v>
      </c>
      <c r="J769" s="56">
        <f>G769*AR769</f>
        <v>0</v>
      </c>
      <c r="K769" s="56">
        <f>G769*H769</f>
        <v>0</v>
      </c>
      <c r="L769" s="56">
        <v>2.5251100000000002</v>
      </c>
      <c r="M769" s="56">
        <f>G769*L769</f>
        <v>29.3417782</v>
      </c>
      <c r="N769" s="31" t="s">
        <v>1579</v>
      </c>
      <c r="P769" s="592"/>
      <c r="Q769" s="592"/>
      <c r="R769" s="592"/>
      <c r="S769" s="592"/>
      <c r="T769" s="592"/>
      <c r="U769" s="592"/>
      <c r="V769" s="592"/>
      <c r="W769" s="592"/>
      <c r="X769" s="592"/>
      <c r="AB769" s="56">
        <f>IF(AS769="5",BL769,0)</f>
        <v>0</v>
      </c>
      <c r="AD769" s="56">
        <f>IF(AS769="1",BJ769,0)</f>
        <v>0</v>
      </c>
      <c r="AE769" s="56">
        <f>IF(AS769="1",BK769,0)</f>
        <v>0</v>
      </c>
      <c r="AF769" s="56">
        <f>IF(AS769="7",BJ769,0)</f>
        <v>0</v>
      </c>
      <c r="AG769" s="56">
        <f>IF(AS769="7",BK769,0)</f>
        <v>0</v>
      </c>
      <c r="AH769" s="56">
        <f>IF(AS769="2",BJ769,0)</f>
        <v>0</v>
      </c>
      <c r="AI769" s="56">
        <f>IF(AS769="2",BK769,0)</f>
        <v>0</v>
      </c>
      <c r="AJ769" s="56">
        <f>IF(AS769="0",BL769,0)</f>
        <v>0</v>
      </c>
      <c r="AK769" s="7" t="s">
        <v>527</v>
      </c>
      <c r="AL769" s="56">
        <f>IF(AP769=0,K769,0)</f>
        <v>0</v>
      </c>
      <c r="AM769" s="56">
        <f>IF(AP769=15,K769,0)</f>
        <v>0</v>
      </c>
      <c r="AN769" s="56">
        <f>IF(AP769=21,K769,0)</f>
        <v>0</v>
      </c>
      <c r="AP769" s="56">
        <v>21</v>
      </c>
      <c r="AQ769" s="88">
        <f>H769*0.817775818639799</f>
        <v>0</v>
      </c>
      <c r="AR769" s="88">
        <f>H769*(1-0.817775818639799)</f>
        <v>0</v>
      </c>
      <c r="AS769" s="21" t="s">
        <v>2297</v>
      </c>
      <c r="AX769" s="56">
        <f>AY769+AZ769</f>
        <v>0</v>
      </c>
      <c r="AY769" s="56">
        <f>G769*AQ769</f>
        <v>0</v>
      </c>
      <c r="AZ769" s="56">
        <f>G769*AR769</f>
        <v>0</v>
      </c>
      <c r="BA769" s="21" t="s">
        <v>1675</v>
      </c>
      <c r="BB769" s="21" t="s">
        <v>1688</v>
      </c>
      <c r="BC769" s="7" t="s">
        <v>1887</v>
      </c>
      <c r="BE769" s="56">
        <f>AY769+AZ769</f>
        <v>0</v>
      </c>
      <c r="BF769" s="56">
        <f>H769/(100-BG769)*100</f>
        <v>0</v>
      </c>
      <c r="BG769" s="56">
        <v>0</v>
      </c>
      <c r="BH769" s="56">
        <f>M769</f>
        <v>29.3417782</v>
      </c>
      <c r="BJ769" s="56">
        <f>G769*AQ769</f>
        <v>0</v>
      </c>
      <c r="BK769" s="56">
        <f>G769*AR769</f>
        <v>0</v>
      </c>
      <c r="BL769" s="56">
        <f>G769*H769</f>
        <v>0</v>
      </c>
      <c r="BM769" s="56"/>
      <c r="BN769" s="56">
        <v>41</v>
      </c>
    </row>
    <row r="770" spans="1:66" ht="15" customHeight="1">
      <c r="A770" s="36"/>
      <c r="D770" s="45" t="s">
        <v>2477</v>
      </c>
      <c r="E770" s="104" t="s">
        <v>254</v>
      </c>
      <c r="G770" s="13">
        <v>10.73</v>
      </c>
      <c r="N770" s="19"/>
      <c r="P770" s="592"/>
      <c r="Q770" s="592"/>
      <c r="R770" s="592"/>
      <c r="S770" s="592"/>
      <c r="T770" s="592"/>
      <c r="U770" s="592"/>
      <c r="V770" s="592"/>
      <c r="W770" s="592"/>
      <c r="X770" s="592"/>
    </row>
    <row r="771" spans="1:66" ht="15" customHeight="1">
      <c r="A771" s="36"/>
      <c r="D771" s="45" t="s">
        <v>53</v>
      </c>
      <c r="E771" s="104" t="s">
        <v>256</v>
      </c>
      <c r="G771" s="13">
        <v>0.89000000000000012</v>
      </c>
      <c r="N771" s="19"/>
      <c r="P771" s="592"/>
      <c r="Q771" s="592"/>
      <c r="R771" s="592"/>
      <c r="S771" s="592"/>
      <c r="T771" s="592"/>
      <c r="U771" s="592"/>
      <c r="V771" s="592"/>
      <c r="W771" s="592"/>
      <c r="X771" s="592"/>
    </row>
    <row r="772" spans="1:66" ht="15" customHeight="1">
      <c r="A772" s="24" t="s">
        <v>604</v>
      </c>
      <c r="B772" s="12" t="s">
        <v>527</v>
      </c>
      <c r="C772" s="12" t="s">
        <v>1137</v>
      </c>
      <c r="D772" s="630" t="s">
        <v>645</v>
      </c>
      <c r="E772" s="630"/>
      <c r="F772" s="12" t="s">
        <v>1923</v>
      </c>
      <c r="G772" s="56">
        <v>85.9</v>
      </c>
      <c r="H772" s="625"/>
      <c r="I772" s="56">
        <f>G772*AQ772</f>
        <v>0</v>
      </c>
      <c r="J772" s="56">
        <f>G772*AR772</f>
        <v>0</v>
      </c>
      <c r="K772" s="56">
        <f>G772*H772</f>
        <v>0</v>
      </c>
      <c r="L772" s="56">
        <v>4.965E-2</v>
      </c>
      <c r="M772" s="56">
        <f>G772*L772</f>
        <v>4.2649350000000004</v>
      </c>
      <c r="N772" s="31" t="s">
        <v>1579</v>
      </c>
      <c r="P772" s="592"/>
      <c r="Q772" s="592"/>
      <c r="R772" s="592"/>
      <c r="S772" s="592"/>
      <c r="T772" s="592"/>
      <c r="U772" s="592"/>
      <c r="V772" s="592"/>
      <c r="W772" s="592"/>
      <c r="X772" s="592"/>
      <c r="AB772" s="56">
        <f>IF(AS772="5",BL772,0)</f>
        <v>0</v>
      </c>
      <c r="AD772" s="56">
        <f>IF(AS772="1",BJ772,0)</f>
        <v>0</v>
      </c>
      <c r="AE772" s="56">
        <f>IF(AS772="1",BK772,0)</f>
        <v>0</v>
      </c>
      <c r="AF772" s="56">
        <f>IF(AS772="7",BJ772,0)</f>
        <v>0</v>
      </c>
      <c r="AG772" s="56">
        <f>IF(AS772="7",BK772,0)</f>
        <v>0</v>
      </c>
      <c r="AH772" s="56">
        <f>IF(AS772="2",BJ772,0)</f>
        <v>0</v>
      </c>
      <c r="AI772" s="56">
        <f>IF(AS772="2",BK772,0)</f>
        <v>0</v>
      </c>
      <c r="AJ772" s="56">
        <f>IF(AS772="0",BL772,0)</f>
        <v>0</v>
      </c>
      <c r="AK772" s="7" t="s">
        <v>527</v>
      </c>
      <c r="AL772" s="56">
        <f>IF(AP772=0,K772,0)</f>
        <v>0</v>
      </c>
      <c r="AM772" s="56">
        <f>IF(AP772=15,K772,0)</f>
        <v>0</v>
      </c>
      <c r="AN772" s="56">
        <f>IF(AP772=21,K772,0)</f>
        <v>0</v>
      </c>
      <c r="AP772" s="56">
        <v>21</v>
      </c>
      <c r="AQ772" s="88">
        <f>H772*0.176910112359551</f>
        <v>0</v>
      </c>
      <c r="AR772" s="88">
        <f>H772*(1-0.176910112359551)</f>
        <v>0</v>
      </c>
      <c r="AS772" s="21" t="s">
        <v>2297</v>
      </c>
      <c r="AX772" s="56">
        <f>AY772+AZ772</f>
        <v>0</v>
      </c>
      <c r="AY772" s="56">
        <f>G772*AQ772</f>
        <v>0</v>
      </c>
      <c r="AZ772" s="56">
        <f>G772*AR772</f>
        <v>0</v>
      </c>
      <c r="BA772" s="21" t="s">
        <v>1675</v>
      </c>
      <c r="BB772" s="21" t="s">
        <v>1688</v>
      </c>
      <c r="BC772" s="7" t="s">
        <v>1887</v>
      </c>
      <c r="BE772" s="56">
        <f>AY772+AZ772</f>
        <v>0</v>
      </c>
      <c r="BF772" s="56">
        <f>H772/(100-BG772)*100</f>
        <v>0</v>
      </c>
      <c r="BG772" s="56">
        <v>0</v>
      </c>
      <c r="BH772" s="56">
        <f>M772</f>
        <v>4.2649350000000004</v>
      </c>
      <c r="BJ772" s="56">
        <f>G772*AQ772</f>
        <v>0</v>
      </c>
      <c r="BK772" s="56">
        <f>G772*AR772</f>
        <v>0</v>
      </c>
      <c r="BL772" s="56">
        <f>G772*H772</f>
        <v>0</v>
      </c>
      <c r="BM772" s="56"/>
      <c r="BN772" s="56">
        <v>41</v>
      </c>
    </row>
    <row r="773" spans="1:66" ht="15" customHeight="1">
      <c r="A773" s="36"/>
      <c r="D773" s="45" t="s">
        <v>1871</v>
      </c>
      <c r="E773" s="104" t="s">
        <v>1597</v>
      </c>
      <c r="G773" s="13">
        <v>85.9</v>
      </c>
      <c r="N773" s="19"/>
      <c r="P773" s="592"/>
      <c r="Q773" s="592"/>
      <c r="R773" s="592"/>
      <c r="S773" s="592"/>
      <c r="T773" s="592"/>
      <c r="U773" s="592"/>
      <c r="V773" s="592"/>
      <c r="W773" s="592"/>
      <c r="X773" s="592"/>
    </row>
    <row r="774" spans="1:66" ht="15" customHeight="1">
      <c r="A774" s="24" t="s">
        <v>2650</v>
      </c>
      <c r="B774" s="12" t="s">
        <v>527</v>
      </c>
      <c r="C774" s="12" t="s">
        <v>1510</v>
      </c>
      <c r="D774" s="630" t="s">
        <v>1918</v>
      </c>
      <c r="E774" s="630"/>
      <c r="F774" s="12" t="s">
        <v>1923</v>
      </c>
      <c r="G774" s="56">
        <v>85.9</v>
      </c>
      <c r="H774" s="625"/>
      <c r="I774" s="56">
        <f>G774*AQ774</f>
        <v>0</v>
      </c>
      <c r="J774" s="56">
        <f>G774*AR774</f>
        <v>0</v>
      </c>
      <c r="K774" s="56">
        <f>G774*H774</f>
        <v>0</v>
      </c>
      <c r="L774" s="56">
        <v>0</v>
      </c>
      <c r="M774" s="56">
        <f>G774*L774</f>
        <v>0</v>
      </c>
      <c r="N774" s="31" t="s">
        <v>1579</v>
      </c>
      <c r="P774" s="592"/>
      <c r="Q774" s="592"/>
      <c r="R774" s="592"/>
      <c r="S774" s="592"/>
      <c r="T774" s="592"/>
      <c r="U774" s="592"/>
      <c r="V774" s="592"/>
      <c r="W774" s="592"/>
      <c r="X774" s="592"/>
      <c r="AB774" s="56">
        <f>IF(AS774="5",BL774,0)</f>
        <v>0</v>
      </c>
      <c r="AD774" s="56">
        <f>IF(AS774="1",BJ774,0)</f>
        <v>0</v>
      </c>
      <c r="AE774" s="56">
        <f>IF(AS774="1",BK774,0)</f>
        <v>0</v>
      </c>
      <c r="AF774" s="56">
        <f>IF(AS774="7",BJ774,0)</f>
        <v>0</v>
      </c>
      <c r="AG774" s="56">
        <f>IF(AS774="7",BK774,0)</f>
        <v>0</v>
      </c>
      <c r="AH774" s="56">
        <f>IF(AS774="2",BJ774,0)</f>
        <v>0</v>
      </c>
      <c r="AI774" s="56">
        <f>IF(AS774="2",BK774,0)</f>
        <v>0</v>
      </c>
      <c r="AJ774" s="56">
        <f>IF(AS774="0",BL774,0)</f>
        <v>0</v>
      </c>
      <c r="AK774" s="7" t="s">
        <v>527</v>
      </c>
      <c r="AL774" s="56">
        <f>IF(AP774=0,K774,0)</f>
        <v>0</v>
      </c>
      <c r="AM774" s="56">
        <f>IF(AP774=15,K774,0)</f>
        <v>0</v>
      </c>
      <c r="AN774" s="56">
        <f>IF(AP774=21,K774,0)</f>
        <v>0</v>
      </c>
      <c r="AP774" s="56">
        <v>21</v>
      </c>
      <c r="AQ774" s="88">
        <f>H774*0</f>
        <v>0</v>
      </c>
      <c r="AR774" s="88">
        <f>H774*(1-0)</f>
        <v>0</v>
      </c>
      <c r="AS774" s="21" t="s">
        <v>2297</v>
      </c>
      <c r="AX774" s="56">
        <f>AY774+AZ774</f>
        <v>0</v>
      </c>
      <c r="AY774" s="56">
        <f>G774*AQ774</f>
        <v>0</v>
      </c>
      <c r="AZ774" s="56">
        <f>G774*AR774</f>
        <v>0</v>
      </c>
      <c r="BA774" s="21" t="s">
        <v>1675</v>
      </c>
      <c r="BB774" s="21" t="s">
        <v>1688</v>
      </c>
      <c r="BC774" s="7" t="s">
        <v>1887</v>
      </c>
      <c r="BE774" s="56">
        <f>AY774+AZ774</f>
        <v>0</v>
      </c>
      <c r="BF774" s="56">
        <f>H774/(100-BG774)*100</f>
        <v>0</v>
      </c>
      <c r="BG774" s="56">
        <v>0</v>
      </c>
      <c r="BH774" s="56">
        <f>M774</f>
        <v>0</v>
      </c>
      <c r="BJ774" s="56">
        <f>G774*AQ774</f>
        <v>0</v>
      </c>
      <c r="BK774" s="56">
        <f>G774*AR774</f>
        <v>0</v>
      </c>
      <c r="BL774" s="56">
        <f>G774*H774</f>
        <v>0</v>
      </c>
      <c r="BM774" s="56"/>
      <c r="BN774" s="56">
        <v>41</v>
      </c>
    </row>
    <row r="775" spans="1:66" ht="15" customHeight="1">
      <c r="A775" s="36"/>
      <c r="D775" s="45" t="s">
        <v>209</v>
      </c>
      <c r="E775" s="104" t="s">
        <v>1597</v>
      </c>
      <c r="G775" s="13">
        <v>85.9</v>
      </c>
      <c r="N775" s="19"/>
      <c r="P775" s="592"/>
      <c r="Q775" s="592"/>
      <c r="R775" s="592"/>
      <c r="S775" s="592"/>
      <c r="T775" s="592"/>
      <c r="U775" s="592"/>
      <c r="V775" s="592"/>
      <c r="W775" s="592"/>
      <c r="X775" s="592"/>
    </row>
    <row r="776" spans="1:66" ht="15" customHeight="1">
      <c r="A776" s="24" t="s">
        <v>2413</v>
      </c>
      <c r="B776" s="12" t="s">
        <v>527</v>
      </c>
      <c r="C776" s="12" t="s">
        <v>1480</v>
      </c>
      <c r="D776" s="630" t="s">
        <v>2357</v>
      </c>
      <c r="E776" s="630"/>
      <c r="F776" s="12" t="s">
        <v>1074</v>
      </c>
      <c r="G776" s="56">
        <v>1.63</v>
      </c>
      <c r="H776" s="625"/>
      <c r="I776" s="56">
        <f>G776*AQ776</f>
        <v>0</v>
      </c>
      <c r="J776" s="56">
        <f>G776*AR776</f>
        <v>0</v>
      </c>
      <c r="K776" s="56">
        <f>G776*H776</f>
        <v>0</v>
      </c>
      <c r="L776" s="56">
        <v>1.0166500000000001</v>
      </c>
      <c r="M776" s="56">
        <f>G776*L776</f>
        <v>1.6571395</v>
      </c>
      <c r="N776" s="31" t="s">
        <v>1579</v>
      </c>
      <c r="P776" s="592"/>
      <c r="Q776" s="592"/>
      <c r="R776" s="592"/>
      <c r="S776" s="592"/>
      <c r="T776" s="592"/>
      <c r="U776" s="592"/>
      <c r="V776" s="592"/>
      <c r="W776" s="592"/>
      <c r="X776" s="592"/>
      <c r="AB776" s="56">
        <f>IF(AS776="5",BL776,0)</f>
        <v>0</v>
      </c>
      <c r="AD776" s="56">
        <f>IF(AS776="1",BJ776,0)</f>
        <v>0</v>
      </c>
      <c r="AE776" s="56">
        <f>IF(AS776="1",BK776,0)</f>
        <v>0</v>
      </c>
      <c r="AF776" s="56">
        <f>IF(AS776="7",BJ776,0)</f>
        <v>0</v>
      </c>
      <c r="AG776" s="56">
        <f>IF(AS776="7",BK776,0)</f>
        <v>0</v>
      </c>
      <c r="AH776" s="56">
        <f>IF(AS776="2",BJ776,0)</f>
        <v>0</v>
      </c>
      <c r="AI776" s="56">
        <f>IF(AS776="2",BK776,0)</f>
        <v>0</v>
      </c>
      <c r="AJ776" s="56">
        <f>IF(AS776="0",BL776,0)</f>
        <v>0</v>
      </c>
      <c r="AK776" s="7" t="s">
        <v>527</v>
      </c>
      <c r="AL776" s="56">
        <f>IF(AP776=0,K776,0)</f>
        <v>0</v>
      </c>
      <c r="AM776" s="56">
        <f>IF(AP776=15,K776,0)</f>
        <v>0</v>
      </c>
      <c r="AN776" s="56">
        <f>IF(AP776=21,K776,0)</f>
        <v>0</v>
      </c>
      <c r="AP776" s="56">
        <v>21</v>
      </c>
      <c r="AQ776" s="88">
        <f>H776*0.74693366289268</f>
        <v>0</v>
      </c>
      <c r="AR776" s="88">
        <f>H776*(1-0.74693366289268)</f>
        <v>0</v>
      </c>
      <c r="AS776" s="21" t="s">
        <v>2297</v>
      </c>
      <c r="AX776" s="56">
        <f>AY776+AZ776</f>
        <v>0</v>
      </c>
      <c r="AY776" s="56">
        <f>G776*AQ776</f>
        <v>0</v>
      </c>
      <c r="AZ776" s="56">
        <f>G776*AR776</f>
        <v>0</v>
      </c>
      <c r="BA776" s="21" t="s">
        <v>1675</v>
      </c>
      <c r="BB776" s="21" t="s">
        <v>1688</v>
      </c>
      <c r="BC776" s="7" t="s">
        <v>1887</v>
      </c>
      <c r="BE776" s="56">
        <f>AY776+AZ776</f>
        <v>0</v>
      </c>
      <c r="BF776" s="56">
        <f>H776/(100-BG776)*100</f>
        <v>0</v>
      </c>
      <c r="BG776" s="56">
        <v>0</v>
      </c>
      <c r="BH776" s="56">
        <f>M776</f>
        <v>1.6571395</v>
      </c>
      <c r="BJ776" s="56">
        <f>G776*AQ776</f>
        <v>0</v>
      </c>
      <c r="BK776" s="56">
        <f>G776*AR776</f>
        <v>0</v>
      </c>
      <c r="BL776" s="56">
        <f>G776*H776</f>
        <v>0</v>
      </c>
      <c r="BM776" s="56"/>
      <c r="BN776" s="56">
        <v>41</v>
      </c>
    </row>
    <row r="777" spans="1:66" ht="15" customHeight="1">
      <c r="A777" s="36"/>
      <c r="D777" s="45" t="s">
        <v>676</v>
      </c>
      <c r="E777" s="104" t="s">
        <v>891</v>
      </c>
      <c r="G777" s="13">
        <v>1.6300000000000001</v>
      </c>
      <c r="N777" s="19"/>
      <c r="P777" s="592"/>
      <c r="Q777" s="592"/>
      <c r="R777" s="592"/>
      <c r="S777" s="592"/>
      <c r="T777" s="592"/>
      <c r="U777" s="592"/>
      <c r="V777" s="592"/>
      <c r="W777" s="592"/>
      <c r="X777" s="592"/>
    </row>
    <row r="778" spans="1:66" ht="15" customHeight="1">
      <c r="A778" s="32" t="s">
        <v>1597</v>
      </c>
      <c r="B778" s="26" t="s">
        <v>527</v>
      </c>
      <c r="C778" s="529" t="s">
        <v>1676</v>
      </c>
      <c r="D778" s="709" t="s">
        <v>1661</v>
      </c>
      <c r="E778" s="709"/>
      <c r="F778" s="46" t="s">
        <v>2144</v>
      </c>
      <c r="G778" s="46" t="s">
        <v>2144</v>
      </c>
      <c r="H778" s="46" t="s">
        <v>2144</v>
      </c>
      <c r="I778" s="17">
        <f>SUM(I779:I779)</f>
        <v>0</v>
      </c>
      <c r="J778" s="17">
        <f>SUM(J779:J779)</f>
        <v>0</v>
      </c>
      <c r="K778" s="530">
        <f>SUM(K779:K779)</f>
        <v>0</v>
      </c>
      <c r="L778" s="7" t="s">
        <v>1597</v>
      </c>
      <c r="M778" s="17">
        <f>SUM(M779:M779)</f>
        <v>0</v>
      </c>
      <c r="N778" s="20" t="s">
        <v>1597</v>
      </c>
      <c r="P778" s="592"/>
      <c r="Q778" s="592">
        <f>K778</f>
        <v>0</v>
      </c>
      <c r="R778" s="592"/>
      <c r="S778" s="592"/>
      <c r="T778" s="592"/>
      <c r="U778" s="592"/>
      <c r="V778" s="592"/>
      <c r="W778" s="592"/>
      <c r="X778" s="592"/>
      <c r="AK778" s="7" t="s">
        <v>527</v>
      </c>
      <c r="AU778" s="17">
        <f>SUM(AL779:AL779)</f>
        <v>0</v>
      </c>
      <c r="AV778" s="17">
        <f>SUM(AM779:AM779)</f>
        <v>0</v>
      </c>
      <c r="AW778" s="17">
        <f>SUM(AN779:AN779)</f>
        <v>0</v>
      </c>
    </row>
    <row r="779" spans="1:66" ht="15" customHeight="1">
      <c r="A779" s="83" t="s">
        <v>1092</v>
      </c>
      <c r="B779" s="6" t="s">
        <v>527</v>
      </c>
      <c r="C779" s="527" t="s">
        <v>448</v>
      </c>
      <c r="D779" s="715" t="s">
        <v>1347</v>
      </c>
      <c r="E779" s="715"/>
      <c r="F779" s="6" t="s">
        <v>2274</v>
      </c>
      <c r="G779" s="30">
        <v>139</v>
      </c>
      <c r="H779" s="625"/>
      <c r="I779" s="30">
        <f>G779*AQ779</f>
        <v>0</v>
      </c>
      <c r="J779" s="30">
        <f>G779*AR779</f>
        <v>0</v>
      </c>
      <c r="K779" s="528">
        <f>G779*H779</f>
        <v>0</v>
      </c>
      <c r="L779" s="30">
        <v>0</v>
      </c>
      <c r="M779" s="30">
        <f>G779*L779</f>
        <v>0</v>
      </c>
      <c r="N779" s="72" t="s">
        <v>1579</v>
      </c>
      <c r="P779" s="592"/>
      <c r="Q779" s="592"/>
      <c r="R779" s="592"/>
      <c r="S779" s="592"/>
      <c r="T779" s="592"/>
      <c r="U779" s="592"/>
      <c r="V779" s="592"/>
      <c r="W779" s="592"/>
      <c r="X779" s="592"/>
      <c r="AB779" s="56">
        <f>IF(AS779="5",BL779,0)</f>
        <v>0</v>
      </c>
      <c r="AD779" s="56">
        <f>IF(AS779="1",BJ779,0)</f>
        <v>0</v>
      </c>
      <c r="AE779" s="56">
        <f>IF(AS779="1",BK779,0)</f>
        <v>0</v>
      </c>
      <c r="AF779" s="56">
        <f>IF(AS779="7",BJ779,0)</f>
        <v>0</v>
      </c>
      <c r="AG779" s="56">
        <f>IF(AS779="7",BK779,0)</f>
        <v>0</v>
      </c>
      <c r="AH779" s="56">
        <f>IF(AS779="2",BJ779,0)</f>
        <v>0</v>
      </c>
      <c r="AI779" s="56">
        <f>IF(AS779="2",BK779,0)</f>
        <v>0</v>
      </c>
      <c r="AJ779" s="56">
        <f>IF(AS779="0",BL779,0)</f>
        <v>0</v>
      </c>
      <c r="AK779" s="7" t="s">
        <v>527</v>
      </c>
      <c r="AL779" s="56">
        <f>IF(AP779=0,K779,0)</f>
        <v>0</v>
      </c>
      <c r="AM779" s="56">
        <f>IF(AP779=15,K779,0)</f>
        <v>0</v>
      </c>
      <c r="AN779" s="56">
        <f>IF(AP779=21,K779,0)</f>
        <v>0</v>
      </c>
      <c r="AP779" s="56">
        <v>21</v>
      </c>
      <c r="AQ779" s="88">
        <f>H779*0</f>
        <v>0</v>
      </c>
      <c r="AR779" s="88">
        <f>H779*(1-0)</f>
        <v>0</v>
      </c>
      <c r="AS779" s="21" t="s">
        <v>2297</v>
      </c>
      <c r="AX779" s="56">
        <f>AY779+AZ779</f>
        <v>0</v>
      </c>
      <c r="AY779" s="56">
        <f>G779*AQ779</f>
        <v>0</v>
      </c>
      <c r="AZ779" s="56">
        <f>G779*AR779</f>
        <v>0</v>
      </c>
      <c r="BA779" s="21" t="s">
        <v>1458</v>
      </c>
      <c r="BB779" s="21" t="s">
        <v>149</v>
      </c>
      <c r="BC779" s="7" t="s">
        <v>1887</v>
      </c>
      <c r="BE779" s="56">
        <f>AY779+AZ779</f>
        <v>0</v>
      </c>
      <c r="BF779" s="56">
        <f>H779/(100-BG779)*100</f>
        <v>0</v>
      </c>
      <c r="BG779" s="56">
        <v>0</v>
      </c>
      <c r="BH779" s="56">
        <f>M779</f>
        <v>0</v>
      </c>
      <c r="BJ779" s="56">
        <f>G779*AQ779</f>
        <v>0</v>
      </c>
      <c r="BK779" s="56">
        <f>G779*AR779</f>
        <v>0</v>
      </c>
      <c r="BL779" s="56">
        <f>G779*H779</f>
        <v>0</v>
      </c>
      <c r="BM779" s="56"/>
      <c r="BN779" s="56">
        <v>61</v>
      </c>
    </row>
    <row r="780" spans="1:66" ht="15" customHeight="1">
      <c r="A780" s="35"/>
      <c r="B780" s="100"/>
      <c r="C780" s="100"/>
      <c r="D780" s="25" t="s">
        <v>1961</v>
      </c>
      <c r="E780" s="89" t="s">
        <v>964</v>
      </c>
      <c r="F780" s="100"/>
      <c r="G780" s="37">
        <v>139</v>
      </c>
      <c r="H780" s="100"/>
      <c r="I780" s="100"/>
      <c r="J780" s="100"/>
      <c r="K780" s="100"/>
      <c r="L780" s="100"/>
      <c r="M780" s="100"/>
      <c r="N780" s="103"/>
      <c r="P780" s="592"/>
      <c r="Q780" s="592"/>
      <c r="R780" s="592"/>
      <c r="S780" s="592"/>
      <c r="T780" s="592"/>
      <c r="U780" s="592"/>
      <c r="V780" s="592"/>
      <c r="W780" s="592"/>
      <c r="X780" s="592"/>
    </row>
    <row r="781" spans="1:66" ht="15" customHeight="1">
      <c r="A781" s="69" t="s">
        <v>1597</v>
      </c>
      <c r="B781" s="23" t="s">
        <v>527</v>
      </c>
      <c r="C781" s="512" t="s">
        <v>2593</v>
      </c>
      <c r="D781" s="716" t="s">
        <v>1891</v>
      </c>
      <c r="E781" s="716"/>
      <c r="F781" s="43" t="s">
        <v>2144</v>
      </c>
      <c r="G781" s="43" t="s">
        <v>2144</v>
      </c>
      <c r="H781" s="43" t="s">
        <v>2144</v>
      </c>
      <c r="I781" s="77">
        <f>SUM(I782:I793)</f>
        <v>0</v>
      </c>
      <c r="J781" s="77">
        <f>SUM(J782:J793)</f>
        <v>0</v>
      </c>
      <c r="K781" s="515">
        <f>SUM(K782:K793)</f>
        <v>0</v>
      </c>
      <c r="L781" s="39" t="s">
        <v>1597</v>
      </c>
      <c r="M781" s="77">
        <f>SUM(M782:M793)</f>
        <v>3.087599</v>
      </c>
      <c r="N781" s="51" t="s">
        <v>1597</v>
      </c>
      <c r="P781" s="592">
        <f>K781</f>
        <v>0</v>
      </c>
      <c r="Q781" s="592"/>
      <c r="R781" s="592"/>
      <c r="S781" s="592"/>
      <c r="T781" s="592"/>
      <c r="U781" s="592"/>
      <c r="V781" s="592"/>
      <c r="W781" s="592"/>
      <c r="X781" s="592"/>
      <c r="AK781" s="7" t="s">
        <v>527</v>
      </c>
      <c r="AU781" s="17">
        <f>SUM(AL782:AL793)</f>
        <v>0</v>
      </c>
      <c r="AV781" s="17">
        <f>SUM(AM782:AM793)</f>
        <v>0</v>
      </c>
      <c r="AW781" s="17">
        <f>SUM(AN782:AN793)</f>
        <v>0</v>
      </c>
    </row>
    <row r="782" spans="1:66" ht="15" customHeight="1">
      <c r="A782" s="24" t="s">
        <v>2057</v>
      </c>
      <c r="B782" s="12" t="s">
        <v>527</v>
      </c>
      <c r="C782" s="12" t="s">
        <v>360</v>
      </c>
      <c r="D782" s="630" t="s">
        <v>2494</v>
      </c>
      <c r="E782" s="630"/>
      <c r="F782" s="12" t="s">
        <v>2274</v>
      </c>
      <c r="G782" s="56">
        <v>107</v>
      </c>
      <c r="H782" s="625"/>
      <c r="I782" s="56">
        <f>G782*AQ782</f>
        <v>0</v>
      </c>
      <c r="J782" s="56">
        <f>G782*AR782</f>
        <v>0</v>
      </c>
      <c r="K782" s="56">
        <f>G782*H782</f>
        <v>0</v>
      </c>
      <c r="L782" s="56">
        <v>1.542E-2</v>
      </c>
      <c r="M782" s="56">
        <f>G782*L782</f>
        <v>1.64994</v>
      </c>
      <c r="N782" s="31" t="s">
        <v>1579</v>
      </c>
      <c r="P782" s="592"/>
      <c r="Q782" s="592"/>
      <c r="R782" s="592"/>
      <c r="S782" s="592"/>
      <c r="T782" s="592"/>
      <c r="U782" s="592"/>
      <c r="V782" s="592"/>
      <c r="W782" s="592"/>
      <c r="X782" s="592"/>
      <c r="AB782" s="56">
        <f>IF(AS782="5",BL782,0)</f>
        <v>0</v>
      </c>
      <c r="AD782" s="56">
        <f>IF(AS782="1",BJ782,0)</f>
        <v>0</v>
      </c>
      <c r="AE782" s="56">
        <f>IF(AS782="1",BK782,0)</f>
        <v>0</v>
      </c>
      <c r="AF782" s="56">
        <f>IF(AS782="7",BJ782,0)</f>
        <v>0</v>
      </c>
      <c r="AG782" s="56">
        <f>IF(AS782="7",BK782,0)</f>
        <v>0</v>
      </c>
      <c r="AH782" s="56">
        <f>IF(AS782="2",BJ782,0)</f>
        <v>0</v>
      </c>
      <c r="AI782" s="56">
        <f>IF(AS782="2",BK782,0)</f>
        <v>0</v>
      </c>
      <c r="AJ782" s="56">
        <f>IF(AS782="0",BL782,0)</f>
        <v>0</v>
      </c>
      <c r="AK782" s="7" t="s">
        <v>527</v>
      </c>
      <c r="AL782" s="56">
        <f>IF(AP782=0,K782,0)</f>
        <v>0</v>
      </c>
      <c r="AM782" s="56">
        <f>IF(AP782=15,K782,0)</f>
        <v>0</v>
      </c>
      <c r="AN782" s="56">
        <f>IF(AP782=21,K782,0)</f>
        <v>0</v>
      </c>
      <c r="AP782" s="56">
        <v>21</v>
      </c>
      <c r="AQ782" s="88">
        <f>H782*0.705038961038961</f>
        <v>0</v>
      </c>
      <c r="AR782" s="88">
        <f>H782*(1-0.705038961038961)</f>
        <v>0</v>
      </c>
      <c r="AS782" s="21" t="s">
        <v>2297</v>
      </c>
      <c r="AX782" s="56">
        <f>AY782+AZ782</f>
        <v>0</v>
      </c>
      <c r="AY782" s="56">
        <f>G782*AQ782</f>
        <v>0</v>
      </c>
      <c r="AZ782" s="56">
        <f>G782*AR782</f>
        <v>0</v>
      </c>
      <c r="BA782" s="21" t="s">
        <v>1021</v>
      </c>
      <c r="BB782" s="21" t="s">
        <v>149</v>
      </c>
      <c r="BC782" s="7" t="s">
        <v>1887</v>
      </c>
      <c r="BE782" s="56">
        <f>AY782+AZ782</f>
        <v>0</v>
      </c>
      <c r="BF782" s="56">
        <f>H782/(100-BG782)*100</f>
        <v>0</v>
      </c>
      <c r="BG782" s="56">
        <v>0</v>
      </c>
      <c r="BH782" s="56">
        <f>M782</f>
        <v>1.64994</v>
      </c>
      <c r="BJ782" s="56">
        <f>G782*AQ782</f>
        <v>0</v>
      </c>
      <c r="BK782" s="56">
        <f>G782*AR782</f>
        <v>0</v>
      </c>
      <c r="BL782" s="56">
        <f>G782*H782</f>
        <v>0</v>
      </c>
      <c r="BM782" s="56"/>
      <c r="BN782" s="56">
        <v>62</v>
      </c>
    </row>
    <row r="783" spans="1:66" ht="15" customHeight="1">
      <c r="A783" s="36"/>
      <c r="D783" s="45" t="s">
        <v>953</v>
      </c>
      <c r="E783" s="104" t="s">
        <v>1314</v>
      </c>
      <c r="G783" s="13">
        <v>70</v>
      </c>
      <c r="N783" s="19"/>
      <c r="P783" s="592"/>
      <c r="Q783" s="592"/>
      <c r="R783" s="592"/>
      <c r="S783" s="592"/>
      <c r="T783" s="592"/>
      <c r="U783" s="592"/>
      <c r="V783" s="592"/>
      <c r="W783" s="592"/>
      <c r="X783" s="592"/>
    </row>
    <row r="784" spans="1:66" ht="15" customHeight="1">
      <c r="A784" s="36"/>
      <c r="D784" s="45" t="s">
        <v>2270</v>
      </c>
      <c r="E784" s="104" t="s">
        <v>961</v>
      </c>
      <c r="G784" s="13">
        <v>37</v>
      </c>
      <c r="N784" s="19"/>
      <c r="P784" s="592"/>
      <c r="Q784" s="592"/>
      <c r="R784" s="592"/>
      <c r="S784" s="592"/>
      <c r="T784" s="592"/>
      <c r="U784" s="592"/>
      <c r="V784" s="592"/>
      <c r="W784" s="592"/>
      <c r="X784" s="592"/>
    </row>
    <row r="785" spans="1:66" ht="15" customHeight="1">
      <c r="A785" s="24" t="s">
        <v>19</v>
      </c>
      <c r="B785" s="12" t="s">
        <v>527</v>
      </c>
      <c r="C785" s="12" t="s">
        <v>1035</v>
      </c>
      <c r="D785" s="630" t="s">
        <v>1700</v>
      </c>
      <c r="E785" s="630"/>
      <c r="F785" s="12" t="s">
        <v>2274</v>
      </c>
      <c r="G785" s="56">
        <v>35</v>
      </c>
      <c r="H785" s="625"/>
      <c r="I785" s="56">
        <f>G785*AQ785</f>
        <v>0</v>
      </c>
      <c r="J785" s="56">
        <f>G785*AR785</f>
        <v>0</v>
      </c>
      <c r="K785" s="56">
        <f>G785*H785</f>
        <v>0</v>
      </c>
      <c r="L785" s="56">
        <v>0</v>
      </c>
      <c r="M785" s="56">
        <f>G785*L785</f>
        <v>0</v>
      </c>
      <c r="N785" s="31" t="s">
        <v>1579</v>
      </c>
      <c r="P785" s="592"/>
      <c r="Q785" s="592"/>
      <c r="R785" s="592"/>
      <c r="S785" s="592"/>
      <c r="T785" s="592"/>
      <c r="U785" s="592"/>
      <c r="V785" s="592"/>
      <c r="W785" s="592"/>
      <c r="X785" s="592"/>
      <c r="AB785" s="56">
        <f>IF(AS785="5",BL785,0)</f>
        <v>0</v>
      </c>
      <c r="AD785" s="56">
        <f>IF(AS785="1",BJ785,0)</f>
        <v>0</v>
      </c>
      <c r="AE785" s="56">
        <f>IF(AS785="1",BK785,0)</f>
        <v>0</v>
      </c>
      <c r="AF785" s="56">
        <f>IF(AS785="7",BJ785,0)</f>
        <v>0</v>
      </c>
      <c r="AG785" s="56">
        <f>IF(AS785="7",BK785,0)</f>
        <v>0</v>
      </c>
      <c r="AH785" s="56">
        <f>IF(AS785="2",BJ785,0)</f>
        <v>0</v>
      </c>
      <c r="AI785" s="56">
        <f>IF(AS785="2",BK785,0)</f>
        <v>0</v>
      </c>
      <c r="AJ785" s="56">
        <f>IF(AS785="0",BL785,0)</f>
        <v>0</v>
      </c>
      <c r="AK785" s="7" t="s">
        <v>527</v>
      </c>
      <c r="AL785" s="56">
        <f>IF(AP785=0,K785,0)</f>
        <v>0</v>
      </c>
      <c r="AM785" s="56">
        <f>IF(AP785=15,K785,0)</f>
        <v>0</v>
      </c>
      <c r="AN785" s="56">
        <f>IF(AP785=21,K785,0)</f>
        <v>0</v>
      </c>
      <c r="AP785" s="56">
        <v>21</v>
      </c>
      <c r="AQ785" s="88">
        <f>H785*0</f>
        <v>0</v>
      </c>
      <c r="AR785" s="88">
        <f>H785*(1-0)</f>
        <v>0</v>
      </c>
      <c r="AS785" s="21" t="s">
        <v>2297</v>
      </c>
      <c r="AX785" s="56">
        <f>AY785+AZ785</f>
        <v>0</v>
      </c>
      <c r="AY785" s="56">
        <f>G785*AQ785</f>
        <v>0</v>
      </c>
      <c r="AZ785" s="56">
        <f>G785*AR785</f>
        <v>0</v>
      </c>
      <c r="BA785" s="21" t="s">
        <v>1021</v>
      </c>
      <c r="BB785" s="21" t="s">
        <v>149</v>
      </c>
      <c r="BC785" s="7" t="s">
        <v>1887</v>
      </c>
      <c r="BE785" s="56">
        <f>AY785+AZ785</f>
        <v>0</v>
      </c>
      <c r="BF785" s="56">
        <f>H785/(100-BG785)*100</f>
        <v>0</v>
      </c>
      <c r="BG785" s="56">
        <v>0</v>
      </c>
      <c r="BH785" s="56">
        <f>M785</f>
        <v>0</v>
      </c>
      <c r="BJ785" s="56">
        <f>G785*AQ785</f>
        <v>0</v>
      </c>
      <c r="BK785" s="56">
        <f>G785*AR785</f>
        <v>0</v>
      </c>
      <c r="BL785" s="56">
        <f>G785*H785</f>
        <v>0</v>
      </c>
      <c r="BM785" s="56"/>
      <c r="BN785" s="56">
        <v>62</v>
      </c>
    </row>
    <row r="786" spans="1:66" ht="15" customHeight="1">
      <c r="A786" s="36"/>
      <c r="D786" s="45" t="s">
        <v>2059</v>
      </c>
      <c r="E786" s="104" t="s">
        <v>1633</v>
      </c>
      <c r="G786" s="13">
        <v>35</v>
      </c>
      <c r="N786" s="19"/>
      <c r="P786" s="592"/>
      <c r="Q786" s="592"/>
      <c r="R786" s="592"/>
      <c r="S786" s="592"/>
      <c r="T786" s="592"/>
      <c r="U786" s="592"/>
      <c r="V786" s="592"/>
      <c r="W786" s="592"/>
      <c r="X786" s="592"/>
    </row>
    <row r="787" spans="1:66" ht="15" customHeight="1">
      <c r="A787" s="8" t="s">
        <v>1735</v>
      </c>
      <c r="B787" s="75" t="s">
        <v>527</v>
      </c>
      <c r="C787" s="75" t="s">
        <v>1913</v>
      </c>
      <c r="D787" s="710" t="s">
        <v>56</v>
      </c>
      <c r="E787" s="710"/>
      <c r="F787" s="75" t="s">
        <v>2274</v>
      </c>
      <c r="G787" s="80">
        <v>35</v>
      </c>
      <c r="H787" s="626"/>
      <c r="I787" s="80">
        <f>G787*AQ787</f>
        <v>0</v>
      </c>
      <c r="J787" s="80">
        <f>G787*AR787</f>
        <v>0</v>
      </c>
      <c r="K787" s="80">
        <f>G787*H787</f>
        <v>0</v>
      </c>
      <c r="L787" s="80">
        <v>3.5999999999999999E-3</v>
      </c>
      <c r="M787" s="80">
        <f>G787*L787</f>
        <v>0.126</v>
      </c>
      <c r="N787" s="38" t="s">
        <v>1579</v>
      </c>
      <c r="P787" s="592"/>
      <c r="Q787" s="592"/>
      <c r="R787" s="592"/>
      <c r="S787" s="592"/>
      <c r="T787" s="592"/>
      <c r="U787" s="592"/>
      <c r="V787" s="592"/>
      <c r="W787" s="592"/>
      <c r="X787" s="592"/>
      <c r="AB787" s="56">
        <f>IF(AS787="5",BL787,0)</f>
        <v>0</v>
      </c>
      <c r="AD787" s="56">
        <f>IF(AS787="1",BJ787,0)</f>
        <v>0</v>
      </c>
      <c r="AE787" s="56">
        <f>IF(AS787="1",BK787,0)</f>
        <v>0</v>
      </c>
      <c r="AF787" s="56">
        <f>IF(AS787="7",BJ787,0)</f>
        <v>0</v>
      </c>
      <c r="AG787" s="56">
        <f>IF(AS787="7",BK787,0)</f>
        <v>0</v>
      </c>
      <c r="AH787" s="56">
        <f>IF(AS787="2",BJ787,0)</f>
        <v>0</v>
      </c>
      <c r="AI787" s="56">
        <f>IF(AS787="2",BK787,0)</f>
        <v>0</v>
      </c>
      <c r="AJ787" s="56">
        <f>IF(AS787="0",BL787,0)</f>
        <v>0</v>
      </c>
      <c r="AK787" s="7" t="s">
        <v>527</v>
      </c>
      <c r="AL787" s="80">
        <f>IF(AP787=0,K787,0)</f>
        <v>0</v>
      </c>
      <c r="AM787" s="80">
        <f>IF(AP787=15,K787,0)</f>
        <v>0</v>
      </c>
      <c r="AN787" s="80">
        <f>IF(AP787=21,K787,0)</f>
        <v>0</v>
      </c>
      <c r="AP787" s="56">
        <v>21</v>
      </c>
      <c r="AQ787" s="88">
        <f>H787*1</f>
        <v>0</v>
      </c>
      <c r="AR787" s="88">
        <f>H787*(1-1)</f>
        <v>0</v>
      </c>
      <c r="AS787" s="64" t="s">
        <v>2297</v>
      </c>
      <c r="AX787" s="56">
        <f>AY787+AZ787</f>
        <v>0</v>
      </c>
      <c r="AY787" s="56">
        <f>G787*AQ787</f>
        <v>0</v>
      </c>
      <c r="AZ787" s="56">
        <f>G787*AR787</f>
        <v>0</v>
      </c>
      <c r="BA787" s="21" t="s">
        <v>1021</v>
      </c>
      <c r="BB787" s="21" t="s">
        <v>149</v>
      </c>
      <c r="BC787" s="7" t="s">
        <v>1887</v>
      </c>
      <c r="BE787" s="56">
        <f>AY787+AZ787</f>
        <v>0</v>
      </c>
      <c r="BF787" s="56">
        <f>H787/(100-BG787)*100</f>
        <v>0</v>
      </c>
      <c r="BG787" s="56">
        <v>0</v>
      </c>
      <c r="BH787" s="56">
        <f>M787</f>
        <v>0.126</v>
      </c>
      <c r="BJ787" s="80">
        <f>G787*AQ787</f>
        <v>0</v>
      </c>
      <c r="BK787" s="80">
        <f>G787*AR787</f>
        <v>0</v>
      </c>
      <c r="BL787" s="80">
        <f>G787*H787</f>
        <v>0</v>
      </c>
      <c r="BM787" s="80"/>
      <c r="BN787" s="56">
        <v>62</v>
      </c>
    </row>
    <row r="788" spans="1:66" ht="15" customHeight="1">
      <c r="A788" s="36"/>
      <c r="D788" s="45" t="s">
        <v>2059</v>
      </c>
      <c r="E788" s="104" t="s">
        <v>1597</v>
      </c>
      <c r="G788" s="13">
        <v>35</v>
      </c>
      <c r="N788" s="19"/>
      <c r="P788" s="592"/>
      <c r="Q788" s="592"/>
      <c r="R788" s="592"/>
      <c r="S788" s="592"/>
      <c r="T788" s="592"/>
      <c r="U788" s="592"/>
      <c r="V788" s="592"/>
      <c r="W788" s="592"/>
      <c r="X788" s="592"/>
    </row>
    <row r="789" spans="1:66" ht="15" customHeight="1">
      <c r="A789" s="24" t="s">
        <v>1311</v>
      </c>
      <c r="B789" s="12" t="s">
        <v>527</v>
      </c>
      <c r="C789" s="12" t="s">
        <v>1922</v>
      </c>
      <c r="D789" s="630" t="s">
        <v>471</v>
      </c>
      <c r="E789" s="630"/>
      <c r="F789" s="12" t="s">
        <v>2274</v>
      </c>
      <c r="G789" s="56">
        <v>70</v>
      </c>
      <c r="H789" s="625"/>
      <c r="I789" s="56">
        <f>G789*AQ789</f>
        <v>0</v>
      </c>
      <c r="J789" s="56">
        <f>G789*AR789</f>
        <v>0</v>
      </c>
      <c r="K789" s="56">
        <f>G789*H789</f>
        <v>0</v>
      </c>
      <c r="L789" s="56">
        <v>0</v>
      </c>
      <c r="M789" s="56">
        <f>G789*L789</f>
        <v>0</v>
      </c>
      <c r="N789" s="31" t="s">
        <v>1579</v>
      </c>
      <c r="P789" s="592"/>
      <c r="Q789" s="592"/>
      <c r="R789" s="592"/>
      <c r="S789" s="592"/>
      <c r="T789" s="592"/>
      <c r="U789" s="592"/>
      <c r="V789" s="592"/>
      <c r="W789" s="592"/>
      <c r="X789" s="592"/>
      <c r="AB789" s="56">
        <f>IF(AS789="5",BL789,0)</f>
        <v>0</v>
      </c>
      <c r="AD789" s="56">
        <f>IF(AS789="1",BJ789,0)</f>
        <v>0</v>
      </c>
      <c r="AE789" s="56">
        <f>IF(AS789="1",BK789,0)</f>
        <v>0</v>
      </c>
      <c r="AF789" s="56">
        <f>IF(AS789="7",BJ789,0)</f>
        <v>0</v>
      </c>
      <c r="AG789" s="56">
        <f>IF(AS789="7",BK789,0)</f>
        <v>0</v>
      </c>
      <c r="AH789" s="56">
        <f>IF(AS789="2",BJ789,0)</f>
        <v>0</v>
      </c>
      <c r="AI789" s="56">
        <f>IF(AS789="2",BK789,0)</f>
        <v>0</v>
      </c>
      <c r="AJ789" s="56">
        <f>IF(AS789="0",BL789,0)</f>
        <v>0</v>
      </c>
      <c r="AK789" s="7" t="s">
        <v>527</v>
      </c>
      <c r="AL789" s="56">
        <f>IF(AP789=0,K789,0)</f>
        <v>0</v>
      </c>
      <c r="AM789" s="56">
        <f>IF(AP789=15,K789,0)</f>
        <v>0</v>
      </c>
      <c r="AN789" s="56">
        <f>IF(AP789=21,K789,0)</f>
        <v>0</v>
      </c>
      <c r="AP789" s="56">
        <v>21</v>
      </c>
      <c r="AQ789" s="88">
        <f>H789*1</f>
        <v>0</v>
      </c>
      <c r="AR789" s="88">
        <f>H789*(1-1)</f>
        <v>0</v>
      </c>
      <c r="AS789" s="21" t="s">
        <v>2297</v>
      </c>
      <c r="AX789" s="56">
        <f>AY789+AZ789</f>
        <v>0</v>
      </c>
      <c r="AY789" s="56">
        <f>G789*AQ789</f>
        <v>0</v>
      </c>
      <c r="AZ789" s="56">
        <f>G789*AR789</f>
        <v>0</v>
      </c>
      <c r="BA789" s="21" t="s">
        <v>1021</v>
      </c>
      <c r="BB789" s="21" t="s">
        <v>149</v>
      </c>
      <c r="BC789" s="7" t="s">
        <v>1887</v>
      </c>
      <c r="BE789" s="56">
        <f>AY789+AZ789</f>
        <v>0</v>
      </c>
      <c r="BF789" s="56">
        <f>H789/(100-BG789)*100</f>
        <v>0</v>
      </c>
      <c r="BG789" s="56">
        <v>0</v>
      </c>
      <c r="BH789" s="56">
        <f>M789</f>
        <v>0</v>
      </c>
      <c r="BJ789" s="56">
        <f>G789*AQ789</f>
        <v>0</v>
      </c>
      <c r="BK789" s="56">
        <f>G789*AR789</f>
        <v>0</v>
      </c>
      <c r="BL789" s="56">
        <f>G789*H789</f>
        <v>0</v>
      </c>
      <c r="BM789" s="56"/>
      <c r="BN789" s="56">
        <v>62</v>
      </c>
    </row>
    <row r="790" spans="1:66" ht="15" customHeight="1">
      <c r="A790" s="36"/>
      <c r="D790" s="45" t="s">
        <v>1825</v>
      </c>
      <c r="E790" s="104" t="s">
        <v>1597</v>
      </c>
      <c r="G790" s="13">
        <v>70</v>
      </c>
      <c r="N790" s="19"/>
      <c r="P790" s="592"/>
      <c r="Q790" s="592"/>
      <c r="R790" s="592"/>
      <c r="S790" s="592"/>
      <c r="T790" s="592"/>
      <c r="U790" s="592"/>
      <c r="V790" s="592"/>
      <c r="W790" s="592"/>
      <c r="X790" s="592"/>
    </row>
    <row r="791" spans="1:66" ht="15" customHeight="1">
      <c r="A791" s="24" t="s">
        <v>1983</v>
      </c>
      <c r="B791" s="12" t="s">
        <v>527</v>
      </c>
      <c r="C791" s="12" t="s">
        <v>1015</v>
      </c>
      <c r="D791" s="630" t="s">
        <v>649</v>
      </c>
      <c r="E791" s="630"/>
      <c r="F791" s="12" t="s">
        <v>2274</v>
      </c>
      <c r="G791" s="56">
        <v>8</v>
      </c>
      <c r="H791" s="625"/>
      <c r="I791" s="56">
        <f>G791*AQ791</f>
        <v>0</v>
      </c>
      <c r="J791" s="56">
        <f>G791*AR791</f>
        <v>0</v>
      </c>
      <c r="K791" s="56">
        <f>G791*H791</f>
        <v>0</v>
      </c>
      <c r="L791" s="56">
        <v>2.4309999999999998E-2</v>
      </c>
      <c r="M791" s="56">
        <f>G791*L791</f>
        <v>0.19447999999999999</v>
      </c>
      <c r="N791" s="31" t="s">
        <v>1579</v>
      </c>
      <c r="P791" s="592"/>
      <c r="Q791" s="592"/>
      <c r="R791" s="592"/>
      <c r="S791" s="592"/>
      <c r="T791" s="592"/>
      <c r="U791" s="592"/>
      <c r="V791" s="592"/>
      <c r="W791" s="592"/>
      <c r="X791" s="592"/>
      <c r="AB791" s="56">
        <f>IF(AS791="5",BL791,0)</f>
        <v>0</v>
      </c>
      <c r="AD791" s="56">
        <f>IF(AS791="1",BJ791,0)</f>
        <v>0</v>
      </c>
      <c r="AE791" s="56">
        <f>IF(AS791="1",BK791,0)</f>
        <v>0</v>
      </c>
      <c r="AF791" s="56">
        <f>IF(AS791="7",BJ791,0)</f>
        <v>0</v>
      </c>
      <c r="AG791" s="56">
        <f>IF(AS791="7",BK791,0)</f>
        <v>0</v>
      </c>
      <c r="AH791" s="56">
        <f>IF(AS791="2",BJ791,0)</f>
        <v>0</v>
      </c>
      <c r="AI791" s="56">
        <f>IF(AS791="2",BK791,0)</f>
        <v>0</v>
      </c>
      <c r="AJ791" s="56">
        <f>IF(AS791="0",BL791,0)</f>
        <v>0</v>
      </c>
      <c r="AK791" s="7" t="s">
        <v>527</v>
      </c>
      <c r="AL791" s="56">
        <f>IF(AP791=0,K791,0)</f>
        <v>0</v>
      </c>
      <c r="AM791" s="56">
        <f>IF(AP791=15,K791,0)</f>
        <v>0</v>
      </c>
      <c r="AN791" s="56">
        <f>IF(AP791=21,K791,0)</f>
        <v>0</v>
      </c>
      <c r="AP791" s="56">
        <v>21</v>
      </c>
      <c r="AQ791" s="88">
        <f>H791*0.411530685920578</f>
        <v>0</v>
      </c>
      <c r="AR791" s="88">
        <f>H791*(1-0.411530685920578)</f>
        <v>0</v>
      </c>
      <c r="AS791" s="21" t="s">
        <v>2297</v>
      </c>
      <c r="AX791" s="56">
        <f>AY791+AZ791</f>
        <v>0</v>
      </c>
      <c r="AY791" s="56">
        <f>G791*AQ791</f>
        <v>0</v>
      </c>
      <c r="AZ791" s="56">
        <f>G791*AR791</f>
        <v>0</v>
      </c>
      <c r="BA791" s="21" t="s">
        <v>1021</v>
      </c>
      <c r="BB791" s="21" t="s">
        <v>149</v>
      </c>
      <c r="BC791" s="7" t="s">
        <v>1887</v>
      </c>
      <c r="BE791" s="56">
        <f>AY791+AZ791</f>
        <v>0</v>
      </c>
      <c r="BF791" s="56">
        <f>H791/(100-BG791)*100</f>
        <v>0</v>
      </c>
      <c r="BG791" s="56">
        <v>0</v>
      </c>
      <c r="BH791" s="56">
        <f>M791</f>
        <v>0.19447999999999999</v>
      </c>
      <c r="BJ791" s="56">
        <f>G791*AQ791</f>
        <v>0</v>
      </c>
      <c r="BK791" s="56">
        <f>G791*AR791</f>
        <v>0</v>
      </c>
      <c r="BL791" s="56">
        <f>G791*H791</f>
        <v>0</v>
      </c>
      <c r="BM791" s="56"/>
      <c r="BN791" s="56">
        <v>62</v>
      </c>
    </row>
    <row r="792" spans="1:66" ht="15" customHeight="1">
      <c r="A792" s="36"/>
      <c r="D792" s="45" t="s">
        <v>1829</v>
      </c>
      <c r="E792" s="104" t="s">
        <v>1597</v>
      </c>
      <c r="G792" s="13">
        <v>8</v>
      </c>
      <c r="N792" s="19"/>
      <c r="P792" s="592"/>
      <c r="Q792" s="592"/>
      <c r="R792" s="592"/>
      <c r="S792" s="592"/>
      <c r="T792" s="592"/>
      <c r="U792" s="592"/>
      <c r="V792" s="592"/>
      <c r="W792" s="592"/>
      <c r="X792" s="592"/>
    </row>
    <row r="793" spans="1:66" ht="15" customHeight="1">
      <c r="A793" s="24" t="s">
        <v>2588</v>
      </c>
      <c r="B793" s="12" t="s">
        <v>527</v>
      </c>
      <c r="C793" s="12" t="s">
        <v>360</v>
      </c>
      <c r="D793" s="630" t="s">
        <v>1532</v>
      </c>
      <c r="E793" s="630"/>
      <c r="F793" s="12" t="s">
        <v>2274</v>
      </c>
      <c r="G793" s="56">
        <v>72.45</v>
      </c>
      <c r="H793" s="625"/>
      <c r="I793" s="56">
        <f>G793*AQ793</f>
        <v>0</v>
      </c>
      <c r="J793" s="56">
        <f>G793*AR793</f>
        <v>0</v>
      </c>
      <c r="K793" s="56">
        <f>G793*H793</f>
        <v>0</v>
      </c>
      <c r="L793" s="56">
        <v>1.542E-2</v>
      </c>
      <c r="M793" s="56">
        <f>G793*L793</f>
        <v>1.1171789999999999</v>
      </c>
      <c r="N793" s="31" t="s">
        <v>1579</v>
      </c>
      <c r="P793" s="592"/>
      <c r="Q793" s="592"/>
      <c r="R793" s="592"/>
      <c r="S793" s="592"/>
      <c r="T793" s="592"/>
      <c r="U793" s="592"/>
      <c r="V793" s="592"/>
      <c r="W793" s="592"/>
      <c r="X793" s="592"/>
      <c r="AB793" s="56">
        <f>IF(AS793="5",BL793,0)</f>
        <v>0</v>
      </c>
      <c r="AD793" s="56">
        <f>IF(AS793="1",BJ793,0)</f>
        <v>0</v>
      </c>
      <c r="AE793" s="56">
        <f>IF(AS793="1",BK793,0)</f>
        <v>0</v>
      </c>
      <c r="AF793" s="56">
        <f>IF(AS793="7",BJ793,0)</f>
        <v>0</v>
      </c>
      <c r="AG793" s="56">
        <f>IF(AS793="7",BK793,0)</f>
        <v>0</v>
      </c>
      <c r="AH793" s="56">
        <f>IF(AS793="2",BJ793,0)</f>
        <v>0</v>
      </c>
      <c r="AI793" s="56">
        <f>IF(AS793="2",BK793,0)</f>
        <v>0</v>
      </c>
      <c r="AJ793" s="56">
        <f>IF(AS793="0",BL793,0)</f>
        <v>0</v>
      </c>
      <c r="AK793" s="7" t="s">
        <v>527</v>
      </c>
      <c r="AL793" s="56">
        <f>IF(AP793=0,K793,0)</f>
        <v>0</v>
      </c>
      <c r="AM793" s="56">
        <f>IF(AP793=15,K793,0)</f>
        <v>0</v>
      </c>
      <c r="AN793" s="56">
        <f>IF(AP793=21,K793,0)</f>
        <v>0</v>
      </c>
      <c r="AP793" s="56">
        <v>21</v>
      </c>
      <c r="AQ793" s="88">
        <f>H793*0.661014925373134</f>
        <v>0</v>
      </c>
      <c r="AR793" s="88">
        <f>H793*(1-0.661014925373134)</f>
        <v>0</v>
      </c>
      <c r="AS793" s="21" t="s">
        <v>2297</v>
      </c>
      <c r="AX793" s="56">
        <f>AY793+AZ793</f>
        <v>0</v>
      </c>
      <c r="AY793" s="56">
        <f>G793*AQ793</f>
        <v>0</v>
      </c>
      <c r="AZ793" s="56">
        <f>G793*AR793</f>
        <v>0</v>
      </c>
      <c r="BA793" s="21" t="s">
        <v>1021</v>
      </c>
      <c r="BB793" s="21" t="s">
        <v>149</v>
      </c>
      <c r="BC793" s="7" t="s">
        <v>1887</v>
      </c>
      <c r="BE793" s="56">
        <f>AY793+AZ793</f>
        <v>0</v>
      </c>
      <c r="BF793" s="56">
        <f>H793/(100-BG793)*100</f>
        <v>0</v>
      </c>
      <c r="BG793" s="56">
        <v>0</v>
      </c>
      <c r="BH793" s="56">
        <f>M793</f>
        <v>1.1171789999999999</v>
      </c>
      <c r="BJ793" s="56">
        <f>G793*AQ793</f>
        <v>0</v>
      </c>
      <c r="BK793" s="56">
        <f>G793*AR793</f>
        <v>0</v>
      </c>
      <c r="BL793" s="56">
        <f>G793*H793</f>
        <v>0</v>
      </c>
      <c r="BM793" s="56"/>
      <c r="BN793" s="56">
        <v>62</v>
      </c>
    </row>
    <row r="794" spans="1:66" ht="15" customHeight="1">
      <c r="A794" s="36"/>
      <c r="D794" s="45" t="s">
        <v>661</v>
      </c>
      <c r="E794" s="104" t="s">
        <v>2346</v>
      </c>
      <c r="G794" s="13">
        <v>72.45</v>
      </c>
      <c r="N794" s="19"/>
      <c r="P794" s="592"/>
      <c r="Q794" s="592"/>
      <c r="R794" s="592"/>
      <c r="S794" s="592"/>
      <c r="T794" s="592"/>
      <c r="U794" s="592"/>
      <c r="V794" s="592"/>
      <c r="W794" s="592"/>
      <c r="X794" s="592"/>
    </row>
    <row r="795" spans="1:66" ht="15" customHeight="1">
      <c r="A795" s="32" t="s">
        <v>1597</v>
      </c>
      <c r="B795" s="26" t="s">
        <v>527</v>
      </c>
      <c r="C795" s="518" t="s">
        <v>525</v>
      </c>
      <c r="D795" s="709" t="s">
        <v>2342</v>
      </c>
      <c r="E795" s="709"/>
      <c r="F795" s="46" t="s">
        <v>2144</v>
      </c>
      <c r="G795" s="46" t="s">
        <v>2144</v>
      </c>
      <c r="H795" s="46" t="s">
        <v>2144</v>
      </c>
      <c r="I795" s="17">
        <f>SUM(I796:I801)</f>
        <v>0</v>
      </c>
      <c r="J795" s="17">
        <f>SUM(J796:J801)</f>
        <v>0</v>
      </c>
      <c r="K795" s="524">
        <f>SUM(K796:K801)</f>
        <v>0</v>
      </c>
      <c r="L795" s="7" t="s">
        <v>1597</v>
      </c>
      <c r="M795" s="17">
        <f>SUM(M796:M801)</f>
        <v>17.238520000000001</v>
      </c>
      <c r="N795" s="20" t="s">
        <v>1597</v>
      </c>
      <c r="P795" s="592"/>
      <c r="Q795" s="592"/>
      <c r="R795" s="592"/>
      <c r="S795" s="592"/>
      <c r="T795" s="592"/>
      <c r="U795" s="592"/>
      <c r="V795" s="592">
        <f>K795</f>
        <v>0</v>
      </c>
      <c r="W795" s="592"/>
      <c r="X795" s="592"/>
      <c r="AK795" s="7" t="s">
        <v>527</v>
      </c>
      <c r="AU795" s="17">
        <f>SUM(AL796:AL801)</f>
        <v>0</v>
      </c>
      <c r="AV795" s="17">
        <f>SUM(AM796:AM801)</f>
        <v>0</v>
      </c>
      <c r="AW795" s="17">
        <f>SUM(AN796:AN801)</f>
        <v>0</v>
      </c>
    </row>
    <row r="796" spans="1:66" ht="15" customHeight="1">
      <c r="A796" s="24" t="s">
        <v>1310</v>
      </c>
      <c r="B796" s="12" t="s">
        <v>527</v>
      </c>
      <c r="C796" s="12" t="s">
        <v>1573</v>
      </c>
      <c r="D796" s="630" t="s">
        <v>2356</v>
      </c>
      <c r="E796" s="630"/>
      <c r="F796" s="12" t="s">
        <v>2274</v>
      </c>
      <c r="G796" s="56">
        <v>28</v>
      </c>
      <c r="H796" s="625"/>
      <c r="I796" s="56">
        <f>G796*AQ796</f>
        <v>0</v>
      </c>
      <c r="J796" s="56">
        <f>G796*AR796</f>
        <v>0</v>
      </c>
      <c r="K796" s="56">
        <f>G796*H796</f>
        <v>0</v>
      </c>
      <c r="L796" s="56">
        <v>5.2500000000000003E-3</v>
      </c>
      <c r="M796" s="56">
        <f>G796*L796</f>
        <v>0.14700000000000002</v>
      </c>
      <c r="N796" s="31" t="s">
        <v>1579</v>
      </c>
      <c r="P796" s="592"/>
      <c r="Q796" s="592"/>
      <c r="R796" s="592"/>
      <c r="S796" s="592"/>
      <c r="T796" s="592"/>
      <c r="U796" s="592"/>
      <c r="V796" s="592"/>
      <c r="W796" s="592"/>
      <c r="X796" s="592"/>
      <c r="AB796" s="56">
        <f>IF(AS796="5",BL796,0)</f>
        <v>0</v>
      </c>
      <c r="AD796" s="56">
        <f>IF(AS796="1",BJ796,0)</f>
        <v>0</v>
      </c>
      <c r="AE796" s="56">
        <f>IF(AS796="1",BK796,0)</f>
        <v>0</v>
      </c>
      <c r="AF796" s="56">
        <f>IF(AS796="7",BJ796,0)</f>
        <v>0</v>
      </c>
      <c r="AG796" s="56">
        <f>IF(AS796="7",BK796,0)</f>
        <v>0</v>
      </c>
      <c r="AH796" s="56">
        <f>IF(AS796="2",BJ796,0)</f>
        <v>0</v>
      </c>
      <c r="AI796" s="56">
        <f>IF(AS796="2",BK796,0)</f>
        <v>0</v>
      </c>
      <c r="AJ796" s="56">
        <f>IF(AS796="0",BL796,0)</f>
        <v>0</v>
      </c>
      <c r="AK796" s="7" t="s">
        <v>527</v>
      </c>
      <c r="AL796" s="56">
        <f>IF(AP796=0,K796,0)</f>
        <v>0</v>
      </c>
      <c r="AM796" s="56">
        <f>IF(AP796=15,K796,0)</f>
        <v>0</v>
      </c>
      <c r="AN796" s="56">
        <f>IF(AP796=21,K796,0)</f>
        <v>0</v>
      </c>
      <c r="AP796" s="56">
        <v>21</v>
      </c>
      <c r="AQ796" s="88">
        <f>H796*0.910067137809187</f>
        <v>0</v>
      </c>
      <c r="AR796" s="88">
        <f>H796*(1-0.910067137809187)</f>
        <v>0</v>
      </c>
      <c r="AS796" s="21" t="s">
        <v>2297</v>
      </c>
      <c r="AX796" s="56">
        <f>AY796+AZ796</f>
        <v>0</v>
      </c>
      <c r="AY796" s="56">
        <f>G796*AQ796</f>
        <v>0</v>
      </c>
      <c r="AZ796" s="56">
        <f>G796*AR796</f>
        <v>0</v>
      </c>
      <c r="BA796" s="21" t="s">
        <v>2123</v>
      </c>
      <c r="BB796" s="21" t="s">
        <v>149</v>
      </c>
      <c r="BC796" s="7" t="s">
        <v>1887</v>
      </c>
      <c r="BE796" s="56">
        <f>AY796+AZ796</f>
        <v>0</v>
      </c>
      <c r="BF796" s="56">
        <f>H796/(100-BG796)*100</f>
        <v>0</v>
      </c>
      <c r="BG796" s="56">
        <v>0</v>
      </c>
      <c r="BH796" s="56">
        <f>M796</f>
        <v>0.14700000000000002</v>
      </c>
      <c r="BJ796" s="56">
        <f>G796*AQ796</f>
        <v>0</v>
      </c>
      <c r="BK796" s="56">
        <f>G796*AR796</f>
        <v>0</v>
      </c>
      <c r="BL796" s="56">
        <f>G796*H796</f>
        <v>0</v>
      </c>
      <c r="BM796" s="56"/>
      <c r="BN796" s="56">
        <v>63</v>
      </c>
    </row>
    <row r="797" spans="1:66" ht="15" customHeight="1">
      <c r="A797" s="36"/>
      <c r="D797" s="45" t="s">
        <v>967</v>
      </c>
      <c r="E797" s="104" t="s">
        <v>640</v>
      </c>
      <c r="G797" s="13">
        <v>28.000000000000004</v>
      </c>
      <c r="N797" s="19"/>
      <c r="P797" s="592"/>
      <c r="Q797" s="592"/>
      <c r="R797" s="592"/>
      <c r="S797" s="592"/>
      <c r="T797" s="592"/>
      <c r="U797" s="592"/>
      <c r="V797" s="592"/>
      <c r="W797" s="592"/>
      <c r="X797" s="592"/>
    </row>
    <row r="798" spans="1:66" ht="15" customHeight="1">
      <c r="A798" s="8" t="s">
        <v>2532</v>
      </c>
      <c r="B798" s="75" t="s">
        <v>527</v>
      </c>
      <c r="C798" s="75" t="s">
        <v>367</v>
      </c>
      <c r="D798" s="710" t="s">
        <v>2260</v>
      </c>
      <c r="E798" s="710"/>
      <c r="F798" s="75" t="s">
        <v>2274</v>
      </c>
      <c r="G798" s="80">
        <v>33.6</v>
      </c>
      <c r="H798" s="626"/>
      <c r="I798" s="80">
        <f>G798*AQ798</f>
        <v>0</v>
      </c>
      <c r="J798" s="80">
        <f>G798*AR798</f>
        <v>0</v>
      </c>
      <c r="K798" s="80">
        <f>G798*H798</f>
        <v>0</v>
      </c>
      <c r="L798" s="80">
        <v>1.8200000000000001E-2</v>
      </c>
      <c r="M798" s="80">
        <f>G798*L798</f>
        <v>0.61152000000000006</v>
      </c>
      <c r="N798" s="38" t="s">
        <v>1579</v>
      </c>
      <c r="P798" s="592"/>
      <c r="Q798" s="592"/>
      <c r="R798" s="592"/>
      <c r="S798" s="592"/>
      <c r="T798" s="592"/>
      <c r="U798" s="592"/>
      <c r="V798" s="592"/>
      <c r="W798" s="592"/>
      <c r="X798" s="592"/>
      <c r="AB798" s="56">
        <f>IF(AS798="5",BL798,0)</f>
        <v>0</v>
      </c>
      <c r="AD798" s="56">
        <f>IF(AS798="1",BJ798,0)</f>
        <v>0</v>
      </c>
      <c r="AE798" s="56">
        <f>IF(AS798="1",BK798,0)</f>
        <v>0</v>
      </c>
      <c r="AF798" s="56">
        <f>IF(AS798="7",BJ798,0)</f>
        <v>0</v>
      </c>
      <c r="AG798" s="56">
        <f>IF(AS798="7",BK798,0)</f>
        <v>0</v>
      </c>
      <c r="AH798" s="56">
        <f>IF(AS798="2",BJ798,0)</f>
        <v>0</v>
      </c>
      <c r="AI798" s="56">
        <f>IF(AS798="2",BK798,0)</f>
        <v>0</v>
      </c>
      <c r="AJ798" s="56">
        <f>IF(AS798="0",BL798,0)</f>
        <v>0</v>
      </c>
      <c r="AK798" s="7" t="s">
        <v>527</v>
      </c>
      <c r="AL798" s="80">
        <f>IF(AP798=0,K798,0)</f>
        <v>0</v>
      </c>
      <c r="AM798" s="80">
        <f>IF(AP798=15,K798,0)</f>
        <v>0</v>
      </c>
      <c r="AN798" s="80">
        <f>IF(AP798=21,K798,0)</f>
        <v>0</v>
      </c>
      <c r="AP798" s="56">
        <v>21</v>
      </c>
      <c r="AQ798" s="88">
        <f>H798*1</f>
        <v>0</v>
      </c>
      <c r="AR798" s="88">
        <f>H798*(1-1)</f>
        <v>0</v>
      </c>
      <c r="AS798" s="64" t="s">
        <v>2297</v>
      </c>
      <c r="AX798" s="56">
        <f>AY798+AZ798</f>
        <v>0</v>
      </c>
      <c r="AY798" s="56">
        <f>G798*AQ798</f>
        <v>0</v>
      </c>
      <c r="AZ798" s="56">
        <f>G798*AR798</f>
        <v>0</v>
      </c>
      <c r="BA798" s="21" t="s">
        <v>2123</v>
      </c>
      <c r="BB798" s="21" t="s">
        <v>149</v>
      </c>
      <c r="BC798" s="7" t="s">
        <v>1887</v>
      </c>
      <c r="BE798" s="56">
        <f>AY798+AZ798</f>
        <v>0</v>
      </c>
      <c r="BF798" s="56">
        <f>H798/(100-BG798)*100</f>
        <v>0</v>
      </c>
      <c r="BG798" s="56">
        <v>0</v>
      </c>
      <c r="BH798" s="56">
        <f>M798</f>
        <v>0.61152000000000006</v>
      </c>
      <c r="BJ798" s="80">
        <f>G798*AQ798</f>
        <v>0</v>
      </c>
      <c r="BK798" s="80">
        <f>G798*AR798</f>
        <v>0</v>
      </c>
      <c r="BL798" s="80">
        <f>G798*H798</f>
        <v>0</v>
      </c>
      <c r="BM798" s="80"/>
      <c r="BN798" s="56">
        <v>63</v>
      </c>
    </row>
    <row r="799" spans="1:66" ht="15" customHeight="1">
      <c r="A799" s="36"/>
      <c r="D799" s="45" t="s">
        <v>2539</v>
      </c>
      <c r="E799" s="104" t="s">
        <v>1597</v>
      </c>
      <c r="G799" s="13">
        <v>28.000000000000004</v>
      </c>
      <c r="N799" s="19"/>
      <c r="P799" s="592"/>
      <c r="Q799" s="592"/>
      <c r="R799" s="592"/>
      <c r="S799" s="592"/>
      <c r="T799" s="592"/>
      <c r="U799" s="592"/>
      <c r="V799" s="592"/>
      <c r="W799" s="592"/>
      <c r="X799" s="592"/>
    </row>
    <row r="800" spans="1:66" ht="15" customHeight="1">
      <c r="A800" s="36"/>
      <c r="D800" s="45" t="s">
        <v>318</v>
      </c>
      <c r="E800" s="104" t="s">
        <v>1597</v>
      </c>
      <c r="G800" s="13">
        <v>5.6000000000000005</v>
      </c>
      <c r="N800" s="19"/>
      <c r="P800" s="592"/>
      <c r="Q800" s="592"/>
      <c r="R800" s="592"/>
      <c r="S800" s="592"/>
      <c r="T800" s="592"/>
      <c r="U800" s="592"/>
      <c r="V800" s="592"/>
      <c r="W800" s="592"/>
      <c r="X800" s="592"/>
    </row>
    <row r="801" spans="1:68" ht="15" customHeight="1">
      <c r="A801" s="24" t="s">
        <v>487</v>
      </c>
      <c r="B801" s="12" t="s">
        <v>527</v>
      </c>
      <c r="C801" s="12" t="s">
        <v>838</v>
      </c>
      <c r="D801" s="630" t="s">
        <v>1975</v>
      </c>
      <c r="E801" s="630"/>
      <c r="F801" s="12" t="s">
        <v>2274</v>
      </c>
      <c r="G801" s="56">
        <v>103</v>
      </c>
      <c r="H801" s="625"/>
      <c r="I801" s="56">
        <f>G801*AQ801</f>
        <v>0</v>
      </c>
      <c r="J801" s="56">
        <f>G801*AR801</f>
        <v>0</v>
      </c>
      <c r="K801" s="56">
        <f>G801*H801</f>
        <v>0</v>
      </c>
      <c r="L801" s="56">
        <v>0.16</v>
      </c>
      <c r="M801" s="56">
        <f>G801*L801</f>
        <v>16.48</v>
      </c>
      <c r="N801" s="31" t="s">
        <v>1579</v>
      </c>
      <c r="P801" s="592"/>
      <c r="Q801" s="592"/>
      <c r="R801" s="592"/>
      <c r="S801" s="592"/>
      <c r="T801" s="592"/>
      <c r="U801" s="592"/>
      <c r="V801" s="592"/>
      <c r="W801" s="592"/>
      <c r="X801" s="592"/>
      <c r="AB801" s="56">
        <f>IF(AS801="5",BL801,0)</f>
        <v>0</v>
      </c>
      <c r="AD801" s="56">
        <f>IF(AS801="1",BJ801,0)</f>
        <v>0</v>
      </c>
      <c r="AE801" s="56">
        <f>IF(AS801="1",BK801,0)</f>
        <v>0</v>
      </c>
      <c r="AF801" s="56">
        <f>IF(AS801="7",BJ801,0)</f>
        <v>0</v>
      </c>
      <c r="AG801" s="56">
        <f>IF(AS801="7",BK801,0)</f>
        <v>0</v>
      </c>
      <c r="AH801" s="56">
        <f>IF(AS801="2",BJ801,0)</f>
        <v>0</v>
      </c>
      <c r="AI801" s="56">
        <f>IF(AS801="2",BK801,0)</f>
        <v>0</v>
      </c>
      <c r="AJ801" s="56">
        <f>IF(AS801="0",BL801,0)</f>
        <v>0</v>
      </c>
      <c r="AK801" s="7" t="s">
        <v>527</v>
      </c>
      <c r="AL801" s="56">
        <f>IF(AP801=0,K801,0)</f>
        <v>0</v>
      </c>
      <c r="AM801" s="56">
        <f>IF(AP801=15,K801,0)</f>
        <v>0</v>
      </c>
      <c r="AN801" s="56">
        <f>IF(AP801=21,K801,0)</f>
        <v>0</v>
      </c>
      <c r="AP801" s="56">
        <v>21</v>
      </c>
      <c r="AQ801" s="88">
        <f>H801*0.88700894877447</f>
        <v>0</v>
      </c>
      <c r="AR801" s="88">
        <f>H801*(1-0.88700894877447)</f>
        <v>0</v>
      </c>
      <c r="AS801" s="21" t="s">
        <v>2297</v>
      </c>
      <c r="AX801" s="56">
        <f>AY801+AZ801</f>
        <v>0</v>
      </c>
      <c r="AY801" s="56">
        <f>G801*AQ801</f>
        <v>0</v>
      </c>
      <c r="AZ801" s="56">
        <f>G801*AR801</f>
        <v>0</v>
      </c>
      <c r="BA801" s="21" t="s">
        <v>2123</v>
      </c>
      <c r="BB801" s="21" t="s">
        <v>149</v>
      </c>
      <c r="BC801" s="7" t="s">
        <v>1887</v>
      </c>
      <c r="BE801" s="56">
        <f>AY801+AZ801</f>
        <v>0</v>
      </c>
      <c r="BF801" s="56">
        <f>H801/(100-BG801)*100</f>
        <v>0</v>
      </c>
      <c r="BG801" s="56">
        <v>0</v>
      </c>
      <c r="BH801" s="56">
        <f>M801</f>
        <v>16.48</v>
      </c>
      <c r="BJ801" s="56">
        <f>G801*AQ801</f>
        <v>0</v>
      </c>
      <c r="BK801" s="56">
        <f>G801*AR801</f>
        <v>0</v>
      </c>
      <c r="BL801" s="56">
        <f>G801*H801</f>
        <v>0</v>
      </c>
      <c r="BM801" s="56"/>
      <c r="BN801" s="56">
        <v>63</v>
      </c>
    </row>
    <row r="802" spans="1:68" ht="15" customHeight="1">
      <c r="A802" s="36"/>
      <c r="D802" s="45" t="s">
        <v>1445</v>
      </c>
      <c r="E802" s="104" t="s">
        <v>58</v>
      </c>
      <c r="G802" s="13">
        <v>103.00000000000001</v>
      </c>
      <c r="N802" s="19"/>
      <c r="P802" s="592"/>
      <c r="Q802" s="592"/>
      <c r="R802" s="592"/>
      <c r="S802" s="592"/>
      <c r="T802" s="592"/>
      <c r="U802" s="592"/>
      <c r="V802" s="592"/>
      <c r="W802" s="592"/>
      <c r="X802" s="592"/>
    </row>
    <row r="803" spans="1:68" ht="15" customHeight="1">
      <c r="A803" s="32" t="s">
        <v>1597</v>
      </c>
      <c r="B803" s="26" t="s">
        <v>527</v>
      </c>
      <c r="C803" s="553" t="s">
        <v>1135</v>
      </c>
      <c r="D803" s="709" t="s">
        <v>2366</v>
      </c>
      <c r="E803" s="709"/>
      <c r="F803" s="46" t="s">
        <v>2144</v>
      </c>
      <c r="G803" s="46" t="s">
        <v>2144</v>
      </c>
      <c r="H803" s="46" t="s">
        <v>2144</v>
      </c>
      <c r="I803" s="17">
        <f>SUM(I804:I818)</f>
        <v>0</v>
      </c>
      <c r="J803" s="17">
        <f>SUM(J804:J818)</f>
        <v>0</v>
      </c>
      <c r="K803" s="554">
        <f>SUM(K804:K818)</f>
        <v>0</v>
      </c>
      <c r="L803" s="7" t="s">
        <v>1597</v>
      </c>
      <c r="M803" s="17">
        <f>SUM(M804:M818)</f>
        <v>0.49931999999999993</v>
      </c>
      <c r="N803" s="20" t="s">
        <v>1597</v>
      </c>
      <c r="P803" s="592"/>
      <c r="Q803" s="592"/>
      <c r="R803" s="594" t="s">
        <v>2144</v>
      </c>
      <c r="S803" s="594" t="s">
        <v>2144</v>
      </c>
      <c r="T803" s="592"/>
      <c r="U803" s="592"/>
      <c r="V803" s="592"/>
      <c r="W803" s="592"/>
      <c r="X803" s="592"/>
      <c r="AK803" s="7" t="s">
        <v>527</v>
      </c>
      <c r="AU803" s="17">
        <f>SUM(AL804:AL818)</f>
        <v>0</v>
      </c>
      <c r="AV803" s="17">
        <f>SUM(AM804:AM818)</f>
        <v>0</v>
      </c>
      <c r="AW803" s="17">
        <f>SUM(AN804:AN818)</f>
        <v>0</v>
      </c>
      <c r="BP803" s="594" t="s">
        <v>2144</v>
      </c>
    </row>
    <row r="804" spans="1:68" ht="15" customHeight="1">
      <c r="A804" s="24" t="s">
        <v>1386</v>
      </c>
      <c r="B804" s="12" t="s">
        <v>527</v>
      </c>
      <c r="C804" s="513" t="s">
        <v>2044</v>
      </c>
      <c r="D804" s="696" t="s">
        <v>2111</v>
      </c>
      <c r="E804" s="696"/>
      <c r="F804" s="12" t="s">
        <v>564</v>
      </c>
      <c r="G804" s="56">
        <v>10</v>
      </c>
      <c r="H804" s="625"/>
      <c r="I804" s="56">
        <f>G804*AQ804</f>
        <v>0</v>
      </c>
      <c r="J804" s="56">
        <f>G804*AR804</f>
        <v>0</v>
      </c>
      <c r="K804" s="517">
        <f>G804*H804</f>
        <v>0</v>
      </c>
      <c r="L804" s="56">
        <v>1.8970000000000001E-2</v>
      </c>
      <c r="M804" s="56">
        <f>G804*L804</f>
        <v>0.18970000000000001</v>
      </c>
      <c r="N804" s="31" t="s">
        <v>1579</v>
      </c>
      <c r="P804" s="592">
        <f>K804</f>
        <v>0</v>
      </c>
      <c r="Q804" s="592"/>
      <c r="R804" s="592"/>
      <c r="S804" s="592"/>
      <c r="T804" s="592"/>
      <c r="U804" s="592"/>
      <c r="V804" s="592"/>
      <c r="W804" s="592"/>
      <c r="X804" s="592"/>
      <c r="AB804" s="56">
        <f>IF(AS804="5",BL804,0)</f>
        <v>0</v>
      </c>
      <c r="AD804" s="56">
        <f>IF(AS804="1",BJ804,0)</f>
        <v>0</v>
      </c>
      <c r="AE804" s="56">
        <f>IF(AS804="1",BK804,0)</f>
        <v>0</v>
      </c>
      <c r="AF804" s="56">
        <f>IF(AS804="7",BJ804,0)</f>
        <v>0</v>
      </c>
      <c r="AG804" s="56">
        <f>IF(AS804="7",BK804,0)</f>
        <v>0</v>
      </c>
      <c r="AH804" s="56">
        <f>IF(AS804="2",BJ804,0)</f>
        <v>0</v>
      </c>
      <c r="AI804" s="56">
        <f>IF(AS804="2",BK804,0)</f>
        <v>0</v>
      </c>
      <c r="AJ804" s="56">
        <f>IF(AS804="0",BL804,0)</f>
        <v>0</v>
      </c>
      <c r="AK804" s="7" t="s">
        <v>527</v>
      </c>
      <c r="AL804" s="56">
        <f>IF(AP804=0,K804,0)</f>
        <v>0</v>
      </c>
      <c r="AM804" s="56">
        <f>IF(AP804=15,K804,0)</f>
        <v>0</v>
      </c>
      <c r="AN804" s="56">
        <f>IF(AP804=21,K804,0)</f>
        <v>0</v>
      </c>
      <c r="AP804" s="56">
        <v>21</v>
      </c>
      <c r="AQ804" s="88">
        <f>H804*0.0222968906720161</f>
        <v>0</v>
      </c>
      <c r="AR804" s="88">
        <f>H804*(1-0.0222968906720161)</f>
        <v>0</v>
      </c>
      <c r="AS804" s="21" t="s">
        <v>2297</v>
      </c>
      <c r="AX804" s="56">
        <f>AY804+AZ804</f>
        <v>0</v>
      </c>
      <c r="AY804" s="56">
        <f>G804*AQ804</f>
        <v>0</v>
      </c>
      <c r="AZ804" s="56">
        <f>G804*AR804</f>
        <v>0</v>
      </c>
      <c r="BA804" s="21" t="s">
        <v>1554</v>
      </c>
      <c r="BB804" s="21" t="s">
        <v>149</v>
      </c>
      <c r="BC804" s="7" t="s">
        <v>1887</v>
      </c>
      <c r="BE804" s="56">
        <f>AY804+AZ804</f>
        <v>0</v>
      </c>
      <c r="BF804" s="56">
        <f>H804/(100-BG804)*100</f>
        <v>0</v>
      </c>
      <c r="BG804" s="56">
        <v>0</v>
      </c>
      <c r="BH804" s="56">
        <f>M804</f>
        <v>0.18970000000000001</v>
      </c>
      <c r="BJ804" s="56">
        <f>G804*AQ804</f>
        <v>0</v>
      </c>
      <c r="BK804" s="56">
        <f>G804*AR804</f>
        <v>0</v>
      </c>
      <c r="BL804" s="56">
        <f>G804*H804</f>
        <v>0</v>
      </c>
      <c r="BM804" s="56"/>
      <c r="BN804" s="56">
        <v>64</v>
      </c>
    </row>
    <row r="805" spans="1:68" ht="15" customHeight="1">
      <c r="A805" s="36"/>
      <c r="D805" s="45" t="s">
        <v>54</v>
      </c>
      <c r="E805" s="104" t="s">
        <v>1597</v>
      </c>
      <c r="G805" s="13">
        <v>10</v>
      </c>
      <c r="N805" s="19"/>
      <c r="P805" s="592"/>
      <c r="Q805" s="592"/>
      <c r="R805" s="592"/>
      <c r="S805" s="592"/>
      <c r="T805" s="592"/>
      <c r="U805" s="592"/>
      <c r="V805" s="592"/>
      <c r="W805" s="592"/>
      <c r="X805" s="592"/>
    </row>
    <row r="806" spans="1:68" ht="15" customHeight="1">
      <c r="A806" s="8" t="s">
        <v>1725</v>
      </c>
      <c r="B806" s="75" t="s">
        <v>527</v>
      </c>
      <c r="C806" s="549" t="s">
        <v>780</v>
      </c>
      <c r="D806" s="714" t="s">
        <v>2264</v>
      </c>
      <c r="E806" s="714"/>
      <c r="F806" s="75" t="s">
        <v>564</v>
      </c>
      <c r="G806" s="80">
        <v>4</v>
      </c>
      <c r="H806" s="626"/>
      <c r="I806" s="80">
        <f>G806*AQ806</f>
        <v>0</v>
      </c>
      <c r="J806" s="80">
        <f>G806*AR806</f>
        <v>0</v>
      </c>
      <c r="K806" s="548">
        <f>G806*H806</f>
        <v>0</v>
      </c>
      <c r="L806" s="80">
        <v>1.056E-2</v>
      </c>
      <c r="M806" s="80">
        <f>G806*L806</f>
        <v>4.224E-2</v>
      </c>
      <c r="N806" s="38" t="s">
        <v>1579</v>
      </c>
      <c r="P806" s="592"/>
      <c r="Q806" s="592">
        <f>K806</f>
        <v>0</v>
      </c>
      <c r="R806" s="592"/>
      <c r="S806" s="592"/>
      <c r="T806" s="592"/>
      <c r="U806" s="592"/>
      <c r="V806" s="592"/>
      <c r="W806" s="592"/>
      <c r="X806" s="592"/>
      <c r="AB806" s="56">
        <f>IF(AS806="5",BL806,0)</f>
        <v>0</v>
      </c>
      <c r="AD806" s="56">
        <f>IF(AS806="1",BJ806,0)</f>
        <v>0</v>
      </c>
      <c r="AE806" s="56">
        <f>IF(AS806="1",BK806,0)</f>
        <v>0</v>
      </c>
      <c r="AF806" s="56">
        <f>IF(AS806="7",BJ806,0)</f>
        <v>0</v>
      </c>
      <c r="AG806" s="56">
        <f>IF(AS806="7",BK806,0)</f>
        <v>0</v>
      </c>
      <c r="AH806" s="56">
        <f>IF(AS806="2",BJ806,0)</f>
        <v>0</v>
      </c>
      <c r="AI806" s="56">
        <f>IF(AS806="2",BK806,0)</f>
        <v>0</v>
      </c>
      <c r="AJ806" s="56">
        <f>IF(AS806="0",BL806,0)</f>
        <v>0</v>
      </c>
      <c r="AK806" s="7" t="s">
        <v>527</v>
      </c>
      <c r="AL806" s="80">
        <f>IF(AP806=0,K806,0)</f>
        <v>0</v>
      </c>
      <c r="AM806" s="80">
        <f>IF(AP806=15,K806,0)</f>
        <v>0</v>
      </c>
      <c r="AN806" s="80">
        <f>IF(AP806=21,K806,0)</f>
        <v>0</v>
      </c>
      <c r="AP806" s="56">
        <v>21</v>
      </c>
      <c r="AQ806" s="88">
        <f>H806*1</f>
        <v>0</v>
      </c>
      <c r="AR806" s="88">
        <f>H806*(1-1)</f>
        <v>0</v>
      </c>
      <c r="AS806" s="64" t="s">
        <v>2297</v>
      </c>
      <c r="AX806" s="56">
        <f>AY806+AZ806</f>
        <v>0</v>
      </c>
      <c r="AY806" s="56">
        <f>G806*AQ806</f>
        <v>0</v>
      </c>
      <c r="AZ806" s="56">
        <f>G806*AR806</f>
        <v>0</v>
      </c>
      <c r="BA806" s="21" t="s">
        <v>1554</v>
      </c>
      <c r="BB806" s="21" t="s">
        <v>149</v>
      </c>
      <c r="BC806" s="7" t="s">
        <v>1887</v>
      </c>
      <c r="BE806" s="56">
        <f>AY806+AZ806</f>
        <v>0</v>
      </c>
      <c r="BF806" s="56">
        <f>H806/(100-BG806)*100</f>
        <v>0</v>
      </c>
      <c r="BG806" s="56">
        <v>0</v>
      </c>
      <c r="BH806" s="56">
        <f>M806</f>
        <v>4.224E-2</v>
      </c>
      <c r="BJ806" s="80">
        <f>G806*AQ806</f>
        <v>0</v>
      </c>
      <c r="BK806" s="80">
        <f>G806*AR806</f>
        <v>0</v>
      </c>
      <c r="BL806" s="80">
        <f>G806*H806</f>
        <v>0</v>
      </c>
      <c r="BM806" s="80"/>
      <c r="BN806" s="56">
        <v>64</v>
      </c>
    </row>
    <row r="807" spans="1:68" ht="15" customHeight="1">
      <c r="A807" s="36"/>
      <c r="C807" s="535"/>
      <c r="D807" s="519" t="s">
        <v>258</v>
      </c>
      <c r="E807" s="520" t="s">
        <v>1597</v>
      </c>
      <c r="G807" s="13">
        <v>4</v>
      </c>
      <c r="K807" s="535"/>
      <c r="N807" s="19"/>
      <c r="P807" s="592"/>
      <c r="Q807" s="592"/>
      <c r="R807" s="592"/>
      <c r="S807" s="592"/>
      <c r="T807" s="592"/>
      <c r="U807" s="592"/>
      <c r="V807" s="592"/>
      <c r="W807" s="592"/>
      <c r="X807" s="592"/>
    </row>
    <row r="808" spans="1:68" ht="15" customHeight="1">
      <c r="A808" s="8" t="s">
        <v>404</v>
      </c>
      <c r="B808" s="75" t="s">
        <v>527</v>
      </c>
      <c r="C808" s="549" t="s">
        <v>2609</v>
      </c>
      <c r="D808" s="714" t="s">
        <v>1914</v>
      </c>
      <c r="E808" s="714"/>
      <c r="F808" s="75" t="s">
        <v>564</v>
      </c>
      <c r="G808" s="80">
        <v>4</v>
      </c>
      <c r="H808" s="626"/>
      <c r="I808" s="80">
        <f>G808*AQ808</f>
        <v>0</v>
      </c>
      <c r="J808" s="80">
        <f>G808*AR808</f>
        <v>0</v>
      </c>
      <c r="K808" s="548">
        <f>G808*H808</f>
        <v>0</v>
      </c>
      <c r="L808" s="80">
        <v>1.081E-2</v>
      </c>
      <c r="M808" s="80">
        <f>G808*L808</f>
        <v>4.3240000000000001E-2</v>
      </c>
      <c r="N808" s="38" t="s">
        <v>1579</v>
      </c>
      <c r="P808" s="592"/>
      <c r="Q808" s="592">
        <f>K808</f>
        <v>0</v>
      </c>
      <c r="R808" s="592"/>
      <c r="S808" s="592"/>
      <c r="T808" s="592"/>
      <c r="U808" s="592"/>
      <c r="V808" s="592"/>
      <c r="W808" s="592"/>
      <c r="X808" s="592"/>
      <c r="AB808" s="56">
        <f>IF(AS808="5",BL808,0)</f>
        <v>0</v>
      </c>
      <c r="AD808" s="56">
        <f>IF(AS808="1",BJ808,0)</f>
        <v>0</v>
      </c>
      <c r="AE808" s="56">
        <f>IF(AS808="1",BK808,0)</f>
        <v>0</v>
      </c>
      <c r="AF808" s="56">
        <f>IF(AS808="7",BJ808,0)</f>
        <v>0</v>
      </c>
      <c r="AG808" s="56">
        <f>IF(AS808="7",BK808,0)</f>
        <v>0</v>
      </c>
      <c r="AH808" s="56">
        <f>IF(AS808="2",BJ808,0)</f>
        <v>0</v>
      </c>
      <c r="AI808" s="56">
        <f>IF(AS808="2",BK808,0)</f>
        <v>0</v>
      </c>
      <c r="AJ808" s="56">
        <f>IF(AS808="0",BL808,0)</f>
        <v>0</v>
      </c>
      <c r="AK808" s="7" t="s">
        <v>527</v>
      </c>
      <c r="AL808" s="80">
        <f>IF(AP808=0,K808,0)</f>
        <v>0</v>
      </c>
      <c r="AM808" s="80">
        <f>IF(AP808=15,K808,0)</f>
        <v>0</v>
      </c>
      <c r="AN808" s="80">
        <f>IF(AP808=21,K808,0)</f>
        <v>0</v>
      </c>
      <c r="AP808" s="56">
        <v>21</v>
      </c>
      <c r="AQ808" s="88">
        <f>H808*1</f>
        <v>0</v>
      </c>
      <c r="AR808" s="88">
        <f>H808*(1-1)</f>
        <v>0</v>
      </c>
      <c r="AS808" s="64" t="s">
        <v>2297</v>
      </c>
      <c r="AX808" s="56">
        <f>AY808+AZ808</f>
        <v>0</v>
      </c>
      <c r="AY808" s="56">
        <f>G808*AQ808</f>
        <v>0</v>
      </c>
      <c r="AZ808" s="56">
        <f>G808*AR808</f>
        <v>0</v>
      </c>
      <c r="BA808" s="21" t="s">
        <v>1554</v>
      </c>
      <c r="BB808" s="21" t="s">
        <v>149</v>
      </c>
      <c r="BC808" s="7" t="s">
        <v>1887</v>
      </c>
      <c r="BE808" s="56">
        <f>AY808+AZ808</f>
        <v>0</v>
      </c>
      <c r="BF808" s="56">
        <f>H808/(100-BG808)*100</f>
        <v>0</v>
      </c>
      <c r="BG808" s="56">
        <v>0</v>
      </c>
      <c r="BH808" s="56">
        <f>M808</f>
        <v>4.3240000000000001E-2</v>
      </c>
      <c r="BJ808" s="80">
        <f>G808*AQ808</f>
        <v>0</v>
      </c>
      <c r="BK808" s="80">
        <f>G808*AR808</f>
        <v>0</v>
      </c>
      <c r="BL808" s="80">
        <f>G808*H808</f>
        <v>0</v>
      </c>
      <c r="BM808" s="80"/>
      <c r="BN808" s="56">
        <v>64</v>
      </c>
    </row>
    <row r="809" spans="1:68" ht="15" customHeight="1">
      <c r="A809" s="36"/>
      <c r="D809" s="519" t="s">
        <v>336</v>
      </c>
      <c r="E809" s="520" t="s">
        <v>1597</v>
      </c>
      <c r="G809" s="13">
        <v>4</v>
      </c>
      <c r="N809" s="19"/>
      <c r="P809" s="592"/>
      <c r="Q809" s="592"/>
      <c r="R809" s="592"/>
      <c r="S809" s="592"/>
      <c r="T809" s="592"/>
      <c r="U809" s="592"/>
      <c r="V809" s="592"/>
      <c r="W809" s="592"/>
      <c r="X809" s="592"/>
    </row>
    <row r="810" spans="1:68" ht="15" customHeight="1">
      <c r="A810" s="8" t="s">
        <v>2030</v>
      </c>
      <c r="B810" s="75" t="s">
        <v>527</v>
      </c>
      <c r="C810" s="532" t="s">
        <v>1246</v>
      </c>
      <c r="D810" s="713" t="s">
        <v>22</v>
      </c>
      <c r="E810" s="713"/>
      <c r="F810" s="75" t="s">
        <v>564</v>
      </c>
      <c r="G810" s="80">
        <v>2</v>
      </c>
      <c r="H810" s="626"/>
      <c r="I810" s="80">
        <f>G810*AQ810</f>
        <v>0</v>
      </c>
      <c r="J810" s="80">
        <f>G810*AR810</f>
        <v>0</v>
      </c>
      <c r="K810" s="523">
        <f>G810*H810</f>
        <v>0</v>
      </c>
      <c r="L810" s="80">
        <v>1.107E-2</v>
      </c>
      <c r="M810" s="80">
        <f>G810*L810</f>
        <v>2.214E-2</v>
      </c>
      <c r="N810" s="38" t="s">
        <v>1579</v>
      </c>
      <c r="P810" s="592">
        <f>K810</f>
        <v>0</v>
      </c>
      <c r="Q810" s="592"/>
      <c r="R810" s="592"/>
      <c r="S810" s="592"/>
      <c r="T810" s="592"/>
      <c r="U810" s="592"/>
      <c r="V810" s="592"/>
      <c r="W810" s="592"/>
      <c r="X810" s="592"/>
      <c r="AB810" s="56">
        <f>IF(AS810="5",BL810,0)</f>
        <v>0</v>
      </c>
      <c r="AD810" s="56">
        <f>IF(AS810="1",BJ810,0)</f>
        <v>0</v>
      </c>
      <c r="AE810" s="56">
        <f>IF(AS810="1",BK810,0)</f>
        <v>0</v>
      </c>
      <c r="AF810" s="56">
        <f>IF(AS810="7",BJ810,0)</f>
        <v>0</v>
      </c>
      <c r="AG810" s="56">
        <f>IF(AS810="7",BK810,0)</f>
        <v>0</v>
      </c>
      <c r="AH810" s="56">
        <f>IF(AS810="2",BJ810,0)</f>
        <v>0</v>
      </c>
      <c r="AI810" s="56">
        <f>IF(AS810="2",BK810,0)</f>
        <v>0</v>
      </c>
      <c r="AJ810" s="56">
        <f>IF(AS810="0",BL810,0)</f>
        <v>0</v>
      </c>
      <c r="AK810" s="7" t="s">
        <v>527</v>
      </c>
      <c r="AL810" s="80">
        <f>IF(AP810=0,K810,0)</f>
        <v>0</v>
      </c>
      <c r="AM810" s="80">
        <f>IF(AP810=15,K810,0)</f>
        <v>0</v>
      </c>
      <c r="AN810" s="80">
        <f>IF(AP810=21,K810,0)</f>
        <v>0</v>
      </c>
      <c r="AP810" s="56">
        <v>21</v>
      </c>
      <c r="AQ810" s="88">
        <f>H810*1</f>
        <v>0</v>
      </c>
      <c r="AR810" s="88">
        <f>H810*(1-1)</f>
        <v>0</v>
      </c>
      <c r="AS810" s="64" t="s">
        <v>2297</v>
      </c>
      <c r="AX810" s="56">
        <f>AY810+AZ810</f>
        <v>0</v>
      </c>
      <c r="AY810" s="56">
        <f>G810*AQ810</f>
        <v>0</v>
      </c>
      <c r="AZ810" s="56">
        <f>G810*AR810</f>
        <v>0</v>
      </c>
      <c r="BA810" s="21" t="s">
        <v>1554</v>
      </c>
      <c r="BB810" s="21" t="s">
        <v>149</v>
      </c>
      <c r="BC810" s="7" t="s">
        <v>1887</v>
      </c>
      <c r="BE810" s="56">
        <f>AY810+AZ810</f>
        <v>0</v>
      </c>
      <c r="BF810" s="56">
        <f>H810/(100-BG810)*100</f>
        <v>0</v>
      </c>
      <c r="BG810" s="56">
        <v>0</v>
      </c>
      <c r="BH810" s="56">
        <f>M810</f>
        <v>2.214E-2</v>
      </c>
      <c r="BJ810" s="80">
        <f>G810*AQ810</f>
        <v>0</v>
      </c>
      <c r="BK810" s="80">
        <f>G810*AR810</f>
        <v>0</v>
      </c>
      <c r="BL810" s="80">
        <f>G810*H810</f>
        <v>0</v>
      </c>
      <c r="BM810" s="80"/>
      <c r="BN810" s="56">
        <v>64</v>
      </c>
    </row>
    <row r="811" spans="1:68" ht="15" customHeight="1">
      <c r="A811" s="36"/>
      <c r="D811" s="45" t="s">
        <v>1589</v>
      </c>
      <c r="E811" s="104" t="s">
        <v>1597</v>
      </c>
      <c r="G811" s="13">
        <v>2</v>
      </c>
      <c r="N811" s="19"/>
      <c r="P811" s="592"/>
      <c r="Q811" s="592"/>
      <c r="R811" s="592"/>
      <c r="S811" s="592"/>
      <c r="T811" s="592"/>
      <c r="U811" s="592"/>
      <c r="V811" s="592"/>
      <c r="W811" s="592"/>
      <c r="X811" s="592"/>
    </row>
    <row r="812" spans="1:68" ht="15" customHeight="1">
      <c r="A812" s="8" t="s">
        <v>1601</v>
      </c>
      <c r="B812" s="75" t="s">
        <v>527</v>
      </c>
      <c r="C812" s="549" t="s">
        <v>1718</v>
      </c>
      <c r="D812" s="714" t="s">
        <v>488</v>
      </c>
      <c r="E812" s="714"/>
      <c r="F812" s="75" t="s">
        <v>564</v>
      </c>
      <c r="G812" s="80">
        <v>2</v>
      </c>
      <c r="H812" s="626"/>
      <c r="I812" s="80">
        <f>G812*AQ812</f>
        <v>0</v>
      </c>
      <c r="J812" s="80">
        <f>G812*AR812</f>
        <v>0</v>
      </c>
      <c r="K812" s="548">
        <f>G812*H812</f>
        <v>0</v>
      </c>
      <c r="L812" s="80">
        <v>1.9E-2</v>
      </c>
      <c r="M812" s="80">
        <f>G812*L812</f>
        <v>3.7999999999999999E-2</v>
      </c>
      <c r="N812" s="38" t="s">
        <v>1579</v>
      </c>
      <c r="P812" s="592"/>
      <c r="Q812" s="592">
        <f>K812</f>
        <v>0</v>
      </c>
      <c r="R812" s="592"/>
      <c r="S812" s="592"/>
      <c r="T812" s="592"/>
      <c r="U812" s="592"/>
      <c r="V812" s="592"/>
      <c r="W812" s="592"/>
      <c r="X812" s="592"/>
      <c r="AB812" s="56">
        <f>IF(AS812="5",BL812,0)</f>
        <v>0</v>
      </c>
      <c r="AD812" s="56">
        <f>IF(AS812="1",BJ812,0)</f>
        <v>0</v>
      </c>
      <c r="AE812" s="56">
        <f>IF(AS812="1",BK812,0)</f>
        <v>0</v>
      </c>
      <c r="AF812" s="56">
        <f>IF(AS812="7",BJ812,0)</f>
        <v>0</v>
      </c>
      <c r="AG812" s="56">
        <f>IF(AS812="7",BK812,0)</f>
        <v>0</v>
      </c>
      <c r="AH812" s="56">
        <f>IF(AS812="2",BJ812,0)</f>
        <v>0</v>
      </c>
      <c r="AI812" s="56">
        <f>IF(AS812="2",BK812,0)</f>
        <v>0</v>
      </c>
      <c r="AJ812" s="56">
        <f>IF(AS812="0",BL812,0)</f>
        <v>0</v>
      </c>
      <c r="AK812" s="7" t="s">
        <v>527</v>
      </c>
      <c r="AL812" s="80">
        <f>IF(AP812=0,K812,0)</f>
        <v>0</v>
      </c>
      <c r="AM812" s="80">
        <f>IF(AP812=15,K812,0)</f>
        <v>0</v>
      </c>
      <c r="AN812" s="80">
        <f>IF(AP812=21,K812,0)</f>
        <v>0</v>
      </c>
      <c r="AP812" s="56">
        <v>21</v>
      </c>
      <c r="AQ812" s="88">
        <f>H812*1</f>
        <v>0</v>
      </c>
      <c r="AR812" s="88">
        <f>H812*(1-1)</f>
        <v>0</v>
      </c>
      <c r="AS812" s="64" t="s">
        <v>2297</v>
      </c>
      <c r="AX812" s="56">
        <f>AY812+AZ812</f>
        <v>0</v>
      </c>
      <c r="AY812" s="56">
        <f>G812*AQ812</f>
        <v>0</v>
      </c>
      <c r="AZ812" s="56">
        <f>G812*AR812</f>
        <v>0</v>
      </c>
      <c r="BA812" s="21" t="s">
        <v>1554</v>
      </c>
      <c r="BB812" s="21" t="s">
        <v>149</v>
      </c>
      <c r="BC812" s="7" t="s">
        <v>1887</v>
      </c>
      <c r="BE812" s="56">
        <f>AY812+AZ812</f>
        <v>0</v>
      </c>
      <c r="BF812" s="56">
        <f>H812/(100-BG812)*100</f>
        <v>0</v>
      </c>
      <c r="BG812" s="56">
        <v>0</v>
      </c>
      <c r="BH812" s="56">
        <f>M812</f>
        <v>3.7999999999999999E-2</v>
      </c>
      <c r="BJ812" s="80">
        <f>G812*AQ812</f>
        <v>0</v>
      </c>
      <c r="BK812" s="80">
        <f>G812*AR812</f>
        <v>0</v>
      </c>
      <c r="BL812" s="80">
        <f>G812*H812</f>
        <v>0</v>
      </c>
      <c r="BM812" s="80"/>
      <c r="BN812" s="56">
        <v>64</v>
      </c>
    </row>
    <row r="813" spans="1:68" ht="15" customHeight="1">
      <c r="A813" s="36"/>
      <c r="C813" s="535"/>
      <c r="D813" s="519" t="s">
        <v>1589</v>
      </c>
      <c r="E813" s="520" t="s">
        <v>1597</v>
      </c>
      <c r="G813" s="13">
        <v>2</v>
      </c>
      <c r="K813" s="535"/>
      <c r="N813" s="19"/>
      <c r="P813" s="592"/>
      <c r="Q813" s="592"/>
      <c r="R813" s="592"/>
      <c r="S813" s="592"/>
      <c r="T813" s="592"/>
      <c r="U813" s="592"/>
      <c r="V813" s="592"/>
      <c r="W813" s="592"/>
      <c r="X813" s="592"/>
    </row>
    <row r="814" spans="1:68" ht="15" customHeight="1">
      <c r="A814" s="8" t="s">
        <v>630</v>
      </c>
      <c r="B814" s="75" t="s">
        <v>527</v>
      </c>
      <c r="C814" s="549" t="s">
        <v>706</v>
      </c>
      <c r="D814" s="714" t="s">
        <v>2633</v>
      </c>
      <c r="E814" s="714"/>
      <c r="F814" s="75" t="s">
        <v>564</v>
      </c>
      <c r="G814" s="80">
        <v>4</v>
      </c>
      <c r="H814" s="626"/>
      <c r="I814" s="80">
        <f>G814*AQ814</f>
        <v>0</v>
      </c>
      <c r="J814" s="80">
        <f>G814*AR814</f>
        <v>0</v>
      </c>
      <c r="K814" s="548">
        <f>G814*H814</f>
        <v>0</v>
      </c>
      <c r="L814" s="80">
        <v>1.7000000000000001E-2</v>
      </c>
      <c r="M814" s="80">
        <f>G814*L814</f>
        <v>6.8000000000000005E-2</v>
      </c>
      <c r="N814" s="38" t="s">
        <v>1579</v>
      </c>
      <c r="P814" s="592"/>
      <c r="Q814" s="592">
        <f>K814</f>
        <v>0</v>
      </c>
      <c r="R814" s="592"/>
      <c r="S814" s="592"/>
      <c r="T814" s="592"/>
      <c r="U814" s="592"/>
      <c r="V814" s="592"/>
      <c r="W814" s="592"/>
      <c r="X814" s="592"/>
      <c r="AB814" s="56">
        <f>IF(AS814="5",BL814,0)</f>
        <v>0</v>
      </c>
      <c r="AD814" s="56">
        <f>IF(AS814="1",BJ814,0)</f>
        <v>0</v>
      </c>
      <c r="AE814" s="56">
        <f>IF(AS814="1",BK814,0)</f>
        <v>0</v>
      </c>
      <c r="AF814" s="56">
        <f>IF(AS814="7",BJ814,0)</f>
        <v>0</v>
      </c>
      <c r="AG814" s="56">
        <f>IF(AS814="7",BK814,0)</f>
        <v>0</v>
      </c>
      <c r="AH814" s="56">
        <f>IF(AS814="2",BJ814,0)</f>
        <v>0</v>
      </c>
      <c r="AI814" s="56">
        <f>IF(AS814="2",BK814,0)</f>
        <v>0</v>
      </c>
      <c r="AJ814" s="56">
        <f>IF(AS814="0",BL814,0)</f>
        <v>0</v>
      </c>
      <c r="AK814" s="7" t="s">
        <v>527</v>
      </c>
      <c r="AL814" s="80">
        <f>IF(AP814=0,K814,0)</f>
        <v>0</v>
      </c>
      <c r="AM814" s="80">
        <f>IF(AP814=15,K814,0)</f>
        <v>0</v>
      </c>
      <c r="AN814" s="80">
        <f>IF(AP814=21,K814,0)</f>
        <v>0</v>
      </c>
      <c r="AP814" s="56">
        <v>21</v>
      </c>
      <c r="AQ814" s="88">
        <f>H814*1</f>
        <v>0</v>
      </c>
      <c r="AR814" s="88">
        <f>H814*(1-1)</f>
        <v>0</v>
      </c>
      <c r="AS814" s="64" t="s">
        <v>2297</v>
      </c>
      <c r="AX814" s="56">
        <f>AY814+AZ814</f>
        <v>0</v>
      </c>
      <c r="AY814" s="56">
        <f>G814*AQ814</f>
        <v>0</v>
      </c>
      <c r="AZ814" s="56">
        <f>G814*AR814</f>
        <v>0</v>
      </c>
      <c r="BA814" s="21" t="s">
        <v>1554</v>
      </c>
      <c r="BB814" s="21" t="s">
        <v>149</v>
      </c>
      <c r="BC814" s="7" t="s">
        <v>1887</v>
      </c>
      <c r="BE814" s="56">
        <f>AY814+AZ814</f>
        <v>0</v>
      </c>
      <c r="BF814" s="56">
        <f>H814/(100-BG814)*100</f>
        <v>0</v>
      </c>
      <c r="BG814" s="56">
        <v>0</v>
      </c>
      <c r="BH814" s="56">
        <f>M814</f>
        <v>6.8000000000000005E-2</v>
      </c>
      <c r="BJ814" s="80">
        <f>G814*AQ814</f>
        <v>0</v>
      </c>
      <c r="BK814" s="80">
        <f>G814*AR814</f>
        <v>0</v>
      </c>
      <c r="BL814" s="80">
        <f>G814*H814</f>
        <v>0</v>
      </c>
      <c r="BM814" s="80"/>
      <c r="BN814" s="56">
        <v>64</v>
      </c>
    </row>
    <row r="815" spans="1:68" ht="15" customHeight="1">
      <c r="A815" s="36"/>
      <c r="C815" s="535"/>
      <c r="D815" s="519" t="s">
        <v>258</v>
      </c>
      <c r="E815" s="520" t="s">
        <v>1597</v>
      </c>
      <c r="G815" s="13">
        <v>4</v>
      </c>
      <c r="K815" s="535"/>
      <c r="N815" s="19"/>
      <c r="P815" s="592"/>
      <c r="Q815" s="592"/>
      <c r="R815" s="592"/>
      <c r="S815" s="592"/>
      <c r="T815" s="592"/>
      <c r="U815" s="592"/>
      <c r="V815" s="592"/>
      <c r="W815" s="592"/>
      <c r="X815" s="592"/>
    </row>
    <row r="816" spans="1:68" ht="15" customHeight="1">
      <c r="A816" s="8" t="s">
        <v>2126</v>
      </c>
      <c r="B816" s="75" t="s">
        <v>527</v>
      </c>
      <c r="C816" s="549" t="s">
        <v>2223</v>
      </c>
      <c r="D816" s="714" t="s">
        <v>1252</v>
      </c>
      <c r="E816" s="714"/>
      <c r="F816" s="75" t="s">
        <v>564</v>
      </c>
      <c r="G816" s="80">
        <v>2</v>
      </c>
      <c r="H816" s="626"/>
      <c r="I816" s="80">
        <f>G816*AQ816</f>
        <v>0</v>
      </c>
      <c r="J816" s="80">
        <f>G816*AR816</f>
        <v>0</v>
      </c>
      <c r="K816" s="548">
        <f>G816*H816</f>
        <v>0</v>
      </c>
      <c r="L816" s="80">
        <v>2.1000000000000001E-2</v>
      </c>
      <c r="M816" s="80">
        <f>G816*L816</f>
        <v>4.2000000000000003E-2</v>
      </c>
      <c r="N816" s="38" t="s">
        <v>1579</v>
      </c>
      <c r="P816" s="592"/>
      <c r="Q816" s="592">
        <f>K816</f>
        <v>0</v>
      </c>
      <c r="R816" s="592"/>
      <c r="S816" s="592"/>
      <c r="T816" s="592"/>
      <c r="U816" s="592"/>
      <c r="V816" s="592"/>
      <c r="W816" s="592"/>
      <c r="X816" s="592"/>
      <c r="AB816" s="56">
        <f>IF(AS816="5",BL816,0)</f>
        <v>0</v>
      </c>
      <c r="AD816" s="56">
        <f>IF(AS816="1",BJ816,0)</f>
        <v>0</v>
      </c>
      <c r="AE816" s="56">
        <f>IF(AS816="1",BK816,0)</f>
        <v>0</v>
      </c>
      <c r="AF816" s="56">
        <f>IF(AS816="7",BJ816,0)</f>
        <v>0</v>
      </c>
      <c r="AG816" s="56">
        <f>IF(AS816="7",BK816,0)</f>
        <v>0</v>
      </c>
      <c r="AH816" s="56">
        <f>IF(AS816="2",BJ816,0)</f>
        <v>0</v>
      </c>
      <c r="AI816" s="56">
        <f>IF(AS816="2",BK816,0)</f>
        <v>0</v>
      </c>
      <c r="AJ816" s="56">
        <f>IF(AS816="0",BL816,0)</f>
        <v>0</v>
      </c>
      <c r="AK816" s="7" t="s">
        <v>527</v>
      </c>
      <c r="AL816" s="80">
        <f>IF(AP816=0,K816,0)</f>
        <v>0</v>
      </c>
      <c r="AM816" s="80">
        <f>IF(AP816=15,K816,0)</f>
        <v>0</v>
      </c>
      <c r="AN816" s="80">
        <f>IF(AP816=21,K816,0)</f>
        <v>0</v>
      </c>
      <c r="AP816" s="56">
        <v>21</v>
      </c>
      <c r="AQ816" s="88">
        <f>H816*1</f>
        <v>0</v>
      </c>
      <c r="AR816" s="88">
        <f>H816*(1-1)</f>
        <v>0</v>
      </c>
      <c r="AS816" s="64" t="s">
        <v>2297</v>
      </c>
      <c r="AX816" s="56">
        <f>AY816+AZ816</f>
        <v>0</v>
      </c>
      <c r="AY816" s="56">
        <f>G816*AQ816</f>
        <v>0</v>
      </c>
      <c r="AZ816" s="56">
        <f>G816*AR816</f>
        <v>0</v>
      </c>
      <c r="BA816" s="21" t="s">
        <v>1554</v>
      </c>
      <c r="BB816" s="21" t="s">
        <v>149</v>
      </c>
      <c r="BC816" s="7" t="s">
        <v>1887</v>
      </c>
      <c r="BE816" s="56">
        <f>AY816+AZ816</f>
        <v>0</v>
      </c>
      <c r="BF816" s="56">
        <f>H816/(100-BG816)*100</f>
        <v>0</v>
      </c>
      <c r="BG816" s="56">
        <v>0</v>
      </c>
      <c r="BH816" s="56">
        <f>M816</f>
        <v>4.2000000000000003E-2</v>
      </c>
      <c r="BJ816" s="80">
        <f>G816*AQ816</f>
        <v>0</v>
      </c>
      <c r="BK816" s="80">
        <f>G816*AR816</f>
        <v>0</v>
      </c>
      <c r="BL816" s="80">
        <f>G816*H816</f>
        <v>0</v>
      </c>
      <c r="BM816" s="80"/>
      <c r="BN816" s="56">
        <v>64</v>
      </c>
    </row>
    <row r="817" spans="1:66" ht="15" customHeight="1">
      <c r="A817" s="36"/>
      <c r="D817" s="519" t="s">
        <v>1589</v>
      </c>
      <c r="E817" s="520" t="s">
        <v>1597</v>
      </c>
      <c r="G817" s="13">
        <v>2</v>
      </c>
      <c r="N817" s="19"/>
      <c r="P817" s="592"/>
      <c r="Q817" s="592"/>
      <c r="R817" s="592"/>
      <c r="S817" s="592"/>
      <c r="T817" s="592"/>
      <c r="U817" s="592"/>
      <c r="V817" s="592"/>
      <c r="W817" s="592"/>
      <c r="X817" s="592"/>
    </row>
    <row r="818" spans="1:66" ht="15" customHeight="1">
      <c r="A818" s="8" t="s">
        <v>2548</v>
      </c>
      <c r="B818" s="75" t="s">
        <v>527</v>
      </c>
      <c r="C818" s="532" t="s">
        <v>1654</v>
      </c>
      <c r="D818" s="713" t="s">
        <v>288</v>
      </c>
      <c r="E818" s="713"/>
      <c r="F818" s="75" t="s">
        <v>564</v>
      </c>
      <c r="G818" s="80">
        <v>2</v>
      </c>
      <c r="H818" s="626"/>
      <c r="I818" s="80">
        <f>G818*AQ818</f>
        <v>0</v>
      </c>
      <c r="J818" s="80">
        <f>G818*AR818</f>
        <v>0</v>
      </c>
      <c r="K818" s="523">
        <f>G818*H818</f>
        <v>0</v>
      </c>
      <c r="L818" s="80">
        <v>2.7E-2</v>
      </c>
      <c r="M818" s="80">
        <f>G818*L818</f>
        <v>5.3999999999999999E-2</v>
      </c>
      <c r="N818" s="38" t="s">
        <v>1579</v>
      </c>
      <c r="P818" s="592">
        <f>K818</f>
        <v>0</v>
      </c>
      <c r="Q818" s="592"/>
      <c r="R818" s="592"/>
      <c r="S818" s="592"/>
      <c r="T818" s="592"/>
      <c r="U818" s="592"/>
      <c r="V818" s="592"/>
      <c r="W818" s="592"/>
      <c r="X818" s="592"/>
      <c r="AB818" s="56">
        <f>IF(AS818="5",BL818,0)</f>
        <v>0</v>
      </c>
      <c r="AD818" s="56">
        <f>IF(AS818="1",BJ818,0)</f>
        <v>0</v>
      </c>
      <c r="AE818" s="56">
        <f>IF(AS818="1",BK818,0)</f>
        <v>0</v>
      </c>
      <c r="AF818" s="56">
        <f>IF(AS818="7",BJ818,0)</f>
        <v>0</v>
      </c>
      <c r="AG818" s="56">
        <f>IF(AS818="7",BK818,0)</f>
        <v>0</v>
      </c>
      <c r="AH818" s="56">
        <f>IF(AS818="2",BJ818,0)</f>
        <v>0</v>
      </c>
      <c r="AI818" s="56">
        <f>IF(AS818="2",BK818,0)</f>
        <v>0</v>
      </c>
      <c r="AJ818" s="56">
        <f>IF(AS818="0",BL818,0)</f>
        <v>0</v>
      </c>
      <c r="AK818" s="7" t="s">
        <v>527</v>
      </c>
      <c r="AL818" s="80">
        <f>IF(AP818=0,K818,0)</f>
        <v>0</v>
      </c>
      <c r="AM818" s="80">
        <f>IF(AP818=15,K818,0)</f>
        <v>0</v>
      </c>
      <c r="AN818" s="80">
        <f>IF(AP818=21,K818,0)</f>
        <v>0</v>
      </c>
      <c r="AP818" s="56">
        <v>21</v>
      </c>
      <c r="AQ818" s="88">
        <f>H818*1</f>
        <v>0</v>
      </c>
      <c r="AR818" s="88">
        <f>H818*(1-1)</f>
        <v>0</v>
      </c>
      <c r="AS818" s="64" t="s">
        <v>2297</v>
      </c>
      <c r="AX818" s="56">
        <f>AY818+AZ818</f>
        <v>0</v>
      </c>
      <c r="AY818" s="56">
        <f>G818*AQ818</f>
        <v>0</v>
      </c>
      <c r="AZ818" s="56">
        <f>G818*AR818</f>
        <v>0</v>
      </c>
      <c r="BA818" s="21" t="s">
        <v>1554</v>
      </c>
      <c r="BB818" s="21" t="s">
        <v>149</v>
      </c>
      <c r="BC818" s="7" t="s">
        <v>1887</v>
      </c>
      <c r="BE818" s="56">
        <f>AY818+AZ818</f>
        <v>0</v>
      </c>
      <c r="BF818" s="56">
        <f>H818/(100-BG818)*100</f>
        <v>0</v>
      </c>
      <c r="BG818" s="56">
        <v>0</v>
      </c>
      <c r="BH818" s="56">
        <f>M818</f>
        <v>5.3999999999999999E-2</v>
      </c>
      <c r="BJ818" s="80">
        <f>G818*AQ818</f>
        <v>0</v>
      </c>
      <c r="BK818" s="80">
        <f>G818*AR818</f>
        <v>0</v>
      </c>
      <c r="BL818" s="80">
        <f>G818*H818</f>
        <v>0</v>
      </c>
      <c r="BM818" s="80"/>
      <c r="BN818" s="56">
        <v>64</v>
      </c>
    </row>
    <row r="819" spans="1:66" ht="15" customHeight="1">
      <c r="A819" s="36"/>
      <c r="D819" s="45" t="s">
        <v>1589</v>
      </c>
      <c r="E819" s="104" t="s">
        <v>987</v>
      </c>
      <c r="G819" s="13">
        <v>2</v>
      </c>
      <c r="N819" s="19"/>
      <c r="P819" s="592"/>
      <c r="Q819" s="592"/>
      <c r="R819" s="592"/>
      <c r="S819" s="592"/>
      <c r="T819" s="592"/>
      <c r="U819" s="592"/>
      <c r="V819" s="592"/>
      <c r="W819" s="592"/>
      <c r="X819" s="592"/>
    </row>
    <row r="820" spans="1:66" ht="15" customHeight="1">
      <c r="A820" s="32" t="s">
        <v>1597</v>
      </c>
      <c r="B820" s="26" t="s">
        <v>527</v>
      </c>
      <c r="C820" s="512" t="s">
        <v>142</v>
      </c>
      <c r="D820" s="709" t="s">
        <v>2620</v>
      </c>
      <c r="E820" s="709"/>
      <c r="F820" s="46" t="s">
        <v>2144</v>
      </c>
      <c r="G820" s="46" t="s">
        <v>2144</v>
      </c>
      <c r="H820" s="46" t="s">
        <v>2144</v>
      </c>
      <c r="I820" s="17">
        <f>SUM(I821:I831)</f>
        <v>0</v>
      </c>
      <c r="J820" s="17">
        <f>SUM(J821:J831)</f>
        <v>0</v>
      </c>
      <c r="K820" s="515">
        <f>SUM(K821:K831)</f>
        <v>0</v>
      </c>
      <c r="L820" s="7" t="s">
        <v>1597</v>
      </c>
      <c r="M820" s="17">
        <f>SUM(M821:M831)</f>
        <v>1.172085</v>
      </c>
      <c r="N820" s="20" t="s">
        <v>1597</v>
      </c>
      <c r="P820" s="592">
        <f>K820</f>
        <v>0</v>
      </c>
      <c r="Q820" s="592"/>
      <c r="R820" s="592"/>
      <c r="S820" s="592"/>
      <c r="T820" s="592"/>
      <c r="U820" s="592"/>
      <c r="V820" s="592"/>
      <c r="W820" s="592"/>
      <c r="X820" s="592"/>
      <c r="AK820" s="7" t="s">
        <v>527</v>
      </c>
      <c r="AU820" s="17">
        <f>SUM(AL821:AL831)</f>
        <v>0</v>
      </c>
      <c r="AV820" s="17">
        <f>SUM(AM821:AM831)</f>
        <v>0</v>
      </c>
      <c r="AW820" s="17">
        <f>SUM(AN821:AN831)</f>
        <v>0</v>
      </c>
    </row>
    <row r="821" spans="1:66" ht="15" customHeight="1">
      <c r="A821" s="24" t="s">
        <v>1678</v>
      </c>
      <c r="B821" s="12" t="s">
        <v>527</v>
      </c>
      <c r="C821" s="12" t="s">
        <v>2634</v>
      </c>
      <c r="D821" s="630" t="s">
        <v>829</v>
      </c>
      <c r="E821" s="630"/>
      <c r="F821" s="12" t="s">
        <v>2274</v>
      </c>
      <c r="G821" s="56">
        <v>306.8</v>
      </c>
      <c r="H821" s="625"/>
      <c r="I821" s="56">
        <f>G821*AQ821</f>
        <v>0</v>
      </c>
      <c r="J821" s="56">
        <f>G821*AR821</f>
        <v>0</v>
      </c>
      <c r="K821" s="56">
        <f>G821*H821</f>
        <v>0</v>
      </c>
      <c r="L821" s="56">
        <v>2.4499999999999999E-3</v>
      </c>
      <c r="M821" s="56">
        <f>G821*L821</f>
        <v>0.75165999999999999</v>
      </c>
      <c r="N821" s="31" t="s">
        <v>1579</v>
      </c>
      <c r="P821" s="592"/>
      <c r="Q821" s="592"/>
      <c r="R821" s="592"/>
      <c r="S821" s="592"/>
      <c r="T821" s="592"/>
      <c r="U821" s="592"/>
      <c r="V821" s="592"/>
      <c r="W821" s="592"/>
      <c r="X821" s="592"/>
      <c r="AB821" s="56">
        <f>IF(AS821="5",BL821,0)</f>
        <v>0</v>
      </c>
      <c r="AD821" s="56">
        <f>IF(AS821="1",BJ821,0)</f>
        <v>0</v>
      </c>
      <c r="AE821" s="56">
        <f>IF(AS821="1",BK821,0)</f>
        <v>0</v>
      </c>
      <c r="AF821" s="56">
        <f>IF(AS821="7",BJ821,0)</f>
        <v>0</v>
      </c>
      <c r="AG821" s="56">
        <f>IF(AS821="7",BK821,0)</f>
        <v>0</v>
      </c>
      <c r="AH821" s="56">
        <f>IF(AS821="2",BJ821,0)</f>
        <v>0</v>
      </c>
      <c r="AI821" s="56">
        <f>IF(AS821="2",BK821,0)</f>
        <v>0</v>
      </c>
      <c r="AJ821" s="56">
        <f>IF(AS821="0",BL821,0)</f>
        <v>0</v>
      </c>
      <c r="AK821" s="7" t="s">
        <v>527</v>
      </c>
      <c r="AL821" s="56">
        <f>IF(AP821=0,K821,0)</f>
        <v>0</v>
      </c>
      <c r="AM821" s="56">
        <f>IF(AP821=15,K821,0)</f>
        <v>0</v>
      </c>
      <c r="AN821" s="56">
        <f>IF(AP821=21,K821,0)</f>
        <v>0</v>
      </c>
      <c r="AP821" s="56">
        <v>21</v>
      </c>
      <c r="AQ821" s="88">
        <f>H821*0.665844700944386</f>
        <v>0</v>
      </c>
      <c r="AR821" s="88">
        <f>H821*(1-0.665844700944386)</f>
        <v>0</v>
      </c>
      <c r="AS821" s="21" t="s">
        <v>2311</v>
      </c>
      <c r="AX821" s="56">
        <f>AY821+AZ821</f>
        <v>0</v>
      </c>
      <c r="AY821" s="56">
        <f>G821*AQ821</f>
        <v>0</v>
      </c>
      <c r="AZ821" s="56">
        <f>G821*AR821</f>
        <v>0</v>
      </c>
      <c r="BA821" s="21" t="s">
        <v>2019</v>
      </c>
      <c r="BB821" s="21" t="s">
        <v>810</v>
      </c>
      <c r="BC821" s="7" t="s">
        <v>1887</v>
      </c>
      <c r="BE821" s="56">
        <f>AY821+AZ821</f>
        <v>0</v>
      </c>
      <c r="BF821" s="56">
        <f>H821/(100-BG821)*100</f>
        <v>0</v>
      </c>
      <c r="BG821" s="56">
        <v>0</v>
      </c>
      <c r="BH821" s="56">
        <f>M821</f>
        <v>0.75165999999999999</v>
      </c>
      <c r="BJ821" s="56">
        <f>G821*AQ821</f>
        <v>0</v>
      </c>
      <c r="BK821" s="56">
        <f>G821*AR821</f>
        <v>0</v>
      </c>
      <c r="BL821" s="56">
        <f>G821*H821</f>
        <v>0</v>
      </c>
      <c r="BM821" s="56"/>
      <c r="BN821" s="56">
        <v>711</v>
      </c>
    </row>
    <row r="822" spans="1:66" ht="15" customHeight="1">
      <c r="A822" s="36"/>
      <c r="D822" s="45" t="s">
        <v>888</v>
      </c>
      <c r="E822" s="104" t="s">
        <v>1357</v>
      </c>
      <c r="G822" s="13">
        <v>306.8</v>
      </c>
      <c r="N822" s="19"/>
      <c r="P822" s="592"/>
      <c r="Q822" s="592"/>
      <c r="R822" s="592"/>
      <c r="S822" s="592"/>
      <c r="T822" s="592"/>
      <c r="U822" s="592"/>
      <c r="V822" s="592"/>
      <c r="W822" s="592"/>
      <c r="X822" s="592"/>
    </row>
    <row r="823" spans="1:66" ht="15" customHeight="1">
      <c r="A823" s="8" t="s">
        <v>1920</v>
      </c>
      <c r="B823" s="75" t="s">
        <v>527</v>
      </c>
      <c r="C823" s="75" t="s">
        <v>1773</v>
      </c>
      <c r="D823" s="710" t="s">
        <v>3611</v>
      </c>
      <c r="E823" s="710"/>
      <c r="F823" s="75" t="s">
        <v>2274</v>
      </c>
      <c r="G823" s="80">
        <v>368.4</v>
      </c>
      <c r="H823" s="626"/>
      <c r="I823" s="80">
        <f>G823*AQ823</f>
        <v>0</v>
      </c>
      <c r="J823" s="80">
        <f>G823*AR823</f>
        <v>0</v>
      </c>
      <c r="K823" s="80">
        <f>G823*H823</f>
        <v>0</v>
      </c>
      <c r="L823" s="80">
        <v>0</v>
      </c>
      <c r="M823" s="80">
        <f>G823*L823</f>
        <v>0</v>
      </c>
      <c r="N823" s="38" t="s">
        <v>1579</v>
      </c>
      <c r="P823" s="592"/>
      <c r="Q823" s="592"/>
      <c r="R823" s="592"/>
      <c r="S823" s="592"/>
      <c r="T823" s="592"/>
      <c r="U823" s="592"/>
      <c r="V823" s="592"/>
      <c r="W823" s="592"/>
      <c r="X823" s="592"/>
      <c r="AB823" s="56">
        <f>IF(AS823="5",BL823,0)</f>
        <v>0</v>
      </c>
      <c r="AD823" s="56">
        <f>IF(AS823="1",BJ823,0)</f>
        <v>0</v>
      </c>
      <c r="AE823" s="56">
        <f>IF(AS823="1",BK823,0)</f>
        <v>0</v>
      </c>
      <c r="AF823" s="56">
        <f>IF(AS823="7",BJ823,0)</f>
        <v>0</v>
      </c>
      <c r="AG823" s="56">
        <f>IF(AS823="7",BK823,0)</f>
        <v>0</v>
      </c>
      <c r="AH823" s="56">
        <f>IF(AS823="2",BJ823,0)</f>
        <v>0</v>
      </c>
      <c r="AI823" s="56">
        <f>IF(AS823="2",BK823,0)</f>
        <v>0</v>
      </c>
      <c r="AJ823" s="56">
        <f>IF(AS823="0",BL823,0)</f>
        <v>0</v>
      </c>
      <c r="AK823" s="7" t="s">
        <v>527</v>
      </c>
      <c r="AL823" s="80">
        <f>IF(AP823=0,K823,0)</f>
        <v>0</v>
      </c>
      <c r="AM823" s="80">
        <f>IF(AP823=15,K823,0)</f>
        <v>0</v>
      </c>
      <c r="AN823" s="80">
        <f>IF(AP823=21,K823,0)</f>
        <v>0</v>
      </c>
      <c r="AP823" s="56">
        <v>21</v>
      </c>
      <c r="AQ823" s="88">
        <f>H823*1</f>
        <v>0</v>
      </c>
      <c r="AR823" s="88">
        <f>H823*(1-1)</f>
        <v>0</v>
      </c>
      <c r="AS823" s="64" t="s">
        <v>2311</v>
      </c>
      <c r="AX823" s="56">
        <f>AY823+AZ823</f>
        <v>0</v>
      </c>
      <c r="AY823" s="56">
        <f>G823*AQ823</f>
        <v>0</v>
      </c>
      <c r="AZ823" s="56">
        <f>G823*AR823</f>
        <v>0</v>
      </c>
      <c r="BA823" s="21" t="s">
        <v>2019</v>
      </c>
      <c r="BB823" s="21" t="s">
        <v>810</v>
      </c>
      <c r="BC823" s="7" t="s">
        <v>1887</v>
      </c>
      <c r="BE823" s="56">
        <f>AY823+AZ823</f>
        <v>0</v>
      </c>
      <c r="BF823" s="56">
        <f>H823/(100-BG823)*100</f>
        <v>0</v>
      </c>
      <c r="BG823" s="56">
        <v>0</v>
      </c>
      <c r="BH823" s="56">
        <f>M823</f>
        <v>0</v>
      </c>
      <c r="BJ823" s="80">
        <f>G823*AQ823</f>
        <v>0</v>
      </c>
      <c r="BK823" s="80">
        <f>G823*AR823</f>
        <v>0</v>
      </c>
      <c r="BL823" s="80">
        <f>G823*H823</f>
        <v>0</v>
      </c>
      <c r="BM823" s="80"/>
      <c r="BN823" s="56">
        <v>711</v>
      </c>
    </row>
    <row r="824" spans="1:66" ht="15" customHeight="1">
      <c r="A824" s="36"/>
      <c r="D824" s="45" t="s">
        <v>404</v>
      </c>
      <c r="E824" s="104" t="s">
        <v>1597</v>
      </c>
      <c r="G824" s="13">
        <v>307</v>
      </c>
      <c r="N824" s="19"/>
      <c r="P824" s="592"/>
      <c r="Q824" s="592"/>
      <c r="R824" s="592"/>
      <c r="S824" s="592"/>
      <c r="T824" s="592"/>
      <c r="U824" s="592"/>
      <c r="V824" s="592"/>
      <c r="W824" s="592"/>
      <c r="X824" s="592"/>
    </row>
    <row r="825" spans="1:66" ht="15" customHeight="1">
      <c r="A825" s="36"/>
      <c r="D825" s="45" t="s">
        <v>517</v>
      </c>
      <c r="E825" s="104" t="s">
        <v>1597</v>
      </c>
      <c r="G825" s="13">
        <v>61.400000000000006</v>
      </c>
      <c r="N825" s="19"/>
      <c r="P825" s="592"/>
      <c r="Q825" s="592"/>
      <c r="R825" s="592"/>
      <c r="S825" s="592"/>
      <c r="T825" s="592"/>
      <c r="U825" s="592"/>
      <c r="V825" s="592"/>
      <c r="W825" s="592"/>
      <c r="X825" s="592"/>
    </row>
    <row r="826" spans="1:66" ht="15" customHeight="1">
      <c r="A826" s="8" t="s">
        <v>1552</v>
      </c>
      <c r="B826" s="75" t="s">
        <v>527</v>
      </c>
      <c r="C826" s="75" t="s">
        <v>1912</v>
      </c>
      <c r="D826" s="710" t="s">
        <v>2653</v>
      </c>
      <c r="E826" s="710"/>
      <c r="F826" s="75" t="s">
        <v>2274</v>
      </c>
      <c r="G826" s="80">
        <v>337.7</v>
      </c>
      <c r="H826" s="626"/>
      <c r="I826" s="80">
        <f>G826*AQ826</f>
        <v>0</v>
      </c>
      <c r="J826" s="80">
        <f>G826*AR826</f>
        <v>0</v>
      </c>
      <c r="K826" s="80">
        <f>G826*H826</f>
        <v>0</v>
      </c>
      <c r="L826" s="80">
        <v>2.5000000000000001E-4</v>
      </c>
      <c r="M826" s="80">
        <f>G826*L826</f>
        <v>8.4425E-2</v>
      </c>
      <c r="N826" s="38" t="s">
        <v>1579</v>
      </c>
      <c r="P826" s="592"/>
      <c r="Q826" s="592"/>
      <c r="R826" s="592"/>
      <c r="S826" s="592"/>
      <c r="T826" s="592"/>
      <c r="U826" s="592"/>
      <c r="V826" s="592"/>
      <c r="W826" s="592"/>
      <c r="X826" s="592"/>
      <c r="AB826" s="56">
        <f>IF(AS826="5",BL826,0)</f>
        <v>0</v>
      </c>
      <c r="AD826" s="56">
        <f>IF(AS826="1",BJ826,0)</f>
        <v>0</v>
      </c>
      <c r="AE826" s="56">
        <f>IF(AS826="1",BK826,0)</f>
        <v>0</v>
      </c>
      <c r="AF826" s="56">
        <f>IF(AS826="7",BJ826,0)</f>
        <v>0</v>
      </c>
      <c r="AG826" s="56">
        <f>IF(AS826="7",BK826,0)</f>
        <v>0</v>
      </c>
      <c r="AH826" s="56">
        <f>IF(AS826="2",BJ826,0)</f>
        <v>0</v>
      </c>
      <c r="AI826" s="56">
        <f>IF(AS826="2",BK826,0)</f>
        <v>0</v>
      </c>
      <c r="AJ826" s="56">
        <f>IF(AS826="0",BL826,0)</f>
        <v>0</v>
      </c>
      <c r="AK826" s="7" t="s">
        <v>527</v>
      </c>
      <c r="AL826" s="80">
        <f>IF(AP826=0,K826,0)</f>
        <v>0</v>
      </c>
      <c r="AM826" s="80">
        <f>IF(AP826=15,K826,0)</f>
        <v>0</v>
      </c>
      <c r="AN826" s="80">
        <f>IF(AP826=21,K826,0)</f>
        <v>0</v>
      </c>
      <c r="AP826" s="56">
        <v>21</v>
      </c>
      <c r="AQ826" s="88">
        <f>H826*1</f>
        <v>0</v>
      </c>
      <c r="AR826" s="88">
        <f>H826*(1-1)</f>
        <v>0</v>
      </c>
      <c r="AS826" s="64" t="s">
        <v>2311</v>
      </c>
      <c r="AX826" s="56">
        <f>AY826+AZ826</f>
        <v>0</v>
      </c>
      <c r="AY826" s="56">
        <f>G826*AQ826</f>
        <v>0</v>
      </c>
      <c r="AZ826" s="56">
        <f>G826*AR826</f>
        <v>0</v>
      </c>
      <c r="BA826" s="21" t="s">
        <v>2019</v>
      </c>
      <c r="BB826" s="21" t="s">
        <v>810</v>
      </c>
      <c r="BC826" s="7" t="s">
        <v>1887</v>
      </c>
      <c r="BE826" s="56">
        <f>AY826+AZ826</f>
        <v>0</v>
      </c>
      <c r="BF826" s="56">
        <f>H826/(100-BG826)*100</f>
        <v>0</v>
      </c>
      <c r="BG826" s="56">
        <v>0</v>
      </c>
      <c r="BH826" s="56">
        <f>M826</f>
        <v>8.4425E-2</v>
      </c>
      <c r="BJ826" s="80">
        <f>G826*AQ826</f>
        <v>0</v>
      </c>
      <c r="BK826" s="80">
        <f>G826*AR826</f>
        <v>0</v>
      </c>
      <c r="BL826" s="80">
        <f>G826*H826</f>
        <v>0</v>
      </c>
      <c r="BM826" s="80"/>
      <c r="BN826" s="56">
        <v>711</v>
      </c>
    </row>
    <row r="827" spans="1:66" ht="15" customHeight="1">
      <c r="A827" s="36"/>
      <c r="D827" s="45" t="s">
        <v>404</v>
      </c>
      <c r="E827" s="104" t="s">
        <v>229</v>
      </c>
      <c r="G827" s="13">
        <v>307</v>
      </c>
      <c r="N827" s="19"/>
      <c r="P827" s="592"/>
      <c r="Q827" s="592"/>
      <c r="R827" s="592"/>
      <c r="S827" s="592"/>
      <c r="T827" s="592"/>
      <c r="U827" s="592"/>
      <c r="V827" s="592"/>
      <c r="W827" s="592"/>
      <c r="X827" s="592"/>
    </row>
    <row r="828" spans="1:66" ht="15" customHeight="1">
      <c r="A828" s="36"/>
      <c r="D828" s="45" t="s">
        <v>1233</v>
      </c>
      <c r="E828" s="104" t="s">
        <v>1597</v>
      </c>
      <c r="G828" s="13">
        <v>30.700000000000003</v>
      </c>
      <c r="N828" s="19"/>
      <c r="P828" s="592"/>
      <c r="Q828" s="592"/>
      <c r="R828" s="592"/>
      <c r="S828" s="592"/>
      <c r="T828" s="592"/>
      <c r="U828" s="592"/>
      <c r="V828" s="592"/>
      <c r="W828" s="592"/>
      <c r="X828" s="592"/>
    </row>
    <row r="829" spans="1:66" ht="15" customHeight="1">
      <c r="A829" s="8" t="s">
        <v>1289</v>
      </c>
      <c r="B829" s="75" t="s">
        <v>527</v>
      </c>
      <c r="C829" s="75" t="s">
        <v>2185</v>
      </c>
      <c r="D829" s="710" t="s">
        <v>2268</v>
      </c>
      <c r="E829" s="710"/>
      <c r="F829" s="75" t="s">
        <v>1923</v>
      </c>
      <c r="G829" s="80">
        <v>150</v>
      </c>
      <c r="H829" s="626"/>
      <c r="I829" s="80">
        <f>G829*AQ829</f>
        <v>0</v>
      </c>
      <c r="J829" s="80">
        <f>G829*AR829</f>
        <v>0</v>
      </c>
      <c r="K829" s="80">
        <f>G829*H829</f>
        <v>0</v>
      </c>
      <c r="L829" s="80">
        <v>0</v>
      </c>
      <c r="M829" s="80">
        <f>G829*L829</f>
        <v>0</v>
      </c>
      <c r="N829" s="38" t="s">
        <v>1579</v>
      </c>
      <c r="P829" s="592"/>
      <c r="Q829" s="592"/>
      <c r="R829" s="592"/>
      <c r="S829" s="592"/>
      <c r="T829" s="592"/>
      <c r="U829" s="592"/>
      <c r="V829" s="592"/>
      <c r="W829" s="592"/>
      <c r="X829" s="592"/>
      <c r="AB829" s="56">
        <f>IF(AS829="5",BL829,0)</f>
        <v>0</v>
      </c>
      <c r="AD829" s="56">
        <f>IF(AS829="1",BJ829,0)</f>
        <v>0</v>
      </c>
      <c r="AE829" s="56">
        <f>IF(AS829="1",BK829,0)</f>
        <v>0</v>
      </c>
      <c r="AF829" s="56">
        <f>IF(AS829="7",BJ829,0)</f>
        <v>0</v>
      </c>
      <c r="AG829" s="56">
        <f>IF(AS829="7",BK829,0)</f>
        <v>0</v>
      </c>
      <c r="AH829" s="56">
        <f>IF(AS829="2",BJ829,0)</f>
        <v>0</v>
      </c>
      <c r="AI829" s="56">
        <f>IF(AS829="2",BK829,0)</f>
        <v>0</v>
      </c>
      <c r="AJ829" s="56">
        <f>IF(AS829="0",BL829,0)</f>
        <v>0</v>
      </c>
      <c r="AK829" s="7" t="s">
        <v>527</v>
      </c>
      <c r="AL829" s="80">
        <f>IF(AP829=0,K829,0)</f>
        <v>0</v>
      </c>
      <c r="AM829" s="80">
        <f>IF(AP829=15,K829,0)</f>
        <v>0</v>
      </c>
      <c r="AN829" s="80">
        <f>IF(AP829=21,K829,0)</f>
        <v>0</v>
      </c>
      <c r="AP829" s="56">
        <v>21</v>
      </c>
      <c r="AQ829" s="88">
        <f>H829*1</f>
        <v>0</v>
      </c>
      <c r="AR829" s="88">
        <f>H829*(1-1)</f>
        <v>0</v>
      </c>
      <c r="AS829" s="64" t="s">
        <v>2311</v>
      </c>
      <c r="AX829" s="56">
        <f>AY829+AZ829</f>
        <v>0</v>
      </c>
      <c r="AY829" s="56">
        <f>G829*AQ829</f>
        <v>0</v>
      </c>
      <c r="AZ829" s="56">
        <f>G829*AR829</f>
        <v>0</v>
      </c>
      <c r="BA829" s="21" t="s">
        <v>2019</v>
      </c>
      <c r="BB829" s="21" t="s">
        <v>810</v>
      </c>
      <c r="BC829" s="7" t="s">
        <v>1887</v>
      </c>
      <c r="BE829" s="56">
        <f>AY829+AZ829</f>
        <v>0</v>
      </c>
      <c r="BF829" s="56">
        <f>H829/(100-BG829)*100</f>
        <v>0</v>
      </c>
      <c r="BG829" s="56">
        <v>0</v>
      </c>
      <c r="BH829" s="56">
        <f>M829</f>
        <v>0</v>
      </c>
      <c r="BJ829" s="80">
        <f>G829*AQ829</f>
        <v>0</v>
      </c>
      <c r="BK829" s="80">
        <f>G829*AR829</f>
        <v>0</v>
      </c>
      <c r="BL829" s="80">
        <f>G829*H829</f>
        <v>0</v>
      </c>
      <c r="BM829" s="80"/>
      <c r="BN829" s="56">
        <v>711</v>
      </c>
    </row>
    <row r="830" spans="1:66" ht="15" customHeight="1">
      <c r="A830" s="36"/>
      <c r="D830" s="45" t="s">
        <v>940</v>
      </c>
      <c r="E830" s="104" t="s">
        <v>1597</v>
      </c>
      <c r="G830" s="13">
        <v>150</v>
      </c>
      <c r="N830" s="19"/>
      <c r="P830" s="592"/>
      <c r="Q830" s="592"/>
      <c r="R830" s="592"/>
      <c r="S830" s="592"/>
      <c r="T830" s="592"/>
      <c r="U830" s="592"/>
      <c r="V830" s="592"/>
      <c r="W830" s="592"/>
      <c r="X830" s="592"/>
    </row>
    <row r="831" spans="1:66" ht="15" customHeight="1">
      <c r="A831" s="8" t="s">
        <v>1785</v>
      </c>
      <c r="B831" s="75" t="s">
        <v>527</v>
      </c>
      <c r="C831" s="75" t="s">
        <v>409</v>
      </c>
      <c r="D831" s="710" t="s">
        <v>1761</v>
      </c>
      <c r="E831" s="710"/>
      <c r="F831" s="75" t="s">
        <v>564</v>
      </c>
      <c r="G831" s="80">
        <v>105</v>
      </c>
      <c r="H831" s="626"/>
      <c r="I831" s="80">
        <f>G831*AQ831</f>
        <v>0</v>
      </c>
      <c r="J831" s="80">
        <f>G831*AR831</f>
        <v>0</v>
      </c>
      <c r="K831" s="80">
        <f>G831*H831</f>
        <v>0</v>
      </c>
      <c r="L831" s="80">
        <v>3.2000000000000002E-3</v>
      </c>
      <c r="M831" s="80">
        <f>G831*L831</f>
        <v>0.33600000000000002</v>
      </c>
      <c r="N831" s="38" t="s">
        <v>1579</v>
      </c>
      <c r="P831" s="592"/>
      <c r="Q831" s="592"/>
      <c r="R831" s="592"/>
      <c r="S831" s="592"/>
      <c r="T831" s="592"/>
      <c r="U831" s="592"/>
      <c r="V831" s="592"/>
      <c r="W831" s="592"/>
      <c r="X831" s="592"/>
      <c r="AB831" s="56">
        <f>IF(AS831="5",BL831,0)</f>
        <v>0</v>
      </c>
      <c r="AD831" s="56">
        <f>IF(AS831="1",BJ831,0)</f>
        <v>0</v>
      </c>
      <c r="AE831" s="56">
        <f>IF(AS831="1",BK831,0)</f>
        <v>0</v>
      </c>
      <c r="AF831" s="56">
        <f>IF(AS831="7",BJ831,0)</f>
        <v>0</v>
      </c>
      <c r="AG831" s="56">
        <f>IF(AS831="7",BK831,0)</f>
        <v>0</v>
      </c>
      <c r="AH831" s="56">
        <f>IF(AS831="2",BJ831,0)</f>
        <v>0</v>
      </c>
      <c r="AI831" s="56">
        <f>IF(AS831="2",BK831,0)</f>
        <v>0</v>
      </c>
      <c r="AJ831" s="56">
        <f>IF(AS831="0",BL831,0)</f>
        <v>0</v>
      </c>
      <c r="AK831" s="7" t="s">
        <v>527</v>
      </c>
      <c r="AL831" s="80">
        <f>IF(AP831=0,K831,0)</f>
        <v>0</v>
      </c>
      <c r="AM831" s="80">
        <f>IF(AP831=15,K831,0)</f>
        <v>0</v>
      </c>
      <c r="AN831" s="80">
        <f>IF(AP831=21,K831,0)</f>
        <v>0</v>
      </c>
      <c r="AP831" s="56">
        <v>21</v>
      </c>
      <c r="AQ831" s="88">
        <f>H831*1</f>
        <v>0</v>
      </c>
      <c r="AR831" s="88">
        <f>H831*(1-1)</f>
        <v>0</v>
      </c>
      <c r="AS831" s="64" t="s">
        <v>2311</v>
      </c>
      <c r="AX831" s="56">
        <f>AY831+AZ831</f>
        <v>0</v>
      </c>
      <c r="AY831" s="56">
        <f>G831*AQ831</f>
        <v>0</v>
      </c>
      <c r="AZ831" s="56">
        <f>G831*AR831</f>
        <v>0</v>
      </c>
      <c r="BA831" s="21" t="s">
        <v>2019</v>
      </c>
      <c r="BB831" s="21" t="s">
        <v>810</v>
      </c>
      <c r="BC831" s="7" t="s">
        <v>1887</v>
      </c>
      <c r="BE831" s="56">
        <f>AY831+AZ831</f>
        <v>0</v>
      </c>
      <c r="BF831" s="56">
        <f>H831/(100-BG831)*100</f>
        <v>0</v>
      </c>
      <c r="BG831" s="56">
        <v>0</v>
      </c>
      <c r="BH831" s="56">
        <f>M831</f>
        <v>0.33600000000000002</v>
      </c>
      <c r="BJ831" s="80">
        <f>G831*AQ831</f>
        <v>0</v>
      </c>
      <c r="BK831" s="80">
        <f>G831*AR831</f>
        <v>0</v>
      </c>
      <c r="BL831" s="80">
        <f>G831*H831</f>
        <v>0</v>
      </c>
      <c r="BM831" s="80"/>
      <c r="BN831" s="56">
        <v>711</v>
      </c>
    </row>
    <row r="832" spans="1:66" ht="15" customHeight="1">
      <c r="A832" s="36"/>
      <c r="D832" s="45" t="s">
        <v>1898</v>
      </c>
      <c r="E832" s="104" t="s">
        <v>1597</v>
      </c>
      <c r="G832" s="13">
        <v>100.00000000000001</v>
      </c>
      <c r="N832" s="19"/>
      <c r="P832" s="592"/>
      <c r="Q832" s="592"/>
      <c r="R832" s="592"/>
      <c r="S832" s="592"/>
      <c r="T832" s="592"/>
      <c r="U832" s="592"/>
      <c r="V832" s="592"/>
      <c r="W832" s="592"/>
      <c r="X832" s="592"/>
    </row>
    <row r="833" spans="1:66" ht="15" customHeight="1">
      <c r="A833" s="36"/>
      <c r="D833" s="45" t="s">
        <v>958</v>
      </c>
      <c r="E833" s="104" t="s">
        <v>1597</v>
      </c>
      <c r="G833" s="13">
        <v>5</v>
      </c>
      <c r="N833" s="19"/>
      <c r="P833" s="592"/>
      <c r="Q833" s="592"/>
      <c r="R833" s="592"/>
      <c r="S833" s="592"/>
      <c r="T833" s="592"/>
      <c r="U833" s="592"/>
      <c r="V833" s="592"/>
      <c r="W833" s="592"/>
      <c r="X833" s="592"/>
    </row>
    <row r="834" spans="1:66" ht="15" customHeight="1">
      <c r="A834" s="32" t="s">
        <v>1597</v>
      </c>
      <c r="B834" s="26" t="s">
        <v>527</v>
      </c>
      <c r="C834" s="512" t="s">
        <v>1861</v>
      </c>
      <c r="D834" s="709" t="s">
        <v>1993</v>
      </c>
      <c r="E834" s="709"/>
      <c r="F834" s="46" t="s">
        <v>2144</v>
      </c>
      <c r="G834" s="46" t="s">
        <v>2144</v>
      </c>
      <c r="H834" s="46" t="s">
        <v>2144</v>
      </c>
      <c r="I834" s="17">
        <f>SUM(I835:I835)</f>
        <v>0</v>
      </c>
      <c r="J834" s="17">
        <f>SUM(J835:J835)</f>
        <v>0</v>
      </c>
      <c r="K834" s="515">
        <f>SUM(K835:K835)</f>
        <v>0</v>
      </c>
      <c r="L834" s="7" t="s">
        <v>1597</v>
      </c>
      <c r="M834" s="17">
        <f>SUM(M835:M835)</f>
        <v>17.191649999999999</v>
      </c>
      <c r="N834" s="20" t="s">
        <v>1597</v>
      </c>
      <c r="P834" s="592">
        <f>K834</f>
        <v>0</v>
      </c>
      <c r="Q834" s="592"/>
      <c r="R834" s="592"/>
      <c r="S834" s="592"/>
      <c r="T834" s="592"/>
      <c r="U834" s="592"/>
      <c r="V834" s="592"/>
      <c r="W834" s="592"/>
      <c r="X834" s="592"/>
      <c r="AK834" s="7" t="s">
        <v>527</v>
      </c>
      <c r="AU834" s="17">
        <f>SUM(AL835:AL835)</f>
        <v>0</v>
      </c>
      <c r="AV834" s="17">
        <f>SUM(AM835:AM835)</f>
        <v>0</v>
      </c>
      <c r="AW834" s="17">
        <f>SUM(AN835:AN835)</f>
        <v>0</v>
      </c>
    </row>
    <row r="835" spans="1:66" ht="15" customHeight="1">
      <c r="A835" s="24" t="s">
        <v>1759</v>
      </c>
      <c r="B835" s="12" t="s">
        <v>527</v>
      </c>
      <c r="C835" s="12" t="s">
        <v>993</v>
      </c>
      <c r="D835" s="630" t="s">
        <v>2455</v>
      </c>
      <c r="E835" s="630"/>
      <c r="F835" s="12" t="s">
        <v>2236</v>
      </c>
      <c r="G835" s="56">
        <v>233.9</v>
      </c>
      <c r="H835" s="625"/>
      <c r="I835" s="56">
        <f>G835*AQ835</f>
        <v>0</v>
      </c>
      <c r="J835" s="56">
        <f>G835*AR835</f>
        <v>0</v>
      </c>
      <c r="K835" s="56">
        <f>G835*H835</f>
        <v>0</v>
      </c>
      <c r="L835" s="56">
        <v>7.3499999999999996E-2</v>
      </c>
      <c r="M835" s="56">
        <f>G835*L835</f>
        <v>17.191649999999999</v>
      </c>
      <c r="N835" s="31" t="s">
        <v>1579</v>
      </c>
      <c r="P835" s="592"/>
      <c r="Q835" s="592"/>
      <c r="R835" s="592"/>
      <c r="S835" s="592"/>
      <c r="T835" s="592"/>
      <c r="U835" s="592"/>
      <c r="V835" s="592"/>
      <c r="W835" s="592"/>
      <c r="X835" s="592"/>
      <c r="AB835" s="56">
        <f>IF(AS835="5",BL835,0)</f>
        <v>0</v>
      </c>
      <c r="AD835" s="56">
        <f>IF(AS835="1",BJ835,0)</f>
        <v>0</v>
      </c>
      <c r="AE835" s="56">
        <f>IF(AS835="1",BK835,0)</f>
        <v>0</v>
      </c>
      <c r="AF835" s="56">
        <f>IF(AS835="7",BJ835,0)</f>
        <v>0</v>
      </c>
      <c r="AG835" s="56">
        <f>IF(AS835="7",BK835,0)</f>
        <v>0</v>
      </c>
      <c r="AH835" s="56">
        <f>IF(AS835="2",BJ835,0)</f>
        <v>0</v>
      </c>
      <c r="AI835" s="56">
        <f>IF(AS835="2",BK835,0)</f>
        <v>0</v>
      </c>
      <c r="AJ835" s="56">
        <f>IF(AS835="0",BL835,0)</f>
        <v>0</v>
      </c>
      <c r="AK835" s="7" t="s">
        <v>527</v>
      </c>
      <c r="AL835" s="56">
        <f>IF(AP835=0,K835,0)</f>
        <v>0</v>
      </c>
      <c r="AM835" s="56">
        <f>IF(AP835=15,K835,0)</f>
        <v>0</v>
      </c>
      <c r="AN835" s="56">
        <f>IF(AP835=21,K835,0)</f>
        <v>0</v>
      </c>
      <c r="AP835" s="56">
        <v>21</v>
      </c>
      <c r="AQ835" s="88">
        <f>H835*0.799652408455824</f>
        <v>0</v>
      </c>
      <c r="AR835" s="88">
        <f>H835*(1-0.799652408455824)</f>
        <v>0</v>
      </c>
      <c r="AS835" s="21" t="s">
        <v>2311</v>
      </c>
      <c r="AX835" s="56">
        <f>AY835+AZ835</f>
        <v>0</v>
      </c>
      <c r="AY835" s="56">
        <f>G835*AQ835</f>
        <v>0</v>
      </c>
      <c r="AZ835" s="56">
        <f>G835*AR835</f>
        <v>0</v>
      </c>
      <c r="BA835" s="21" t="s">
        <v>1804</v>
      </c>
      <c r="BB835" s="21" t="s">
        <v>810</v>
      </c>
      <c r="BC835" s="7" t="s">
        <v>1887</v>
      </c>
      <c r="BE835" s="56">
        <f>AY835+AZ835</f>
        <v>0</v>
      </c>
      <c r="BF835" s="56">
        <f>H835/(100-BG835)*100</f>
        <v>0</v>
      </c>
      <c r="BG835" s="56">
        <v>0</v>
      </c>
      <c r="BH835" s="56">
        <f>M835</f>
        <v>17.191649999999999</v>
      </c>
      <c r="BJ835" s="56">
        <f>G835*AQ835</f>
        <v>0</v>
      </c>
      <c r="BK835" s="56">
        <f>G835*AR835</f>
        <v>0</v>
      </c>
      <c r="BL835" s="56">
        <f>G835*H835</f>
        <v>0</v>
      </c>
      <c r="BM835" s="56"/>
      <c r="BN835" s="56">
        <v>713</v>
      </c>
    </row>
    <row r="836" spans="1:66" ht="15" customHeight="1">
      <c r="A836" s="36"/>
      <c r="D836" s="45" t="s">
        <v>1964</v>
      </c>
      <c r="E836" s="104" t="s">
        <v>2197</v>
      </c>
      <c r="G836" s="13">
        <v>151.34</v>
      </c>
      <c r="N836" s="19"/>
      <c r="P836" s="592"/>
      <c r="Q836" s="592"/>
      <c r="R836" s="592"/>
      <c r="S836" s="592"/>
      <c r="T836" s="592"/>
      <c r="U836" s="592"/>
      <c r="V836" s="592"/>
      <c r="W836" s="592"/>
      <c r="X836" s="592"/>
    </row>
    <row r="837" spans="1:66" ht="15" customHeight="1">
      <c r="A837" s="36"/>
      <c r="D837" s="45" t="s">
        <v>988</v>
      </c>
      <c r="E837" s="104" t="s">
        <v>324</v>
      </c>
      <c r="G837" s="13">
        <v>89.76</v>
      </c>
      <c r="N837" s="19"/>
      <c r="P837" s="592"/>
      <c r="Q837" s="592"/>
      <c r="R837" s="592"/>
      <c r="S837" s="592"/>
      <c r="T837" s="592"/>
      <c r="U837" s="592"/>
      <c r="V837" s="592"/>
      <c r="W837" s="592"/>
      <c r="X837" s="592"/>
    </row>
    <row r="838" spans="1:66" ht="15" customHeight="1">
      <c r="A838" s="36"/>
      <c r="D838" s="45" t="s">
        <v>157</v>
      </c>
      <c r="E838" s="104" t="s">
        <v>1268</v>
      </c>
      <c r="G838" s="13">
        <v>-7.2</v>
      </c>
      <c r="N838" s="19"/>
      <c r="P838" s="592"/>
      <c r="Q838" s="592"/>
      <c r="R838" s="592"/>
      <c r="S838" s="592"/>
      <c r="T838" s="592"/>
      <c r="U838" s="592"/>
      <c r="V838" s="592"/>
      <c r="W838" s="592"/>
      <c r="X838" s="592"/>
    </row>
    <row r="839" spans="1:66" ht="15" customHeight="1">
      <c r="A839" s="32" t="s">
        <v>1597</v>
      </c>
      <c r="B839" s="26" t="s">
        <v>527</v>
      </c>
      <c r="C839" s="512" t="s">
        <v>1435</v>
      </c>
      <c r="D839" s="709" t="s">
        <v>2463</v>
      </c>
      <c r="E839" s="709"/>
      <c r="F839" s="46" t="s">
        <v>2144</v>
      </c>
      <c r="G839" s="46" t="s">
        <v>2144</v>
      </c>
      <c r="H839" s="46" t="s">
        <v>2144</v>
      </c>
      <c r="I839" s="17">
        <f>SUM(I840:I916)</f>
        <v>0</v>
      </c>
      <c r="J839" s="17">
        <f>SUM(J840:J916)</f>
        <v>0</v>
      </c>
      <c r="K839" s="515">
        <f>SUM(K840:K916)</f>
        <v>0</v>
      </c>
      <c r="L839" s="7" t="s">
        <v>1597</v>
      </c>
      <c r="M839" s="17">
        <f>SUM(M840:M916)</f>
        <v>38.142381100000001</v>
      </c>
      <c r="N839" s="20" t="s">
        <v>1597</v>
      </c>
      <c r="P839" s="592">
        <f>K839</f>
        <v>0</v>
      </c>
      <c r="Q839" s="592"/>
      <c r="R839" s="592"/>
      <c r="S839" s="592"/>
      <c r="T839" s="592"/>
      <c r="U839" s="592"/>
      <c r="V839" s="592"/>
      <c r="W839" s="592"/>
      <c r="X839" s="592"/>
      <c r="AK839" s="7" t="s">
        <v>527</v>
      </c>
      <c r="AU839" s="17">
        <f>SUM(AL840:AL916)</f>
        <v>0</v>
      </c>
      <c r="AV839" s="17">
        <f>SUM(AM840:AM916)</f>
        <v>0</v>
      </c>
      <c r="AW839" s="17">
        <f>SUM(AN840:AN916)</f>
        <v>0</v>
      </c>
    </row>
    <row r="840" spans="1:66" ht="15" customHeight="1">
      <c r="A840" s="24" t="s">
        <v>825</v>
      </c>
      <c r="B840" s="12" t="s">
        <v>527</v>
      </c>
      <c r="C840" s="12" t="s">
        <v>1066</v>
      </c>
      <c r="D840" s="630" t="s">
        <v>2376</v>
      </c>
      <c r="E840" s="630"/>
      <c r="F840" s="12" t="s">
        <v>1923</v>
      </c>
      <c r="G840" s="56">
        <v>110.1</v>
      </c>
      <c r="H840" s="625"/>
      <c r="I840" s="56">
        <f>G840*AQ840</f>
        <v>0</v>
      </c>
      <c r="J840" s="56">
        <f>G840*AR840</f>
        <v>0</v>
      </c>
      <c r="K840" s="56">
        <f>G840*H840</f>
        <v>0</v>
      </c>
      <c r="L840" s="56">
        <v>1.7930000000000001E-2</v>
      </c>
      <c r="M840" s="56">
        <f>G840*L840</f>
        <v>1.9740930000000001</v>
      </c>
      <c r="N840" s="31" t="s">
        <v>1579</v>
      </c>
      <c r="P840" s="592"/>
      <c r="Q840" s="592"/>
      <c r="R840" s="592"/>
      <c r="S840" s="592"/>
      <c r="T840" s="592"/>
      <c r="U840" s="592"/>
      <c r="V840" s="592"/>
      <c r="W840" s="592"/>
      <c r="X840" s="592"/>
      <c r="AB840" s="56">
        <f>IF(AS840="5",BL840,0)</f>
        <v>0</v>
      </c>
      <c r="AD840" s="56">
        <f>IF(AS840="1",BJ840,0)</f>
        <v>0</v>
      </c>
      <c r="AE840" s="56">
        <f>IF(AS840="1",BK840,0)</f>
        <v>0</v>
      </c>
      <c r="AF840" s="56">
        <f>IF(AS840="7",BJ840,0)</f>
        <v>0</v>
      </c>
      <c r="AG840" s="56">
        <f>IF(AS840="7",BK840,0)</f>
        <v>0</v>
      </c>
      <c r="AH840" s="56">
        <f>IF(AS840="2",BJ840,0)</f>
        <v>0</v>
      </c>
      <c r="AI840" s="56">
        <f>IF(AS840="2",BK840,0)</f>
        <v>0</v>
      </c>
      <c r="AJ840" s="56">
        <f>IF(AS840="0",BL840,0)</f>
        <v>0</v>
      </c>
      <c r="AK840" s="7" t="s">
        <v>527</v>
      </c>
      <c r="AL840" s="56">
        <f>IF(AP840=0,K840,0)</f>
        <v>0</v>
      </c>
      <c r="AM840" s="56">
        <f>IF(AP840=15,K840,0)</f>
        <v>0</v>
      </c>
      <c r="AN840" s="56">
        <f>IF(AP840=21,K840,0)</f>
        <v>0</v>
      </c>
      <c r="AP840" s="56">
        <v>21</v>
      </c>
      <c r="AQ840" s="88">
        <f>H840*0.556230158730159</f>
        <v>0</v>
      </c>
      <c r="AR840" s="88">
        <f>H840*(1-0.556230158730159)</f>
        <v>0</v>
      </c>
      <c r="AS840" s="21" t="s">
        <v>2311</v>
      </c>
      <c r="AX840" s="56">
        <f>AY840+AZ840</f>
        <v>0</v>
      </c>
      <c r="AY840" s="56">
        <f>G840*AQ840</f>
        <v>0</v>
      </c>
      <c r="AZ840" s="56">
        <f>G840*AR840</f>
        <v>0</v>
      </c>
      <c r="BA840" s="21" t="s">
        <v>1449</v>
      </c>
      <c r="BB840" s="21" t="s">
        <v>788</v>
      </c>
      <c r="BC840" s="7" t="s">
        <v>1887</v>
      </c>
      <c r="BE840" s="56">
        <f>AY840+AZ840</f>
        <v>0</v>
      </c>
      <c r="BF840" s="56">
        <f>H840/(100-BG840)*100</f>
        <v>0</v>
      </c>
      <c r="BG840" s="56">
        <v>0</v>
      </c>
      <c r="BH840" s="56">
        <f>M840</f>
        <v>1.9740930000000001</v>
      </c>
      <c r="BJ840" s="56">
        <f>G840*AQ840</f>
        <v>0</v>
      </c>
      <c r="BK840" s="56">
        <f>G840*AR840</f>
        <v>0</v>
      </c>
      <c r="BL840" s="56">
        <f>G840*H840</f>
        <v>0</v>
      </c>
      <c r="BM840" s="56"/>
      <c r="BN840" s="56">
        <v>762</v>
      </c>
    </row>
    <row r="841" spans="1:66" ht="15" customHeight="1">
      <c r="A841" s="36"/>
      <c r="D841" s="45" t="s">
        <v>1995</v>
      </c>
      <c r="E841" s="104" t="s">
        <v>1402</v>
      </c>
      <c r="G841" s="13">
        <v>49.2</v>
      </c>
      <c r="N841" s="19"/>
      <c r="P841" s="592"/>
      <c r="Q841" s="592"/>
      <c r="R841" s="592"/>
      <c r="S841" s="592"/>
      <c r="T841" s="592"/>
      <c r="U841" s="592"/>
      <c r="V841" s="592"/>
      <c r="W841" s="592"/>
      <c r="X841" s="592"/>
    </row>
    <row r="842" spans="1:66" ht="15" customHeight="1">
      <c r="A842" s="36"/>
      <c r="D842" s="45" t="s">
        <v>1786</v>
      </c>
      <c r="E842" s="104" t="s">
        <v>284</v>
      </c>
      <c r="G842" s="13">
        <v>20.400000000000002</v>
      </c>
      <c r="N842" s="19"/>
      <c r="P842" s="592"/>
      <c r="Q842" s="592"/>
      <c r="R842" s="592"/>
      <c r="S842" s="592"/>
      <c r="T842" s="592"/>
      <c r="U842" s="592"/>
      <c r="V842" s="592"/>
      <c r="W842" s="592"/>
      <c r="X842" s="592"/>
    </row>
    <row r="843" spans="1:66" ht="15" customHeight="1">
      <c r="A843" s="36"/>
      <c r="D843" s="45" t="s">
        <v>1754</v>
      </c>
      <c r="E843" s="104" t="s">
        <v>2000</v>
      </c>
      <c r="G843" s="13">
        <v>29.6</v>
      </c>
      <c r="N843" s="19"/>
      <c r="P843" s="592"/>
      <c r="Q843" s="592"/>
      <c r="R843" s="592"/>
      <c r="S843" s="592"/>
      <c r="T843" s="592"/>
      <c r="U843" s="592"/>
      <c r="V843" s="592"/>
      <c r="W843" s="592"/>
      <c r="X843" s="592"/>
    </row>
    <row r="844" spans="1:66" ht="15" customHeight="1">
      <c r="A844" s="36"/>
      <c r="D844" s="45" t="s">
        <v>1624</v>
      </c>
      <c r="E844" s="104" t="s">
        <v>401</v>
      </c>
      <c r="G844" s="13">
        <v>10.9</v>
      </c>
      <c r="N844" s="19"/>
      <c r="P844" s="592"/>
      <c r="Q844" s="592"/>
      <c r="R844" s="592"/>
      <c r="S844" s="592"/>
      <c r="T844" s="592"/>
      <c r="U844" s="592"/>
      <c r="V844" s="592"/>
      <c r="W844" s="592"/>
      <c r="X844" s="592"/>
    </row>
    <row r="845" spans="1:66" ht="15" customHeight="1">
      <c r="A845" s="24" t="s">
        <v>890</v>
      </c>
      <c r="B845" s="12" t="s">
        <v>527</v>
      </c>
      <c r="C845" s="12" t="s">
        <v>1408</v>
      </c>
      <c r="D845" s="630" t="s">
        <v>2637</v>
      </c>
      <c r="E845" s="630"/>
      <c r="F845" s="12" t="s">
        <v>1923</v>
      </c>
      <c r="G845" s="56">
        <v>873</v>
      </c>
      <c r="H845" s="625"/>
      <c r="I845" s="56">
        <f>G845*AQ845</f>
        <v>0</v>
      </c>
      <c r="J845" s="56">
        <f>G845*AR845</f>
        <v>0</v>
      </c>
      <c r="K845" s="56">
        <f>G845*H845</f>
        <v>0</v>
      </c>
      <c r="L845" s="56">
        <v>6.79E-3</v>
      </c>
      <c r="M845" s="56">
        <f>G845*L845</f>
        <v>5.92767</v>
      </c>
      <c r="N845" s="31" t="s">
        <v>1579</v>
      </c>
      <c r="P845" s="592"/>
      <c r="Q845" s="592"/>
      <c r="R845" s="592"/>
      <c r="S845" s="592"/>
      <c r="T845" s="592"/>
      <c r="U845" s="592"/>
      <c r="V845" s="592"/>
      <c r="W845" s="592"/>
      <c r="X845" s="592"/>
      <c r="AB845" s="56">
        <f>IF(AS845="5",BL845,0)</f>
        <v>0</v>
      </c>
      <c r="AD845" s="56">
        <f>IF(AS845="1",BJ845,0)</f>
        <v>0</v>
      </c>
      <c r="AE845" s="56">
        <f>IF(AS845="1",BK845,0)</f>
        <v>0</v>
      </c>
      <c r="AF845" s="56">
        <f>IF(AS845="7",BJ845,0)</f>
        <v>0</v>
      </c>
      <c r="AG845" s="56">
        <f>IF(AS845="7",BK845,0)</f>
        <v>0</v>
      </c>
      <c r="AH845" s="56">
        <f>IF(AS845="2",BJ845,0)</f>
        <v>0</v>
      </c>
      <c r="AI845" s="56">
        <f>IF(AS845="2",BK845,0)</f>
        <v>0</v>
      </c>
      <c r="AJ845" s="56">
        <f>IF(AS845="0",BL845,0)</f>
        <v>0</v>
      </c>
      <c r="AK845" s="7" t="s">
        <v>527</v>
      </c>
      <c r="AL845" s="56">
        <f>IF(AP845=0,K845,0)</f>
        <v>0</v>
      </c>
      <c r="AM845" s="56">
        <f>IF(AP845=15,K845,0)</f>
        <v>0</v>
      </c>
      <c r="AN845" s="56">
        <f>IF(AP845=21,K845,0)</f>
        <v>0</v>
      </c>
      <c r="AP845" s="56">
        <v>21</v>
      </c>
      <c r="AQ845" s="88">
        <f>H845*0.388612099644128</f>
        <v>0</v>
      </c>
      <c r="AR845" s="88">
        <f>H845*(1-0.388612099644128)</f>
        <v>0</v>
      </c>
      <c r="AS845" s="21" t="s">
        <v>2311</v>
      </c>
      <c r="AX845" s="56">
        <f>AY845+AZ845</f>
        <v>0</v>
      </c>
      <c r="AY845" s="56">
        <f>G845*AQ845</f>
        <v>0</v>
      </c>
      <c r="AZ845" s="56">
        <f>G845*AR845</f>
        <v>0</v>
      </c>
      <c r="BA845" s="21" t="s">
        <v>1449</v>
      </c>
      <c r="BB845" s="21" t="s">
        <v>788</v>
      </c>
      <c r="BC845" s="7" t="s">
        <v>1887</v>
      </c>
      <c r="BE845" s="56">
        <f>AY845+AZ845</f>
        <v>0</v>
      </c>
      <c r="BF845" s="56">
        <f>H845/(100-BG845)*100</f>
        <v>0</v>
      </c>
      <c r="BG845" s="56">
        <v>0</v>
      </c>
      <c r="BH845" s="56">
        <f>M845</f>
        <v>5.92767</v>
      </c>
      <c r="BJ845" s="56">
        <f>G845*AQ845</f>
        <v>0</v>
      </c>
      <c r="BK845" s="56">
        <f>G845*AR845</f>
        <v>0</v>
      </c>
      <c r="BL845" s="56">
        <f>G845*H845</f>
        <v>0</v>
      </c>
      <c r="BM845" s="56"/>
      <c r="BN845" s="56">
        <v>762</v>
      </c>
    </row>
    <row r="846" spans="1:66" ht="15" customHeight="1">
      <c r="A846" s="36"/>
      <c r="D846" s="45" t="s">
        <v>1011</v>
      </c>
      <c r="E846" s="104" t="s">
        <v>1201</v>
      </c>
      <c r="G846" s="13">
        <v>713.00000000000011</v>
      </c>
      <c r="N846" s="19"/>
      <c r="P846" s="592"/>
      <c r="Q846" s="592"/>
      <c r="R846" s="592"/>
      <c r="S846" s="592"/>
      <c r="T846" s="592"/>
      <c r="U846" s="592"/>
      <c r="V846" s="592"/>
      <c r="W846" s="592"/>
      <c r="X846" s="592"/>
    </row>
    <row r="847" spans="1:66" ht="15" customHeight="1">
      <c r="A847" s="36"/>
      <c r="D847" s="45" t="s">
        <v>1262</v>
      </c>
      <c r="E847" s="104" t="s">
        <v>2018</v>
      </c>
      <c r="G847" s="13">
        <v>108.00000000000001</v>
      </c>
      <c r="N847" s="19"/>
      <c r="P847" s="592"/>
      <c r="Q847" s="592"/>
      <c r="R847" s="592"/>
      <c r="S847" s="592"/>
      <c r="T847" s="592"/>
      <c r="U847" s="592"/>
      <c r="V847" s="592"/>
      <c r="W847" s="592"/>
      <c r="X847" s="592"/>
    </row>
    <row r="848" spans="1:66" ht="15" customHeight="1">
      <c r="A848" s="36"/>
      <c r="D848" s="45" t="s">
        <v>1301</v>
      </c>
      <c r="E848" s="104" t="s">
        <v>707</v>
      </c>
      <c r="G848" s="13">
        <v>20</v>
      </c>
      <c r="N848" s="19"/>
      <c r="P848" s="592"/>
      <c r="Q848" s="592"/>
      <c r="R848" s="592"/>
      <c r="S848" s="592"/>
      <c r="T848" s="592"/>
      <c r="U848" s="592"/>
      <c r="V848" s="592"/>
      <c r="W848" s="592"/>
      <c r="X848" s="592"/>
    </row>
    <row r="849" spans="1:66" ht="15" customHeight="1">
      <c r="A849" s="36"/>
      <c r="D849" s="45" t="s">
        <v>1179</v>
      </c>
      <c r="E849" s="104" t="s">
        <v>2028</v>
      </c>
      <c r="G849" s="13">
        <v>32</v>
      </c>
      <c r="N849" s="19"/>
      <c r="P849" s="592"/>
      <c r="Q849" s="592"/>
      <c r="R849" s="592"/>
      <c r="S849" s="592"/>
      <c r="T849" s="592"/>
      <c r="U849" s="592"/>
      <c r="V849" s="592"/>
      <c r="W849" s="592"/>
      <c r="X849" s="592"/>
    </row>
    <row r="850" spans="1:66" ht="15" customHeight="1">
      <c r="A850" s="24" t="s">
        <v>2319</v>
      </c>
      <c r="B850" s="12" t="s">
        <v>527</v>
      </c>
      <c r="C850" s="12" t="s">
        <v>2262</v>
      </c>
      <c r="D850" s="630" t="s">
        <v>1084</v>
      </c>
      <c r="E850" s="630"/>
      <c r="F850" s="12" t="s">
        <v>1923</v>
      </c>
      <c r="G850" s="56">
        <v>628.84</v>
      </c>
      <c r="H850" s="625"/>
      <c r="I850" s="56">
        <f>G850*AQ850</f>
        <v>0</v>
      </c>
      <c r="J850" s="56">
        <f>G850*AR850</f>
        <v>0</v>
      </c>
      <c r="K850" s="56">
        <f>G850*H850</f>
        <v>0</v>
      </c>
      <c r="L850" s="56">
        <v>4.4200000000000003E-3</v>
      </c>
      <c r="M850" s="56">
        <f>G850*L850</f>
        <v>2.7794728000000002</v>
      </c>
      <c r="N850" s="31" t="s">
        <v>1579</v>
      </c>
      <c r="P850" s="592"/>
      <c r="Q850" s="592"/>
      <c r="R850" s="592"/>
      <c r="S850" s="592"/>
      <c r="T850" s="592"/>
      <c r="U850" s="592"/>
      <c r="V850" s="592"/>
      <c r="W850" s="592"/>
      <c r="X850" s="592"/>
      <c r="AB850" s="56">
        <f>IF(AS850="5",BL850,0)</f>
        <v>0</v>
      </c>
      <c r="AD850" s="56">
        <f>IF(AS850="1",BJ850,0)</f>
        <v>0</v>
      </c>
      <c r="AE850" s="56">
        <f>IF(AS850="1",BK850,0)</f>
        <v>0</v>
      </c>
      <c r="AF850" s="56">
        <f>IF(AS850="7",BJ850,0)</f>
        <v>0</v>
      </c>
      <c r="AG850" s="56">
        <f>IF(AS850="7",BK850,0)</f>
        <v>0</v>
      </c>
      <c r="AH850" s="56">
        <f>IF(AS850="2",BJ850,0)</f>
        <v>0</v>
      </c>
      <c r="AI850" s="56">
        <f>IF(AS850="2",BK850,0)</f>
        <v>0</v>
      </c>
      <c r="AJ850" s="56">
        <f>IF(AS850="0",BL850,0)</f>
        <v>0</v>
      </c>
      <c r="AK850" s="7" t="s">
        <v>527</v>
      </c>
      <c r="AL850" s="56">
        <f>IF(AP850=0,K850,0)</f>
        <v>0</v>
      </c>
      <c r="AM850" s="56">
        <f>IF(AP850=15,K850,0)</f>
        <v>0</v>
      </c>
      <c r="AN850" s="56">
        <f>IF(AP850=21,K850,0)</f>
        <v>0</v>
      </c>
      <c r="AP850" s="56">
        <v>21</v>
      </c>
      <c r="AQ850" s="88">
        <f>H850*0.287136929460581</f>
        <v>0</v>
      </c>
      <c r="AR850" s="88">
        <f>H850*(1-0.287136929460581)</f>
        <v>0</v>
      </c>
      <c r="AS850" s="21" t="s">
        <v>2311</v>
      </c>
      <c r="AX850" s="56">
        <f>AY850+AZ850</f>
        <v>0</v>
      </c>
      <c r="AY850" s="56">
        <f>G850*AQ850</f>
        <v>0</v>
      </c>
      <c r="AZ850" s="56">
        <f>G850*AR850</f>
        <v>0</v>
      </c>
      <c r="BA850" s="21" t="s">
        <v>1449</v>
      </c>
      <c r="BB850" s="21" t="s">
        <v>788</v>
      </c>
      <c r="BC850" s="7" t="s">
        <v>1887</v>
      </c>
      <c r="BE850" s="56">
        <f>AY850+AZ850</f>
        <v>0</v>
      </c>
      <c r="BF850" s="56">
        <f>H850/(100-BG850)*100</f>
        <v>0</v>
      </c>
      <c r="BG850" s="56">
        <v>0</v>
      </c>
      <c r="BH850" s="56">
        <f>M850</f>
        <v>2.7794728000000002</v>
      </c>
      <c r="BJ850" s="56">
        <f>G850*AQ850</f>
        <v>0</v>
      </c>
      <c r="BK850" s="56">
        <f>G850*AR850</f>
        <v>0</v>
      </c>
      <c r="BL850" s="56">
        <f>G850*H850</f>
        <v>0</v>
      </c>
      <c r="BM850" s="56"/>
      <c r="BN850" s="56">
        <v>762</v>
      </c>
    </row>
    <row r="851" spans="1:66" ht="15" customHeight="1">
      <c r="A851" s="36"/>
      <c r="D851" s="45" t="s">
        <v>955</v>
      </c>
      <c r="E851" s="104" t="s">
        <v>1693</v>
      </c>
      <c r="G851" s="13">
        <v>519.80000000000007</v>
      </c>
      <c r="N851" s="19"/>
      <c r="P851" s="592"/>
      <c r="Q851" s="592"/>
      <c r="R851" s="592"/>
      <c r="S851" s="592"/>
      <c r="T851" s="592"/>
      <c r="U851" s="592"/>
      <c r="V851" s="592"/>
      <c r="W851" s="592"/>
      <c r="X851" s="592"/>
    </row>
    <row r="852" spans="1:66" ht="15" customHeight="1">
      <c r="A852" s="36"/>
      <c r="D852" s="45" t="s">
        <v>1653</v>
      </c>
      <c r="E852" s="104" t="s">
        <v>1597</v>
      </c>
      <c r="G852" s="13">
        <v>78</v>
      </c>
      <c r="N852" s="19"/>
      <c r="P852" s="592"/>
      <c r="Q852" s="592"/>
      <c r="R852" s="592"/>
      <c r="S852" s="592"/>
      <c r="T852" s="592"/>
      <c r="U852" s="592"/>
      <c r="V852" s="592"/>
      <c r="W852" s="592"/>
      <c r="X852" s="592"/>
    </row>
    <row r="853" spans="1:66" ht="15" customHeight="1">
      <c r="A853" s="36"/>
      <c r="D853" s="45" t="s">
        <v>1647</v>
      </c>
      <c r="E853" s="104" t="s">
        <v>1597</v>
      </c>
      <c r="G853" s="13">
        <v>13.440000000000001</v>
      </c>
      <c r="N853" s="19"/>
      <c r="P853" s="592"/>
      <c r="Q853" s="592"/>
      <c r="R853" s="592"/>
      <c r="S853" s="592"/>
      <c r="T853" s="592"/>
      <c r="U853" s="592"/>
      <c r="V853" s="592"/>
      <c r="W853" s="592"/>
      <c r="X853" s="592"/>
    </row>
    <row r="854" spans="1:66" ht="15" customHeight="1">
      <c r="A854" s="36"/>
      <c r="D854" s="45" t="s">
        <v>983</v>
      </c>
      <c r="E854" s="104" t="s">
        <v>1597</v>
      </c>
      <c r="G854" s="13">
        <v>17.600000000000001</v>
      </c>
      <c r="N854" s="19"/>
      <c r="P854" s="592"/>
      <c r="Q854" s="592"/>
      <c r="R854" s="592"/>
      <c r="S854" s="592"/>
      <c r="T854" s="592"/>
      <c r="U854" s="592"/>
      <c r="V854" s="592"/>
      <c r="W854" s="592"/>
      <c r="X854" s="592"/>
    </row>
    <row r="855" spans="1:66" ht="15" customHeight="1">
      <c r="A855" s="24" t="s">
        <v>535</v>
      </c>
      <c r="B855" s="12" t="s">
        <v>527</v>
      </c>
      <c r="C855" s="12" t="s">
        <v>1525</v>
      </c>
      <c r="D855" s="630" t="s">
        <v>717</v>
      </c>
      <c r="E855" s="630"/>
      <c r="F855" s="12" t="s">
        <v>2274</v>
      </c>
      <c r="G855" s="56">
        <v>480</v>
      </c>
      <c r="H855" s="625"/>
      <c r="I855" s="56">
        <f>G855*AQ855</f>
        <v>0</v>
      </c>
      <c r="J855" s="56">
        <f>G855*AR855</f>
        <v>0</v>
      </c>
      <c r="K855" s="56">
        <f>G855*H855</f>
        <v>0</v>
      </c>
      <c r="L855" s="56">
        <v>0</v>
      </c>
      <c r="M855" s="56">
        <f>G855*L855</f>
        <v>0</v>
      </c>
      <c r="N855" s="31" t="s">
        <v>1579</v>
      </c>
      <c r="P855" s="592"/>
      <c r="Q855" s="592"/>
      <c r="R855" s="592"/>
      <c r="S855" s="592"/>
      <c r="T855" s="592"/>
      <c r="U855" s="592"/>
      <c r="V855" s="592"/>
      <c r="W855" s="592"/>
      <c r="X855" s="592"/>
      <c r="AB855" s="56">
        <f>IF(AS855="5",BL855,0)</f>
        <v>0</v>
      </c>
      <c r="AD855" s="56">
        <f>IF(AS855="1",BJ855,0)</f>
        <v>0</v>
      </c>
      <c r="AE855" s="56">
        <f>IF(AS855="1",BK855,0)</f>
        <v>0</v>
      </c>
      <c r="AF855" s="56">
        <f>IF(AS855="7",BJ855,0)</f>
        <v>0</v>
      </c>
      <c r="AG855" s="56">
        <f>IF(AS855="7",BK855,0)</f>
        <v>0</v>
      </c>
      <c r="AH855" s="56">
        <f>IF(AS855="2",BJ855,0)</f>
        <v>0</v>
      </c>
      <c r="AI855" s="56">
        <f>IF(AS855="2",BK855,0)</f>
        <v>0</v>
      </c>
      <c r="AJ855" s="56">
        <f>IF(AS855="0",BL855,0)</f>
        <v>0</v>
      </c>
      <c r="AK855" s="7" t="s">
        <v>527</v>
      </c>
      <c r="AL855" s="56">
        <f>IF(AP855=0,K855,0)</f>
        <v>0</v>
      </c>
      <c r="AM855" s="56">
        <f>IF(AP855=15,K855,0)</f>
        <v>0</v>
      </c>
      <c r="AN855" s="56">
        <f>IF(AP855=21,K855,0)</f>
        <v>0</v>
      </c>
      <c r="AP855" s="56">
        <v>21</v>
      </c>
      <c r="AQ855" s="88">
        <f>H855*0</f>
        <v>0</v>
      </c>
      <c r="AR855" s="88">
        <f>H855*(1-0)</f>
        <v>0</v>
      </c>
      <c r="AS855" s="21" t="s">
        <v>2311</v>
      </c>
      <c r="AX855" s="56">
        <f>AY855+AZ855</f>
        <v>0</v>
      </c>
      <c r="AY855" s="56">
        <f>G855*AQ855</f>
        <v>0</v>
      </c>
      <c r="AZ855" s="56">
        <f>G855*AR855</f>
        <v>0</v>
      </c>
      <c r="BA855" s="21" t="s">
        <v>1449</v>
      </c>
      <c r="BB855" s="21" t="s">
        <v>788</v>
      </c>
      <c r="BC855" s="7" t="s">
        <v>1887</v>
      </c>
      <c r="BE855" s="56">
        <f>AY855+AZ855</f>
        <v>0</v>
      </c>
      <c r="BF855" s="56">
        <f>H855/(100-BG855)*100</f>
        <v>0</v>
      </c>
      <c r="BG855" s="56">
        <v>0</v>
      </c>
      <c r="BH855" s="56">
        <f>M855</f>
        <v>0</v>
      </c>
      <c r="BJ855" s="56">
        <f>G855*AQ855</f>
        <v>0</v>
      </c>
      <c r="BK855" s="56">
        <f>G855*AR855</f>
        <v>0</v>
      </c>
      <c r="BL855" s="56">
        <f>G855*H855</f>
        <v>0</v>
      </c>
      <c r="BM855" s="56"/>
      <c r="BN855" s="56">
        <v>762</v>
      </c>
    </row>
    <row r="856" spans="1:66" ht="15" customHeight="1">
      <c r="A856" s="36"/>
      <c r="D856" s="45" t="s">
        <v>1495</v>
      </c>
      <c r="E856" s="104" t="s">
        <v>1597</v>
      </c>
      <c r="G856" s="13">
        <v>480.00000000000006</v>
      </c>
      <c r="N856" s="19"/>
      <c r="P856" s="592"/>
      <c r="Q856" s="592"/>
      <c r="R856" s="592"/>
      <c r="S856" s="592"/>
      <c r="T856" s="592"/>
      <c r="U856" s="592"/>
      <c r="V856" s="592"/>
      <c r="W856" s="592"/>
      <c r="X856" s="592"/>
    </row>
    <row r="857" spans="1:66" ht="15" customHeight="1">
      <c r="A857" s="8" t="s">
        <v>27</v>
      </c>
      <c r="B857" s="75" t="s">
        <v>527</v>
      </c>
      <c r="C857" s="75" t="s">
        <v>2053</v>
      </c>
      <c r="D857" s="710" t="s">
        <v>1255</v>
      </c>
      <c r="E857" s="710"/>
      <c r="F857" s="75" t="s">
        <v>2274</v>
      </c>
      <c r="G857" s="80">
        <v>552</v>
      </c>
      <c r="H857" s="626"/>
      <c r="I857" s="80">
        <f>G857*AQ857</f>
        <v>0</v>
      </c>
      <c r="J857" s="80">
        <f>G857*AR857</f>
        <v>0</v>
      </c>
      <c r="K857" s="80">
        <f>G857*H857</f>
        <v>0</v>
      </c>
      <c r="L857" s="80">
        <v>1.1299999999999999E-2</v>
      </c>
      <c r="M857" s="80">
        <f>G857*L857</f>
        <v>6.2375999999999996</v>
      </c>
      <c r="N857" s="38" t="s">
        <v>1579</v>
      </c>
      <c r="P857" s="592"/>
      <c r="Q857" s="592"/>
      <c r="R857" s="592"/>
      <c r="S857" s="592"/>
      <c r="T857" s="592"/>
      <c r="U857" s="592"/>
      <c r="V857" s="592"/>
      <c r="W857" s="592"/>
      <c r="X857" s="592"/>
      <c r="AB857" s="56">
        <f>IF(AS857="5",BL857,0)</f>
        <v>0</v>
      </c>
      <c r="AD857" s="56">
        <f>IF(AS857="1",BJ857,0)</f>
        <v>0</v>
      </c>
      <c r="AE857" s="56">
        <f>IF(AS857="1",BK857,0)</f>
        <v>0</v>
      </c>
      <c r="AF857" s="56">
        <f>IF(AS857="7",BJ857,0)</f>
        <v>0</v>
      </c>
      <c r="AG857" s="56">
        <f>IF(AS857="7",BK857,0)</f>
        <v>0</v>
      </c>
      <c r="AH857" s="56">
        <f>IF(AS857="2",BJ857,0)</f>
        <v>0</v>
      </c>
      <c r="AI857" s="56">
        <f>IF(AS857="2",BK857,0)</f>
        <v>0</v>
      </c>
      <c r="AJ857" s="56">
        <f>IF(AS857="0",BL857,0)</f>
        <v>0</v>
      </c>
      <c r="AK857" s="7" t="s">
        <v>527</v>
      </c>
      <c r="AL857" s="80">
        <f>IF(AP857=0,K857,0)</f>
        <v>0</v>
      </c>
      <c r="AM857" s="80">
        <f>IF(AP857=15,K857,0)</f>
        <v>0</v>
      </c>
      <c r="AN857" s="80">
        <f>IF(AP857=21,K857,0)</f>
        <v>0</v>
      </c>
      <c r="AP857" s="56">
        <v>21</v>
      </c>
      <c r="AQ857" s="88">
        <f>H857*1</f>
        <v>0</v>
      </c>
      <c r="AR857" s="88">
        <f>H857*(1-1)</f>
        <v>0</v>
      </c>
      <c r="AS857" s="64" t="s">
        <v>2311</v>
      </c>
      <c r="AX857" s="56">
        <f>AY857+AZ857</f>
        <v>0</v>
      </c>
      <c r="AY857" s="56">
        <f>G857*AQ857</f>
        <v>0</v>
      </c>
      <c r="AZ857" s="56">
        <f>G857*AR857</f>
        <v>0</v>
      </c>
      <c r="BA857" s="21" t="s">
        <v>1449</v>
      </c>
      <c r="BB857" s="21" t="s">
        <v>788</v>
      </c>
      <c r="BC857" s="7" t="s">
        <v>1887</v>
      </c>
      <c r="BE857" s="56">
        <f>AY857+AZ857</f>
        <v>0</v>
      </c>
      <c r="BF857" s="56">
        <f>H857/(100-BG857)*100</f>
        <v>0</v>
      </c>
      <c r="BG857" s="56">
        <v>0</v>
      </c>
      <c r="BH857" s="56">
        <f>M857</f>
        <v>6.2375999999999996</v>
      </c>
      <c r="BJ857" s="80">
        <f>G857*AQ857</f>
        <v>0</v>
      </c>
      <c r="BK857" s="80">
        <f>G857*AR857</f>
        <v>0</v>
      </c>
      <c r="BL857" s="80">
        <f>G857*H857</f>
        <v>0</v>
      </c>
      <c r="BM857" s="80"/>
      <c r="BN857" s="56">
        <v>762</v>
      </c>
    </row>
    <row r="858" spans="1:66" ht="15" customHeight="1">
      <c r="A858" s="36"/>
      <c r="D858" s="45" t="s">
        <v>1495</v>
      </c>
      <c r="E858" s="104" t="s">
        <v>2164</v>
      </c>
      <c r="G858" s="13">
        <v>480.00000000000006</v>
      </c>
      <c r="N858" s="19"/>
      <c r="P858" s="592"/>
      <c r="Q858" s="592"/>
      <c r="R858" s="592"/>
      <c r="S858" s="592"/>
      <c r="T858" s="592"/>
      <c r="U858" s="592"/>
      <c r="V858" s="592"/>
      <c r="W858" s="592"/>
      <c r="X858" s="592"/>
    </row>
    <row r="859" spans="1:66" ht="15" customHeight="1">
      <c r="A859" s="36"/>
      <c r="D859" s="45" t="s">
        <v>1470</v>
      </c>
      <c r="E859" s="104" t="s">
        <v>1597</v>
      </c>
      <c r="G859" s="13">
        <v>72</v>
      </c>
      <c r="N859" s="19"/>
      <c r="P859" s="592"/>
      <c r="Q859" s="592"/>
      <c r="R859" s="592"/>
      <c r="S859" s="592"/>
      <c r="T859" s="592"/>
      <c r="U859" s="592"/>
      <c r="V859" s="592"/>
      <c r="W859" s="592"/>
      <c r="X859" s="592"/>
    </row>
    <row r="860" spans="1:66" ht="15" customHeight="1">
      <c r="A860" s="8" t="s">
        <v>549</v>
      </c>
      <c r="B860" s="75" t="s">
        <v>527</v>
      </c>
      <c r="C860" s="75" t="s">
        <v>453</v>
      </c>
      <c r="D860" s="710" t="s">
        <v>2046</v>
      </c>
      <c r="E860" s="710"/>
      <c r="F860" s="75" t="s">
        <v>1062</v>
      </c>
      <c r="G860" s="80">
        <v>5.04</v>
      </c>
      <c r="H860" s="626"/>
      <c r="I860" s="80">
        <f>G860*AQ860</f>
        <v>0</v>
      </c>
      <c r="J860" s="80">
        <f>G860*AR860</f>
        <v>0</v>
      </c>
      <c r="K860" s="80">
        <f>G860*H860</f>
        <v>0</v>
      </c>
      <c r="L860" s="80">
        <v>9.8700000000000003E-3</v>
      </c>
      <c r="M860" s="80">
        <f>G860*L860</f>
        <v>4.9744799999999999E-2</v>
      </c>
      <c r="N860" s="38" t="s">
        <v>1579</v>
      </c>
      <c r="P860" s="592"/>
      <c r="Q860" s="592"/>
      <c r="R860" s="592"/>
      <c r="S860" s="592"/>
      <c r="T860" s="592"/>
      <c r="U860" s="592"/>
      <c r="V860" s="592"/>
      <c r="W860" s="592"/>
      <c r="X860" s="592"/>
      <c r="AB860" s="56">
        <f>IF(AS860="5",BL860,0)</f>
        <v>0</v>
      </c>
      <c r="AD860" s="56">
        <f>IF(AS860="1",BJ860,0)</f>
        <v>0</v>
      </c>
      <c r="AE860" s="56">
        <f>IF(AS860="1",BK860,0)</f>
        <v>0</v>
      </c>
      <c r="AF860" s="56">
        <f>IF(AS860="7",BJ860,0)</f>
        <v>0</v>
      </c>
      <c r="AG860" s="56">
        <f>IF(AS860="7",BK860,0)</f>
        <v>0</v>
      </c>
      <c r="AH860" s="56">
        <f>IF(AS860="2",BJ860,0)</f>
        <v>0</v>
      </c>
      <c r="AI860" s="56">
        <f>IF(AS860="2",BK860,0)</f>
        <v>0</v>
      </c>
      <c r="AJ860" s="56">
        <f>IF(AS860="0",BL860,0)</f>
        <v>0</v>
      </c>
      <c r="AK860" s="7" t="s">
        <v>527</v>
      </c>
      <c r="AL860" s="80">
        <f>IF(AP860=0,K860,0)</f>
        <v>0</v>
      </c>
      <c r="AM860" s="80">
        <f>IF(AP860=15,K860,0)</f>
        <v>0</v>
      </c>
      <c r="AN860" s="80">
        <f>IF(AP860=21,K860,0)</f>
        <v>0</v>
      </c>
      <c r="AP860" s="56">
        <v>21</v>
      </c>
      <c r="AQ860" s="88">
        <f>H860*1</f>
        <v>0</v>
      </c>
      <c r="AR860" s="88">
        <f>H860*(1-1)</f>
        <v>0</v>
      </c>
      <c r="AS860" s="64" t="s">
        <v>2311</v>
      </c>
      <c r="AX860" s="56">
        <f>AY860+AZ860</f>
        <v>0</v>
      </c>
      <c r="AY860" s="56">
        <f>G860*AQ860</f>
        <v>0</v>
      </c>
      <c r="AZ860" s="56">
        <f>G860*AR860</f>
        <v>0</v>
      </c>
      <c r="BA860" s="21" t="s">
        <v>1449</v>
      </c>
      <c r="BB860" s="21" t="s">
        <v>788</v>
      </c>
      <c r="BC860" s="7" t="s">
        <v>1887</v>
      </c>
      <c r="BE860" s="56">
        <f>AY860+AZ860</f>
        <v>0</v>
      </c>
      <c r="BF860" s="56">
        <f>H860/(100-BG860)*100</f>
        <v>0</v>
      </c>
      <c r="BG860" s="56">
        <v>0</v>
      </c>
      <c r="BH860" s="56">
        <f>M860</f>
        <v>4.9744799999999999E-2</v>
      </c>
      <c r="BJ860" s="80">
        <f>G860*AQ860</f>
        <v>0</v>
      </c>
      <c r="BK860" s="80">
        <f>G860*AR860</f>
        <v>0</v>
      </c>
      <c r="BL860" s="80">
        <f>G860*H860</f>
        <v>0</v>
      </c>
      <c r="BM860" s="80"/>
      <c r="BN860" s="56">
        <v>762</v>
      </c>
    </row>
    <row r="861" spans="1:66" ht="15" customHeight="1">
      <c r="A861" s="36"/>
      <c r="D861" s="45" t="s">
        <v>371</v>
      </c>
      <c r="E861" s="104" t="s">
        <v>313</v>
      </c>
      <c r="G861" s="13">
        <v>4.8000000000000007</v>
      </c>
      <c r="N861" s="19"/>
      <c r="P861" s="592"/>
      <c r="Q861" s="592"/>
      <c r="R861" s="592"/>
      <c r="S861" s="592"/>
      <c r="T861" s="592"/>
      <c r="U861" s="592"/>
      <c r="V861" s="592"/>
      <c r="W861" s="592"/>
      <c r="X861" s="592"/>
    </row>
    <row r="862" spans="1:66" ht="15" customHeight="1">
      <c r="A862" s="36"/>
      <c r="D862" s="45" t="s">
        <v>1705</v>
      </c>
      <c r="E862" s="104" t="s">
        <v>1597</v>
      </c>
      <c r="G862" s="13">
        <v>0.24000000000000002</v>
      </c>
      <c r="N862" s="19"/>
      <c r="P862" s="592"/>
      <c r="Q862" s="592"/>
      <c r="R862" s="592"/>
      <c r="S862" s="592"/>
      <c r="T862" s="592"/>
      <c r="U862" s="592"/>
      <c r="V862" s="592"/>
      <c r="W862" s="592"/>
      <c r="X862" s="592"/>
    </row>
    <row r="863" spans="1:66" ht="15" customHeight="1">
      <c r="A863" s="8" t="s">
        <v>694</v>
      </c>
      <c r="B863" s="75" t="s">
        <v>527</v>
      </c>
      <c r="C863" s="75" t="s">
        <v>1523</v>
      </c>
      <c r="D863" s="710" t="s">
        <v>2099</v>
      </c>
      <c r="E863" s="710"/>
      <c r="F863" s="75" t="s">
        <v>564</v>
      </c>
      <c r="G863" s="80">
        <v>43.65</v>
      </c>
      <c r="H863" s="626"/>
      <c r="I863" s="80">
        <f>G863*AQ863</f>
        <v>0</v>
      </c>
      <c r="J863" s="80">
        <f>G863*AR863</f>
        <v>0</v>
      </c>
      <c r="K863" s="80">
        <f>G863*H863</f>
        <v>0</v>
      </c>
      <c r="L863" s="80">
        <v>1E-4</v>
      </c>
      <c r="M863" s="80">
        <f>G863*L863</f>
        <v>4.365E-3</v>
      </c>
      <c r="N863" s="38" t="s">
        <v>1579</v>
      </c>
      <c r="P863" s="592"/>
      <c r="Q863" s="592"/>
      <c r="R863" s="592"/>
      <c r="S863" s="592"/>
      <c r="T863" s="592"/>
      <c r="U863" s="592"/>
      <c r="V863" s="592"/>
      <c r="W863" s="592"/>
      <c r="X863" s="592"/>
      <c r="AB863" s="56">
        <f>IF(AS863="5",BL863,0)</f>
        <v>0</v>
      </c>
      <c r="AD863" s="56">
        <f>IF(AS863="1",BJ863,0)</f>
        <v>0</v>
      </c>
      <c r="AE863" s="56">
        <f>IF(AS863="1",BK863,0)</f>
        <v>0</v>
      </c>
      <c r="AF863" s="56">
        <f>IF(AS863="7",BJ863,0)</f>
        <v>0</v>
      </c>
      <c r="AG863" s="56">
        <f>IF(AS863="7",BK863,0)</f>
        <v>0</v>
      </c>
      <c r="AH863" s="56">
        <f>IF(AS863="2",BJ863,0)</f>
        <v>0</v>
      </c>
      <c r="AI863" s="56">
        <f>IF(AS863="2",BK863,0)</f>
        <v>0</v>
      </c>
      <c r="AJ863" s="56">
        <f>IF(AS863="0",BL863,0)</f>
        <v>0</v>
      </c>
      <c r="AK863" s="7" t="s">
        <v>527</v>
      </c>
      <c r="AL863" s="80">
        <f>IF(AP863=0,K863,0)</f>
        <v>0</v>
      </c>
      <c r="AM863" s="80">
        <f>IF(AP863=15,K863,0)</f>
        <v>0</v>
      </c>
      <c r="AN863" s="80">
        <f>IF(AP863=21,K863,0)</f>
        <v>0</v>
      </c>
      <c r="AP863" s="56">
        <v>21</v>
      </c>
      <c r="AQ863" s="88">
        <f>H863*1</f>
        <v>0</v>
      </c>
      <c r="AR863" s="88">
        <f>H863*(1-1)</f>
        <v>0</v>
      </c>
      <c r="AS863" s="64" t="s">
        <v>2311</v>
      </c>
      <c r="AX863" s="56">
        <f>AY863+AZ863</f>
        <v>0</v>
      </c>
      <c r="AY863" s="56">
        <f>G863*AQ863</f>
        <v>0</v>
      </c>
      <c r="AZ863" s="56">
        <f>G863*AR863</f>
        <v>0</v>
      </c>
      <c r="BA863" s="21" t="s">
        <v>1449</v>
      </c>
      <c r="BB863" s="21" t="s">
        <v>788</v>
      </c>
      <c r="BC863" s="7" t="s">
        <v>1887</v>
      </c>
      <c r="BE863" s="56">
        <f>AY863+AZ863</f>
        <v>0</v>
      </c>
      <c r="BF863" s="56">
        <f>H863/(100-BG863)*100</f>
        <v>0</v>
      </c>
      <c r="BG863" s="56">
        <v>0</v>
      </c>
      <c r="BH863" s="56">
        <f>M863</f>
        <v>4.365E-3</v>
      </c>
      <c r="BJ863" s="80">
        <f>G863*AQ863</f>
        <v>0</v>
      </c>
      <c r="BK863" s="80">
        <f>G863*AR863</f>
        <v>0</v>
      </c>
      <c r="BL863" s="80">
        <f>G863*H863</f>
        <v>0</v>
      </c>
      <c r="BM863" s="80"/>
      <c r="BN863" s="56">
        <v>762</v>
      </c>
    </row>
    <row r="864" spans="1:66" ht="15" customHeight="1">
      <c r="A864" s="36"/>
      <c r="D864" s="45" t="s">
        <v>748</v>
      </c>
      <c r="E864" s="104" t="s">
        <v>1597</v>
      </c>
      <c r="G864" s="13">
        <v>39.68</v>
      </c>
      <c r="N864" s="19"/>
      <c r="P864" s="592"/>
      <c r="Q864" s="592"/>
      <c r="R864" s="592"/>
      <c r="S864" s="592"/>
      <c r="T864" s="592"/>
      <c r="U864" s="592"/>
      <c r="V864" s="592"/>
      <c r="W864" s="592"/>
      <c r="X864" s="592"/>
    </row>
    <row r="865" spans="1:66" ht="15" customHeight="1">
      <c r="A865" s="36"/>
      <c r="D865" s="45" t="s">
        <v>1564</v>
      </c>
      <c r="E865" s="104" t="s">
        <v>1597</v>
      </c>
      <c r="G865" s="13">
        <v>3.97</v>
      </c>
      <c r="N865" s="19"/>
      <c r="P865" s="592"/>
      <c r="Q865" s="592"/>
      <c r="R865" s="592"/>
      <c r="S865" s="592"/>
      <c r="T865" s="592"/>
      <c r="U865" s="592"/>
      <c r="V865" s="592"/>
      <c r="W865" s="592"/>
      <c r="X865" s="592"/>
    </row>
    <row r="866" spans="1:66" ht="15" customHeight="1">
      <c r="A866" s="24" t="s">
        <v>2531</v>
      </c>
      <c r="B866" s="12" t="s">
        <v>527</v>
      </c>
      <c r="C866" s="12" t="s">
        <v>1525</v>
      </c>
      <c r="D866" s="630" t="s">
        <v>717</v>
      </c>
      <c r="E866" s="630"/>
      <c r="F866" s="12" t="s">
        <v>2274</v>
      </c>
      <c r="G866" s="56">
        <v>550</v>
      </c>
      <c r="H866" s="625"/>
      <c r="I866" s="56">
        <f>G866*AQ866</f>
        <v>0</v>
      </c>
      <c r="J866" s="56">
        <f>G866*AR866</f>
        <v>0</v>
      </c>
      <c r="K866" s="56">
        <f>G866*H866</f>
        <v>0</v>
      </c>
      <c r="L866" s="56">
        <v>0</v>
      </c>
      <c r="M866" s="56">
        <f>G866*L866</f>
        <v>0</v>
      </c>
      <c r="N866" s="31" t="s">
        <v>1579</v>
      </c>
      <c r="P866" s="592"/>
      <c r="Q866" s="592"/>
      <c r="R866" s="592"/>
      <c r="S866" s="592"/>
      <c r="T866" s="592"/>
      <c r="U866" s="592"/>
      <c r="V866" s="592"/>
      <c r="W866" s="592"/>
      <c r="X866" s="592"/>
      <c r="AB866" s="56">
        <f>IF(AS866="5",BL866,0)</f>
        <v>0</v>
      </c>
      <c r="AD866" s="56">
        <f>IF(AS866="1",BJ866,0)</f>
        <v>0</v>
      </c>
      <c r="AE866" s="56">
        <f>IF(AS866="1",BK866,0)</f>
        <v>0</v>
      </c>
      <c r="AF866" s="56">
        <f>IF(AS866="7",BJ866,0)</f>
        <v>0</v>
      </c>
      <c r="AG866" s="56">
        <f>IF(AS866="7",BK866,0)</f>
        <v>0</v>
      </c>
      <c r="AH866" s="56">
        <f>IF(AS866="2",BJ866,0)</f>
        <v>0</v>
      </c>
      <c r="AI866" s="56">
        <f>IF(AS866="2",BK866,0)</f>
        <v>0</v>
      </c>
      <c r="AJ866" s="56">
        <f>IF(AS866="0",BL866,0)</f>
        <v>0</v>
      </c>
      <c r="AK866" s="7" t="s">
        <v>527</v>
      </c>
      <c r="AL866" s="56">
        <f>IF(AP866=0,K866,0)</f>
        <v>0</v>
      </c>
      <c r="AM866" s="56">
        <f>IF(AP866=15,K866,0)</f>
        <v>0</v>
      </c>
      <c r="AN866" s="56">
        <f>IF(AP866=21,K866,0)</f>
        <v>0</v>
      </c>
      <c r="AP866" s="56">
        <v>21</v>
      </c>
      <c r="AQ866" s="88">
        <f>H866*0</f>
        <v>0</v>
      </c>
      <c r="AR866" s="88">
        <f>H866*(1-0)</f>
        <v>0</v>
      </c>
      <c r="AS866" s="21" t="s">
        <v>2311</v>
      </c>
      <c r="AX866" s="56">
        <f>AY866+AZ866</f>
        <v>0</v>
      </c>
      <c r="AY866" s="56">
        <f>G866*AQ866</f>
        <v>0</v>
      </c>
      <c r="AZ866" s="56">
        <f>G866*AR866</f>
        <v>0</v>
      </c>
      <c r="BA866" s="21" t="s">
        <v>1449</v>
      </c>
      <c r="BB866" s="21" t="s">
        <v>788</v>
      </c>
      <c r="BC866" s="7" t="s">
        <v>1887</v>
      </c>
      <c r="BE866" s="56">
        <f>AY866+AZ866</f>
        <v>0</v>
      </c>
      <c r="BF866" s="56">
        <f>H866/(100-BG866)*100</f>
        <v>0</v>
      </c>
      <c r="BG866" s="56">
        <v>0</v>
      </c>
      <c r="BH866" s="56">
        <f>M866</f>
        <v>0</v>
      </c>
      <c r="BJ866" s="56">
        <f>G866*AQ866</f>
        <v>0</v>
      </c>
      <c r="BK866" s="56">
        <f>G866*AR866</f>
        <v>0</v>
      </c>
      <c r="BL866" s="56">
        <f>G866*H866</f>
        <v>0</v>
      </c>
      <c r="BM866" s="56"/>
      <c r="BN866" s="56">
        <v>762</v>
      </c>
    </row>
    <row r="867" spans="1:66" ht="15" customHeight="1">
      <c r="A867" s="36"/>
      <c r="D867" s="45" t="s">
        <v>103</v>
      </c>
      <c r="E867" s="104" t="s">
        <v>1597</v>
      </c>
      <c r="G867" s="13">
        <v>550</v>
      </c>
      <c r="N867" s="19"/>
      <c r="P867" s="592"/>
      <c r="Q867" s="592"/>
      <c r="R867" s="592"/>
      <c r="S867" s="592"/>
      <c r="T867" s="592"/>
      <c r="U867" s="592"/>
      <c r="V867" s="592"/>
      <c r="W867" s="592"/>
      <c r="X867" s="592"/>
    </row>
    <row r="868" spans="1:66" ht="15" customHeight="1">
      <c r="A868" s="8" t="s">
        <v>230</v>
      </c>
      <c r="B868" s="75" t="s">
        <v>527</v>
      </c>
      <c r="C868" s="75" t="s">
        <v>633</v>
      </c>
      <c r="D868" s="710" t="s">
        <v>2407</v>
      </c>
      <c r="E868" s="710"/>
      <c r="F868" s="75" t="s">
        <v>2274</v>
      </c>
      <c r="G868" s="80">
        <v>604.65</v>
      </c>
      <c r="H868" s="626"/>
      <c r="I868" s="80">
        <f>G868*AQ868</f>
        <v>0</v>
      </c>
      <c r="J868" s="80">
        <f>G868*AR868</f>
        <v>0</v>
      </c>
      <c r="K868" s="80">
        <f>G868*H868</f>
        <v>0</v>
      </c>
      <c r="L868" s="80">
        <v>9.0799999999999995E-3</v>
      </c>
      <c r="M868" s="80">
        <f>G868*L868</f>
        <v>5.4902219999999993</v>
      </c>
      <c r="N868" s="38" t="s">
        <v>1579</v>
      </c>
      <c r="P868" s="592"/>
      <c r="Q868" s="592"/>
      <c r="R868" s="592"/>
      <c r="S868" s="592"/>
      <c r="T868" s="592"/>
      <c r="U868" s="592"/>
      <c r="V868" s="592"/>
      <c r="W868" s="592"/>
      <c r="X868" s="592"/>
      <c r="AB868" s="56">
        <f>IF(AS868="5",BL868,0)</f>
        <v>0</v>
      </c>
      <c r="AD868" s="56">
        <f>IF(AS868="1",BJ868,0)</f>
        <v>0</v>
      </c>
      <c r="AE868" s="56">
        <f>IF(AS868="1",BK868,0)</f>
        <v>0</v>
      </c>
      <c r="AF868" s="56">
        <f>IF(AS868="7",BJ868,0)</f>
        <v>0</v>
      </c>
      <c r="AG868" s="56">
        <f>IF(AS868="7",BK868,0)</f>
        <v>0</v>
      </c>
      <c r="AH868" s="56">
        <f>IF(AS868="2",BJ868,0)</f>
        <v>0</v>
      </c>
      <c r="AI868" s="56">
        <f>IF(AS868="2",BK868,0)</f>
        <v>0</v>
      </c>
      <c r="AJ868" s="56">
        <f>IF(AS868="0",BL868,0)</f>
        <v>0</v>
      </c>
      <c r="AK868" s="7" t="s">
        <v>527</v>
      </c>
      <c r="AL868" s="80">
        <f>IF(AP868=0,K868,0)</f>
        <v>0</v>
      </c>
      <c r="AM868" s="80">
        <f>IF(AP868=15,K868,0)</f>
        <v>0</v>
      </c>
      <c r="AN868" s="80">
        <f>IF(AP868=21,K868,0)</f>
        <v>0</v>
      </c>
      <c r="AP868" s="56">
        <v>21</v>
      </c>
      <c r="AQ868" s="88">
        <f>H868*1</f>
        <v>0</v>
      </c>
      <c r="AR868" s="88">
        <f>H868*(1-1)</f>
        <v>0</v>
      </c>
      <c r="AS868" s="64" t="s">
        <v>2311</v>
      </c>
      <c r="AX868" s="56">
        <f>AY868+AZ868</f>
        <v>0</v>
      </c>
      <c r="AY868" s="56">
        <f>G868*AQ868</f>
        <v>0</v>
      </c>
      <c r="AZ868" s="56">
        <f>G868*AR868</f>
        <v>0</v>
      </c>
      <c r="BA868" s="21" t="s">
        <v>1449</v>
      </c>
      <c r="BB868" s="21" t="s">
        <v>788</v>
      </c>
      <c r="BC868" s="7" t="s">
        <v>1887</v>
      </c>
      <c r="BE868" s="56">
        <f>AY868+AZ868</f>
        <v>0</v>
      </c>
      <c r="BF868" s="56">
        <f>H868/(100-BG868)*100</f>
        <v>0</v>
      </c>
      <c r="BG868" s="56">
        <v>0</v>
      </c>
      <c r="BH868" s="56">
        <f>M868</f>
        <v>5.4902219999999993</v>
      </c>
      <c r="BJ868" s="80">
        <f>G868*AQ868</f>
        <v>0</v>
      </c>
      <c r="BK868" s="80">
        <f>G868*AR868</f>
        <v>0</v>
      </c>
      <c r="BL868" s="80">
        <f>G868*H868</f>
        <v>0</v>
      </c>
      <c r="BM868" s="80"/>
      <c r="BN868" s="56">
        <v>762</v>
      </c>
    </row>
    <row r="869" spans="1:66" ht="15" customHeight="1">
      <c r="A869" s="36"/>
      <c r="D869" s="45" t="s">
        <v>1495</v>
      </c>
      <c r="E869" s="104" t="s">
        <v>2627</v>
      </c>
      <c r="G869" s="13">
        <v>480.00000000000006</v>
      </c>
      <c r="N869" s="19"/>
      <c r="P869" s="592"/>
      <c r="Q869" s="592"/>
      <c r="R869" s="592"/>
      <c r="S869" s="592"/>
      <c r="T869" s="592"/>
      <c r="U869" s="592"/>
      <c r="V869" s="592"/>
      <c r="W869" s="592"/>
      <c r="X869" s="592"/>
    </row>
    <row r="870" spans="1:66" ht="15" customHeight="1">
      <c r="A870" s="36"/>
      <c r="D870" s="45" t="s">
        <v>1141</v>
      </c>
      <c r="E870" s="104" t="s">
        <v>573</v>
      </c>
      <c r="G870" s="13">
        <v>50.000000000000007</v>
      </c>
      <c r="N870" s="19"/>
      <c r="P870" s="592"/>
      <c r="Q870" s="592"/>
      <c r="R870" s="592"/>
      <c r="S870" s="592"/>
      <c r="T870" s="592"/>
      <c r="U870" s="592"/>
      <c r="V870" s="592"/>
      <c r="W870" s="592"/>
      <c r="X870" s="592"/>
    </row>
    <row r="871" spans="1:66" ht="15" customHeight="1">
      <c r="A871" s="36"/>
      <c r="D871" s="45" t="s">
        <v>480</v>
      </c>
      <c r="E871" s="104" t="s">
        <v>1915</v>
      </c>
      <c r="G871" s="13">
        <v>19.680000000000003</v>
      </c>
      <c r="N871" s="19"/>
      <c r="P871" s="592"/>
      <c r="Q871" s="592"/>
      <c r="R871" s="592"/>
      <c r="S871" s="592"/>
      <c r="T871" s="592"/>
      <c r="U871" s="592"/>
      <c r="V871" s="592"/>
      <c r="W871" s="592"/>
      <c r="X871" s="592"/>
    </row>
    <row r="872" spans="1:66" ht="15" customHeight="1">
      <c r="A872" s="36"/>
      <c r="D872" s="45" t="s">
        <v>494</v>
      </c>
      <c r="E872" s="104" t="s">
        <v>1597</v>
      </c>
      <c r="G872" s="13">
        <v>54.970000000000006</v>
      </c>
      <c r="N872" s="19"/>
      <c r="P872" s="592"/>
      <c r="Q872" s="592"/>
      <c r="R872" s="592"/>
      <c r="S872" s="592"/>
      <c r="T872" s="592"/>
      <c r="U872" s="592"/>
      <c r="V872" s="592"/>
      <c r="W872" s="592"/>
      <c r="X872" s="592"/>
    </row>
    <row r="873" spans="1:66" ht="15" customHeight="1">
      <c r="A873" s="8" t="s">
        <v>884</v>
      </c>
      <c r="B873" s="75" t="s">
        <v>527</v>
      </c>
      <c r="C873" s="75" t="s">
        <v>453</v>
      </c>
      <c r="D873" s="710" t="s">
        <v>2046</v>
      </c>
      <c r="E873" s="710"/>
      <c r="F873" s="75" t="s">
        <v>1062</v>
      </c>
      <c r="G873" s="80">
        <v>2.31</v>
      </c>
      <c r="H873" s="626"/>
      <c r="I873" s="80">
        <f>G873*AQ873</f>
        <v>0</v>
      </c>
      <c r="J873" s="80">
        <f>G873*AR873</f>
        <v>0</v>
      </c>
      <c r="K873" s="80">
        <f>G873*H873</f>
        <v>0</v>
      </c>
      <c r="L873" s="80">
        <v>9.8700000000000003E-3</v>
      </c>
      <c r="M873" s="80">
        <f>G873*L873</f>
        <v>2.2799700000000003E-2</v>
      </c>
      <c r="N873" s="38" t="s">
        <v>1579</v>
      </c>
      <c r="P873" s="592"/>
      <c r="Q873" s="592"/>
      <c r="R873" s="592"/>
      <c r="S873" s="592"/>
      <c r="T873" s="592"/>
      <c r="U873" s="592"/>
      <c r="V873" s="592"/>
      <c r="W873" s="592"/>
      <c r="X873" s="592"/>
      <c r="AB873" s="56">
        <f>IF(AS873="5",BL873,0)</f>
        <v>0</v>
      </c>
      <c r="AD873" s="56">
        <f>IF(AS873="1",BJ873,0)</f>
        <v>0</v>
      </c>
      <c r="AE873" s="56">
        <f>IF(AS873="1",BK873,0)</f>
        <v>0</v>
      </c>
      <c r="AF873" s="56">
        <f>IF(AS873="7",BJ873,0)</f>
        <v>0</v>
      </c>
      <c r="AG873" s="56">
        <f>IF(AS873="7",BK873,0)</f>
        <v>0</v>
      </c>
      <c r="AH873" s="56">
        <f>IF(AS873="2",BJ873,0)</f>
        <v>0</v>
      </c>
      <c r="AI873" s="56">
        <f>IF(AS873="2",BK873,0)</f>
        <v>0</v>
      </c>
      <c r="AJ873" s="56">
        <f>IF(AS873="0",BL873,0)</f>
        <v>0</v>
      </c>
      <c r="AK873" s="7" t="s">
        <v>527</v>
      </c>
      <c r="AL873" s="80">
        <f>IF(AP873=0,K873,0)</f>
        <v>0</v>
      </c>
      <c r="AM873" s="80">
        <f>IF(AP873=15,K873,0)</f>
        <v>0</v>
      </c>
      <c r="AN873" s="80">
        <f>IF(AP873=21,K873,0)</f>
        <v>0</v>
      </c>
      <c r="AP873" s="56">
        <v>21</v>
      </c>
      <c r="AQ873" s="88">
        <f>H873*1</f>
        <v>0</v>
      </c>
      <c r="AR873" s="88">
        <f>H873*(1-1)</f>
        <v>0</v>
      </c>
      <c r="AS873" s="64" t="s">
        <v>2311</v>
      </c>
      <c r="AX873" s="56">
        <f>AY873+AZ873</f>
        <v>0</v>
      </c>
      <c r="AY873" s="56">
        <f>G873*AQ873</f>
        <v>0</v>
      </c>
      <c r="AZ873" s="56">
        <f>G873*AR873</f>
        <v>0</v>
      </c>
      <c r="BA873" s="21" t="s">
        <v>1449</v>
      </c>
      <c r="BB873" s="21" t="s">
        <v>788</v>
      </c>
      <c r="BC873" s="7" t="s">
        <v>1887</v>
      </c>
      <c r="BE873" s="56">
        <f>AY873+AZ873</f>
        <v>0</v>
      </c>
      <c r="BF873" s="56">
        <f>H873/(100-BG873)*100</f>
        <v>0</v>
      </c>
      <c r="BG873" s="56">
        <v>0</v>
      </c>
      <c r="BH873" s="56">
        <f>M873</f>
        <v>2.2799700000000003E-2</v>
      </c>
      <c r="BJ873" s="80">
        <f>G873*AQ873</f>
        <v>0</v>
      </c>
      <c r="BK873" s="80">
        <f>G873*AR873</f>
        <v>0</v>
      </c>
      <c r="BL873" s="80">
        <f>G873*H873</f>
        <v>0</v>
      </c>
      <c r="BM873" s="80"/>
      <c r="BN873" s="56">
        <v>762</v>
      </c>
    </row>
    <row r="874" spans="1:66" ht="15" customHeight="1">
      <c r="A874" s="36"/>
      <c r="D874" s="45" t="s">
        <v>2089</v>
      </c>
      <c r="E874" s="104" t="s">
        <v>497</v>
      </c>
      <c r="G874" s="13">
        <v>2.2000000000000002</v>
      </c>
      <c r="N874" s="19"/>
      <c r="P874" s="592"/>
      <c r="Q874" s="592"/>
      <c r="R874" s="592"/>
      <c r="S874" s="592"/>
      <c r="T874" s="592"/>
      <c r="U874" s="592"/>
      <c r="V874" s="592"/>
      <c r="W874" s="592"/>
      <c r="X874" s="592"/>
    </row>
    <row r="875" spans="1:66" ht="15" customHeight="1">
      <c r="A875" s="36"/>
      <c r="D875" s="45" t="s">
        <v>91</v>
      </c>
      <c r="E875" s="104" t="s">
        <v>1597</v>
      </c>
      <c r="G875" s="13">
        <v>0.11000000000000001</v>
      </c>
      <c r="N875" s="19"/>
      <c r="P875" s="592"/>
      <c r="Q875" s="592"/>
      <c r="R875" s="592"/>
      <c r="S875" s="592"/>
      <c r="T875" s="592"/>
      <c r="U875" s="592"/>
      <c r="V875" s="592"/>
      <c r="W875" s="592"/>
      <c r="X875" s="592"/>
    </row>
    <row r="876" spans="1:66" ht="15" customHeight="1">
      <c r="A876" s="8" t="s">
        <v>1167</v>
      </c>
      <c r="B876" s="75" t="s">
        <v>527</v>
      </c>
      <c r="C876" s="75" t="s">
        <v>737</v>
      </c>
      <c r="D876" s="710" t="s">
        <v>3612</v>
      </c>
      <c r="E876" s="710"/>
      <c r="F876" s="75" t="s">
        <v>2274</v>
      </c>
      <c r="G876" s="80">
        <v>357</v>
      </c>
      <c r="H876" s="626"/>
      <c r="I876" s="80">
        <f>G876*AQ876</f>
        <v>0</v>
      </c>
      <c r="J876" s="80">
        <f>G876*AR876</f>
        <v>0</v>
      </c>
      <c r="K876" s="80">
        <f>G876*H876</f>
        <v>0</v>
      </c>
      <c r="L876" s="80">
        <v>1.3999999999999999E-4</v>
      </c>
      <c r="M876" s="80">
        <f>G876*L876</f>
        <v>4.9979999999999997E-2</v>
      </c>
      <c r="N876" s="38" t="s">
        <v>1579</v>
      </c>
      <c r="P876" s="592"/>
      <c r="Q876" s="592"/>
      <c r="R876" s="592"/>
      <c r="S876" s="592"/>
      <c r="T876" s="592"/>
      <c r="U876" s="592"/>
      <c r="V876" s="592"/>
      <c r="W876" s="592"/>
      <c r="X876" s="592"/>
      <c r="AB876" s="56">
        <f>IF(AS876="5",BL876,0)</f>
        <v>0</v>
      </c>
      <c r="AD876" s="56">
        <f>IF(AS876="1",BJ876,0)</f>
        <v>0</v>
      </c>
      <c r="AE876" s="56">
        <f>IF(AS876="1",BK876,0)</f>
        <v>0</v>
      </c>
      <c r="AF876" s="56">
        <f>IF(AS876="7",BJ876,0)</f>
        <v>0</v>
      </c>
      <c r="AG876" s="56">
        <f>IF(AS876="7",BK876,0)</f>
        <v>0</v>
      </c>
      <c r="AH876" s="56">
        <f>IF(AS876="2",BJ876,0)</f>
        <v>0</v>
      </c>
      <c r="AI876" s="56">
        <f>IF(AS876="2",BK876,0)</f>
        <v>0</v>
      </c>
      <c r="AJ876" s="56">
        <f>IF(AS876="0",BL876,0)</f>
        <v>0</v>
      </c>
      <c r="AK876" s="7" t="s">
        <v>527</v>
      </c>
      <c r="AL876" s="80">
        <f>IF(AP876=0,K876,0)</f>
        <v>0</v>
      </c>
      <c r="AM876" s="80">
        <f>IF(AP876=15,K876,0)</f>
        <v>0</v>
      </c>
      <c r="AN876" s="80">
        <f>IF(AP876=21,K876,0)</f>
        <v>0</v>
      </c>
      <c r="AP876" s="56">
        <v>21</v>
      </c>
      <c r="AQ876" s="88">
        <f>H876*1</f>
        <v>0</v>
      </c>
      <c r="AR876" s="88">
        <f>H876*(1-1)</f>
        <v>0</v>
      </c>
      <c r="AS876" s="64" t="s">
        <v>2311</v>
      </c>
      <c r="AX876" s="56">
        <f>AY876+AZ876</f>
        <v>0</v>
      </c>
      <c r="AY876" s="56">
        <f>G876*AQ876</f>
        <v>0</v>
      </c>
      <c r="AZ876" s="56">
        <f>G876*AR876</f>
        <v>0</v>
      </c>
      <c r="BA876" s="21" t="s">
        <v>1449</v>
      </c>
      <c r="BB876" s="21" t="s">
        <v>788</v>
      </c>
      <c r="BC876" s="7" t="s">
        <v>1887</v>
      </c>
      <c r="BE876" s="56">
        <f>AY876+AZ876</f>
        <v>0</v>
      </c>
      <c r="BF876" s="56">
        <f>H876/(100-BG876)*100</f>
        <v>0</v>
      </c>
      <c r="BG876" s="56">
        <v>0</v>
      </c>
      <c r="BH876" s="56">
        <f>M876</f>
        <v>4.9979999999999997E-2</v>
      </c>
      <c r="BJ876" s="80">
        <f>G876*AQ876</f>
        <v>0</v>
      </c>
      <c r="BK876" s="80">
        <f>G876*AR876</f>
        <v>0</v>
      </c>
      <c r="BL876" s="80">
        <f>G876*H876</f>
        <v>0</v>
      </c>
      <c r="BM876" s="80"/>
      <c r="BN876" s="56">
        <v>762</v>
      </c>
    </row>
    <row r="877" spans="1:66" ht="15" customHeight="1">
      <c r="A877" s="36"/>
      <c r="D877" s="45" t="s">
        <v>212</v>
      </c>
      <c r="E877" s="104" t="s">
        <v>2324</v>
      </c>
      <c r="G877" s="13">
        <v>297.5</v>
      </c>
      <c r="N877" s="19"/>
      <c r="P877" s="592"/>
      <c r="Q877" s="592"/>
      <c r="R877" s="592"/>
      <c r="S877" s="592"/>
      <c r="T877" s="592"/>
      <c r="U877" s="592"/>
      <c r="V877" s="592"/>
      <c r="W877" s="592"/>
      <c r="X877" s="592"/>
    </row>
    <row r="878" spans="1:66" ht="15" customHeight="1">
      <c r="A878" s="36"/>
      <c r="D878" s="45" t="s">
        <v>387</v>
      </c>
      <c r="E878" s="104" t="s">
        <v>1597</v>
      </c>
      <c r="G878" s="13">
        <v>59.500000000000007</v>
      </c>
      <c r="N878" s="19"/>
      <c r="P878" s="592"/>
      <c r="Q878" s="592"/>
      <c r="R878" s="592"/>
      <c r="S878" s="592"/>
      <c r="T878" s="592"/>
      <c r="U878" s="592"/>
      <c r="V878" s="592"/>
      <c r="W878" s="592"/>
      <c r="X878" s="592"/>
    </row>
    <row r="879" spans="1:66" ht="15" customHeight="1">
      <c r="A879" s="24" t="s">
        <v>720</v>
      </c>
      <c r="B879" s="12" t="s">
        <v>527</v>
      </c>
      <c r="C879" s="12" t="s">
        <v>26</v>
      </c>
      <c r="D879" s="630" t="s">
        <v>688</v>
      </c>
      <c r="E879" s="630"/>
      <c r="F879" s="12" t="s">
        <v>2274</v>
      </c>
      <c r="G879" s="56">
        <v>28.8</v>
      </c>
      <c r="H879" s="625"/>
      <c r="I879" s="56">
        <f>G879*AQ879</f>
        <v>0</v>
      </c>
      <c r="J879" s="56">
        <f>G879*AR879</f>
        <v>0</v>
      </c>
      <c r="K879" s="56">
        <f>G879*H879</f>
        <v>0</v>
      </c>
      <c r="L879" s="56">
        <v>0</v>
      </c>
      <c r="M879" s="56">
        <f>G879*L879</f>
        <v>0</v>
      </c>
      <c r="N879" s="31" t="s">
        <v>1579</v>
      </c>
      <c r="P879" s="592"/>
      <c r="Q879" s="592"/>
      <c r="R879" s="592"/>
      <c r="S879" s="592"/>
      <c r="T879" s="592"/>
      <c r="U879" s="592"/>
      <c r="V879" s="592"/>
      <c r="W879" s="592"/>
      <c r="X879" s="592"/>
      <c r="AB879" s="56">
        <f>IF(AS879="5",BL879,0)</f>
        <v>0</v>
      </c>
      <c r="AD879" s="56">
        <f>IF(AS879="1",BJ879,0)</f>
        <v>0</v>
      </c>
      <c r="AE879" s="56">
        <f>IF(AS879="1",BK879,0)</f>
        <v>0</v>
      </c>
      <c r="AF879" s="56">
        <f>IF(AS879="7",BJ879,0)</f>
        <v>0</v>
      </c>
      <c r="AG879" s="56">
        <f>IF(AS879="7",BK879,0)</f>
        <v>0</v>
      </c>
      <c r="AH879" s="56">
        <f>IF(AS879="2",BJ879,0)</f>
        <v>0</v>
      </c>
      <c r="AI879" s="56">
        <f>IF(AS879="2",BK879,0)</f>
        <v>0</v>
      </c>
      <c r="AJ879" s="56">
        <f>IF(AS879="0",BL879,0)</f>
        <v>0</v>
      </c>
      <c r="AK879" s="7" t="s">
        <v>527</v>
      </c>
      <c r="AL879" s="56">
        <f>IF(AP879=0,K879,0)</f>
        <v>0</v>
      </c>
      <c r="AM879" s="56">
        <f>IF(AP879=15,K879,0)</f>
        <v>0</v>
      </c>
      <c r="AN879" s="56">
        <f>IF(AP879=21,K879,0)</f>
        <v>0</v>
      </c>
      <c r="AP879" s="56">
        <v>21</v>
      </c>
      <c r="AQ879" s="88">
        <f>H879*0</f>
        <v>0</v>
      </c>
      <c r="AR879" s="88">
        <f>H879*(1-0)</f>
        <v>0</v>
      </c>
      <c r="AS879" s="21" t="s">
        <v>2311</v>
      </c>
      <c r="AX879" s="56">
        <f>AY879+AZ879</f>
        <v>0</v>
      </c>
      <c r="AY879" s="56">
        <f>G879*AQ879</f>
        <v>0</v>
      </c>
      <c r="AZ879" s="56">
        <f>G879*AR879</f>
        <v>0</v>
      </c>
      <c r="BA879" s="21" t="s">
        <v>1449</v>
      </c>
      <c r="BB879" s="21" t="s">
        <v>788</v>
      </c>
      <c r="BC879" s="7" t="s">
        <v>1887</v>
      </c>
      <c r="BE879" s="56">
        <f>AY879+AZ879</f>
        <v>0</v>
      </c>
      <c r="BF879" s="56">
        <f>H879/(100-BG879)*100</f>
        <v>0</v>
      </c>
      <c r="BG879" s="56">
        <v>0</v>
      </c>
      <c r="BH879" s="56">
        <f>M879</f>
        <v>0</v>
      </c>
      <c r="BJ879" s="56">
        <f>G879*AQ879</f>
        <v>0</v>
      </c>
      <c r="BK879" s="56">
        <f>G879*AR879</f>
        <v>0</v>
      </c>
      <c r="BL879" s="56">
        <f>G879*H879</f>
        <v>0</v>
      </c>
      <c r="BM879" s="56"/>
      <c r="BN879" s="56">
        <v>762</v>
      </c>
    </row>
    <row r="880" spans="1:66" ht="15" customHeight="1">
      <c r="A880" s="36"/>
      <c r="D880" s="45" t="s">
        <v>651</v>
      </c>
      <c r="E880" s="104" t="s">
        <v>1597</v>
      </c>
      <c r="G880" s="13">
        <v>28.8</v>
      </c>
      <c r="N880" s="19"/>
      <c r="P880" s="592"/>
      <c r="Q880" s="592"/>
      <c r="R880" s="592"/>
      <c r="S880" s="592"/>
      <c r="T880" s="592"/>
      <c r="U880" s="592"/>
      <c r="V880" s="592"/>
      <c r="W880" s="592"/>
      <c r="X880" s="592"/>
    </row>
    <row r="881" spans="1:66" ht="15" customHeight="1">
      <c r="A881" s="8" t="s">
        <v>510</v>
      </c>
      <c r="B881" s="75" t="s">
        <v>527</v>
      </c>
      <c r="C881" s="75" t="s">
        <v>2330</v>
      </c>
      <c r="D881" s="710" t="s">
        <v>1592</v>
      </c>
      <c r="E881" s="710"/>
      <c r="F881" s="75" t="s">
        <v>1062</v>
      </c>
      <c r="G881" s="80">
        <v>2</v>
      </c>
      <c r="H881" s="626"/>
      <c r="I881" s="80">
        <f>G881*AQ881</f>
        <v>0</v>
      </c>
      <c r="J881" s="80">
        <f>G881*AR881</f>
        <v>0</v>
      </c>
      <c r="K881" s="80">
        <f>G881*H881</f>
        <v>0</v>
      </c>
      <c r="L881" s="80">
        <v>1.6199999999999999E-3</v>
      </c>
      <c r="M881" s="80">
        <f>G881*L881</f>
        <v>3.2399999999999998E-3</v>
      </c>
      <c r="N881" s="38" t="s">
        <v>1579</v>
      </c>
      <c r="P881" s="592"/>
      <c r="Q881" s="592"/>
      <c r="R881" s="592"/>
      <c r="S881" s="592"/>
      <c r="T881" s="592"/>
      <c r="U881" s="592"/>
      <c r="V881" s="592"/>
      <c r="W881" s="592"/>
      <c r="X881" s="592"/>
      <c r="AB881" s="56">
        <f>IF(AS881="5",BL881,0)</f>
        <v>0</v>
      </c>
      <c r="AD881" s="56">
        <f>IF(AS881="1",BJ881,0)</f>
        <v>0</v>
      </c>
      <c r="AE881" s="56">
        <f>IF(AS881="1",BK881,0)</f>
        <v>0</v>
      </c>
      <c r="AF881" s="56">
        <f>IF(AS881="7",BJ881,0)</f>
        <v>0</v>
      </c>
      <c r="AG881" s="56">
        <f>IF(AS881="7",BK881,0)</f>
        <v>0</v>
      </c>
      <c r="AH881" s="56">
        <f>IF(AS881="2",BJ881,0)</f>
        <v>0</v>
      </c>
      <c r="AI881" s="56">
        <f>IF(AS881="2",BK881,0)</f>
        <v>0</v>
      </c>
      <c r="AJ881" s="56">
        <f>IF(AS881="0",BL881,0)</f>
        <v>0</v>
      </c>
      <c r="AK881" s="7" t="s">
        <v>527</v>
      </c>
      <c r="AL881" s="80">
        <f>IF(AP881=0,K881,0)</f>
        <v>0</v>
      </c>
      <c r="AM881" s="80">
        <f>IF(AP881=15,K881,0)</f>
        <v>0</v>
      </c>
      <c r="AN881" s="80">
        <f>IF(AP881=21,K881,0)</f>
        <v>0</v>
      </c>
      <c r="AP881" s="56">
        <v>21</v>
      </c>
      <c r="AQ881" s="88">
        <f>H881*1</f>
        <v>0</v>
      </c>
      <c r="AR881" s="88">
        <f>H881*(1-1)</f>
        <v>0</v>
      </c>
      <c r="AS881" s="64" t="s">
        <v>2311</v>
      </c>
      <c r="AX881" s="56">
        <f>AY881+AZ881</f>
        <v>0</v>
      </c>
      <c r="AY881" s="56">
        <f>G881*AQ881</f>
        <v>0</v>
      </c>
      <c r="AZ881" s="56">
        <f>G881*AR881</f>
        <v>0</v>
      </c>
      <c r="BA881" s="21" t="s">
        <v>1449</v>
      </c>
      <c r="BB881" s="21" t="s">
        <v>788</v>
      </c>
      <c r="BC881" s="7" t="s">
        <v>1887</v>
      </c>
      <c r="BE881" s="56">
        <f>AY881+AZ881</f>
        <v>0</v>
      </c>
      <c r="BF881" s="56">
        <f>H881/(100-BG881)*100</f>
        <v>0</v>
      </c>
      <c r="BG881" s="56">
        <v>0</v>
      </c>
      <c r="BH881" s="56">
        <f>M881</f>
        <v>3.2399999999999998E-3</v>
      </c>
      <c r="BJ881" s="80">
        <f>G881*AQ881</f>
        <v>0</v>
      </c>
      <c r="BK881" s="80">
        <f>G881*AR881</f>
        <v>0</v>
      </c>
      <c r="BL881" s="80">
        <f>G881*H881</f>
        <v>0</v>
      </c>
      <c r="BM881" s="80"/>
      <c r="BN881" s="56">
        <v>762</v>
      </c>
    </row>
    <row r="882" spans="1:66" ht="15" customHeight="1">
      <c r="A882" s="36"/>
      <c r="D882" s="45" t="s">
        <v>1589</v>
      </c>
      <c r="E882" s="104" t="s">
        <v>1597</v>
      </c>
      <c r="G882" s="13">
        <v>2</v>
      </c>
      <c r="N882" s="19"/>
      <c r="P882" s="592"/>
      <c r="Q882" s="592"/>
      <c r="R882" s="592"/>
      <c r="S882" s="592"/>
      <c r="T882" s="592"/>
      <c r="U882" s="592"/>
      <c r="V882" s="592"/>
      <c r="W882" s="592"/>
      <c r="X882" s="592"/>
    </row>
    <row r="883" spans="1:66" ht="15" customHeight="1">
      <c r="A883" s="8" t="s">
        <v>296</v>
      </c>
      <c r="B883" s="75" t="s">
        <v>527</v>
      </c>
      <c r="C883" s="75" t="s">
        <v>228</v>
      </c>
      <c r="D883" s="710" t="s">
        <v>856</v>
      </c>
      <c r="E883" s="710"/>
      <c r="F883" s="75" t="s">
        <v>2236</v>
      </c>
      <c r="G883" s="80">
        <v>0.92</v>
      </c>
      <c r="H883" s="626"/>
      <c r="I883" s="80">
        <f>G883*AQ883</f>
        <v>0</v>
      </c>
      <c r="J883" s="80">
        <f>G883*AR883</f>
        <v>0</v>
      </c>
      <c r="K883" s="80">
        <f>G883*H883</f>
        <v>0</v>
      </c>
      <c r="L883" s="80">
        <v>0.5</v>
      </c>
      <c r="M883" s="80">
        <f>G883*L883</f>
        <v>0.46</v>
      </c>
      <c r="N883" s="38" t="s">
        <v>1579</v>
      </c>
      <c r="P883" s="592"/>
      <c r="Q883" s="592"/>
      <c r="R883" s="592"/>
      <c r="S883" s="592"/>
      <c r="T883" s="592"/>
      <c r="U883" s="592"/>
      <c r="V883" s="592"/>
      <c r="W883" s="592"/>
      <c r="X883" s="592"/>
      <c r="AB883" s="56">
        <f>IF(AS883="5",BL883,0)</f>
        <v>0</v>
      </c>
      <c r="AD883" s="56">
        <f>IF(AS883="1",BJ883,0)</f>
        <v>0</v>
      </c>
      <c r="AE883" s="56">
        <f>IF(AS883="1",BK883,0)</f>
        <v>0</v>
      </c>
      <c r="AF883" s="56">
        <f>IF(AS883="7",BJ883,0)</f>
        <v>0</v>
      </c>
      <c r="AG883" s="56">
        <f>IF(AS883="7",BK883,0)</f>
        <v>0</v>
      </c>
      <c r="AH883" s="56">
        <f>IF(AS883="2",BJ883,0)</f>
        <v>0</v>
      </c>
      <c r="AI883" s="56">
        <f>IF(AS883="2",BK883,0)</f>
        <v>0</v>
      </c>
      <c r="AJ883" s="56">
        <f>IF(AS883="0",BL883,0)</f>
        <v>0</v>
      </c>
      <c r="AK883" s="7" t="s">
        <v>527</v>
      </c>
      <c r="AL883" s="80">
        <f>IF(AP883=0,K883,0)</f>
        <v>0</v>
      </c>
      <c r="AM883" s="80">
        <f>IF(AP883=15,K883,0)</f>
        <v>0</v>
      </c>
      <c r="AN883" s="80">
        <f>IF(AP883=21,K883,0)</f>
        <v>0</v>
      </c>
      <c r="AP883" s="56">
        <v>21</v>
      </c>
      <c r="AQ883" s="88">
        <f>H883*1</f>
        <v>0</v>
      </c>
      <c r="AR883" s="88">
        <f>H883*(1-1)</f>
        <v>0</v>
      </c>
      <c r="AS883" s="64" t="s">
        <v>2311</v>
      </c>
      <c r="AX883" s="56">
        <f>AY883+AZ883</f>
        <v>0</v>
      </c>
      <c r="AY883" s="56">
        <f>G883*AQ883</f>
        <v>0</v>
      </c>
      <c r="AZ883" s="56">
        <f>G883*AR883</f>
        <v>0</v>
      </c>
      <c r="BA883" s="21" t="s">
        <v>1449</v>
      </c>
      <c r="BB883" s="21" t="s">
        <v>788</v>
      </c>
      <c r="BC883" s="7" t="s">
        <v>1887</v>
      </c>
      <c r="BE883" s="56">
        <f>AY883+AZ883</f>
        <v>0</v>
      </c>
      <c r="BF883" s="56">
        <f>H883/(100-BG883)*100</f>
        <v>0</v>
      </c>
      <c r="BG883" s="56">
        <v>0</v>
      </c>
      <c r="BH883" s="56">
        <f>M883</f>
        <v>0.46</v>
      </c>
      <c r="BJ883" s="80">
        <f>G883*AQ883</f>
        <v>0</v>
      </c>
      <c r="BK883" s="80">
        <f>G883*AR883</f>
        <v>0</v>
      </c>
      <c r="BL883" s="80">
        <f>G883*H883</f>
        <v>0</v>
      </c>
      <c r="BM883" s="80"/>
      <c r="BN883" s="56">
        <v>762</v>
      </c>
    </row>
    <row r="884" spans="1:66" ht="15" customHeight="1">
      <c r="A884" s="36"/>
      <c r="D884" s="45" t="s">
        <v>105</v>
      </c>
      <c r="E884" s="104" t="s">
        <v>1597</v>
      </c>
      <c r="G884" s="13">
        <v>0.92</v>
      </c>
      <c r="N884" s="19"/>
      <c r="P884" s="592"/>
      <c r="Q884" s="592"/>
      <c r="R884" s="592"/>
      <c r="S884" s="592"/>
      <c r="T884" s="592"/>
      <c r="U884" s="592"/>
      <c r="V884" s="592"/>
      <c r="W884" s="592"/>
      <c r="X884" s="592"/>
    </row>
    <row r="885" spans="1:66" ht="15" customHeight="1">
      <c r="A885" s="8" t="s">
        <v>1295</v>
      </c>
      <c r="B885" s="75" t="s">
        <v>527</v>
      </c>
      <c r="C885" s="75" t="s">
        <v>1668</v>
      </c>
      <c r="D885" s="710" t="s">
        <v>3613</v>
      </c>
      <c r="E885" s="710"/>
      <c r="F885" s="75" t="s">
        <v>2274</v>
      </c>
      <c r="G885" s="80">
        <v>34.799999999999997</v>
      </c>
      <c r="H885" s="626"/>
      <c r="I885" s="80">
        <f>G885*AQ885</f>
        <v>0</v>
      </c>
      <c r="J885" s="80">
        <f>G885*AR885</f>
        <v>0</v>
      </c>
      <c r="K885" s="80">
        <f>G885*H885</f>
        <v>0</v>
      </c>
      <c r="L885" s="80">
        <v>2.4E-2</v>
      </c>
      <c r="M885" s="80">
        <f>G885*L885</f>
        <v>0.83519999999999994</v>
      </c>
      <c r="N885" s="38" t="s">
        <v>1579</v>
      </c>
      <c r="P885" s="592"/>
      <c r="Q885" s="592"/>
      <c r="R885" s="592"/>
      <c r="S885" s="592"/>
      <c r="T885" s="592"/>
      <c r="U885" s="592"/>
      <c r="V885" s="592"/>
      <c r="W885" s="592"/>
      <c r="X885" s="592"/>
      <c r="AB885" s="56">
        <f>IF(AS885="5",BL885,0)</f>
        <v>0</v>
      </c>
      <c r="AD885" s="56">
        <f>IF(AS885="1",BJ885,0)</f>
        <v>0</v>
      </c>
      <c r="AE885" s="56">
        <f>IF(AS885="1",BK885,0)</f>
        <v>0</v>
      </c>
      <c r="AF885" s="56">
        <f>IF(AS885="7",BJ885,0)</f>
        <v>0</v>
      </c>
      <c r="AG885" s="56">
        <f>IF(AS885="7",BK885,0)</f>
        <v>0</v>
      </c>
      <c r="AH885" s="56">
        <f>IF(AS885="2",BJ885,0)</f>
        <v>0</v>
      </c>
      <c r="AI885" s="56">
        <f>IF(AS885="2",BK885,0)</f>
        <v>0</v>
      </c>
      <c r="AJ885" s="56">
        <f>IF(AS885="0",BL885,0)</f>
        <v>0</v>
      </c>
      <c r="AK885" s="7" t="s">
        <v>527</v>
      </c>
      <c r="AL885" s="80">
        <f>IF(AP885=0,K885,0)</f>
        <v>0</v>
      </c>
      <c r="AM885" s="80">
        <f>IF(AP885=15,K885,0)</f>
        <v>0</v>
      </c>
      <c r="AN885" s="80">
        <f>IF(AP885=21,K885,0)</f>
        <v>0</v>
      </c>
      <c r="AP885" s="56">
        <v>21</v>
      </c>
      <c r="AQ885" s="88">
        <f>H885*1</f>
        <v>0</v>
      </c>
      <c r="AR885" s="88">
        <f>H885*(1-1)</f>
        <v>0</v>
      </c>
      <c r="AS885" s="64" t="s">
        <v>2311</v>
      </c>
      <c r="AX885" s="56">
        <f>AY885+AZ885</f>
        <v>0</v>
      </c>
      <c r="AY885" s="56">
        <f>G885*AQ885</f>
        <v>0</v>
      </c>
      <c r="AZ885" s="56">
        <f>G885*AR885</f>
        <v>0</v>
      </c>
      <c r="BA885" s="21" t="s">
        <v>1449</v>
      </c>
      <c r="BB885" s="21" t="s">
        <v>788</v>
      </c>
      <c r="BC885" s="7" t="s">
        <v>1887</v>
      </c>
      <c r="BE885" s="56">
        <f>AY885+AZ885</f>
        <v>0</v>
      </c>
      <c r="BF885" s="56">
        <f>H885/(100-BG885)*100</f>
        <v>0</v>
      </c>
      <c r="BG885" s="56">
        <v>0</v>
      </c>
      <c r="BH885" s="56">
        <f>M885</f>
        <v>0.83519999999999994</v>
      </c>
      <c r="BJ885" s="80">
        <f>G885*AQ885</f>
        <v>0</v>
      </c>
      <c r="BK885" s="80">
        <f>G885*AR885</f>
        <v>0</v>
      </c>
      <c r="BL885" s="80">
        <f>G885*H885</f>
        <v>0</v>
      </c>
      <c r="BM885" s="80"/>
      <c r="BN885" s="56">
        <v>762</v>
      </c>
    </row>
    <row r="886" spans="1:66" ht="15" customHeight="1">
      <c r="A886" s="36"/>
      <c r="D886" s="45" t="s">
        <v>178</v>
      </c>
      <c r="E886" s="104" t="s">
        <v>1597</v>
      </c>
      <c r="G886" s="13">
        <v>29.000000000000004</v>
      </c>
      <c r="N886" s="19"/>
      <c r="P886" s="592"/>
      <c r="Q886" s="592"/>
      <c r="R886" s="592"/>
      <c r="S886" s="592"/>
      <c r="T886" s="592"/>
      <c r="U886" s="592"/>
      <c r="V886" s="592"/>
      <c r="W886" s="592"/>
      <c r="X886" s="592"/>
    </row>
    <row r="887" spans="1:66" ht="15" customHeight="1">
      <c r="A887" s="36"/>
      <c r="D887" s="45" t="s">
        <v>1113</v>
      </c>
      <c r="E887" s="104" t="s">
        <v>1597</v>
      </c>
      <c r="G887" s="13">
        <v>5.8000000000000007</v>
      </c>
      <c r="N887" s="19"/>
      <c r="P887" s="592"/>
      <c r="Q887" s="592"/>
      <c r="R887" s="592"/>
      <c r="S887" s="592"/>
      <c r="T887" s="592"/>
      <c r="U887" s="592"/>
      <c r="V887" s="592"/>
      <c r="W887" s="592"/>
      <c r="X887" s="592"/>
    </row>
    <row r="888" spans="1:66" ht="15" customHeight="1">
      <c r="A888" s="24" t="s">
        <v>2172</v>
      </c>
      <c r="B888" s="12" t="s">
        <v>527</v>
      </c>
      <c r="C888" s="12" t="s">
        <v>2204</v>
      </c>
      <c r="D888" s="630" t="s">
        <v>859</v>
      </c>
      <c r="E888" s="630"/>
      <c r="F888" s="12" t="s">
        <v>2274</v>
      </c>
      <c r="G888" s="56">
        <v>970</v>
      </c>
      <c r="H888" s="625"/>
      <c r="I888" s="56">
        <f>G888*AQ888</f>
        <v>0</v>
      </c>
      <c r="J888" s="56">
        <f>G888*AR888</f>
        <v>0</v>
      </c>
      <c r="K888" s="56">
        <f>G888*H888</f>
        <v>0</v>
      </c>
      <c r="L888" s="56">
        <v>1.5299999999999999E-3</v>
      </c>
      <c r="M888" s="56">
        <f>G888*L888</f>
        <v>1.4841</v>
      </c>
      <c r="N888" s="31" t="s">
        <v>1579</v>
      </c>
      <c r="P888" s="592"/>
      <c r="Q888" s="592"/>
      <c r="R888" s="592"/>
      <c r="S888" s="592"/>
      <c r="T888" s="592"/>
      <c r="U888" s="592"/>
      <c r="V888" s="592"/>
      <c r="W888" s="592"/>
      <c r="X888" s="592"/>
      <c r="AB888" s="56">
        <f>IF(AS888="5",BL888,0)</f>
        <v>0</v>
      </c>
      <c r="AD888" s="56">
        <f>IF(AS888="1",BJ888,0)</f>
        <v>0</v>
      </c>
      <c r="AE888" s="56">
        <f>IF(AS888="1",BK888,0)</f>
        <v>0</v>
      </c>
      <c r="AF888" s="56">
        <f>IF(AS888="7",BJ888,0)</f>
        <v>0</v>
      </c>
      <c r="AG888" s="56">
        <f>IF(AS888="7",BK888,0)</f>
        <v>0</v>
      </c>
      <c r="AH888" s="56">
        <f>IF(AS888="2",BJ888,0)</f>
        <v>0</v>
      </c>
      <c r="AI888" s="56">
        <f>IF(AS888="2",BK888,0)</f>
        <v>0</v>
      </c>
      <c r="AJ888" s="56">
        <f>IF(AS888="0",BL888,0)</f>
        <v>0</v>
      </c>
      <c r="AK888" s="7" t="s">
        <v>527</v>
      </c>
      <c r="AL888" s="56">
        <f>IF(AP888=0,K888,0)</f>
        <v>0</v>
      </c>
      <c r="AM888" s="56">
        <f>IF(AP888=15,K888,0)</f>
        <v>0</v>
      </c>
      <c r="AN888" s="56">
        <f>IF(AP888=21,K888,0)</f>
        <v>0</v>
      </c>
      <c r="AP888" s="56">
        <v>21</v>
      </c>
      <c r="AQ888" s="88">
        <f>H888*0.483393804074798</f>
        <v>0</v>
      </c>
      <c r="AR888" s="88">
        <f>H888*(1-0.483393804074798)</f>
        <v>0</v>
      </c>
      <c r="AS888" s="21" t="s">
        <v>2311</v>
      </c>
      <c r="AX888" s="56">
        <f>AY888+AZ888</f>
        <v>0</v>
      </c>
      <c r="AY888" s="56">
        <f>G888*AQ888</f>
        <v>0</v>
      </c>
      <c r="AZ888" s="56">
        <f>G888*AR888</f>
        <v>0</v>
      </c>
      <c r="BA888" s="21" t="s">
        <v>1449</v>
      </c>
      <c r="BB888" s="21" t="s">
        <v>788</v>
      </c>
      <c r="BC888" s="7" t="s">
        <v>1887</v>
      </c>
      <c r="BE888" s="56">
        <f>AY888+AZ888</f>
        <v>0</v>
      </c>
      <c r="BF888" s="56">
        <f>H888/(100-BG888)*100</f>
        <v>0</v>
      </c>
      <c r="BG888" s="56">
        <v>0</v>
      </c>
      <c r="BH888" s="56">
        <f>M888</f>
        <v>1.4841</v>
      </c>
      <c r="BJ888" s="56">
        <f>G888*AQ888</f>
        <v>0</v>
      </c>
      <c r="BK888" s="56">
        <f>G888*AR888</f>
        <v>0</v>
      </c>
      <c r="BL888" s="56">
        <f>G888*H888</f>
        <v>0</v>
      </c>
      <c r="BM888" s="56"/>
      <c r="BN888" s="56">
        <v>762</v>
      </c>
    </row>
    <row r="889" spans="1:66" ht="15" customHeight="1">
      <c r="A889" s="36"/>
      <c r="D889" s="45" t="s">
        <v>1294</v>
      </c>
      <c r="E889" s="104" t="s">
        <v>1597</v>
      </c>
      <c r="G889" s="13">
        <v>970.00000000000011</v>
      </c>
      <c r="N889" s="19"/>
      <c r="P889" s="592"/>
      <c r="Q889" s="592"/>
      <c r="R889" s="592"/>
      <c r="S889" s="592"/>
      <c r="T889" s="592"/>
      <c r="U889" s="592"/>
      <c r="V889" s="592"/>
      <c r="W889" s="592"/>
      <c r="X889" s="592"/>
    </row>
    <row r="890" spans="1:66" ht="15" customHeight="1">
      <c r="A890" s="24" t="s">
        <v>2613</v>
      </c>
      <c r="B890" s="12" t="s">
        <v>527</v>
      </c>
      <c r="C890" s="12" t="s">
        <v>2616</v>
      </c>
      <c r="D890" s="630" t="s">
        <v>207</v>
      </c>
      <c r="E890" s="630"/>
      <c r="F890" s="12" t="s">
        <v>2274</v>
      </c>
      <c r="G890" s="56">
        <v>485</v>
      </c>
      <c r="H890" s="625"/>
      <c r="I890" s="56">
        <f>G890*AQ890</f>
        <v>0</v>
      </c>
      <c r="J890" s="56">
        <f>G890*AR890</f>
        <v>0</v>
      </c>
      <c r="K890" s="56">
        <f>G890*H890</f>
        <v>0</v>
      </c>
      <c r="L890" s="56">
        <v>4.0299999999999997E-3</v>
      </c>
      <c r="M890" s="56">
        <f>G890*L890</f>
        <v>1.9545499999999998</v>
      </c>
      <c r="N890" s="31" t="s">
        <v>1579</v>
      </c>
      <c r="P890" s="592"/>
      <c r="Q890" s="592"/>
      <c r="R890" s="592"/>
      <c r="S890" s="592"/>
      <c r="T890" s="592"/>
      <c r="U890" s="592"/>
      <c r="V890" s="592"/>
      <c r="W890" s="592"/>
      <c r="X890" s="592"/>
      <c r="AB890" s="56">
        <f>IF(AS890="5",BL890,0)</f>
        <v>0</v>
      </c>
      <c r="AD890" s="56">
        <f>IF(AS890="1",BJ890,0)</f>
        <v>0</v>
      </c>
      <c r="AE890" s="56">
        <f>IF(AS890="1",BK890,0)</f>
        <v>0</v>
      </c>
      <c r="AF890" s="56">
        <f>IF(AS890="7",BJ890,0)</f>
        <v>0</v>
      </c>
      <c r="AG890" s="56">
        <f>IF(AS890="7",BK890,0)</f>
        <v>0</v>
      </c>
      <c r="AH890" s="56">
        <f>IF(AS890="2",BJ890,0)</f>
        <v>0</v>
      </c>
      <c r="AI890" s="56">
        <f>IF(AS890="2",BK890,0)</f>
        <v>0</v>
      </c>
      <c r="AJ890" s="56">
        <f>IF(AS890="0",BL890,0)</f>
        <v>0</v>
      </c>
      <c r="AK890" s="7" t="s">
        <v>527</v>
      </c>
      <c r="AL890" s="56">
        <f>IF(AP890=0,K890,0)</f>
        <v>0</v>
      </c>
      <c r="AM890" s="56">
        <f>IF(AP890=15,K890,0)</f>
        <v>0</v>
      </c>
      <c r="AN890" s="56">
        <f>IF(AP890=21,K890,0)</f>
        <v>0</v>
      </c>
      <c r="AP890" s="56">
        <v>21</v>
      </c>
      <c r="AQ890" s="88">
        <f>H890*0.426415094339623</f>
        <v>0</v>
      </c>
      <c r="AR890" s="88">
        <f>H890*(1-0.426415094339623)</f>
        <v>0</v>
      </c>
      <c r="AS890" s="21" t="s">
        <v>2311</v>
      </c>
      <c r="AX890" s="56">
        <f>AY890+AZ890</f>
        <v>0</v>
      </c>
      <c r="AY890" s="56">
        <f>G890*AQ890</f>
        <v>0</v>
      </c>
      <c r="AZ890" s="56">
        <f>G890*AR890</f>
        <v>0</v>
      </c>
      <c r="BA890" s="21" t="s">
        <v>1449</v>
      </c>
      <c r="BB890" s="21" t="s">
        <v>788</v>
      </c>
      <c r="BC890" s="7" t="s">
        <v>1887</v>
      </c>
      <c r="BE890" s="56">
        <f>AY890+AZ890</f>
        <v>0</v>
      </c>
      <c r="BF890" s="56">
        <f>H890/(100-BG890)*100</f>
        <v>0</v>
      </c>
      <c r="BG890" s="56">
        <v>0</v>
      </c>
      <c r="BH890" s="56">
        <f>M890</f>
        <v>1.9545499999999998</v>
      </c>
      <c r="BJ890" s="56">
        <f>G890*AQ890</f>
        <v>0</v>
      </c>
      <c r="BK890" s="56">
        <f>G890*AR890</f>
        <v>0</v>
      </c>
      <c r="BL890" s="56">
        <f>G890*H890</f>
        <v>0</v>
      </c>
      <c r="BM890" s="56"/>
      <c r="BN890" s="56">
        <v>762</v>
      </c>
    </row>
    <row r="891" spans="1:66" ht="15" customHeight="1">
      <c r="A891" s="36"/>
      <c r="D891" s="45" t="s">
        <v>1199</v>
      </c>
      <c r="E891" s="104" t="s">
        <v>1597</v>
      </c>
      <c r="G891" s="13">
        <v>485.00000000000006</v>
      </c>
      <c r="N891" s="19"/>
      <c r="P891" s="592"/>
      <c r="Q891" s="592"/>
      <c r="R891" s="592"/>
      <c r="S891" s="592"/>
      <c r="T891" s="592"/>
      <c r="U891" s="592"/>
      <c r="V891" s="592"/>
      <c r="W891" s="592"/>
      <c r="X891" s="592"/>
    </row>
    <row r="892" spans="1:66" ht="15" customHeight="1">
      <c r="A892" s="24" t="s">
        <v>125</v>
      </c>
      <c r="B892" s="12" t="s">
        <v>527</v>
      </c>
      <c r="C892" s="12" t="s">
        <v>2286</v>
      </c>
      <c r="D892" s="630" t="s">
        <v>538</v>
      </c>
      <c r="E892" s="630"/>
      <c r="F892" s="12" t="s">
        <v>2274</v>
      </c>
      <c r="G892" s="56">
        <v>138</v>
      </c>
      <c r="H892" s="625"/>
      <c r="I892" s="56">
        <f>G892*AQ892</f>
        <v>0</v>
      </c>
      <c r="J892" s="56">
        <f>G892*AR892</f>
        <v>0</v>
      </c>
      <c r="K892" s="56">
        <f>G892*H892</f>
        <v>0</v>
      </c>
      <c r="L892" s="56">
        <v>0</v>
      </c>
      <c r="M892" s="56">
        <f>G892*L892</f>
        <v>0</v>
      </c>
      <c r="N892" s="31" t="s">
        <v>1579</v>
      </c>
      <c r="P892" s="592"/>
      <c r="Q892" s="592"/>
      <c r="R892" s="592"/>
      <c r="S892" s="592"/>
      <c r="T892" s="592"/>
      <c r="U892" s="592"/>
      <c r="V892" s="592"/>
      <c r="W892" s="592"/>
      <c r="X892" s="592"/>
      <c r="AB892" s="56">
        <f>IF(AS892="5",BL892,0)</f>
        <v>0</v>
      </c>
      <c r="AD892" s="56">
        <f>IF(AS892="1",BJ892,0)</f>
        <v>0</v>
      </c>
      <c r="AE892" s="56">
        <f>IF(AS892="1",BK892,0)</f>
        <v>0</v>
      </c>
      <c r="AF892" s="56">
        <f>IF(AS892="7",BJ892,0)</f>
        <v>0</v>
      </c>
      <c r="AG892" s="56">
        <f>IF(AS892="7",BK892,0)</f>
        <v>0</v>
      </c>
      <c r="AH892" s="56">
        <f>IF(AS892="2",BJ892,0)</f>
        <v>0</v>
      </c>
      <c r="AI892" s="56">
        <f>IF(AS892="2",BK892,0)</f>
        <v>0</v>
      </c>
      <c r="AJ892" s="56">
        <f>IF(AS892="0",BL892,0)</f>
        <v>0</v>
      </c>
      <c r="AK892" s="7" t="s">
        <v>527</v>
      </c>
      <c r="AL892" s="56">
        <f>IF(AP892=0,K892,0)</f>
        <v>0</v>
      </c>
      <c r="AM892" s="56">
        <f>IF(AP892=15,K892,0)</f>
        <v>0</v>
      </c>
      <c r="AN892" s="56">
        <f>IF(AP892=21,K892,0)</f>
        <v>0</v>
      </c>
      <c r="AP892" s="56">
        <v>21</v>
      </c>
      <c r="AQ892" s="88">
        <f>H892*0.0936704730831974</f>
        <v>0</v>
      </c>
      <c r="AR892" s="88">
        <f>H892*(1-0.0936704730831974)</f>
        <v>0</v>
      </c>
      <c r="AS892" s="21" t="s">
        <v>2311</v>
      </c>
      <c r="AX892" s="56">
        <f>AY892+AZ892</f>
        <v>0</v>
      </c>
      <c r="AY892" s="56">
        <f>G892*AQ892</f>
        <v>0</v>
      </c>
      <c r="AZ892" s="56">
        <f>G892*AR892</f>
        <v>0</v>
      </c>
      <c r="BA892" s="21" t="s">
        <v>1449</v>
      </c>
      <c r="BB892" s="21" t="s">
        <v>788</v>
      </c>
      <c r="BC892" s="7" t="s">
        <v>1887</v>
      </c>
      <c r="BE892" s="56">
        <f>AY892+AZ892</f>
        <v>0</v>
      </c>
      <c r="BF892" s="56">
        <f>H892/(100-BG892)*100</f>
        <v>0</v>
      </c>
      <c r="BG892" s="56">
        <v>0</v>
      </c>
      <c r="BH892" s="56">
        <f>M892</f>
        <v>0</v>
      </c>
      <c r="BJ892" s="56">
        <f>G892*AQ892</f>
        <v>0</v>
      </c>
      <c r="BK892" s="56">
        <f>G892*AR892</f>
        <v>0</v>
      </c>
      <c r="BL892" s="56">
        <f>G892*H892</f>
        <v>0</v>
      </c>
      <c r="BM892" s="56"/>
      <c r="BN892" s="56">
        <v>762</v>
      </c>
    </row>
    <row r="893" spans="1:66" ht="15" customHeight="1">
      <c r="A893" s="36"/>
      <c r="D893" s="45" t="s">
        <v>2443</v>
      </c>
      <c r="E893" s="104" t="s">
        <v>935</v>
      </c>
      <c r="G893" s="13">
        <v>138</v>
      </c>
      <c r="N893" s="19"/>
      <c r="P893" s="592"/>
      <c r="Q893" s="592"/>
      <c r="R893" s="592"/>
      <c r="S893" s="592"/>
      <c r="T893" s="592"/>
      <c r="U893" s="592"/>
      <c r="V893" s="592"/>
      <c r="W893" s="592"/>
      <c r="X893" s="592"/>
    </row>
    <row r="894" spans="1:66" ht="15" customHeight="1">
      <c r="A894" s="8" t="s">
        <v>2276</v>
      </c>
      <c r="B894" s="75" t="s">
        <v>527</v>
      </c>
      <c r="C894" s="75" t="s">
        <v>2485</v>
      </c>
      <c r="D894" s="710" t="s">
        <v>3614</v>
      </c>
      <c r="E894" s="710"/>
      <c r="F894" s="75" t="s">
        <v>1062</v>
      </c>
      <c r="G894" s="80">
        <v>1.83</v>
      </c>
      <c r="H894" s="626"/>
      <c r="I894" s="80">
        <f>G894*AQ894</f>
        <v>0</v>
      </c>
      <c r="J894" s="80">
        <f>G894*AR894</f>
        <v>0</v>
      </c>
      <c r="K894" s="80">
        <f>G894*H894</f>
        <v>0</v>
      </c>
      <c r="L894" s="80">
        <v>4.8599999999999997E-3</v>
      </c>
      <c r="M894" s="80">
        <f>G894*L894</f>
        <v>8.8938000000000003E-3</v>
      </c>
      <c r="N894" s="38" t="s">
        <v>1579</v>
      </c>
      <c r="P894" s="592"/>
      <c r="Q894" s="592"/>
      <c r="R894" s="592"/>
      <c r="S894" s="592"/>
      <c r="T894" s="592"/>
      <c r="U894" s="592"/>
      <c r="V894" s="592"/>
      <c r="W894" s="592"/>
      <c r="X894" s="592"/>
      <c r="AB894" s="56">
        <f>IF(AS894="5",BL894,0)</f>
        <v>0</v>
      </c>
      <c r="AD894" s="56">
        <f>IF(AS894="1",BJ894,0)</f>
        <v>0</v>
      </c>
      <c r="AE894" s="56">
        <f>IF(AS894="1",BK894,0)</f>
        <v>0</v>
      </c>
      <c r="AF894" s="56">
        <f>IF(AS894="7",BJ894,0)</f>
        <v>0</v>
      </c>
      <c r="AG894" s="56">
        <f>IF(AS894="7",BK894,0)</f>
        <v>0</v>
      </c>
      <c r="AH894" s="56">
        <f>IF(AS894="2",BJ894,0)</f>
        <v>0</v>
      </c>
      <c r="AI894" s="56">
        <f>IF(AS894="2",BK894,0)</f>
        <v>0</v>
      </c>
      <c r="AJ894" s="56">
        <f>IF(AS894="0",BL894,0)</f>
        <v>0</v>
      </c>
      <c r="AK894" s="7" t="s">
        <v>527</v>
      </c>
      <c r="AL894" s="80">
        <f>IF(AP894=0,K894,0)</f>
        <v>0</v>
      </c>
      <c r="AM894" s="80">
        <f>IF(AP894=15,K894,0)</f>
        <v>0</v>
      </c>
      <c r="AN894" s="80">
        <f>IF(AP894=21,K894,0)</f>
        <v>0</v>
      </c>
      <c r="AP894" s="56">
        <v>21</v>
      </c>
      <c r="AQ894" s="88">
        <f>H894*1</f>
        <v>0</v>
      </c>
      <c r="AR894" s="88">
        <f>H894*(1-1)</f>
        <v>0</v>
      </c>
      <c r="AS894" s="64" t="s">
        <v>2311</v>
      </c>
      <c r="AX894" s="56">
        <f>AY894+AZ894</f>
        <v>0</v>
      </c>
      <c r="AY894" s="56">
        <f>G894*AQ894</f>
        <v>0</v>
      </c>
      <c r="AZ894" s="56">
        <f>G894*AR894</f>
        <v>0</v>
      </c>
      <c r="BA894" s="21" t="s">
        <v>1449</v>
      </c>
      <c r="BB894" s="21" t="s">
        <v>788</v>
      </c>
      <c r="BC894" s="7" t="s">
        <v>1887</v>
      </c>
      <c r="BE894" s="56">
        <f>AY894+AZ894</f>
        <v>0</v>
      </c>
      <c r="BF894" s="56">
        <f>H894/(100-BG894)*100</f>
        <v>0</v>
      </c>
      <c r="BG894" s="56">
        <v>0</v>
      </c>
      <c r="BH894" s="56">
        <f>M894</f>
        <v>8.8938000000000003E-3</v>
      </c>
      <c r="BJ894" s="80">
        <f>G894*AQ894</f>
        <v>0</v>
      </c>
      <c r="BK894" s="80">
        <f>G894*AR894</f>
        <v>0</v>
      </c>
      <c r="BL894" s="80">
        <f>G894*H894</f>
        <v>0</v>
      </c>
      <c r="BM894" s="80"/>
      <c r="BN894" s="56">
        <v>762</v>
      </c>
    </row>
    <row r="895" spans="1:66" ht="15" customHeight="1">
      <c r="A895" s="36"/>
      <c r="D895" s="45" t="s">
        <v>1608</v>
      </c>
      <c r="E895" s="104" t="s">
        <v>1597</v>
      </c>
      <c r="G895" s="13">
        <v>1.83</v>
      </c>
      <c r="N895" s="19"/>
      <c r="P895" s="592"/>
      <c r="Q895" s="592"/>
      <c r="R895" s="592"/>
      <c r="S895" s="592"/>
      <c r="T895" s="592"/>
      <c r="U895" s="592"/>
      <c r="V895" s="592"/>
      <c r="W895" s="592"/>
      <c r="X895" s="592"/>
    </row>
    <row r="896" spans="1:66" ht="15" customHeight="1">
      <c r="A896" s="8" t="s">
        <v>158</v>
      </c>
      <c r="B896" s="75" t="s">
        <v>527</v>
      </c>
      <c r="C896" s="75" t="s">
        <v>312</v>
      </c>
      <c r="D896" s="710" t="s">
        <v>2302</v>
      </c>
      <c r="E896" s="710"/>
      <c r="F896" s="75" t="s">
        <v>2274</v>
      </c>
      <c r="G896" s="80">
        <v>317.39999999999998</v>
      </c>
      <c r="H896" s="626"/>
      <c r="I896" s="80">
        <f>G896*AQ896</f>
        <v>0</v>
      </c>
      <c r="J896" s="80">
        <f>G896*AR896</f>
        <v>0</v>
      </c>
      <c r="K896" s="80">
        <f>G896*H896</f>
        <v>0</v>
      </c>
      <c r="L896" s="80">
        <v>1.4999999999999999E-2</v>
      </c>
      <c r="M896" s="80">
        <f>G896*L896</f>
        <v>4.7609999999999992</v>
      </c>
      <c r="N896" s="38" t="s">
        <v>1579</v>
      </c>
      <c r="P896" s="592"/>
      <c r="Q896" s="592"/>
      <c r="R896" s="592"/>
      <c r="S896" s="592"/>
      <c r="T896" s="592"/>
      <c r="U896" s="592"/>
      <c r="V896" s="592"/>
      <c r="W896" s="592"/>
      <c r="X896" s="592"/>
      <c r="AB896" s="56">
        <f>IF(AS896="5",BL896,0)</f>
        <v>0</v>
      </c>
      <c r="AD896" s="56">
        <f>IF(AS896="1",BJ896,0)</f>
        <v>0</v>
      </c>
      <c r="AE896" s="56">
        <f>IF(AS896="1",BK896,0)</f>
        <v>0</v>
      </c>
      <c r="AF896" s="56">
        <f>IF(AS896="7",BJ896,0)</f>
        <v>0</v>
      </c>
      <c r="AG896" s="56">
        <f>IF(AS896="7",BK896,0)</f>
        <v>0</v>
      </c>
      <c r="AH896" s="56">
        <f>IF(AS896="2",BJ896,0)</f>
        <v>0</v>
      </c>
      <c r="AI896" s="56">
        <f>IF(AS896="2",BK896,0)</f>
        <v>0</v>
      </c>
      <c r="AJ896" s="56">
        <f>IF(AS896="0",BL896,0)</f>
        <v>0</v>
      </c>
      <c r="AK896" s="7" t="s">
        <v>527</v>
      </c>
      <c r="AL896" s="80">
        <f>IF(AP896=0,K896,0)</f>
        <v>0</v>
      </c>
      <c r="AM896" s="80">
        <f>IF(AP896=15,K896,0)</f>
        <v>0</v>
      </c>
      <c r="AN896" s="80">
        <f>IF(AP896=21,K896,0)</f>
        <v>0</v>
      </c>
      <c r="AP896" s="56">
        <v>21</v>
      </c>
      <c r="AQ896" s="88">
        <f>H896*1</f>
        <v>0</v>
      </c>
      <c r="AR896" s="88">
        <f>H896*(1-1)</f>
        <v>0</v>
      </c>
      <c r="AS896" s="64" t="s">
        <v>2311</v>
      </c>
      <c r="AX896" s="56">
        <f>AY896+AZ896</f>
        <v>0</v>
      </c>
      <c r="AY896" s="56">
        <f>G896*AQ896</f>
        <v>0</v>
      </c>
      <c r="AZ896" s="56">
        <f>G896*AR896</f>
        <v>0</v>
      </c>
      <c r="BA896" s="21" t="s">
        <v>1449</v>
      </c>
      <c r="BB896" s="21" t="s">
        <v>788</v>
      </c>
      <c r="BC896" s="7" t="s">
        <v>1887</v>
      </c>
      <c r="BE896" s="56">
        <f>AY896+AZ896</f>
        <v>0</v>
      </c>
      <c r="BF896" s="56">
        <f>H896/(100-BG896)*100</f>
        <v>0</v>
      </c>
      <c r="BG896" s="56">
        <v>0</v>
      </c>
      <c r="BH896" s="56">
        <f>M896</f>
        <v>4.7609999999999992</v>
      </c>
      <c r="BJ896" s="80">
        <f>G896*AQ896</f>
        <v>0</v>
      </c>
      <c r="BK896" s="80">
        <f>G896*AR896</f>
        <v>0</v>
      </c>
      <c r="BL896" s="80">
        <f>G896*H896</f>
        <v>0</v>
      </c>
      <c r="BM896" s="80"/>
      <c r="BN896" s="56">
        <v>762</v>
      </c>
    </row>
    <row r="897" spans="1:66" ht="15" customHeight="1">
      <c r="A897" s="36"/>
      <c r="D897" s="45" t="s">
        <v>1645</v>
      </c>
      <c r="E897" s="104" t="s">
        <v>1597</v>
      </c>
      <c r="G897" s="13">
        <v>276</v>
      </c>
      <c r="N897" s="19"/>
      <c r="P897" s="592"/>
      <c r="Q897" s="592"/>
      <c r="R897" s="592"/>
      <c r="S897" s="592"/>
      <c r="T897" s="592"/>
      <c r="U897" s="592"/>
      <c r="V897" s="592"/>
      <c r="W897" s="592"/>
      <c r="X897" s="592"/>
    </row>
    <row r="898" spans="1:66" ht="15" customHeight="1">
      <c r="A898" s="36"/>
      <c r="D898" s="45" t="s">
        <v>672</v>
      </c>
      <c r="E898" s="104" t="s">
        <v>1597</v>
      </c>
      <c r="G898" s="13">
        <v>41.400000000000006</v>
      </c>
      <c r="N898" s="19"/>
      <c r="P898" s="592"/>
      <c r="Q898" s="592"/>
      <c r="R898" s="592"/>
      <c r="S898" s="592"/>
      <c r="T898" s="592"/>
      <c r="U898" s="592"/>
      <c r="V898" s="592"/>
      <c r="W898" s="592"/>
      <c r="X898" s="592"/>
    </row>
    <row r="899" spans="1:66" ht="15" customHeight="1">
      <c r="A899" s="8" t="s">
        <v>2579</v>
      </c>
      <c r="B899" s="75" t="s">
        <v>527</v>
      </c>
      <c r="C899" s="75" t="s">
        <v>647</v>
      </c>
      <c r="D899" s="710" t="s">
        <v>238</v>
      </c>
      <c r="E899" s="710"/>
      <c r="F899" s="75" t="s">
        <v>2182</v>
      </c>
      <c r="G899" s="80">
        <v>3233.09</v>
      </c>
      <c r="H899" s="626"/>
      <c r="I899" s="80">
        <f>G899*AQ899</f>
        <v>0</v>
      </c>
      <c r="J899" s="80">
        <f>G899*AR899</f>
        <v>0</v>
      </c>
      <c r="K899" s="80">
        <f>G899*H899</f>
        <v>0</v>
      </c>
      <c r="L899" s="80">
        <v>1E-3</v>
      </c>
      <c r="M899" s="80">
        <f>G899*L899</f>
        <v>3.2330900000000002</v>
      </c>
      <c r="N899" s="38" t="s">
        <v>1579</v>
      </c>
      <c r="P899" s="592"/>
      <c r="Q899" s="592"/>
      <c r="R899" s="592"/>
      <c r="S899" s="592"/>
      <c r="T899" s="592"/>
      <c r="U899" s="592"/>
      <c r="V899" s="592"/>
      <c r="W899" s="592"/>
      <c r="X899" s="592"/>
      <c r="AB899" s="56">
        <f>IF(AS899="5",BL899,0)</f>
        <v>0</v>
      </c>
      <c r="AD899" s="56">
        <f>IF(AS899="1",BJ899,0)</f>
        <v>0</v>
      </c>
      <c r="AE899" s="56">
        <f>IF(AS899="1",BK899,0)</f>
        <v>0</v>
      </c>
      <c r="AF899" s="56">
        <f>IF(AS899="7",BJ899,0)</f>
        <v>0</v>
      </c>
      <c r="AG899" s="56">
        <f>IF(AS899="7",BK899,0)</f>
        <v>0</v>
      </c>
      <c r="AH899" s="56">
        <f>IF(AS899="2",BJ899,0)</f>
        <v>0</v>
      </c>
      <c r="AI899" s="56">
        <f>IF(AS899="2",BK899,0)</f>
        <v>0</v>
      </c>
      <c r="AJ899" s="56">
        <f>IF(AS899="0",BL899,0)</f>
        <v>0</v>
      </c>
      <c r="AK899" s="7" t="s">
        <v>527</v>
      </c>
      <c r="AL899" s="80">
        <f>IF(AP899=0,K899,0)</f>
        <v>0</v>
      </c>
      <c r="AM899" s="80">
        <f>IF(AP899=15,K899,0)</f>
        <v>0</v>
      </c>
      <c r="AN899" s="80">
        <f>IF(AP899=21,K899,0)</f>
        <v>0</v>
      </c>
      <c r="AP899" s="56">
        <v>21</v>
      </c>
      <c r="AQ899" s="88">
        <f>H899*1</f>
        <v>0</v>
      </c>
      <c r="AR899" s="88">
        <f>H899*(1-1)</f>
        <v>0</v>
      </c>
      <c r="AS899" s="64" t="s">
        <v>2311</v>
      </c>
      <c r="AX899" s="56">
        <f>AY899+AZ899</f>
        <v>0</v>
      </c>
      <c r="AY899" s="56">
        <f>G899*AQ899</f>
        <v>0</v>
      </c>
      <c r="AZ899" s="56">
        <f>G899*AR899</f>
        <v>0</v>
      </c>
      <c r="BA899" s="21" t="s">
        <v>1449</v>
      </c>
      <c r="BB899" s="21" t="s">
        <v>788</v>
      </c>
      <c r="BC899" s="7" t="s">
        <v>1887</v>
      </c>
      <c r="BE899" s="56">
        <f>AY899+AZ899</f>
        <v>0</v>
      </c>
      <c r="BF899" s="56">
        <f>H899/(100-BG899)*100</f>
        <v>0</v>
      </c>
      <c r="BG899" s="56">
        <v>0</v>
      </c>
      <c r="BH899" s="56">
        <f>M899</f>
        <v>3.2330900000000002</v>
      </c>
      <c r="BJ899" s="80">
        <f>G899*AQ899</f>
        <v>0</v>
      </c>
      <c r="BK899" s="80">
        <f>G899*AR899</f>
        <v>0</v>
      </c>
      <c r="BL899" s="80">
        <f>G899*H899</f>
        <v>0</v>
      </c>
      <c r="BM899" s="80"/>
      <c r="BN899" s="56">
        <v>762</v>
      </c>
    </row>
    <row r="900" spans="1:66" ht="15" customHeight="1">
      <c r="A900" s="36"/>
      <c r="D900" s="45" t="s">
        <v>1207</v>
      </c>
      <c r="E900" s="104" t="s">
        <v>1490</v>
      </c>
      <c r="G900" s="13">
        <v>3079.13</v>
      </c>
      <c r="N900" s="19"/>
      <c r="P900" s="592"/>
      <c r="Q900" s="592"/>
      <c r="R900" s="592"/>
      <c r="S900" s="592"/>
      <c r="T900" s="592"/>
      <c r="U900" s="592"/>
      <c r="V900" s="592"/>
      <c r="W900" s="592"/>
      <c r="X900" s="592"/>
    </row>
    <row r="901" spans="1:66" ht="15" customHeight="1">
      <c r="A901" s="36"/>
      <c r="D901" s="45" t="s">
        <v>1503</v>
      </c>
      <c r="E901" s="104" t="s">
        <v>1597</v>
      </c>
      <c r="G901" s="13">
        <v>153.96</v>
      </c>
      <c r="N901" s="19"/>
      <c r="P901" s="592"/>
      <c r="Q901" s="592"/>
      <c r="R901" s="592"/>
      <c r="S901" s="592"/>
      <c r="T901" s="592"/>
      <c r="U901" s="592"/>
      <c r="V901" s="592"/>
      <c r="W901" s="592"/>
      <c r="X901" s="592"/>
    </row>
    <row r="902" spans="1:66" ht="15" customHeight="1">
      <c r="A902" s="8" t="s">
        <v>1908</v>
      </c>
      <c r="B902" s="75" t="s">
        <v>527</v>
      </c>
      <c r="C902" s="75" t="s">
        <v>462</v>
      </c>
      <c r="D902" s="710" t="s">
        <v>2442</v>
      </c>
      <c r="E902" s="710"/>
      <c r="F902" s="75" t="s">
        <v>2274</v>
      </c>
      <c r="G902" s="80">
        <v>165.6</v>
      </c>
      <c r="H902" s="626"/>
      <c r="I902" s="80">
        <f>G902*AQ902</f>
        <v>0</v>
      </c>
      <c r="J902" s="80">
        <f>G902*AR902</f>
        <v>0</v>
      </c>
      <c r="K902" s="80">
        <f>G902*H902</f>
        <v>0</v>
      </c>
      <c r="L902" s="80">
        <v>1E-4</v>
      </c>
      <c r="M902" s="80">
        <f>G902*L902</f>
        <v>1.6560000000000002E-2</v>
      </c>
      <c r="N902" s="38" t="s">
        <v>1579</v>
      </c>
      <c r="P902" s="592"/>
      <c r="Q902" s="592"/>
      <c r="R902" s="592"/>
      <c r="S902" s="592"/>
      <c r="T902" s="592"/>
      <c r="U902" s="592"/>
      <c r="V902" s="592"/>
      <c r="W902" s="592"/>
      <c r="X902" s="592"/>
      <c r="AB902" s="56">
        <f>IF(AS902="5",BL902,0)</f>
        <v>0</v>
      </c>
      <c r="AD902" s="56">
        <f>IF(AS902="1",BJ902,0)</f>
        <v>0</v>
      </c>
      <c r="AE902" s="56">
        <f>IF(AS902="1",BK902,0)</f>
        <v>0</v>
      </c>
      <c r="AF902" s="56">
        <f>IF(AS902="7",BJ902,0)</f>
        <v>0</v>
      </c>
      <c r="AG902" s="56">
        <f>IF(AS902="7",BK902,0)</f>
        <v>0</v>
      </c>
      <c r="AH902" s="56">
        <f>IF(AS902="2",BJ902,0)</f>
        <v>0</v>
      </c>
      <c r="AI902" s="56">
        <f>IF(AS902="2",BK902,0)</f>
        <v>0</v>
      </c>
      <c r="AJ902" s="56">
        <f>IF(AS902="0",BL902,0)</f>
        <v>0</v>
      </c>
      <c r="AK902" s="7" t="s">
        <v>527</v>
      </c>
      <c r="AL902" s="80">
        <f>IF(AP902=0,K902,0)</f>
        <v>0</v>
      </c>
      <c r="AM902" s="80">
        <f>IF(AP902=15,K902,0)</f>
        <v>0</v>
      </c>
      <c r="AN902" s="80">
        <f>IF(AP902=21,K902,0)</f>
        <v>0</v>
      </c>
      <c r="AP902" s="56">
        <v>21</v>
      </c>
      <c r="AQ902" s="88">
        <f>H902*1</f>
        <v>0</v>
      </c>
      <c r="AR902" s="88">
        <f>H902*(1-1)</f>
        <v>0</v>
      </c>
      <c r="AS902" s="64" t="s">
        <v>2311</v>
      </c>
      <c r="AX902" s="56">
        <f>AY902+AZ902</f>
        <v>0</v>
      </c>
      <c r="AY902" s="56">
        <f>G902*AQ902</f>
        <v>0</v>
      </c>
      <c r="AZ902" s="56">
        <f>G902*AR902</f>
        <v>0</v>
      </c>
      <c r="BA902" s="21" t="s">
        <v>1449</v>
      </c>
      <c r="BB902" s="21" t="s">
        <v>788</v>
      </c>
      <c r="BC902" s="7" t="s">
        <v>1887</v>
      </c>
      <c r="BE902" s="56">
        <f>AY902+AZ902</f>
        <v>0</v>
      </c>
      <c r="BF902" s="56">
        <f>H902/(100-BG902)*100</f>
        <v>0</v>
      </c>
      <c r="BG902" s="56">
        <v>0</v>
      </c>
      <c r="BH902" s="56">
        <f>M902</f>
        <v>1.6560000000000002E-2</v>
      </c>
      <c r="BJ902" s="80">
        <f>G902*AQ902</f>
        <v>0</v>
      </c>
      <c r="BK902" s="80">
        <f>G902*AR902</f>
        <v>0</v>
      </c>
      <c r="BL902" s="80">
        <f>G902*H902</f>
        <v>0</v>
      </c>
      <c r="BM902" s="80"/>
      <c r="BN902" s="56">
        <v>762</v>
      </c>
    </row>
    <row r="903" spans="1:66" ht="15" customHeight="1">
      <c r="A903" s="36"/>
      <c r="D903" s="45" t="s">
        <v>348</v>
      </c>
      <c r="E903" s="104" t="s">
        <v>1597</v>
      </c>
      <c r="G903" s="13">
        <v>138</v>
      </c>
      <c r="N903" s="19"/>
      <c r="P903" s="592"/>
      <c r="Q903" s="592"/>
      <c r="R903" s="592"/>
      <c r="S903" s="592"/>
      <c r="T903" s="592"/>
      <c r="U903" s="592"/>
      <c r="V903" s="592"/>
      <c r="W903" s="592"/>
      <c r="X903" s="592"/>
    </row>
    <row r="904" spans="1:66" ht="15" customHeight="1">
      <c r="A904" s="36"/>
      <c r="D904" s="45" t="s">
        <v>1756</v>
      </c>
      <c r="E904" s="104" t="s">
        <v>1597</v>
      </c>
      <c r="G904" s="13">
        <v>27.6</v>
      </c>
      <c r="N904" s="19"/>
      <c r="P904" s="592"/>
      <c r="Q904" s="592"/>
      <c r="R904" s="592"/>
      <c r="S904" s="592"/>
      <c r="T904" s="592"/>
      <c r="U904" s="592"/>
      <c r="V904" s="592"/>
      <c r="W904" s="592"/>
      <c r="X904" s="592"/>
    </row>
    <row r="905" spans="1:66" ht="15" customHeight="1">
      <c r="A905" s="24" t="s">
        <v>2623</v>
      </c>
      <c r="B905" s="12" t="s">
        <v>527</v>
      </c>
      <c r="C905" s="12" t="s">
        <v>1124</v>
      </c>
      <c r="D905" s="630" t="s">
        <v>2215</v>
      </c>
      <c r="E905" s="630"/>
      <c r="F905" s="12" t="s">
        <v>2274</v>
      </c>
      <c r="G905" s="56">
        <v>91.05</v>
      </c>
      <c r="H905" s="625"/>
      <c r="I905" s="56">
        <f>G905*AQ905</f>
        <v>0</v>
      </c>
      <c r="J905" s="56">
        <f>G905*AR905</f>
        <v>0</v>
      </c>
      <c r="K905" s="56">
        <f>G905*H905</f>
        <v>0</v>
      </c>
      <c r="L905" s="56">
        <v>0</v>
      </c>
      <c r="M905" s="56">
        <f>G905*L905</f>
        <v>0</v>
      </c>
      <c r="N905" s="31" t="s">
        <v>1579</v>
      </c>
      <c r="P905" s="592"/>
      <c r="Q905" s="592"/>
      <c r="R905" s="592"/>
      <c r="S905" s="592"/>
      <c r="T905" s="592"/>
      <c r="U905" s="592"/>
      <c r="V905" s="592"/>
      <c r="W905" s="592"/>
      <c r="X905" s="592"/>
      <c r="AB905" s="56">
        <f>IF(AS905="5",BL905,0)</f>
        <v>0</v>
      </c>
      <c r="AD905" s="56">
        <f>IF(AS905="1",BJ905,0)</f>
        <v>0</v>
      </c>
      <c r="AE905" s="56">
        <f>IF(AS905="1",BK905,0)</f>
        <v>0</v>
      </c>
      <c r="AF905" s="56">
        <f>IF(AS905="7",BJ905,0)</f>
        <v>0</v>
      </c>
      <c r="AG905" s="56">
        <f>IF(AS905="7",BK905,0)</f>
        <v>0</v>
      </c>
      <c r="AH905" s="56">
        <f>IF(AS905="2",BJ905,0)</f>
        <v>0</v>
      </c>
      <c r="AI905" s="56">
        <f>IF(AS905="2",BK905,0)</f>
        <v>0</v>
      </c>
      <c r="AJ905" s="56">
        <f>IF(AS905="0",BL905,0)</f>
        <v>0</v>
      </c>
      <c r="AK905" s="7" t="s">
        <v>527</v>
      </c>
      <c r="AL905" s="56">
        <f>IF(AP905=0,K905,0)</f>
        <v>0</v>
      </c>
      <c r="AM905" s="56">
        <f>IF(AP905=15,K905,0)</f>
        <v>0</v>
      </c>
      <c r="AN905" s="56">
        <f>IF(AP905=21,K905,0)</f>
        <v>0</v>
      </c>
      <c r="AP905" s="56">
        <v>21</v>
      </c>
      <c r="AQ905" s="88">
        <f>H905*0</f>
        <v>0</v>
      </c>
      <c r="AR905" s="88">
        <f>H905*(1-0)</f>
        <v>0</v>
      </c>
      <c r="AS905" s="21" t="s">
        <v>2311</v>
      </c>
      <c r="AX905" s="56">
        <f>AY905+AZ905</f>
        <v>0</v>
      </c>
      <c r="AY905" s="56">
        <f>G905*AQ905</f>
        <v>0</v>
      </c>
      <c r="AZ905" s="56">
        <f>G905*AR905</f>
        <v>0</v>
      </c>
      <c r="BA905" s="21" t="s">
        <v>1449</v>
      </c>
      <c r="BB905" s="21" t="s">
        <v>788</v>
      </c>
      <c r="BC905" s="7" t="s">
        <v>1887</v>
      </c>
      <c r="BE905" s="56">
        <f>AY905+AZ905</f>
        <v>0</v>
      </c>
      <c r="BF905" s="56">
        <f>H905/(100-BG905)*100</f>
        <v>0</v>
      </c>
      <c r="BG905" s="56">
        <v>0</v>
      </c>
      <c r="BH905" s="56">
        <f>M905</f>
        <v>0</v>
      </c>
      <c r="BJ905" s="56">
        <f>G905*AQ905</f>
        <v>0</v>
      </c>
      <c r="BK905" s="56">
        <f>G905*AR905</f>
        <v>0</v>
      </c>
      <c r="BL905" s="56">
        <f>G905*H905</f>
        <v>0</v>
      </c>
      <c r="BM905" s="56"/>
      <c r="BN905" s="56">
        <v>762</v>
      </c>
    </row>
    <row r="906" spans="1:66" ht="15" customHeight="1">
      <c r="A906" s="36"/>
      <c r="D906" s="45" t="s">
        <v>580</v>
      </c>
      <c r="E906" s="104" t="s">
        <v>1095</v>
      </c>
      <c r="G906" s="13">
        <v>85.050000000000011</v>
      </c>
      <c r="N906" s="19"/>
      <c r="P906" s="592"/>
      <c r="Q906" s="592"/>
      <c r="R906" s="592"/>
      <c r="S906" s="592"/>
      <c r="T906" s="592"/>
      <c r="U906" s="592"/>
      <c r="V906" s="592"/>
      <c r="W906" s="592"/>
      <c r="X906" s="592"/>
    </row>
    <row r="907" spans="1:66" ht="15" customHeight="1">
      <c r="A907" s="36"/>
      <c r="D907" s="45" t="s">
        <v>1928</v>
      </c>
      <c r="E907" s="104" t="s">
        <v>1568</v>
      </c>
      <c r="G907" s="13">
        <v>6.0000000000000009</v>
      </c>
      <c r="N907" s="19"/>
      <c r="P907" s="592"/>
      <c r="Q907" s="592"/>
      <c r="R907" s="592"/>
      <c r="S907" s="592"/>
      <c r="T907" s="592"/>
      <c r="U907" s="592"/>
      <c r="V907" s="592"/>
      <c r="W907" s="592"/>
      <c r="X907" s="592"/>
    </row>
    <row r="908" spans="1:66" ht="15" customHeight="1">
      <c r="A908" s="8" t="s">
        <v>885</v>
      </c>
      <c r="B908" s="75" t="s">
        <v>527</v>
      </c>
      <c r="C908" s="75" t="s">
        <v>1600</v>
      </c>
      <c r="D908" s="710" t="s">
        <v>1172</v>
      </c>
      <c r="E908" s="710"/>
      <c r="F908" s="75" t="s">
        <v>2274</v>
      </c>
      <c r="G908" s="80">
        <v>110.4</v>
      </c>
      <c r="H908" s="626"/>
      <c r="I908" s="80">
        <f>G908*AQ908</f>
        <v>0</v>
      </c>
      <c r="J908" s="80">
        <f>G908*AR908</f>
        <v>0</v>
      </c>
      <c r="K908" s="80">
        <f>G908*H908</f>
        <v>0</v>
      </c>
      <c r="L908" s="80">
        <v>1.2999999999999999E-2</v>
      </c>
      <c r="M908" s="80">
        <f>G908*L908</f>
        <v>1.4352</v>
      </c>
      <c r="N908" s="38" t="s">
        <v>1579</v>
      </c>
      <c r="P908" s="592"/>
      <c r="Q908" s="592"/>
      <c r="R908" s="592"/>
      <c r="S908" s="592"/>
      <c r="T908" s="592"/>
      <c r="U908" s="592"/>
      <c r="V908" s="592"/>
      <c r="W908" s="592"/>
      <c r="X908" s="592"/>
      <c r="AB908" s="56">
        <f>IF(AS908="5",BL908,0)</f>
        <v>0</v>
      </c>
      <c r="AD908" s="56">
        <f>IF(AS908="1",BJ908,0)</f>
        <v>0</v>
      </c>
      <c r="AE908" s="56">
        <f>IF(AS908="1",BK908,0)</f>
        <v>0</v>
      </c>
      <c r="AF908" s="56">
        <f>IF(AS908="7",BJ908,0)</f>
        <v>0</v>
      </c>
      <c r="AG908" s="56">
        <f>IF(AS908="7",BK908,0)</f>
        <v>0</v>
      </c>
      <c r="AH908" s="56">
        <f>IF(AS908="2",BJ908,0)</f>
        <v>0</v>
      </c>
      <c r="AI908" s="56">
        <f>IF(AS908="2",BK908,0)</f>
        <v>0</v>
      </c>
      <c r="AJ908" s="56">
        <f>IF(AS908="0",BL908,0)</f>
        <v>0</v>
      </c>
      <c r="AK908" s="7" t="s">
        <v>527</v>
      </c>
      <c r="AL908" s="80">
        <f>IF(AP908=0,K908,0)</f>
        <v>0</v>
      </c>
      <c r="AM908" s="80">
        <f>IF(AP908=15,K908,0)</f>
        <v>0</v>
      </c>
      <c r="AN908" s="80">
        <f>IF(AP908=21,K908,0)</f>
        <v>0</v>
      </c>
      <c r="AP908" s="56">
        <v>21</v>
      </c>
      <c r="AQ908" s="88">
        <f>H908*1</f>
        <v>0</v>
      </c>
      <c r="AR908" s="88">
        <f>H908*(1-1)</f>
        <v>0</v>
      </c>
      <c r="AS908" s="64" t="s">
        <v>2311</v>
      </c>
      <c r="AX908" s="56">
        <f>AY908+AZ908</f>
        <v>0</v>
      </c>
      <c r="AY908" s="56">
        <f>G908*AQ908</f>
        <v>0</v>
      </c>
      <c r="AZ908" s="56">
        <f>G908*AR908</f>
        <v>0</v>
      </c>
      <c r="BA908" s="21" t="s">
        <v>1449</v>
      </c>
      <c r="BB908" s="21" t="s">
        <v>788</v>
      </c>
      <c r="BC908" s="7" t="s">
        <v>1887</v>
      </c>
      <c r="BE908" s="56">
        <f>AY908+AZ908</f>
        <v>0</v>
      </c>
      <c r="BF908" s="56">
        <f>H908/(100-BG908)*100</f>
        <v>0</v>
      </c>
      <c r="BG908" s="56">
        <v>0</v>
      </c>
      <c r="BH908" s="56">
        <f>M908</f>
        <v>1.4352</v>
      </c>
      <c r="BJ908" s="80">
        <f>G908*AQ908</f>
        <v>0</v>
      </c>
      <c r="BK908" s="80">
        <f>G908*AR908</f>
        <v>0</v>
      </c>
      <c r="BL908" s="80">
        <f>G908*H908</f>
        <v>0</v>
      </c>
      <c r="BM908" s="80"/>
      <c r="BN908" s="56">
        <v>762</v>
      </c>
    </row>
    <row r="909" spans="1:66" ht="15" customHeight="1">
      <c r="A909" s="36"/>
      <c r="D909" s="45" t="s">
        <v>2</v>
      </c>
      <c r="E909" s="104" t="s">
        <v>1597</v>
      </c>
      <c r="G909" s="13">
        <v>92.000000000000014</v>
      </c>
      <c r="N909" s="19"/>
      <c r="P909" s="592"/>
      <c r="Q909" s="592"/>
      <c r="R909" s="592"/>
      <c r="S909" s="592"/>
      <c r="T909" s="592"/>
      <c r="U909" s="592"/>
      <c r="V909" s="592"/>
      <c r="W909" s="592"/>
      <c r="X909" s="592"/>
    </row>
    <row r="910" spans="1:66" ht="15" customHeight="1">
      <c r="A910" s="36"/>
      <c r="D910" s="45" t="s">
        <v>460</v>
      </c>
      <c r="E910" s="104" t="s">
        <v>1597</v>
      </c>
      <c r="G910" s="13">
        <v>18.400000000000002</v>
      </c>
      <c r="N910" s="19"/>
      <c r="P910" s="592"/>
      <c r="Q910" s="592"/>
      <c r="R910" s="592"/>
      <c r="S910" s="592"/>
      <c r="T910" s="592"/>
      <c r="U910" s="592"/>
      <c r="V910" s="592"/>
      <c r="W910" s="592"/>
      <c r="X910" s="592"/>
    </row>
    <row r="911" spans="1:66" ht="15" customHeight="1">
      <c r="A911" s="8" t="s">
        <v>427</v>
      </c>
      <c r="B911" s="75" t="s">
        <v>527</v>
      </c>
      <c r="C911" s="75" t="s">
        <v>228</v>
      </c>
      <c r="D911" s="710" t="s">
        <v>856</v>
      </c>
      <c r="E911" s="710"/>
      <c r="F911" s="75" t="s">
        <v>2236</v>
      </c>
      <c r="G911" s="80">
        <v>2.78</v>
      </c>
      <c r="H911" s="626"/>
      <c r="I911" s="80">
        <f>G911*AQ911</f>
        <v>0</v>
      </c>
      <c r="J911" s="80">
        <f>G911*AR911</f>
        <v>0</v>
      </c>
      <c r="K911" s="80">
        <f>G911*H911</f>
        <v>0</v>
      </c>
      <c r="L911" s="80">
        <v>0.5</v>
      </c>
      <c r="M911" s="80">
        <f>G911*L911</f>
        <v>1.39</v>
      </c>
      <c r="N911" s="38" t="s">
        <v>1579</v>
      </c>
      <c r="P911" s="592"/>
      <c r="Q911" s="592"/>
      <c r="R911" s="592"/>
      <c r="S911" s="592"/>
      <c r="T911" s="592"/>
      <c r="U911" s="592"/>
      <c r="V911" s="592"/>
      <c r="W911" s="592"/>
      <c r="X911" s="592"/>
      <c r="AB911" s="56">
        <f>IF(AS911="5",BL911,0)</f>
        <v>0</v>
      </c>
      <c r="AD911" s="56">
        <f>IF(AS911="1",BJ911,0)</f>
        <v>0</v>
      </c>
      <c r="AE911" s="56">
        <f>IF(AS911="1",BK911,0)</f>
        <v>0</v>
      </c>
      <c r="AF911" s="56">
        <f>IF(AS911="7",BJ911,0)</f>
        <v>0</v>
      </c>
      <c r="AG911" s="56">
        <f>IF(AS911="7",BK911,0)</f>
        <v>0</v>
      </c>
      <c r="AH911" s="56">
        <f>IF(AS911="2",BJ911,0)</f>
        <v>0</v>
      </c>
      <c r="AI911" s="56">
        <f>IF(AS911="2",BK911,0)</f>
        <v>0</v>
      </c>
      <c r="AJ911" s="56">
        <f>IF(AS911="0",BL911,0)</f>
        <v>0</v>
      </c>
      <c r="AK911" s="7" t="s">
        <v>527</v>
      </c>
      <c r="AL911" s="80">
        <f>IF(AP911=0,K911,0)</f>
        <v>0</v>
      </c>
      <c r="AM911" s="80">
        <f>IF(AP911=15,K911,0)</f>
        <v>0</v>
      </c>
      <c r="AN911" s="80">
        <f>IF(AP911=21,K911,0)</f>
        <v>0</v>
      </c>
      <c r="AP911" s="56">
        <v>21</v>
      </c>
      <c r="AQ911" s="88">
        <f>H911*1</f>
        <v>0</v>
      </c>
      <c r="AR911" s="88">
        <f>H911*(1-1)</f>
        <v>0</v>
      </c>
      <c r="AS911" s="64" t="s">
        <v>2311</v>
      </c>
      <c r="AX911" s="56">
        <f>AY911+AZ911</f>
        <v>0</v>
      </c>
      <c r="AY911" s="56">
        <f>G911*AQ911</f>
        <v>0</v>
      </c>
      <c r="AZ911" s="56">
        <f>G911*AR911</f>
        <v>0</v>
      </c>
      <c r="BA911" s="21" t="s">
        <v>1449</v>
      </c>
      <c r="BB911" s="21" t="s">
        <v>788</v>
      </c>
      <c r="BC911" s="7" t="s">
        <v>1887</v>
      </c>
      <c r="BE911" s="56">
        <f>AY911+AZ911</f>
        <v>0</v>
      </c>
      <c r="BF911" s="56">
        <f>H911/(100-BG911)*100</f>
        <v>0</v>
      </c>
      <c r="BG911" s="56">
        <v>0</v>
      </c>
      <c r="BH911" s="56">
        <f>M911</f>
        <v>1.39</v>
      </c>
      <c r="BJ911" s="80">
        <f>G911*AQ911</f>
        <v>0</v>
      </c>
      <c r="BK911" s="80">
        <f>G911*AR911</f>
        <v>0</v>
      </c>
      <c r="BL911" s="80">
        <f>G911*H911</f>
        <v>0</v>
      </c>
      <c r="BM911" s="80"/>
      <c r="BN911" s="56">
        <v>762</v>
      </c>
    </row>
    <row r="912" spans="1:66" ht="15" customHeight="1">
      <c r="A912" s="36"/>
      <c r="D912" s="45" t="s">
        <v>1936</v>
      </c>
      <c r="E912" s="104" t="s">
        <v>1597</v>
      </c>
      <c r="G912" s="13">
        <v>2.3200000000000003</v>
      </c>
      <c r="N912" s="19"/>
      <c r="P912" s="592"/>
      <c r="Q912" s="592"/>
      <c r="R912" s="592"/>
      <c r="S912" s="592"/>
      <c r="T912" s="592"/>
      <c r="U912" s="592"/>
      <c r="V912" s="592"/>
      <c r="W912" s="592"/>
      <c r="X912" s="592"/>
    </row>
    <row r="913" spans="1:66" ht="15" customHeight="1">
      <c r="A913" s="36"/>
      <c r="D913" s="45" t="s">
        <v>874</v>
      </c>
      <c r="E913" s="104" t="s">
        <v>1597</v>
      </c>
      <c r="G913" s="13">
        <v>0.46</v>
      </c>
      <c r="N913" s="19"/>
      <c r="P913" s="592"/>
      <c r="Q913" s="592"/>
      <c r="R913" s="592"/>
      <c r="S913" s="592"/>
      <c r="T913" s="592"/>
      <c r="U913" s="592"/>
      <c r="V913" s="592"/>
      <c r="W913" s="592"/>
      <c r="X913" s="592"/>
    </row>
    <row r="914" spans="1:66" ht="15" customHeight="1">
      <c r="A914" s="8" t="s">
        <v>2530</v>
      </c>
      <c r="B914" s="75" t="s">
        <v>527</v>
      </c>
      <c r="C914" s="75" t="s">
        <v>656</v>
      </c>
      <c r="D914" s="710" t="s">
        <v>3615</v>
      </c>
      <c r="E914" s="710"/>
      <c r="F914" s="75" t="s">
        <v>1062</v>
      </c>
      <c r="G914" s="80">
        <v>2</v>
      </c>
      <c r="H914" s="626"/>
      <c r="I914" s="80">
        <f>G914*AQ914</f>
        <v>0</v>
      </c>
      <c r="J914" s="80">
        <f>G914*AR914</f>
        <v>0</v>
      </c>
      <c r="K914" s="80">
        <f>G914*H914</f>
        <v>0</v>
      </c>
      <c r="L914" s="80">
        <v>1.23E-2</v>
      </c>
      <c r="M914" s="80">
        <f>G914*L914</f>
        <v>2.46E-2</v>
      </c>
      <c r="N914" s="38" t="s">
        <v>1579</v>
      </c>
      <c r="P914" s="592"/>
      <c r="Q914" s="592"/>
      <c r="R914" s="592"/>
      <c r="S914" s="592"/>
      <c r="T914" s="592"/>
      <c r="U914" s="592"/>
      <c r="V914" s="592"/>
      <c r="W914" s="592"/>
      <c r="X914" s="592"/>
      <c r="AB914" s="56">
        <f>IF(AS914="5",BL914,0)</f>
        <v>0</v>
      </c>
      <c r="AD914" s="56">
        <f>IF(AS914="1",BJ914,0)</f>
        <v>0</v>
      </c>
      <c r="AE914" s="56">
        <f>IF(AS914="1",BK914,0)</f>
        <v>0</v>
      </c>
      <c r="AF914" s="56">
        <f>IF(AS914="7",BJ914,0)</f>
        <v>0</v>
      </c>
      <c r="AG914" s="56">
        <f>IF(AS914="7",BK914,0)</f>
        <v>0</v>
      </c>
      <c r="AH914" s="56">
        <f>IF(AS914="2",BJ914,0)</f>
        <v>0</v>
      </c>
      <c r="AI914" s="56">
        <f>IF(AS914="2",BK914,0)</f>
        <v>0</v>
      </c>
      <c r="AJ914" s="56">
        <f>IF(AS914="0",BL914,0)</f>
        <v>0</v>
      </c>
      <c r="AK914" s="7" t="s">
        <v>527</v>
      </c>
      <c r="AL914" s="80">
        <f>IF(AP914=0,K914,0)</f>
        <v>0</v>
      </c>
      <c r="AM914" s="80">
        <f>IF(AP914=15,K914,0)</f>
        <v>0</v>
      </c>
      <c r="AN914" s="80">
        <f>IF(AP914=21,K914,0)</f>
        <v>0</v>
      </c>
      <c r="AP914" s="56">
        <v>21</v>
      </c>
      <c r="AQ914" s="88">
        <f>H914*1</f>
        <v>0</v>
      </c>
      <c r="AR914" s="88">
        <f>H914*(1-1)</f>
        <v>0</v>
      </c>
      <c r="AS914" s="64" t="s">
        <v>2311</v>
      </c>
      <c r="AX914" s="56">
        <f>AY914+AZ914</f>
        <v>0</v>
      </c>
      <c r="AY914" s="56">
        <f>G914*AQ914</f>
        <v>0</v>
      </c>
      <c r="AZ914" s="56">
        <f>G914*AR914</f>
        <v>0</v>
      </c>
      <c r="BA914" s="21" t="s">
        <v>1449</v>
      </c>
      <c r="BB914" s="21" t="s">
        <v>788</v>
      </c>
      <c r="BC914" s="7" t="s">
        <v>1887</v>
      </c>
      <c r="BE914" s="56">
        <f>AY914+AZ914</f>
        <v>0</v>
      </c>
      <c r="BF914" s="56">
        <f>H914/(100-BG914)*100</f>
        <v>0</v>
      </c>
      <c r="BG914" s="56">
        <v>0</v>
      </c>
      <c r="BH914" s="56">
        <f>M914</f>
        <v>2.46E-2</v>
      </c>
      <c r="BJ914" s="80">
        <f>G914*AQ914</f>
        <v>0</v>
      </c>
      <c r="BK914" s="80">
        <f>G914*AR914</f>
        <v>0</v>
      </c>
      <c r="BL914" s="80">
        <f>G914*H914</f>
        <v>0</v>
      </c>
      <c r="BM914" s="80"/>
      <c r="BN914" s="56">
        <v>762</v>
      </c>
    </row>
    <row r="915" spans="1:66" ht="15" customHeight="1">
      <c r="A915" s="36"/>
      <c r="D915" s="45" t="s">
        <v>1589</v>
      </c>
      <c r="E915" s="104" t="s">
        <v>1597</v>
      </c>
      <c r="G915" s="13">
        <v>2</v>
      </c>
      <c r="N915" s="19"/>
      <c r="P915" s="592"/>
      <c r="Q915" s="592"/>
      <c r="R915" s="592"/>
      <c r="S915" s="592"/>
      <c r="T915" s="592"/>
      <c r="U915" s="592"/>
      <c r="V915" s="592"/>
      <c r="W915" s="592"/>
      <c r="X915" s="592"/>
    </row>
    <row r="916" spans="1:66" ht="15" customHeight="1">
      <c r="A916" s="8" t="s">
        <v>1677</v>
      </c>
      <c r="B916" s="75" t="s">
        <v>527</v>
      </c>
      <c r="C916" s="75" t="s">
        <v>1204</v>
      </c>
      <c r="D916" s="710" t="s">
        <v>3616</v>
      </c>
      <c r="E916" s="710"/>
      <c r="F916" s="75" t="s">
        <v>564</v>
      </c>
      <c r="G916" s="80">
        <v>550</v>
      </c>
      <c r="H916" s="626"/>
      <c r="I916" s="80">
        <f>G916*AQ916</f>
        <v>0</v>
      </c>
      <c r="J916" s="80">
        <f>G916*AR916</f>
        <v>0</v>
      </c>
      <c r="K916" s="80">
        <f>G916*H916</f>
        <v>0</v>
      </c>
      <c r="L916" s="80">
        <v>0</v>
      </c>
      <c r="M916" s="80">
        <f>G916*L916</f>
        <v>0</v>
      </c>
      <c r="N916" s="38" t="s">
        <v>1579</v>
      </c>
      <c r="P916" s="592"/>
      <c r="Q916" s="592"/>
      <c r="R916" s="592"/>
      <c r="S916" s="592"/>
      <c r="T916" s="592"/>
      <c r="U916" s="592"/>
      <c r="V916" s="592"/>
      <c r="W916" s="592"/>
      <c r="X916" s="592"/>
      <c r="AB916" s="56">
        <f>IF(AS916="5",BL916,0)</f>
        <v>0</v>
      </c>
      <c r="AD916" s="56">
        <f>IF(AS916="1",BJ916,0)</f>
        <v>0</v>
      </c>
      <c r="AE916" s="56">
        <f>IF(AS916="1",BK916,0)</f>
        <v>0</v>
      </c>
      <c r="AF916" s="56">
        <f>IF(AS916="7",BJ916,0)</f>
        <v>0</v>
      </c>
      <c r="AG916" s="56">
        <f>IF(AS916="7",BK916,0)</f>
        <v>0</v>
      </c>
      <c r="AH916" s="56">
        <f>IF(AS916="2",BJ916,0)</f>
        <v>0</v>
      </c>
      <c r="AI916" s="56">
        <f>IF(AS916="2",BK916,0)</f>
        <v>0</v>
      </c>
      <c r="AJ916" s="56">
        <f>IF(AS916="0",BL916,0)</f>
        <v>0</v>
      </c>
      <c r="AK916" s="7" t="s">
        <v>527</v>
      </c>
      <c r="AL916" s="80">
        <f>IF(AP916=0,K916,0)</f>
        <v>0</v>
      </c>
      <c r="AM916" s="80">
        <f>IF(AP916=15,K916,0)</f>
        <v>0</v>
      </c>
      <c r="AN916" s="80">
        <f>IF(AP916=21,K916,0)</f>
        <v>0</v>
      </c>
      <c r="AP916" s="56">
        <v>21</v>
      </c>
      <c r="AQ916" s="88">
        <f>H916*1</f>
        <v>0</v>
      </c>
      <c r="AR916" s="88">
        <f>H916*(1-1)</f>
        <v>0</v>
      </c>
      <c r="AS916" s="64" t="s">
        <v>2311</v>
      </c>
      <c r="AX916" s="56">
        <f>AY916+AZ916</f>
        <v>0</v>
      </c>
      <c r="AY916" s="56">
        <f>G916*AQ916</f>
        <v>0</v>
      </c>
      <c r="AZ916" s="56">
        <f>G916*AR916</f>
        <v>0</v>
      </c>
      <c r="BA916" s="21" t="s">
        <v>1449</v>
      </c>
      <c r="BB916" s="21" t="s">
        <v>788</v>
      </c>
      <c r="BC916" s="7" t="s">
        <v>1887</v>
      </c>
      <c r="BE916" s="56">
        <f>AY916+AZ916</f>
        <v>0</v>
      </c>
      <c r="BF916" s="56">
        <f>H916/(100-BG916)*100</f>
        <v>0</v>
      </c>
      <c r="BG916" s="56">
        <v>0</v>
      </c>
      <c r="BH916" s="56">
        <f>M916</f>
        <v>0</v>
      </c>
      <c r="BJ916" s="80">
        <f>G916*AQ916</f>
        <v>0</v>
      </c>
      <c r="BK916" s="80">
        <f>G916*AR916</f>
        <v>0</v>
      </c>
      <c r="BL916" s="80">
        <f>G916*H916</f>
        <v>0</v>
      </c>
      <c r="BM916" s="80"/>
      <c r="BN916" s="56">
        <v>762</v>
      </c>
    </row>
    <row r="917" spans="1:66" ht="15" customHeight="1">
      <c r="A917" s="36"/>
      <c r="D917" s="45" t="s">
        <v>1878</v>
      </c>
      <c r="E917" s="104" t="s">
        <v>893</v>
      </c>
      <c r="G917" s="13">
        <v>550</v>
      </c>
      <c r="N917" s="19"/>
      <c r="P917" s="592"/>
      <c r="Q917" s="592"/>
      <c r="R917" s="592"/>
      <c r="S917" s="592"/>
      <c r="T917" s="592"/>
      <c r="U917" s="592"/>
      <c r="V917" s="592"/>
      <c r="W917" s="592"/>
      <c r="X917" s="592"/>
    </row>
    <row r="918" spans="1:66" ht="15" customHeight="1">
      <c r="A918" s="32" t="s">
        <v>1597</v>
      </c>
      <c r="B918" s="26" t="s">
        <v>527</v>
      </c>
      <c r="C918" s="553" t="s">
        <v>583</v>
      </c>
      <c r="D918" s="709" t="s">
        <v>1481</v>
      </c>
      <c r="E918" s="709"/>
      <c r="F918" s="46" t="s">
        <v>2144</v>
      </c>
      <c r="G918" s="46" t="s">
        <v>2144</v>
      </c>
      <c r="H918" s="46" t="s">
        <v>2144</v>
      </c>
      <c r="I918" s="17">
        <f>SUM(I919:I935)</f>
        <v>0</v>
      </c>
      <c r="J918" s="17">
        <f>SUM(J919:J935)</f>
        <v>0</v>
      </c>
      <c r="K918" s="554">
        <f>SUM(K919:K935)</f>
        <v>0</v>
      </c>
      <c r="L918" s="7" t="s">
        <v>1597</v>
      </c>
      <c r="M918" s="17">
        <f>SUM(M919:M935)</f>
        <v>2.4427200000000004</v>
      </c>
      <c r="N918" s="20" t="s">
        <v>1597</v>
      </c>
      <c r="P918" s="592"/>
      <c r="Q918" s="592"/>
      <c r="R918" s="594" t="s">
        <v>2144</v>
      </c>
      <c r="S918" s="592"/>
      <c r="T918" s="592"/>
      <c r="U918" s="592"/>
      <c r="V918" s="592"/>
      <c r="W918" s="592"/>
      <c r="X918" s="592"/>
      <c r="AK918" s="7" t="s">
        <v>527</v>
      </c>
      <c r="AU918" s="17">
        <f>SUM(AL919:AL935)</f>
        <v>0</v>
      </c>
      <c r="AV918" s="17">
        <f>SUM(AM919:AM935)</f>
        <v>0</v>
      </c>
      <c r="AW918" s="17">
        <f>SUM(AN919:AN935)</f>
        <v>0</v>
      </c>
    </row>
    <row r="919" spans="1:66" ht="15" customHeight="1">
      <c r="A919" s="24" t="s">
        <v>1550</v>
      </c>
      <c r="B919" s="12" t="s">
        <v>527</v>
      </c>
      <c r="C919" s="12" t="s">
        <v>1356</v>
      </c>
      <c r="D919" s="696" t="s">
        <v>620</v>
      </c>
      <c r="E919" s="696"/>
      <c r="F919" s="12" t="s">
        <v>1923</v>
      </c>
      <c r="G919" s="56">
        <v>480</v>
      </c>
      <c r="H919" s="625"/>
      <c r="I919" s="56">
        <f>G919*AQ919</f>
        <v>0</v>
      </c>
      <c r="J919" s="56">
        <f>G919*AR919</f>
        <v>0</v>
      </c>
      <c r="K919" s="517">
        <f>G919*H919</f>
        <v>0</v>
      </c>
      <c r="L919" s="56">
        <v>2.1000000000000001E-4</v>
      </c>
      <c r="M919" s="56">
        <f>G919*L919</f>
        <v>0.1008</v>
      </c>
      <c r="N919" s="31" t="s">
        <v>1579</v>
      </c>
      <c r="P919" s="592">
        <f>K919</f>
        <v>0</v>
      </c>
      <c r="Q919" s="592"/>
      <c r="R919" s="592"/>
      <c r="S919" s="592"/>
      <c r="T919" s="592"/>
      <c r="U919" s="592"/>
      <c r="V919" s="592"/>
      <c r="W919" s="592"/>
      <c r="X919" s="592"/>
      <c r="AB919" s="56">
        <f>IF(AS919="5",BL919,0)</f>
        <v>0</v>
      </c>
      <c r="AD919" s="56">
        <f>IF(AS919="1",BJ919,0)</f>
        <v>0</v>
      </c>
      <c r="AE919" s="56">
        <f>IF(AS919="1",BK919,0)</f>
        <v>0</v>
      </c>
      <c r="AF919" s="56">
        <f>IF(AS919="7",BJ919,0)</f>
        <v>0</v>
      </c>
      <c r="AG919" s="56">
        <f>IF(AS919="7",BK919,0)</f>
        <v>0</v>
      </c>
      <c r="AH919" s="56">
        <f>IF(AS919="2",BJ919,0)</f>
        <v>0</v>
      </c>
      <c r="AI919" s="56">
        <f>IF(AS919="2",BK919,0)</f>
        <v>0</v>
      </c>
      <c r="AJ919" s="56">
        <f>IF(AS919="0",BL919,0)</f>
        <v>0</v>
      </c>
      <c r="AK919" s="7" t="s">
        <v>527</v>
      </c>
      <c r="AL919" s="56">
        <f>IF(AP919=0,K919,0)</f>
        <v>0</v>
      </c>
      <c r="AM919" s="56">
        <f>IF(AP919=15,K919,0)</f>
        <v>0</v>
      </c>
      <c r="AN919" s="56">
        <f>IF(AP919=21,K919,0)</f>
        <v>0</v>
      </c>
      <c r="AP919" s="56">
        <v>21</v>
      </c>
      <c r="AQ919" s="88">
        <f>H919*0.0528225466205383</f>
        <v>0</v>
      </c>
      <c r="AR919" s="88">
        <f>H919*(1-0.0528225466205383)</f>
        <v>0</v>
      </c>
      <c r="AS919" s="21" t="s">
        <v>2311</v>
      </c>
      <c r="AX919" s="56">
        <f>AY919+AZ919</f>
        <v>0</v>
      </c>
      <c r="AY919" s="56">
        <f>G919*AQ919</f>
        <v>0</v>
      </c>
      <c r="AZ919" s="56">
        <f>G919*AR919</f>
        <v>0</v>
      </c>
      <c r="BA919" s="21" t="s">
        <v>1801</v>
      </c>
      <c r="BB919" s="21" t="s">
        <v>788</v>
      </c>
      <c r="BC919" s="7" t="s">
        <v>1887</v>
      </c>
      <c r="BE919" s="56">
        <f>AY919+AZ919</f>
        <v>0</v>
      </c>
      <c r="BF919" s="56">
        <f>H919/(100-BG919)*100</f>
        <v>0</v>
      </c>
      <c r="BG919" s="56">
        <v>0</v>
      </c>
      <c r="BH919" s="56">
        <f>M919</f>
        <v>0.1008</v>
      </c>
      <c r="BJ919" s="56">
        <f>G919*AQ919</f>
        <v>0</v>
      </c>
      <c r="BK919" s="56">
        <f>G919*AR919</f>
        <v>0</v>
      </c>
      <c r="BL919" s="56">
        <f>G919*H919</f>
        <v>0</v>
      </c>
      <c r="BM919" s="56"/>
      <c r="BN919" s="56">
        <v>763</v>
      </c>
    </row>
    <row r="920" spans="1:66" ht="15" customHeight="1">
      <c r="A920" s="36"/>
      <c r="D920" s="533" t="s">
        <v>406</v>
      </c>
      <c r="E920" s="525" t="s">
        <v>1424</v>
      </c>
      <c r="G920" s="13">
        <v>480.00000000000006</v>
      </c>
      <c r="K920" s="522"/>
      <c r="N920" s="19"/>
      <c r="P920" s="592"/>
      <c r="Q920" s="592"/>
      <c r="R920" s="592"/>
      <c r="S920" s="592"/>
      <c r="T920" s="592"/>
      <c r="U920" s="592"/>
      <c r="V920" s="592"/>
      <c r="W920" s="592"/>
      <c r="X920" s="592"/>
    </row>
    <row r="921" spans="1:66" ht="15" customHeight="1">
      <c r="A921" s="8" t="s">
        <v>2466</v>
      </c>
      <c r="B921" s="75" t="s">
        <v>527</v>
      </c>
      <c r="C921" s="75" t="s">
        <v>1388</v>
      </c>
      <c r="D921" s="713" t="s">
        <v>2210</v>
      </c>
      <c r="E921" s="713"/>
      <c r="F921" s="75" t="s">
        <v>2236</v>
      </c>
      <c r="G921" s="80">
        <v>3.46</v>
      </c>
      <c r="H921" s="626"/>
      <c r="I921" s="80">
        <f>G921*AQ921</f>
        <v>0</v>
      </c>
      <c r="J921" s="80">
        <f>G921*AR921</f>
        <v>0</v>
      </c>
      <c r="K921" s="523">
        <f>G921*H921</f>
        <v>0</v>
      </c>
      <c r="L921" s="80">
        <v>0.5</v>
      </c>
      <c r="M921" s="80">
        <f>G921*L921</f>
        <v>1.73</v>
      </c>
      <c r="N921" s="38" t="s">
        <v>1579</v>
      </c>
      <c r="P921" s="592">
        <f>K921</f>
        <v>0</v>
      </c>
      <c r="Q921" s="592"/>
      <c r="R921" s="592"/>
      <c r="S921" s="592"/>
      <c r="T921" s="592"/>
      <c r="U921" s="592"/>
      <c r="V921" s="592"/>
      <c r="W921" s="592"/>
      <c r="X921" s="592"/>
      <c r="AB921" s="56">
        <f>IF(AS921="5",BL921,0)</f>
        <v>0</v>
      </c>
      <c r="AD921" s="56">
        <f>IF(AS921="1",BJ921,0)</f>
        <v>0</v>
      </c>
      <c r="AE921" s="56">
        <f>IF(AS921="1",BK921,0)</f>
        <v>0</v>
      </c>
      <c r="AF921" s="56">
        <f>IF(AS921="7",BJ921,0)</f>
        <v>0</v>
      </c>
      <c r="AG921" s="56">
        <f>IF(AS921="7",BK921,0)</f>
        <v>0</v>
      </c>
      <c r="AH921" s="56">
        <f>IF(AS921="2",BJ921,0)</f>
        <v>0</v>
      </c>
      <c r="AI921" s="56">
        <f>IF(AS921="2",BK921,0)</f>
        <v>0</v>
      </c>
      <c r="AJ921" s="56">
        <f>IF(AS921="0",BL921,0)</f>
        <v>0</v>
      </c>
      <c r="AK921" s="7" t="s">
        <v>527</v>
      </c>
      <c r="AL921" s="80">
        <f>IF(AP921=0,K921,0)</f>
        <v>0</v>
      </c>
      <c r="AM921" s="80">
        <f>IF(AP921=15,K921,0)</f>
        <v>0</v>
      </c>
      <c r="AN921" s="80">
        <f>IF(AP921=21,K921,0)</f>
        <v>0</v>
      </c>
      <c r="AP921" s="56">
        <v>21</v>
      </c>
      <c r="AQ921" s="88">
        <f>H921*1</f>
        <v>0</v>
      </c>
      <c r="AR921" s="88">
        <f>H921*(1-1)</f>
        <v>0</v>
      </c>
      <c r="AS921" s="64" t="s">
        <v>2311</v>
      </c>
      <c r="AX921" s="56">
        <f>AY921+AZ921</f>
        <v>0</v>
      </c>
      <c r="AY921" s="56">
        <f>G921*AQ921</f>
        <v>0</v>
      </c>
      <c r="AZ921" s="56">
        <f>G921*AR921</f>
        <v>0</v>
      </c>
      <c r="BA921" s="21" t="s">
        <v>1801</v>
      </c>
      <c r="BB921" s="21" t="s">
        <v>788</v>
      </c>
      <c r="BC921" s="7" t="s">
        <v>1887</v>
      </c>
      <c r="BE921" s="56">
        <f>AY921+AZ921</f>
        <v>0</v>
      </c>
      <c r="BF921" s="56">
        <f>H921/(100-BG921)*100</f>
        <v>0</v>
      </c>
      <c r="BG921" s="56">
        <v>0</v>
      </c>
      <c r="BH921" s="56">
        <f>M921</f>
        <v>1.73</v>
      </c>
      <c r="BJ921" s="80">
        <f>G921*AQ921</f>
        <v>0</v>
      </c>
      <c r="BK921" s="80">
        <f>G921*AR921</f>
        <v>0</v>
      </c>
      <c r="BL921" s="80">
        <f>G921*H921</f>
        <v>0</v>
      </c>
      <c r="BM921" s="80"/>
      <c r="BN921" s="56">
        <v>763</v>
      </c>
    </row>
    <row r="922" spans="1:66" ht="15" customHeight="1">
      <c r="A922" s="36"/>
      <c r="D922" s="533" t="s">
        <v>664</v>
      </c>
      <c r="E922" s="525" t="s">
        <v>1597</v>
      </c>
      <c r="G922" s="13">
        <v>2.8800000000000003</v>
      </c>
      <c r="K922" s="522"/>
      <c r="N922" s="19"/>
      <c r="P922" s="592"/>
      <c r="Q922" s="592"/>
      <c r="R922" s="592"/>
      <c r="S922" s="592"/>
      <c r="T922" s="592"/>
      <c r="U922" s="592"/>
      <c r="V922" s="592"/>
      <c r="W922" s="592"/>
      <c r="X922" s="592"/>
    </row>
    <row r="923" spans="1:66" ht="15" customHeight="1">
      <c r="A923" s="36"/>
      <c r="D923" s="533" t="s">
        <v>468</v>
      </c>
      <c r="E923" s="525" t="s">
        <v>1597</v>
      </c>
      <c r="G923" s="13">
        <v>0.58000000000000007</v>
      </c>
      <c r="K923" s="522"/>
      <c r="N923" s="19"/>
      <c r="P923" s="592"/>
      <c r="Q923" s="592"/>
      <c r="R923" s="592"/>
      <c r="S923" s="592"/>
      <c r="T923" s="592"/>
      <c r="U923" s="592"/>
      <c r="V923" s="592"/>
      <c r="W923" s="592"/>
      <c r="X923" s="592"/>
    </row>
    <row r="924" spans="1:66" ht="15" customHeight="1">
      <c r="A924" s="8" t="s">
        <v>2424</v>
      </c>
      <c r="B924" s="75" t="s">
        <v>527</v>
      </c>
      <c r="C924" s="75" t="s">
        <v>1438</v>
      </c>
      <c r="D924" s="713" t="s">
        <v>3617</v>
      </c>
      <c r="E924" s="713"/>
      <c r="F924" s="75" t="s">
        <v>2274</v>
      </c>
      <c r="G924" s="80">
        <v>22.8</v>
      </c>
      <c r="H924" s="626"/>
      <c r="I924" s="80">
        <f>G924*AQ924</f>
        <v>0</v>
      </c>
      <c r="J924" s="80">
        <f>G924*AR924</f>
        <v>0</v>
      </c>
      <c r="K924" s="523">
        <f>G924*H924</f>
        <v>0</v>
      </c>
      <c r="L924" s="80">
        <v>1.3899999999999999E-2</v>
      </c>
      <c r="M924" s="80">
        <f>G924*L924</f>
        <v>0.31691999999999998</v>
      </c>
      <c r="N924" s="38" t="s">
        <v>1579</v>
      </c>
      <c r="P924" s="592">
        <f>K924</f>
        <v>0</v>
      </c>
      <c r="Q924" s="592"/>
      <c r="R924" s="592"/>
      <c r="S924" s="592"/>
      <c r="T924" s="592"/>
      <c r="U924" s="592"/>
      <c r="V924" s="592"/>
      <c r="W924" s="592"/>
      <c r="X924" s="592"/>
      <c r="AB924" s="56">
        <f>IF(AS924="5",BL924,0)</f>
        <v>0</v>
      </c>
      <c r="AD924" s="56">
        <f>IF(AS924="1",BJ924,0)</f>
        <v>0</v>
      </c>
      <c r="AE924" s="56">
        <f>IF(AS924="1",BK924,0)</f>
        <v>0</v>
      </c>
      <c r="AF924" s="56">
        <f>IF(AS924="7",BJ924,0)</f>
        <v>0</v>
      </c>
      <c r="AG924" s="56">
        <f>IF(AS924="7",BK924,0)</f>
        <v>0</v>
      </c>
      <c r="AH924" s="56">
        <f>IF(AS924="2",BJ924,0)</f>
        <v>0</v>
      </c>
      <c r="AI924" s="56">
        <f>IF(AS924="2",BK924,0)</f>
        <v>0</v>
      </c>
      <c r="AJ924" s="56">
        <f>IF(AS924="0",BL924,0)</f>
        <v>0</v>
      </c>
      <c r="AK924" s="7" t="s">
        <v>527</v>
      </c>
      <c r="AL924" s="80">
        <f>IF(AP924=0,K924,0)</f>
        <v>0</v>
      </c>
      <c r="AM924" s="80">
        <f>IF(AP924=15,K924,0)</f>
        <v>0</v>
      </c>
      <c r="AN924" s="80">
        <f>IF(AP924=21,K924,0)</f>
        <v>0</v>
      </c>
      <c r="AP924" s="56">
        <v>21</v>
      </c>
      <c r="AQ924" s="88">
        <f>H924*1</f>
        <v>0</v>
      </c>
      <c r="AR924" s="88">
        <f>H924*(1-1)</f>
        <v>0</v>
      </c>
      <c r="AS924" s="64" t="s">
        <v>2311</v>
      </c>
      <c r="AX924" s="56">
        <f>AY924+AZ924</f>
        <v>0</v>
      </c>
      <c r="AY924" s="56">
        <f>G924*AQ924</f>
        <v>0</v>
      </c>
      <c r="AZ924" s="56">
        <f>G924*AR924</f>
        <v>0</v>
      </c>
      <c r="BA924" s="21" t="s">
        <v>1801</v>
      </c>
      <c r="BB924" s="21" t="s">
        <v>788</v>
      </c>
      <c r="BC924" s="7" t="s">
        <v>1887</v>
      </c>
      <c r="BE924" s="56">
        <f>AY924+AZ924</f>
        <v>0</v>
      </c>
      <c r="BF924" s="56">
        <f>H924/(100-BG924)*100</f>
        <v>0</v>
      </c>
      <c r="BG924" s="56">
        <v>0</v>
      </c>
      <c r="BH924" s="56">
        <f>M924</f>
        <v>0.31691999999999998</v>
      </c>
      <c r="BJ924" s="80">
        <f>G924*AQ924</f>
        <v>0</v>
      </c>
      <c r="BK924" s="80">
        <f>G924*AR924</f>
        <v>0</v>
      </c>
      <c r="BL924" s="80">
        <f>G924*H924</f>
        <v>0</v>
      </c>
      <c r="BM924" s="80"/>
      <c r="BN924" s="56">
        <v>763</v>
      </c>
    </row>
    <row r="925" spans="1:66" ht="15" customHeight="1">
      <c r="A925" s="36"/>
      <c r="D925" s="533" t="s">
        <v>1273</v>
      </c>
      <c r="E925" s="525" t="s">
        <v>66</v>
      </c>
      <c r="G925" s="13">
        <v>19</v>
      </c>
      <c r="K925" s="522"/>
      <c r="N925" s="19"/>
      <c r="P925" s="592"/>
      <c r="Q925" s="592"/>
      <c r="R925" s="592"/>
      <c r="S925" s="592"/>
      <c r="T925" s="592"/>
      <c r="U925" s="592"/>
      <c r="V925" s="592"/>
      <c r="W925" s="592"/>
      <c r="X925" s="592"/>
    </row>
    <row r="926" spans="1:66" ht="15" customHeight="1">
      <c r="A926" s="36"/>
      <c r="D926" s="533" t="s">
        <v>1953</v>
      </c>
      <c r="E926" s="525" t="s">
        <v>1597</v>
      </c>
      <c r="G926" s="13">
        <v>3.8000000000000003</v>
      </c>
      <c r="K926" s="522"/>
      <c r="N926" s="19"/>
      <c r="P926" s="592"/>
      <c r="Q926" s="592"/>
      <c r="R926" s="592"/>
      <c r="S926" s="592"/>
      <c r="T926" s="592"/>
      <c r="U926" s="592"/>
      <c r="V926" s="592"/>
      <c r="W926" s="592"/>
      <c r="X926" s="592"/>
    </row>
    <row r="927" spans="1:66" ht="15" customHeight="1">
      <c r="A927" s="24" t="s">
        <v>514</v>
      </c>
      <c r="B927" s="12" t="s">
        <v>527</v>
      </c>
      <c r="C927" s="12" t="s">
        <v>1384</v>
      </c>
      <c r="D927" s="698" t="s">
        <v>1715</v>
      </c>
      <c r="E927" s="698"/>
      <c r="F927" s="12" t="s">
        <v>1923</v>
      </c>
      <c r="G927" s="56">
        <v>4</v>
      </c>
      <c r="H927" s="625"/>
      <c r="I927" s="56">
        <f>G927*AQ927</f>
        <v>0</v>
      </c>
      <c r="J927" s="56">
        <f>G927*AR927</f>
        <v>0</v>
      </c>
      <c r="K927" s="528">
        <f>G927*H927</f>
        <v>0</v>
      </c>
      <c r="L927" s="56">
        <v>0</v>
      </c>
      <c r="M927" s="56">
        <f>G927*L927</f>
        <v>0</v>
      </c>
      <c r="N927" s="31" t="s">
        <v>1579</v>
      </c>
      <c r="P927" s="592"/>
      <c r="Q927" s="592">
        <f>K927</f>
        <v>0</v>
      </c>
      <c r="R927" s="592"/>
      <c r="S927" s="592"/>
      <c r="T927" s="592"/>
      <c r="U927" s="592"/>
      <c r="V927" s="592"/>
      <c r="W927" s="592"/>
      <c r="X927" s="592"/>
      <c r="AB927" s="56">
        <f>IF(AS927="5",BL927,0)</f>
        <v>0</v>
      </c>
      <c r="AD927" s="56">
        <f>IF(AS927="1",BJ927,0)</f>
        <v>0</v>
      </c>
      <c r="AE927" s="56">
        <f>IF(AS927="1",BK927,0)</f>
        <v>0</v>
      </c>
      <c r="AF927" s="56">
        <f>IF(AS927="7",BJ927,0)</f>
        <v>0</v>
      </c>
      <c r="AG927" s="56">
        <f>IF(AS927="7",BK927,0)</f>
        <v>0</v>
      </c>
      <c r="AH927" s="56">
        <f>IF(AS927="2",BJ927,0)</f>
        <v>0</v>
      </c>
      <c r="AI927" s="56">
        <f>IF(AS927="2",BK927,0)</f>
        <v>0</v>
      </c>
      <c r="AJ927" s="56">
        <f>IF(AS927="0",BL927,0)</f>
        <v>0</v>
      </c>
      <c r="AK927" s="7" t="s">
        <v>527</v>
      </c>
      <c r="AL927" s="56">
        <f>IF(AP927=0,K927,0)</f>
        <v>0</v>
      </c>
      <c r="AM927" s="56">
        <f>IF(AP927=15,K927,0)</f>
        <v>0</v>
      </c>
      <c r="AN927" s="56">
        <f>IF(AP927=21,K927,0)</f>
        <v>0</v>
      </c>
      <c r="AP927" s="56">
        <v>21</v>
      </c>
      <c r="AQ927" s="88">
        <f>H927*0</f>
        <v>0</v>
      </c>
      <c r="AR927" s="88">
        <f>H927*(1-0)</f>
        <v>0</v>
      </c>
      <c r="AS927" s="21" t="s">
        <v>2311</v>
      </c>
      <c r="AX927" s="56">
        <f>AY927+AZ927</f>
        <v>0</v>
      </c>
      <c r="AY927" s="56">
        <f>G927*AQ927</f>
        <v>0</v>
      </c>
      <c r="AZ927" s="56">
        <f>G927*AR927</f>
        <v>0</v>
      </c>
      <c r="BA927" s="21" t="s">
        <v>1801</v>
      </c>
      <c r="BB927" s="21" t="s">
        <v>788</v>
      </c>
      <c r="BC927" s="7" t="s">
        <v>1887</v>
      </c>
      <c r="BE927" s="56">
        <f>AY927+AZ927</f>
        <v>0</v>
      </c>
      <c r="BF927" s="56">
        <f>H927/(100-BG927)*100</f>
        <v>0</v>
      </c>
      <c r="BG927" s="56">
        <v>0</v>
      </c>
      <c r="BH927" s="56">
        <f>M927</f>
        <v>0</v>
      </c>
      <c r="BJ927" s="56">
        <f>G927*AQ927</f>
        <v>0</v>
      </c>
      <c r="BK927" s="56">
        <f>G927*AR927</f>
        <v>0</v>
      </c>
      <c r="BL927" s="56">
        <f>G927*H927</f>
        <v>0</v>
      </c>
      <c r="BM927" s="56"/>
      <c r="BN927" s="56">
        <v>763</v>
      </c>
    </row>
    <row r="928" spans="1:66" ht="15" customHeight="1">
      <c r="A928" s="36"/>
      <c r="D928" s="543" t="s">
        <v>336</v>
      </c>
      <c r="E928" s="526" t="s">
        <v>2372</v>
      </c>
      <c r="G928" s="13">
        <v>4</v>
      </c>
      <c r="K928" s="535"/>
      <c r="N928" s="19"/>
      <c r="P928" s="592"/>
      <c r="Q928" s="592"/>
      <c r="R928" s="592"/>
      <c r="S928" s="592"/>
      <c r="T928" s="592"/>
      <c r="U928" s="592"/>
      <c r="V928" s="592"/>
      <c r="W928" s="592"/>
      <c r="X928" s="592"/>
    </row>
    <row r="929" spans="1:66" ht="15" customHeight="1">
      <c r="A929" s="8" t="s">
        <v>2329</v>
      </c>
      <c r="B929" s="75" t="s">
        <v>527</v>
      </c>
      <c r="C929" s="75" t="s">
        <v>1351</v>
      </c>
      <c r="D929" s="712" t="s">
        <v>2516</v>
      </c>
      <c r="E929" s="712"/>
      <c r="F929" s="75" t="s">
        <v>2274</v>
      </c>
      <c r="G929" s="80">
        <v>3</v>
      </c>
      <c r="H929" s="626"/>
      <c r="I929" s="80">
        <f>G929*AQ929</f>
        <v>0</v>
      </c>
      <c r="J929" s="80">
        <f>G929*AR929</f>
        <v>0</v>
      </c>
      <c r="K929" s="548">
        <f>G929*H929</f>
        <v>0</v>
      </c>
      <c r="L929" s="80">
        <v>0.02</v>
      </c>
      <c r="M929" s="80">
        <f>G929*L929</f>
        <v>0.06</v>
      </c>
      <c r="N929" s="38" t="s">
        <v>1579</v>
      </c>
      <c r="P929" s="592"/>
      <c r="Q929" s="592">
        <f>K929</f>
        <v>0</v>
      </c>
      <c r="R929" s="592"/>
      <c r="S929" s="592"/>
      <c r="T929" s="592"/>
      <c r="U929" s="592"/>
      <c r="V929" s="592"/>
      <c r="W929" s="592"/>
      <c r="X929" s="592"/>
      <c r="AB929" s="56">
        <f>IF(AS929="5",BL929,0)</f>
        <v>0</v>
      </c>
      <c r="AD929" s="56">
        <f>IF(AS929="1",BJ929,0)</f>
        <v>0</v>
      </c>
      <c r="AE929" s="56">
        <f>IF(AS929="1",BK929,0)</f>
        <v>0</v>
      </c>
      <c r="AF929" s="56">
        <f>IF(AS929="7",BJ929,0)</f>
        <v>0</v>
      </c>
      <c r="AG929" s="56">
        <f>IF(AS929="7",BK929,0)</f>
        <v>0</v>
      </c>
      <c r="AH929" s="56">
        <f>IF(AS929="2",BJ929,0)</f>
        <v>0</v>
      </c>
      <c r="AI929" s="56">
        <f>IF(AS929="2",BK929,0)</f>
        <v>0</v>
      </c>
      <c r="AJ929" s="56">
        <f>IF(AS929="0",BL929,0)</f>
        <v>0</v>
      </c>
      <c r="AK929" s="7" t="s">
        <v>527</v>
      </c>
      <c r="AL929" s="80">
        <f>IF(AP929=0,K929,0)</f>
        <v>0</v>
      </c>
      <c r="AM929" s="80">
        <f>IF(AP929=15,K929,0)</f>
        <v>0</v>
      </c>
      <c r="AN929" s="80">
        <f>IF(AP929=21,K929,0)</f>
        <v>0</v>
      </c>
      <c r="AP929" s="56">
        <v>21</v>
      </c>
      <c r="AQ929" s="88">
        <f>H929*1</f>
        <v>0</v>
      </c>
      <c r="AR929" s="88">
        <f>H929*(1-1)</f>
        <v>0</v>
      </c>
      <c r="AS929" s="64" t="s">
        <v>2311</v>
      </c>
      <c r="AX929" s="56">
        <f>AY929+AZ929</f>
        <v>0</v>
      </c>
      <c r="AY929" s="56">
        <f>G929*AQ929</f>
        <v>0</v>
      </c>
      <c r="AZ929" s="56">
        <f>G929*AR929</f>
        <v>0</v>
      </c>
      <c r="BA929" s="21" t="s">
        <v>1801</v>
      </c>
      <c r="BB929" s="21" t="s">
        <v>788</v>
      </c>
      <c r="BC929" s="7" t="s">
        <v>1887</v>
      </c>
      <c r="BE929" s="56">
        <f>AY929+AZ929</f>
        <v>0</v>
      </c>
      <c r="BF929" s="56">
        <f>H929/(100-BG929)*100</f>
        <v>0</v>
      </c>
      <c r="BG929" s="56">
        <v>0</v>
      </c>
      <c r="BH929" s="56">
        <f>M929</f>
        <v>0.06</v>
      </c>
      <c r="BJ929" s="80">
        <f>G929*AQ929</f>
        <v>0</v>
      </c>
      <c r="BK929" s="80">
        <f>G929*AR929</f>
        <v>0</v>
      </c>
      <c r="BL929" s="80">
        <f>G929*H929</f>
        <v>0</v>
      </c>
      <c r="BM929" s="80"/>
      <c r="BN929" s="56">
        <v>763</v>
      </c>
    </row>
    <row r="930" spans="1:66" ht="15" customHeight="1">
      <c r="A930" s="36"/>
      <c r="D930" s="543" t="s">
        <v>1966</v>
      </c>
      <c r="E930" s="526" t="s">
        <v>2095</v>
      </c>
      <c r="G930" s="13">
        <v>3.0000000000000004</v>
      </c>
      <c r="K930" s="535"/>
      <c r="N930" s="19"/>
      <c r="P930" s="592"/>
      <c r="Q930" s="592"/>
      <c r="R930" s="592"/>
      <c r="S930" s="592"/>
      <c r="T930" s="592"/>
      <c r="U930" s="592"/>
      <c r="V930" s="592"/>
      <c r="W930" s="592"/>
      <c r="X930" s="592"/>
    </row>
    <row r="931" spans="1:66" ht="15" customHeight="1">
      <c r="A931" s="8" t="s">
        <v>1659</v>
      </c>
      <c r="B931" s="75" t="s">
        <v>527</v>
      </c>
      <c r="C931" s="75" t="s">
        <v>2574</v>
      </c>
      <c r="D931" s="712" t="s">
        <v>682</v>
      </c>
      <c r="E931" s="712"/>
      <c r="F931" s="75" t="s">
        <v>1923</v>
      </c>
      <c r="G931" s="80">
        <v>50</v>
      </c>
      <c r="H931" s="626"/>
      <c r="I931" s="80">
        <f>G931*AQ931</f>
        <v>0</v>
      </c>
      <c r="J931" s="80">
        <f>G931*AR931</f>
        <v>0</v>
      </c>
      <c r="K931" s="548">
        <f>G931*H931</f>
        <v>0</v>
      </c>
      <c r="L931" s="80">
        <v>1.5E-3</v>
      </c>
      <c r="M931" s="80">
        <f>G931*L931</f>
        <v>7.4999999999999997E-2</v>
      </c>
      <c r="N931" s="38" t="s">
        <v>1579</v>
      </c>
      <c r="P931" s="592"/>
      <c r="Q931" s="592">
        <f>K931</f>
        <v>0</v>
      </c>
      <c r="R931" s="592"/>
      <c r="S931" s="592"/>
      <c r="T931" s="592"/>
      <c r="U931" s="592"/>
      <c r="V931" s="592"/>
      <c r="W931" s="592"/>
      <c r="X931" s="592"/>
      <c r="AB931" s="56">
        <f>IF(AS931="5",BL931,0)</f>
        <v>0</v>
      </c>
      <c r="AD931" s="56">
        <f>IF(AS931="1",BJ931,0)</f>
        <v>0</v>
      </c>
      <c r="AE931" s="56">
        <f>IF(AS931="1",BK931,0)</f>
        <v>0</v>
      </c>
      <c r="AF931" s="56">
        <f>IF(AS931="7",BJ931,0)</f>
        <v>0</v>
      </c>
      <c r="AG931" s="56">
        <f>IF(AS931="7",BK931,0)</f>
        <v>0</v>
      </c>
      <c r="AH931" s="56">
        <f>IF(AS931="2",BJ931,0)</f>
        <v>0</v>
      </c>
      <c r="AI931" s="56">
        <f>IF(AS931="2",BK931,0)</f>
        <v>0</v>
      </c>
      <c r="AJ931" s="56">
        <f>IF(AS931="0",BL931,0)</f>
        <v>0</v>
      </c>
      <c r="AK931" s="7" t="s">
        <v>527</v>
      </c>
      <c r="AL931" s="80">
        <f>IF(AP931=0,K931,0)</f>
        <v>0</v>
      </c>
      <c r="AM931" s="80">
        <f>IF(AP931=15,K931,0)</f>
        <v>0</v>
      </c>
      <c r="AN931" s="80">
        <f>IF(AP931=21,K931,0)</f>
        <v>0</v>
      </c>
      <c r="AP931" s="56">
        <v>21</v>
      </c>
      <c r="AQ931" s="88">
        <f>H931*1</f>
        <v>0</v>
      </c>
      <c r="AR931" s="88">
        <f>H931*(1-1)</f>
        <v>0</v>
      </c>
      <c r="AS931" s="64" t="s">
        <v>2311</v>
      </c>
      <c r="AX931" s="56">
        <f>AY931+AZ931</f>
        <v>0</v>
      </c>
      <c r="AY931" s="56">
        <f>G931*AQ931</f>
        <v>0</v>
      </c>
      <c r="AZ931" s="56">
        <f>G931*AR931</f>
        <v>0</v>
      </c>
      <c r="BA931" s="21" t="s">
        <v>1801</v>
      </c>
      <c r="BB931" s="21" t="s">
        <v>788</v>
      </c>
      <c r="BC931" s="7" t="s">
        <v>1887</v>
      </c>
      <c r="BE931" s="56">
        <f>AY931+AZ931</f>
        <v>0</v>
      </c>
      <c r="BF931" s="56">
        <f>H931/(100-BG931)*100</f>
        <v>0</v>
      </c>
      <c r="BG931" s="56">
        <v>0</v>
      </c>
      <c r="BH931" s="56">
        <f>M931</f>
        <v>7.4999999999999997E-2</v>
      </c>
      <c r="BJ931" s="80">
        <f>G931*AQ931</f>
        <v>0</v>
      </c>
      <c r="BK931" s="80">
        <f>G931*AR931</f>
        <v>0</v>
      </c>
      <c r="BL931" s="80">
        <f>G931*H931</f>
        <v>0</v>
      </c>
      <c r="BM931" s="80"/>
      <c r="BN931" s="56">
        <v>763</v>
      </c>
    </row>
    <row r="932" spans="1:66" ht="15" customHeight="1">
      <c r="A932" s="36"/>
      <c r="D932" s="543" t="s">
        <v>511</v>
      </c>
      <c r="E932" s="526" t="s">
        <v>2509</v>
      </c>
      <c r="G932" s="13">
        <v>50.000000000000007</v>
      </c>
      <c r="K932" s="535"/>
      <c r="N932" s="19"/>
      <c r="P932" s="592"/>
      <c r="Q932" s="592"/>
      <c r="R932" s="592"/>
      <c r="S932" s="592"/>
      <c r="T932" s="592"/>
      <c r="U932" s="592"/>
      <c r="V932" s="592"/>
      <c r="W932" s="592"/>
      <c r="X932" s="592"/>
    </row>
    <row r="933" spans="1:66" ht="15" customHeight="1">
      <c r="A933" s="8" t="s">
        <v>273</v>
      </c>
      <c r="B933" s="75" t="s">
        <v>527</v>
      </c>
      <c r="C933" s="75" t="s">
        <v>2535</v>
      </c>
      <c r="D933" s="712" t="s">
        <v>791</v>
      </c>
      <c r="E933" s="712"/>
      <c r="F933" s="75" t="s">
        <v>564</v>
      </c>
      <c r="G933" s="80">
        <v>20</v>
      </c>
      <c r="H933" s="626"/>
      <c r="I933" s="80">
        <f>G933*AQ933</f>
        <v>0</v>
      </c>
      <c r="J933" s="80">
        <f>G933*AR933</f>
        <v>0</v>
      </c>
      <c r="K933" s="548">
        <f>G933*H933</f>
        <v>0</v>
      </c>
      <c r="L933" s="80">
        <v>2E-3</v>
      </c>
      <c r="M933" s="80">
        <f>G933*L933</f>
        <v>0.04</v>
      </c>
      <c r="N933" s="38" t="s">
        <v>1579</v>
      </c>
      <c r="P933" s="592"/>
      <c r="Q933" s="592">
        <f>K933</f>
        <v>0</v>
      </c>
      <c r="R933" s="592"/>
      <c r="S933" s="592"/>
      <c r="T933" s="592"/>
      <c r="U933" s="592"/>
      <c r="V933" s="592"/>
      <c r="W933" s="592"/>
      <c r="X933" s="592"/>
      <c r="AB933" s="56">
        <f>IF(AS933="5",BL933,0)</f>
        <v>0</v>
      </c>
      <c r="AD933" s="56">
        <f>IF(AS933="1",BJ933,0)</f>
        <v>0</v>
      </c>
      <c r="AE933" s="56">
        <f>IF(AS933="1",BK933,0)</f>
        <v>0</v>
      </c>
      <c r="AF933" s="56">
        <f>IF(AS933="7",BJ933,0)</f>
        <v>0</v>
      </c>
      <c r="AG933" s="56">
        <f>IF(AS933="7",BK933,0)</f>
        <v>0</v>
      </c>
      <c r="AH933" s="56">
        <f>IF(AS933="2",BJ933,0)</f>
        <v>0</v>
      </c>
      <c r="AI933" s="56">
        <f>IF(AS933="2",BK933,0)</f>
        <v>0</v>
      </c>
      <c r="AJ933" s="56">
        <f>IF(AS933="0",BL933,0)</f>
        <v>0</v>
      </c>
      <c r="AK933" s="7" t="s">
        <v>527</v>
      </c>
      <c r="AL933" s="80">
        <f>IF(AP933=0,K933,0)</f>
        <v>0</v>
      </c>
      <c r="AM933" s="80">
        <f>IF(AP933=15,K933,0)</f>
        <v>0</v>
      </c>
      <c r="AN933" s="80">
        <f>IF(AP933=21,K933,0)</f>
        <v>0</v>
      </c>
      <c r="AP933" s="56">
        <v>21</v>
      </c>
      <c r="AQ933" s="88">
        <f>H933*1</f>
        <v>0</v>
      </c>
      <c r="AR933" s="88">
        <f>H933*(1-1)</f>
        <v>0</v>
      </c>
      <c r="AS933" s="64" t="s">
        <v>2311</v>
      </c>
      <c r="AX933" s="56">
        <f>AY933+AZ933</f>
        <v>0</v>
      </c>
      <c r="AY933" s="56">
        <f>G933*AQ933</f>
        <v>0</v>
      </c>
      <c r="AZ933" s="56">
        <f>G933*AR933</f>
        <v>0</v>
      </c>
      <c r="BA933" s="21" t="s">
        <v>1801</v>
      </c>
      <c r="BB933" s="21" t="s">
        <v>788</v>
      </c>
      <c r="BC933" s="7" t="s">
        <v>1887</v>
      </c>
      <c r="BE933" s="56">
        <f>AY933+AZ933</f>
        <v>0</v>
      </c>
      <c r="BF933" s="56">
        <f>H933/(100-BG933)*100</f>
        <v>0</v>
      </c>
      <c r="BG933" s="56">
        <v>0</v>
      </c>
      <c r="BH933" s="56">
        <f>M933</f>
        <v>0.04</v>
      </c>
      <c r="BJ933" s="80">
        <f>G933*AQ933</f>
        <v>0</v>
      </c>
      <c r="BK933" s="80">
        <f>G933*AR933</f>
        <v>0</v>
      </c>
      <c r="BL933" s="80">
        <f>G933*H933</f>
        <v>0</v>
      </c>
      <c r="BM933" s="80"/>
      <c r="BN933" s="56">
        <v>763</v>
      </c>
    </row>
    <row r="934" spans="1:66" ht="15" customHeight="1">
      <c r="A934" s="36"/>
      <c r="D934" s="543" t="s">
        <v>1602</v>
      </c>
      <c r="E934" s="526" t="s">
        <v>1597</v>
      </c>
      <c r="G934" s="13">
        <v>20</v>
      </c>
      <c r="K934" s="535"/>
      <c r="N934" s="19"/>
      <c r="P934" s="592"/>
      <c r="Q934" s="592"/>
      <c r="R934" s="592"/>
      <c r="S934" s="592"/>
      <c r="T934" s="592"/>
      <c r="U934" s="592"/>
      <c r="V934" s="592"/>
      <c r="W934" s="592"/>
      <c r="X934" s="592"/>
    </row>
    <row r="935" spans="1:66" ht="15" customHeight="1">
      <c r="A935" s="8" t="s">
        <v>1334</v>
      </c>
      <c r="B935" s="75" t="s">
        <v>527</v>
      </c>
      <c r="C935" s="75" t="s">
        <v>889</v>
      </c>
      <c r="D935" s="712" t="s">
        <v>2446</v>
      </c>
      <c r="E935" s="712"/>
      <c r="F935" s="75" t="s">
        <v>564</v>
      </c>
      <c r="G935" s="80">
        <v>20</v>
      </c>
      <c r="H935" s="626"/>
      <c r="I935" s="80">
        <f>G935*AQ935</f>
        <v>0</v>
      </c>
      <c r="J935" s="80">
        <f>G935*AR935</f>
        <v>0</v>
      </c>
      <c r="K935" s="548">
        <f>G935*H935</f>
        <v>0</v>
      </c>
      <c r="L935" s="80">
        <v>6.0000000000000001E-3</v>
      </c>
      <c r="M935" s="80">
        <f>G935*L935</f>
        <v>0.12</v>
      </c>
      <c r="N935" s="38" t="s">
        <v>1579</v>
      </c>
      <c r="P935" s="592"/>
      <c r="Q935" s="592">
        <f>K935</f>
        <v>0</v>
      </c>
      <c r="R935" s="592"/>
      <c r="S935" s="592"/>
      <c r="T935" s="592"/>
      <c r="U935" s="592"/>
      <c r="V935" s="592"/>
      <c r="W935" s="592"/>
      <c r="X935" s="592"/>
      <c r="AB935" s="56">
        <f>IF(AS935="5",BL935,0)</f>
        <v>0</v>
      </c>
      <c r="AD935" s="56">
        <f>IF(AS935="1",BJ935,0)</f>
        <v>0</v>
      </c>
      <c r="AE935" s="56">
        <f>IF(AS935="1",BK935,0)</f>
        <v>0</v>
      </c>
      <c r="AF935" s="56">
        <f>IF(AS935="7",BJ935,0)</f>
        <v>0</v>
      </c>
      <c r="AG935" s="56">
        <f>IF(AS935="7",BK935,0)</f>
        <v>0</v>
      </c>
      <c r="AH935" s="56">
        <f>IF(AS935="2",BJ935,0)</f>
        <v>0</v>
      </c>
      <c r="AI935" s="56">
        <f>IF(AS935="2",BK935,0)</f>
        <v>0</v>
      </c>
      <c r="AJ935" s="56">
        <f>IF(AS935="0",BL935,0)</f>
        <v>0</v>
      </c>
      <c r="AK935" s="7" t="s">
        <v>527</v>
      </c>
      <c r="AL935" s="80">
        <f>IF(AP935=0,K935,0)</f>
        <v>0</v>
      </c>
      <c r="AM935" s="80">
        <f>IF(AP935=15,K935,0)</f>
        <v>0</v>
      </c>
      <c r="AN935" s="80">
        <f>IF(AP935=21,K935,0)</f>
        <v>0</v>
      </c>
      <c r="AP935" s="56">
        <v>21</v>
      </c>
      <c r="AQ935" s="88">
        <f>H935*1</f>
        <v>0</v>
      </c>
      <c r="AR935" s="88">
        <f>H935*(1-1)</f>
        <v>0</v>
      </c>
      <c r="AS935" s="64" t="s">
        <v>2311</v>
      </c>
      <c r="AX935" s="56">
        <f>AY935+AZ935</f>
        <v>0</v>
      </c>
      <c r="AY935" s="56">
        <f>G935*AQ935</f>
        <v>0</v>
      </c>
      <c r="AZ935" s="56">
        <f>G935*AR935</f>
        <v>0</v>
      </c>
      <c r="BA935" s="21" t="s">
        <v>1801</v>
      </c>
      <c r="BB935" s="21" t="s">
        <v>788</v>
      </c>
      <c r="BC935" s="7" t="s">
        <v>1887</v>
      </c>
      <c r="BE935" s="56">
        <f>AY935+AZ935</f>
        <v>0</v>
      </c>
      <c r="BF935" s="56">
        <f>H935/(100-BG935)*100</f>
        <v>0</v>
      </c>
      <c r="BG935" s="56">
        <v>0</v>
      </c>
      <c r="BH935" s="56">
        <f>M935</f>
        <v>0.12</v>
      </c>
      <c r="BJ935" s="80">
        <f>G935*AQ935</f>
        <v>0</v>
      </c>
      <c r="BK935" s="80">
        <f>G935*AR935</f>
        <v>0</v>
      </c>
      <c r="BL935" s="80">
        <f>G935*H935</f>
        <v>0</v>
      </c>
      <c r="BM935" s="80"/>
      <c r="BN935" s="56">
        <v>763</v>
      </c>
    </row>
    <row r="936" spans="1:66" ht="15" customHeight="1">
      <c r="A936" s="36"/>
      <c r="D936" s="543" t="s">
        <v>1602</v>
      </c>
      <c r="E936" s="526" t="s">
        <v>1597</v>
      </c>
      <c r="G936" s="13">
        <v>20</v>
      </c>
      <c r="K936" s="535"/>
      <c r="N936" s="19"/>
      <c r="P936" s="592"/>
      <c r="Q936" s="592"/>
      <c r="R936" s="592"/>
      <c r="S936" s="592"/>
      <c r="T936" s="592"/>
      <c r="U936" s="592"/>
      <c r="V936" s="592"/>
      <c r="W936" s="592"/>
      <c r="X936" s="592"/>
    </row>
    <row r="937" spans="1:66" ht="15" customHeight="1">
      <c r="A937" s="32" t="s">
        <v>1597</v>
      </c>
      <c r="B937" s="26" t="s">
        <v>527</v>
      </c>
      <c r="C937" s="512" t="s">
        <v>189</v>
      </c>
      <c r="D937" s="709" t="s">
        <v>305</v>
      </c>
      <c r="E937" s="709"/>
      <c r="F937" s="46" t="s">
        <v>2144</v>
      </c>
      <c r="G937" s="46" t="s">
        <v>2144</v>
      </c>
      <c r="H937" s="46" t="s">
        <v>2144</v>
      </c>
      <c r="I937" s="17">
        <f>SUM(I938:I980)</f>
        <v>0</v>
      </c>
      <c r="J937" s="17">
        <f>SUM(J938:J980)</f>
        <v>0</v>
      </c>
      <c r="K937" s="515">
        <f>SUM(K938:K980)</f>
        <v>0</v>
      </c>
      <c r="L937" s="7" t="s">
        <v>1597</v>
      </c>
      <c r="M937" s="17">
        <f>SUM(M938:M980)</f>
        <v>12.647742699999997</v>
      </c>
      <c r="N937" s="20" t="s">
        <v>1597</v>
      </c>
      <c r="P937" s="592">
        <f>K937</f>
        <v>0</v>
      </c>
      <c r="Q937" s="592"/>
      <c r="R937" s="592"/>
      <c r="S937" s="592"/>
      <c r="T937" s="592"/>
      <c r="U937" s="592"/>
      <c r="V937" s="592"/>
      <c r="W937" s="592"/>
      <c r="X937" s="592"/>
      <c r="AK937" s="7" t="s">
        <v>527</v>
      </c>
      <c r="AU937" s="17">
        <f>SUM(AL938:AL980)</f>
        <v>0</v>
      </c>
      <c r="AV937" s="17">
        <f>SUM(AM938:AM980)</f>
        <v>0</v>
      </c>
      <c r="AW937" s="17">
        <f>SUM(AN938:AN980)</f>
        <v>0</v>
      </c>
    </row>
    <row r="938" spans="1:66" ht="15" customHeight="1">
      <c r="A938" s="24" t="s">
        <v>2490</v>
      </c>
      <c r="B938" s="12" t="s">
        <v>527</v>
      </c>
      <c r="C938" s="12" t="s">
        <v>727</v>
      </c>
      <c r="D938" s="630" t="s">
        <v>2152</v>
      </c>
      <c r="E938" s="630"/>
      <c r="F938" s="12" t="s">
        <v>2274</v>
      </c>
      <c r="G938" s="56">
        <v>481.44</v>
      </c>
      <c r="H938" s="625"/>
      <c r="I938" s="56">
        <f>G938*AQ938</f>
        <v>0</v>
      </c>
      <c r="J938" s="56">
        <f>G938*AR938</f>
        <v>0</v>
      </c>
      <c r="K938" s="56">
        <f>G938*H938</f>
        <v>0</v>
      </c>
      <c r="L938" s="56">
        <v>1.9029999999999998E-2</v>
      </c>
      <c r="M938" s="56">
        <f>G938*L938</f>
        <v>9.1618031999999996</v>
      </c>
      <c r="N938" s="31" t="s">
        <v>1579</v>
      </c>
      <c r="P938" s="592"/>
      <c r="Q938" s="592"/>
      <c r="R938" s="592"/>
      <c r="S938" s="592"/>
      <c r="T938" s="592"/>
      <c r="U938" s="592"/>
      <c r="V938" s="592"/>
      <c r="W938" s="592"/>
      <c r="X938" s="592"/>
      <c r="AB938" s="56">
        <f>IF(AS938="5",BL938,0)</f>
        <v>0</v>
      </c>
      <c r="AD938" s="56">
        <f>IF(AS938="1",BJ938,0)</f>
        <v>0</v>
      </c>
      <c r="AE938" s="56">
        <f>IF(AS938="1",BK938,0)</f>
        <v>0</v>
      </c>
      <c r="AF938" s="56">
        <f>IF(AS938="7",BJ938,0)</f>
        <v>0</v>
      </c>
      <c r="AG938" s="56">
        <f>IF(AS938="7",BK938,0)</f>
        <v>0</v>
      </c>
      <c r="AH938" s="56">
        <f>IF(AS938="2",BJ938,0)</f>
        <v>0</v>
      </c>
      <c r="AI938" s="56">
        <f>IF(AS938="2",BK938,0)</f>
        <v>0</v>
      </c>
      <c r="AJ938" s="56">
        <f>IF(AS938="0",BL938,0)</f>
        <v>0</v>
      </c>
      <c r="AK938" s="7" t="s">
        <v>527</v>
      </c>
      <c r="AL938" s="56">
        <f>IF(AP938=0,K938,0)</f>
        <v>0</v>
      </c>
      <c r="AM938" s="56">
        <f>IF(AP938=15,K938,0)</f>
        <v>0</v>
      </c>
      <c r="AN938" s="56">
        <f>IF(AP938=21,K938,0)</f>
        <v>0</v>
      </c>
      <c r="AP938" s="56">
        <v>21</v>
      </c>
      <c r="AQ938" s="88">
        <f>H938*0.359403080872914</f>
        <v>0</v>
      </c>
      <c r="AR938" s="88">
        <f>H938*(1-0.359403080872914)</f>
        <v>0</v>
      </c>
      <c r="AS938" s="21" t="s">
        <v>2311</v>
      </c>
      <c r="AX938" s="56">
        <f>AY938+AZ938</f>
        <v>0</v>
      </c>
      <c r="AY938" s="56">
        <f>G938*AQ938</f>
        <v>0</v>
      </c>
      <c r="AZ938" s="56">
        <f>G938*AR938</f>
        <v>0</v>
      </c>
      <c r="BA938" s="21" t="s">
        <v>1857</v>
      </c>
      <c r="BB938" s="21" t="s">
        <v>788</v>
      </c>
      <c r="BC938" s="7" t="s">
        <v>1887</v>
      </c>
      <c r="BE938" s="56">
        <f>AY938+AZ938</f>
        <v>0</v>
      </c>
      <c r="BF938" s="56">
        <f>H938/(100-BG938)*100</f>
        <v>0</v>
      </c>
      <c r="BG938" s="56">
        <v>0</v>
      </c>
      <c r="BH938" s="56">
        <f>M938</f>
        <v>9.1618031999999996</v>
      </c>
      <c r="BJ938" s="56">
        <f>G938*AQ938</f>
        <v>0</v>
      </c>
      <c r="BK938" s="56">
        <f>G938*AR938</f>
        <v>0</v>
      </c>
      <c r="BL938" s="56">
        <f>G938*H938</f>
        <v>0</v>
      </c>
      <c r="BM938" s="56"/>
      <c r="BN938" s="56">
        <v>764</v>
      </c>
    </row>
    <row r="939" spans="1:66" ht="15" customHeight="1">
      <c r="A939" s="36"/>
      <c r="D939" s="45" t="s">
        <v>1058</v>
      </c>
      <c r="E939" s="104" t="s">
        <v>1358</v>
      </c>
      <c r="G939" s="13">
        <v>433.44000000000005</v>
      </c>
      <c r="N939" s="19"/>
      <c r="P939" s="592"/>
      <c r="Q939" s="592"/>
      <c r="R939" s="592"/>
      <c r="S939" s="592"/>
      <c r="T939" s="592"/>
      <c r="U939" s="592"/>
      <c r="V939" s="592"/>
      <c r="W939" s="592"/>
      <c r="X939" s="592"/>
    </row>
    <row r="940" spans="1:66" ht="15" customHeight="1">
      <c r="A940" s="36"/>
      <c r="D940" s="45" t="s">
        <v>47</v>
      </c>
      <c r="E940" s="104" t="s">
        <v>1621</v>
      </c>
      <c r="G940" s="13">
        <v>48.000000000000007</v>
      </c>
      <c r="N940" s="19"/>
      <c r="P940" s="592"/>
      <c r="Q940" s="592"/>
      <c r="R940" s="592"/>
      <c r="S940" s="592"/>
      <c r="T940" s="592"/>
      <c r="U940" s="592"/>
      <c r="V940" s="592"/>
      <c r="W940" s="592"/>
      <c r="X940" s="592"/>
    </row>
    <row r="941" spans="1:66" ht="15" customHeight="1">
      <c r="A941" s="8" t="s">
        <v>1076</v>
      </c>
      <c r="B941" s="75" t="s">
        <v>527</v>
      </c>
      <c r="C941" s="75" t="s">
        <v>2587</v>
      </c>
      <c r="D941" s="710" t="s">
        <v>954</v>
      </c>
      <c r="E941" s="710"/>
      <c r="F941" s="75" t="s">
        <v>2274</v>
      </c>
      <c r="G941" s="80">
        <v>582</v>
      </c>
      <c r="H941" s="626"/>
      <c r="I941" s="80">
        <f>G941*AQ941</f>
        <v>0</v>
      </c>
      <c r="J941" s="80">
        <f>G941*AR941</f>
        <v>0</v>
      </c>
      <c r="K941" s="80">
        <f>G941*H941</f>
        <v>0</v>
      </c>
      <c r="L941" s="80">
        <v>1.3999999999999999E-4</v>
      </c>
      <c r="M941" s="80">
        <f>G941*L941</f>
        <v>8.1479999999999997E-2</v>
      </c>
      <c r="N941" s="38" t="s">
        <v>1579</v>
      </c>
      <c r="P941" s="592"/>
      <c r="Q941" s="592"/>
      <c r="R941" s="592"/>
      <c r="S941" s="592"/>
      <c r="T941" s="592"/>
      <c r="U941" s="592"/>
      <c r="V941" s="592"/>
      <c r="W941" s="592"/>
      <c r="X941" s="592"/>
      <c r="AB941" s="56">
        <f>IF(AS941="5",BL941,0)</f>
        <v>0</v>
      </c>
      <c r="AD941" s="56">
        <f>IF(AS941="1",BJ941,0)</f>
        <v>0</v>
      </c>
      <c r="AE941" s="56">
        <f>IF(AS941="1",BK941,0)</f>
        <v>0</v>
      </c>
      <c r="AF941" s="56">
        <f>IF(AS941="7",BJ941,0)</f>
        <v>0</v>
      </c>
      <c r="AG941" s="56">
        <f>IF(AS941="7",BK941,0)</f>
        <v>0</v>
      </c>
      <c r="AH941" s="56">
        <f>IF(AS941="2",BJ941,0)</f>
        <v>0</v>
      </c>
      <c r="AI941" s="56">
        <f>IF(AS941="2",BK941,0)</f>
        <v>0</v>
      </c>
      <c r="AJ941" s="56">
        <f>IF(AS941="0",BL941,0)</f>
        <v>0</v>
      </c>
      <c r="AK941" s="7" t="s">
        <v>527</v>
      </c>
      <c r="AL941" s="80">
        <f>IF(AP941=0,K941,0)</f>
        <v>0</v>
      </c>
      <c r="AM941" s="80">
        <f>IF(AP941=15,K941,0)</f>
        <v>0</v>
      </c>
      <c r="AN941" s="80">
        <f>IF(AP941=21,K941,0)</f>
        <v>0</v>
      </c>
      <c r="AP941" s="56">
        <v>21</v>
      </c>
      <c r="AQ941" s="88">
        <f>H941*1</f>
        <v>0</v>
      </c>
      <c r="AR941" s="88">
        <f>H941*(1-1)</f>
        <v>0</v>
      </c>
      <c r="AS941" s="64" t="s">
        <v>2311</v>
      </c>
      <c r="AX941" s="56">
        <f>AY941+AZ941</f>
        <v>0</v>
      </c>
      <c r="AY941" s="56">
        <f>G941*AQ941</f>
        <v>0</v>
      </c>
      <c r="AZ941" s="56">
        <f>G941*AR941</f>
        <v>0</v>
      </c>
      <c r="BA941" s="21" t="s">
        <v>1857</v>
      </c>
      <c r="BB941" s="21" t="s">
        <v>788</v>
      </c>
      <c r="BC941" s="7" t="s">
        <v>1887</v>
      </c>
      <c r="BE941" s="56">
        <f>AY941+AZ941</f>
        <v>0</v>
      </c>
      <c r="BF941" s="56">
        <f>H941/(100-BG941)*100</f>
        <v>0</v>
      </c>
      <c r="BG941" s="56">
        <v>0</v>
      </c>
      <c r="BH941" s="56">
        <f>M941</f>
        <v>8.1479999999999997E-2</v>
      </c>
      <c r="BJ941" s="80">
        <f>G941*AQ941</f>
        <v>0</v>
      </c>
      <c r="BK941" s="80">
        <f>G941*AR941</f>
        <v>0</v>
      </c>
      <c r="BL941" s="80">
        <f>G941*H941</f>
        <v>0</v>
      </c>
      <c r="BM941" s="80"/>
      <c r="BN941" s="56">
        <v>764</v>
      </c>
    </row>
    <row r="942" spans="1:66" ht="15" customHeight="1">
      <c r="A942" s="36"/>
      <c r="D942" s="45" t="s">
        <v>1199</v>
      </c>
      <c r="E942" s="104" t="s">
        <v>1597</v>
      </c>
      <c r="G942" s="13">
        <v>485.00000000000006</v>
      </c>
      <c r="N942" s="19"/>
      <c r="P942" s="592"/>
      <c r="Q942" s="592"/>
      <c r="R942" s="592"/>
      <c r="S942" s="592"/>
      <c r="T942" s="592"/>
      <c r="U942" s="592"/>
      <c r="V942" s="592"/>
      <c r="W942" s="592"/>
      <c r="X942" s="592"/>
    </row>
    <row r="943" spans="1:66" ht="15" customHeight="1">
      <c r="A943" s="36"/>
      <c r="D943" s="45" t="s">
        <v>2127</v>
      </c>
      <c r="E943" s="104" t="s">
        <v>1597</v>
      </c>
      <c r="G943" s="13">
        <v>97.000000000000014</v>
      </c>
      <c r="N943" s="19"/>
      <c r="P943" s="592"/>
      <c r="Q943" s="592"/>
      <c r="R943" s="592"/>
      <c r="S943" s="592"/>
      <c r="T943" s="592"/>
      <c r="U943" s="592"/>
      <c r="V943" s="592"/>
      <c r="W943" s="592"/>
      <c r="X943" s="592"/>
    </row>
    <row r="944" spans="1:66" ht="15" customHeight="1">
      <c r="A944" s="24" t="s">
        <v>840</v>
      </c>
      <c r="B944" s="12" t="s">
        <v>527</v>
      </c>
      <c r="C944" s="12" t="s">
        <v>407</v>
      </c>
      <c r="D944" s="630" t="s">
        <v>2578</v>
      </c>
      <c r="E944" s="630"/>
      <c r="F944" s="12" t="s">
        <v>1923</v>
      </c>
      <c r="G944" s="56">
        <v>104</v>
      </c>
      <c r="H944" s="625"/>
      <c r="I944" s="56">
        <f>G944*AQ944</f>
        <v>0</v>
      </c>
      <c r="J944" s="56">
        <f>G944*AR944</f>
        <v>0</v>
      </c>
      <c r="K944" s="56">
        <f>G944*H944</f>
        <v>0</v>
      </c>
      <c r="L944" s="56">
        <v>4.8199999999999996E-3</v>
      </c>
      <c r="M944" s="56">
        <f>G944*L944</f>
        <v>0.50127999999999995</v>
      </c>
      <c r="N944" s="31" t="s">
        <v>1579</v>
      </c>
      <c r="P944" s="592"/>
      <c r="Q944" s="592"/>
      <c r="R944" s="592"/>
      <c r="S944" s="592"/>
      <c r="T944" s="592"/>
      <c r="U944" s="592"/>
      <c r="V944" s="592"/>
      <c r="W944" s="592"/>
      <c r="X944" s="592"/>
      <c r="AB944" s="56">
        <f>IF(AS944="5",BL944,0)</f>
        <v>0</v>
      </c>
      <c r="AD944" s="56">
        <f>IF(AS944="1",BJ944,0)</f>
        <v>0</v>
      </c>
      <c r="AE944" s="56">
        <f>IF(AS944="1",BK944,0)</f>
        <v>0</v>
      </c>
      <c r="AF944" s="56">
        <f>IF(AS944="7",BJ944,0)</f>
        <v>0</v>
      </c>
      <c r="AG944" s="56">
        <f>IF(AS944="7",BK944,0)</f>
        <v>0</v>
      </c>
      <c r="AH944" s="56">
        <f>IF(AS944="2",BJ944,0)</f>
        <v>0</v>
      </c>
      <c r="AI944" s="56">
        <f>IF(AS944="2",BK944,0)</f>
        <v>0</v>
      </c>
      <c r="AJ944" s="56">
        <f>IF(AS944="0",BL944,0)</f>
        <v>0</v>
      </c>
      <c r="AK944" s="7" t="s">
        <v>527</v>
      </c>
      <c r="AL944" s="56">
        <f>IF(AP944=0,K944,0)</f>
        <v>0</v>
      </c>
      <c r="AM944" s="56">
        <f>IF(AP944=15,K944,0)</f>
        <v>0</v>
      </c>
      <c r="AN944" s="56">
        <f>IF(AP944=21,K944,0)</f>
        <v>0</v>
      </c>
      <c r="AP944" s="56">
        <v>21</v>
      </c>
      <c r="AQ944" s="88">
        <f>H944*0.405542372881356</f>
        <v>0</v>
      </c>
      <c r="AR944" s="88">
        <f>H944*(1-0.405542372881356)</f>
        <v>0</v>
      </c>
      <c r="AS944" s="21" t="s">
        <v>2311</v>
      </c>
      <c r="AX944" s="56">
        <f>AY944+AZ944</f>
        <v>0</v>
      </c>
      <c r="AY944" s="56">
        <f>G944*AQ944</f>
        <v>0</v>
      </c>
      <c r="AZ944" s="56">
        <f>G944*AR944</f>
        <v>0</v>
      </c>
      <c r="BA944" s="21" t="s">
        <v>1857</v>
      </c>
      <c r="BB944" s="21" t="s">
        <v>788</v>
      </c>
      <c r="BC944" s="7" t="s">
        <v>1887</v>
      </c>
      <c r="BE944" s="56">
        <f>AY944+AZ944</f>
        <v>0</v>
      </c>
      <c r="BF944" s="56">
        <f>H944/(100-BG944)*100</f>
        <v>0</v>
      </c>
      <c r="BG944" s="56">
        <v>0</v>
      </c>
      <c r="BH944" s="56">
        <f>M944</f>
        <v>0.50127999999999995</v>
      </c>
      <c r="BJ944" s="56">
        <f>G944*AQ944</f>
        <v>0</v>
      </c>
      <c r="BK944" s="56">
        <f>G944*AR944</f>
        <v>0</v>
      </c>
      <c r="BL944" s="56">
        <f>G944*H944</f>
        <v>0</v>
      </c>
      <c r="BM944" s="56"/>
      <c r="BN944" s="56">
        <v>764</v>
      </c>
    </row>
    <row r="945" spans="1:66" ht="15" customHeight="1">
      <c r="A945" s="36"/>
      <c r="D945" s="45" t="s">
        <v>1488</v>
      </c>
      <c r="E945" s="104" t="s">
        <v>1499</v>
      </c>
      <c r="G945" s="13">
        <v>52.000000000000007</v>
      </c>
      <c r="N945" s="19"/>
      <c r="P945" s="592"/>
      <c r="Q945" s="592"/>
      <c r="R945" s="592"/>
      <c r="S945" s="592"/>
      <c r="T945" s="592"/>
      <c r="U945" s="592"/>
      <c r="V945" s="592"/>
      <c r="W945" s="592"/>
      <c r="X945" s="592"/>
    </row>
    <row r="946" spans="1:66" ht="15" customHeight="1">
      <c r="A946" s="36"/>
      <c r="D946" s="45" t="s">
        <v>1488</v>
      </c>
      <c r="E946" s="104" t="s">
        <v>2458</v>
      </c>
      <c r="G946" s="13">
        <v>52.000000000000007</v>
      </c>
      <c r="N946" s="19"/>
      <c r="P946" s="592"/>
      <c r="Q946" s="592"/>
      <c r="R946" s="592"/>
      <c r="S946" s="592"/>
      <c r="T946" s="592"/>
      <c r="U946" s="592"/>
      <c r="V946" s="592"/>
      <c r="W946" s="592"/>
      <c r="X946" s="592"/>
    </row>
    <row r="947" spans="1:66" ht="15" customHeight="1">
      <c r="A947" s="24" t="s">
        <v>217</v>
      </c>
      <c r="B947" s="12" t="s">
        <v>527</v>
      </c>
      <c r="C947" s="12" t="s">
        <v>2445</v>
      </c>
      <c r="D947" s="630" t="s">
        <v>2128</v>
      </c>
      <c r="E947" s="630"/>
      <c r="F947" s="12" t="s">
        <v>1923</v>
      </c>
      <c r="G947" s="56">
        <v>32.4</v>
      </c>
      <c r="H947" s="625"/>
      <c r="I947" s="56">
        <f>G947*AQ947</f>
        <v>0</v>
      </c>
      <c r="J947" s="56">
        <f>G947*AR947</f>
        <v>0</v>
      </c>
      <c r="K947" s="56">
        <f>G947*H947</f>
        <v>0</v>
      </c>
      <c r="L947" s="56">
        <v>1.9300000000000001E-3</v>
      </c>
      <c r="M947" s="56">
        <f>G947*L947</f>
        <v>6.2532000000000004E-2</v>
      </c>
      <c r="N947" s="31" t="s">
        <v>1579</v>
      </c>
      <c r="P947" s="592"/>
      <c r="Q947" s="592"/>
      <c r="R947" s="592"/>
      <c r="S947" s="592"/>
      <c r="T947" s="592"/>
      <c r="U947" s="592"/>
      <c r="V947" s="592"/>
      <c r="W947" s="592"/>
      <c r="X947" s="592"/>
      <c r="AB947" s="56">
        <f>IF(AS947="5",BL947,0)</f>
        <v>0</v>
      </c>
      <c r="AD947" s="56">
        <f>IF(AS947="1",BJ947,0)</f>
        <v>0</v>
      </c>
      <c r="AE947" s="56">
        <f>IF(AS947="1",BK947,0)</f>
        <v>0</v>
      </c>
      <c r="AF947" s="56">
        <f>IF(AS947="7",BJ947,0)</f>
        <v>0</v>
      </c>
      <c r="AG947" s="56">
        <f>IF(AS947="7",BK947,0)</f>
        <v>0</v>
      </c>
      <c r="AH947" s="56">
        <f>IF(AS947="2",BJ947,0)</f>
        <v>0</v>
      </c>
      <c r="AI947" s="56">
        <f>IF(AS947="2",BK947,0)</f>
        <v>0</v>
      </c>
      <c r="AJ947" s="56">
        <f>IF(AS947="0",BL947,0)</f>
        <v>0</v>
      </c>
      <c r="AK947" s="7" t="s">
        <v>527</v>
      </c>
      <c r="AL947" s="56">
        <f>IF(AP947=0,K947,0)</f>
        <v>0</v>
      </c>
      <c r="AM947" s="56">
        <f>IF(AP947=15,K947,0)</f>
        <v>0</v>
      </c>
      <c r="AN947" s="56">
        <f>IF(AP947=21,K947,0)</f>
        <v>0</v>
      </c>
      <c r="AP947" s="56">
        <v>21</v>
      </c>
      <c r="AQ947" s="88">
        <f>H947*0.543365079365079</f>
        <v>0</v>
      </c>
      <c r="AR947" s="88">
        <f>H947*(1-0.543365079365079)</f>
        <v>0</v>
      </c>
      <c r="AS947" s="21" t="s">
        <v>2311</v>
      </c>
      <c r="AX947" s="56">
        <f>AY947+AZ947</f>
        <v>0</v>
      </c>
      <c r="AY947" s="56">
        <f>G947*AQ947</f>
        <v>0</v>
      </c>
      <c r="AZ947" s="56">
        <f>G947*AR947</f>
        <v>0</v>
      </c>
      <c r="BA947" s="21" t="s">
        <v>1857</v>
      </c>
      <c r="BB947" s="21" t="s">
        <v>788</v>
      </c>
      <c r="BC947" s="7" t="s">
        <v>1887</v>
      </c>
      <c r="BE947" s="56">
        <f>AY947+AZ947</f>
        <v>0</v>
      </c>
      <c r="BF947" s="56">
        <f>H947/(100-BG947)*100</f>
        <v>0</v>
      </c>
      <c r="BG947" s="56">
        <v>0</v>
      </c>
      <c r="BH947" s="56">
        <f>M947</f>
        <v>6.2532000000000004E-2</v>
      </c>
      <c r="BJ947" s="56">
        <f>G947*AQ947</f>
        <v>0</v>
      </c>
      <c r="BK947" s="56">
        <f>G947*AR947</f>
        <v>0</v>
      </c>
      <c r="BL947" s="56">
        <f>G947*H947</f>
        <v>0</v>
      </c>
      <c r="BM947" s="56"/>
      <c r="BN947" s="56">
        <v>764</v>
      </c>
    </row>
    <row r="948" spans="1:66" ht="15" customHeight="1">
      <c r="A948" s="36"/>
      <c r="D948" s="45" t="s">
        <v>1864</v>
      </c>
      <c r="E948" s="104" t="s">
        <v>1597</v>
      </c>
      <c r="G948" s="13">
        <v>32.400000000000006</v>
      </c>
      <c r="N948" s="19"/>
      <c r="P948" s="592"/>
      <c r="Q948" s="592"/>
      <c r="R948" s="592"/>
      <c r="S948" s="592"/>
      <c r="T948" s="592"/>
      <c r="U948" s="592"/>
      <c r="V948" s="592"/>
      <c r="W948" s="592"/>
      <c r="X948" s="592"/>
    </row>
    <row r="949" spans="1:66" ht="15" customHeight="1">
      <c r="A949" s="24" t="s">
        <v>679</v>
      </c>
      <c r="B949" s="12" t="s">
        <v>527</v>
      </c>
      <c r="C949" s="12" t="s">
        <v>2110</v>
      </c>
      <c r="D949" s="630" t="s">
        <v>2648</v>
      </c>
      <c r="E949" s="630"/>
      <c r="F949" s="12" t="s">
        <v>2274</v>
      </c>
      <c r="G949" s="56">
        <v>11.65</v>
      </c>
      <c r="H949" s="625"/>
      <c r="I949" s="56">
        <f>G949*AQ949</f>
        <v>0</v>
      </c>
      <c r="J949" s="56">
        <f>G949*AR949</f>
        <v>0</v>
      </c>
      <c r="K949" s="56">
        <f>G949*H949</f>
        <v>0</v>
      </c>
      <c r="L949" s="56">
        <v>8.3499999999999998E-3</v>
      </c>
      <c r="M949" s="56">
        <f>G949*L949</f>
        <v>9.7277500000000003E-2</v>
      </c>
      <c r="N949" s="31" t="s">
        <v>1579</v>
      </c>
      <c r="P949" s="592"/>
      <c r="Q949" s="592"/>
      <c r="R949" s="592"/>
      <c r="S949" s="592"/>
      <c r="T949" s="592"/>
      <c r="U949" s="592"/>
      <c r="V949" s="592"/>
      <c r="W949" s="592"/>
      <c r="X949" s="592"/>
      <c r="AB949" s="56">
        <f>IF(AS949="5",BL949,0)</f>
        <v>0</v>
      </c>
      <c r="AD949" s="56">
        <f>IF(AS949="1",BJ949,0)</f>
        <v>0</v>
      </c>
      <c r="AE949" s="56">
        <f>IF(AS949="1",BK949,0)</f>
        <v>0</v>
      </c>
      <c r="AF949" s="56">
        <f>IF(AS949="7",BJ949,0)</f>
        <v>0</v>
      </c>
      <c r="AG949" s="56">
        <f>IF(AS949="7",BK949,0)</f>
        <v>0</v>
      </c>
      <c r="AH949" s="56">
        <f>IF(AS949="2",BJ949,0)</f>
        <v>0</v>
      </c>
      <c r="AI949" s="56">
        <f>IF(AS949="2",BK949,0)</f>
        <v>0</v>
      </c>
      <c r="AJ949" s="56">
        <f>IF(AS949="0",BL949,0)</f>
        <v>0</v>
      </c>
      <c r="AK949" s="7" t="s">
        <v>527</v>
      </c>
      <c r="AL949" s="56">
        <f>IF(AP949=0,K949,0)</f>
        <v>0</v>
      </c>
      <c r="AM949" s="56">
        <f>IF(AP949=15,K949,0)</f>
        <v>0</v>
      </c>
      <c r="AN949" s="56">
        <f>IF(AP949=21,K949,0)</f>
        <v>0</v>
      </c>
      <c r="AP949" s="56">
        <v>21</v>
      </c>
      <c r="AQ949" s="88">
        <f>H949*0.288315392895587</f>
        <v>0</v>
      </c>
      <c r="AR949" s="88">
        <f>H949*(1-0.288315392895587)</f>
        <v>0</v>
      </c>
      <c r="AS949" s="21" t="s">
        <v>2311</v>
      </c>
      <c r="AX949" s="56">
        <f>AY949+AZ949</f>
        <v>0</v>
      </c>
      <c r="AY949" s="56">
        <f>G949*AQ949</f>
        <v>0</v>
      </c>
      <c r="AZ949" s="56">
        <f>G949*AR949</f>
        <v>0</v>
      </c>
      <c r="BA949" s="21" t="s">
        <v>1857</v>
      </c>
      <c r="BB949" s="21" t="s">
        <v>788</v>
      </c>
      <c r="BC949" s="7" t="s">
        <v>1887</v>
      </c>
      <c r="BE949" s="56">
        <f>AY949+AZ949</f>
        <v>0</v>
      </c>
      <c r="BF949" s="56">
        <f>H949/(100-BG949)*100</f>
        <v>0</v>
      </c>
      <c r="BG949" s="56">
        <v>0</v>
      </c>
      <c r="BH949" s="56">
        <f>M949</f>
        <v>9.7277500000000003E-2</v>
      </c>
      <c r="BJ949" s="56">
        <f>G949*AQ949</f>
        <v>0</v>
      </c>
      <c r="BK949" s="56">
        <f>G949*AR949</f>
        <v>0</v>
      </c>
      <c r="BL949" s="56">
        <f>G949*H949</f>
        <v>0</v>
      </c>
      <c r="BM949" s="56"/>
      <c r="BN949" s="56">
        <v>764</v>
      </c>
    </row>
    <row r="950" spans="1:66" ht="15" customHeight="1">
      <c r="A950" s="36"/>
      <c r="D950" s="45" t="s">
        <v>356</v>
      </c>
      <c r="E950" s="104" t="s">
        <v>46</v>
      </c>
      <c r="G950" s="13">
        <v>11.65</v>
      </c>
      <c r="N950" s="19"/>
      <c r="P950" s="592"/>
      <c r="Q950" s="592"/>
      <c r="R950" s="592"/>
      <c r="S950" s="592"/>
      <c r="T950" s="592"/>
      <c r="U950" s="592"/>
      <c r="V950" s="592"/>
      <c r="W950" s="592"/>
      <c r="X950" s="592"/>
    </row>
    <row r="951" spans="1:66" ht="15" customHeight="1">
      <c r="A951" s="24" t="s">
        <v>1029</v>
      </c>
      <c r="B951" s="12" t="s">
        <v>527</v>
      </c>
      <c r="C951" s="12" t="s">
        <v>80</v>
      </c>
      <c r="D951" s="630" t="s">
        <v>2566</v>
      </c>
      <c r="E951" s="630"/>
      <c r="F951" s="12" t="s">
        <v>1923</v>
      </c>
      <c r="G951" s="56">
        <v>50</v>
      </c>
      <c r="H951" s="625"/>
      <c r="I951" s="56">
        <f>G951*AQ951</f>
        <v>0</v>
      </c>
      <c r="J951" s="56">
        <f>G951*AR951</f>
        <v>0</v>
      </c>
      <c r="K951" s="56">
        <f>G951*H951</f>
        <v>0</v>
      </c>
      <c r="L951" s="56">
        <v>3.0799999999999998E-3</v>
      </c>
      <c r="M951" s="56">
        <f>G951*L951</f>
        <v>0.154</v>
      </c>
      <c r="N951" s="31" t="s">
        <v>1579</v>
      </c>
      <c r="P951" s="592"/>
      <c r="Q951" s="592"/>
      <c r="R951" s="592"/>
      <c r="S951" s="592"/>
      <c r="T951" s="592"/>
      <c r="U951" s="592"/>
      <c r="V951" s="592"/>
      <c r="W951" s="592"/>
      <c r="X951" s="592"/>
      <c r="AB951" s="56">
        <f>IF(AS951="5",BL951,0)</f>
        <v>0</v>
      </c>
      <c r="AD951" s="56">
        <f>IF(AS951="1",BJ951,0)</f>
        <v>0</v>
      </c>
      <c r="AE951" s="56">
        <f>IF(AS951="1",BK951,0)</f>
        <v>0</v>
      </c>
      <c r="AF951" s="56">
        <f>IF(AS951="7",BJ951,0)</f>
        <v>0</v>
      </c>
      <c r="AG951" s="56">
        <f>IF(AS951="7",BK951,0)</f>
        <v>0</v>
      </c>
      <c r="AH951" s="56">
        <f>IF(AS951="2",BJ951,0)</f>
        <v>0</v>
      </c>
      <c r="AI951" s="56">
        <f>IF(AS951="2",BK951,0)</f>
        <v>0</v>
      </c>
      <c r="AJ951" s="56">
        <f>IF(AS951="0",BL951,0)</f>
        <v>0</v>
      </c>
      <c r="AK951" s="7" t="s">
        <v>527</v>
      </c>
      <c r="AL951" s="56">
        <f>IF(AP951=0,K951,0)</f>
        <v>0</v>
      </c>
      <c r="AM951" s="56">
        <f>IF(AP951=15,K951,0)</f>
        <v>0</v>
      </c>
      <c r="AN951" s="56">
        <f>IF(AP951=21,K951,0)</f>
        <v>0</v>
      </c>
      <c r="AP951" s="56">
        <v>21</v>
      </c>
      <c r="AQ951" s="88">
        <f>H951*0.384771463251146</f>
        <v>0</v>
      </c>
      <c r="AR951" s="88">
        <f>H951*(1-0.384771463251146)</f>
        <v>0</v>
      </c>
      <c r="AS951" s="21" t="s">
        <v>2311</v>
      </c>
      <c r="AX951" s="56">
        <f>AY951+AZ951</f>
        <v>0</v>
      </c>
      <c r="AY951" s="56">
        <f>G951*AQ951</f>
        <v>0</v>
      </c>
      <c r="AZ951" s="56">
        <f>G951*AR951</f>
        <v>0</v>
      </c>
      <c r="BA951" s="21" t="s">
        <v>1857</v>
      </c>
      <c r="BB951" s="21" t="s">
        <v>788</v>
      </c>
      <c r="BC951" s="7" t="s">
        <v>1887</v>
      </c>
      <c r="BE951" s="56">
        <f>AY951+AZ951</f>
        <v>0</v>
      </c>
      <c r="BF951" s="56">
        <f>H951/(100-BG951)*100</f>
        <v>0</v>
      </c>
      <c r="BG951" s="56">
        <v>0</v>
      </c>
      <c r="BH951" s="56">
        <f>M951</f>
        <v>0.154</v>
      </c>
      <c r="BJ951" s="56">
        <f>G951*AQ951</f>
        <v>0</v>
      </c>
      <c r="BK951" s="56">
        <f>G951*AR951</f>
        <v>0</v>
      </c>
      <c r="BL951" s="56">
        <f>G951*H951</f>
        <v>0</v>
      </c>
      <c r="BM951" s="56"/>
      <c r="BN951" s="56">
        <v>764</v>
      </c>
    </row>
    <row r="952" spans="1:66" ht="15" customHeight="1">
      <c r="A952" s="24" t="s">
        <v>1</v>
      </c>
      <c r="B952" s="12" t="s">
        <v>527</v>
      </c>
      <c r="C952" s="12" t="s">
        <v>2581</v>
      </c>
      <c r="D952" s="630" t="s">
        <v>1642</v>
      </c>
      <c r="E952" s="630"/>
      <c r="F952" s="12" t="s">
        <v>564</v>
      </c>
      <c r="G952" s="56">
        <v>2</v>
      </c>
      <c r="H952" s="625"/>
      <c r="I952" s="56">
        <f>G952*AQ952</f>
        <v>0</v>
      </c>
      <c r="J952" s="56">
        <f>G952*AR952</f>
        <v>0</v>
      </c>
      <c r="K952" s="56">
        <f>G952*H952</f>
        <v>0</v>
      </c>
      <c r="L952" s="56">
        <v>2.0000000000000002E-5</v>
      </c>
      <c r="M952" s="56">
        <f>G952*L952</f>
        <v>4.0000000000000003E-5</v>
      </c>
      <c r="N952" s="31" t="s">
        <v>1579</v>
      </c>
      <c r="P952" s="592"/>
      <c r="Q952" s="592"/>
      <c r="R952" s="592"/>
      <c r="S952" s="592"/>
      <c r="T952" s="592"/>
      <c r="U952" s="592"/>
      <c r="V952" s="592"/>
      <c r="W952" s="592"/>
      <c r="X952" s="592"/>
      <c r="AB952" s="56">
        <f>IF(AS952="5",BL952,0)</f>
        <v>0</v>
      </c>
      <c r="AD952" s="56">
        <f>IF(AS952="1",BJ952,0)</f>
        <v>0</v>
      </c>
      <c r="AE952" s="56">
        <f>IF(AS952="1",BK952,0)</f>
        <v>0</v>
      </c>
      <c r="AF952" s="56">
        <f>IF(AS952="7",BJ952,0)</f>
        <v>0</v>
      </c>
      <c r="AG952" s="56">
        <f>IF(AS952="7",BK952,0)</f>
        <v>0</v>
      </c>
      <c r="AH952" s="56">
        <f>IF(AS952="2",BJ952,0)</f>
        <v>0</v>
      </c>
      <c r="AI952" s="56">
        <f>IF(AS952="2",BK952,0)</f>
        <v>0</v>
      </c>
      <c r="AJ952" s="56">
        <f>IF(AS952="0",BL952,0)</f>
        <v>0</v>
      </c>
      <c r="AK952" s="7" t="s">
        <v>527</v>
      </c>
      <c r="AL952" s="56">
        <f>IF(AP952=0,K952,0)</f>
        <v>0</v>
      </c>
      <c r="AM952" s="56">
        <f>IF(AP952=15,K952,0)</f>
        <v>0</v>
      </c>
      <c r="AN952" s="56">
        <f>IF(AP952=21,K952,0)</f>
        <v>0</v>
      </c>
      <c r="AP952" s="56">
        <v>21</v>
      </c>
      <c r="AQ952" s="88">
        <f>H952*0.0488594164456233</f>
        <v>0</v>
      </c>
      <c r="AR952" s="88">
        <f>H952*(1-0.0488594164456233)</f>
        <v>0</v>
      </c>
      <c r="AS952" s="21" t="s">
        <v>2311</v>
      </c>
      <c r="AX952" s="56">
        <f>AY952+AZ952</f>
        <v>0</v>
      </c>
      <c r="AY952" s="56">
        <f>G952*AQ952</f>
        <v>0</v>
      </c>
      <c r="AZ952" s="56">
        <f>G952*AR952</f>
        <v>0</v>
      </c>
      <c r="BA952" s="21" t="s">
        <v>1857</v>
      </c>
      <c r="BB952" s="21" t="s">
        <v>788</v>
      </c>
      <c r="BC952" s="7" t="s">
        <v>1887</v>
      </c>
      <c r="BE952" s="56">
        <f>AY952+AZ952</f>
        <v>0</v>
      </c>
      <c r="BF952" s="56">
        <f>H952/(100-BG952)*100</f>
        <v>0</v>
      </c>
      <c r="BG952" s="56">
        <v>0</v>
      </c>
      <c r="BH952" s="56">
        <f>M952</f>
        <v>4.0000000000000003E-5</v>
      </c>
      <c r="BJ952" s="56">
        <f>G952*AQ952</f>
        <v>0</v>
      </c>
      <c r="BK952" s="56">
        <f>G952*AR952</f>
        <v>0</v>
      </c>
      <c r="BL952" s="56">
        <f>G952*H952</f>
        <v>0</v>
      </c>
      <c r="BM952" s="56"/>
      <c r="BN952" s="56">
        <v>764</v>
      </c>
    </row>
    <row r="953" spans="1:66" ht="15" customHeight="1">
      <c r="A953" s="36"/>
      <c r="D953" s="45" t="s">
        <v>1589</v>
      </c>
      <c r="E953" s="104" t="s">
        <v>1597</v>
      </c>
      <c r="G953" s="13">
        <v>2</v>
      </c>
      <c r="N953" s="19"/>
      <c r="P953" s="592"/>
      <c r="Q953" s="592"/>
      <c r="R953" s="592"/>
      <c r="S953" s="592"/>
      <c r="T953" s="592"/>
      <c r="U953" s="592"/>
      <c r="V953" s="592"/>
      <c r="W953" s="592"/>
      <c r="X953" s="592"/>
    </row>
    <row r="954" spans="1:66" ht="15" customHeight="1">
      <c r="A954" s="24" t="s">
        <v>97</v>
      </c>
      <c r="B954" s="12" t="s">
        <v>527</v>
      </c>
      <c r="C954" s="12" t="s">
        <v>1422</v>
      </c>
      <c r="D954" s="630" t="s">
        <v>1673</v>
      </c>
      <c r="E954" s="630"/>
      <c r="F954" s="12" t="s">
        <v>564</v>
      </c>
      <c r="G954" s="56">
        <v>50</v>
      </c>
      <c r="H954" s="625"/>
      <c r="I954" s="56">
        <f>G954*AQ954</f>
        <v>0</v>
      </c>
      <c r="J954" s="56">
        <f>G954*AR954</f>
        <v>0</v>
      </c>
      <c r="K954" s="56">
        <f>G954*H954</f>
        <v>0</v>
      </c>
      <c r="L954" s="56">
        <v>5.0000000000000002E-5</v>
      </c>
      <c r="M954" s="56">
        <f>G954*L954</f>
        <v>2.5000000000000001E-3</v>
      </c>
      <c r="N954" s="31" t="s">
        <v>1579</v>
      </c>
      <c r="P954" s="592"/>
      <c r="Q954" s="592"/>
      <c r="R954" s="592"/>
      <c r="S954" s="592"/>
      <c r="T954" s="592"/>
      <c r="U954" s="592"/>
      <c r="V954" s="592"/>
      <c r="W954" s="592"/>
      <c r="X954" s="592"/>
      <c r="AB954" s="56">
        <f>IF(AS954="5",BL954,0)</f>
        <v>0</v>
      </c>
      <c r="AD954" s="56">
        <f>IF(AS954="1",BJ954,0)</f>
        <v>0</v>
      </c>
      <c r="AE954" s="56">
        <f>IF(AS954="1",BK954,0)</f>
        <v>0</v>
      </c>
      <c r="AF954" s="56">
        <f>IF(AS954="7",BJ954,0)</f>
        <v>0</v>
      </c>
      <c r="AG954" s="56">
        <f>IF(AS954="7",BK954,0)</f>
        <v>0</v>
      </c>
      <c r="AH954" s="56">
        <f>IF(AS954="2",BJ954,0)</f>
        <v>0</v>
      </c>
      <c r="AI954" s="56">
        <f>IF(AS954="2",BK954,0)</f>
        <v>0</v>
      </c>
      <c r="AJ954" s="56">
        <f>IF(AS954="0",BL954,0)</f>
        <v>0</v>
      </c>
      <c r="AK954" s="7" t="s">
        <v>527</v>
      </c>
      <c r="AL954" s="56">
        <f>IF(AP954=0,K954,0)</f>
        <v>0</v>
      </c>
      <c r="AM954" s="56">
        <f>IF(AP954=15,K954,0)</f>
        <v>0</v>
      </c>
      <c r="AN954" s="56">
        <f>IF(AP954=21,K954,0)</f>
        <v>0</v>
      </c>
      <c r="AP954" s="56">
        <v>21</v>
      </c>
      <c r="AQ954" s="88">
        <f>H954*0.128128724672229</f>
        <v>0</v>
      </c>
      <c r="AR954" s="88">
        <f>H954*(1-0.128128724672229)</f>
        <v>0</v>
      </c>
      <c r="AS954" s="21" t="s">
        <v>2311</v>
      </c>
      <c r="AX954" s="56">
        <f>AY954+AZ954</f>
        <v>0</v>
      </c>
      <c r="AY954" s="56">
        <f>G954*AQ954</f>
        <v>0</v>
      </c>
      <c r="AZ954" s="56">
        <f>G954*AR954</f>
        <v>0</v>
      </c>
      <c r="BA954" s="21" t="s">
        <v>1857</v>
      </c>
      <c r="BB954" s="21" t="s">
        <v>788</v>
      </c>
      <c r="BC954" s="7" t="s">
        <v>1887</v>
      </c>
      <c r="BE954" s="56">
        <f>AY954+AZ954</f>
        <v>0</v>
      </c>
      <c r="BF954" s="56">
        <f>H954/(100-BG954)*100</f>
        <v>0</v>
      </c>
      <c r="BG954" s="56">
        <v>0</v>
      </c>
      <c r="BH954" s="56">
        <f>M954</f>
        <v>2.5000000000000001E-3</v>
      </c>
      <c r="BJ954" s="56">
        <f>G954*AQ954</f>
        <v>0</v>
      </c>
      <c r="BK954" s="56">
        <f>G954*AR954</f>
        <v>0</v>
      </c>
      <c r="BL954" s="56">
        <f>G954*H954</f>
        <v>0</v>
      </c>
      <c r="BM954" s="56"/>
      <c r="BN954" s="56">
        <v>764</v>
      </c>
    </row>
    <row r="955" spans="1:66" ht="15" customHeight="1">
      <c r="A955" s="36"/>
      <c r="D955" s="45" t="s">
        <v>1903</v>
      </c>
      <c r="E955" s="104" t="s">
        <v>1597</v>
      </c>
      <c r="G955" s="13">
        <v>50.000000000000007</v>
      </c>
      <c r="N955" s="19"/>
      <c r="P955" s="592"/>
      <c r="Q955" s="592"/>
      <c r="R955" s="592"/>
      <c r="S955" s="592"/>
      <c r="T955" s="592"/>
      <c r="U955" s="592"/>
      <c r="V955" s="592"/>
      <c r="W955" s="592"/>
      <c r="X955" s="592"/>
    </row>
    <row r="956" spans="1:66" ht="15" customHeight="1">
      <c r="A956" s="24" t="s">
        <v>1660</v>
      </c>
      <c r="B956" s="12" t="s">
        <v>527</v>
      </c>
      <c r="C956" s="12" t="s">
        <v>1551</v>
      </c>
      <c r="D956" s="630" t="s">
        <v>708</v>
      </c>
      <c r="E956" s="630"/>
      <c r="F956" s="12" t="s">
        <v>1923</v>
      </c>
      <c r="G956" s="56">
        <v>32</v>
      </c>
      <c r="H956" s="625"/>
      <c r="I956" s="56">
        <f>G956*AQ956</f>
        <v>0</v>
      </c>
      <c r="J956" s="56">
        <f>G956*AR956</f>
        <v>0</v>
      </c>
      <c r="K956" s="56">
        <f>G956*H956</f>
        <v>0</v>
      </c>
      <c r="L956" s="56">
        <v>3.8600000000000001E-3</v>
      </c>
      <c r="M956" s="56">
        <f>G956*L956</f>
        <v>0.12352</v>
      </c>
      <c r="N956" s="31" t="s">
        <v>1579</v>
      </c>
      <c r="P956" s="592"/>
      <c r="Q956" s="592"/>
      <c r="R956" s="592"/>
      <c r="S956" s="592"/>
      <c r="T956" s="592"/>
      <c r="U956" s="592"/>
      <c r="V956" s="592"/>
      <c r="W956" s="592"/>
      <c r="X956" s="592"/>
      <c r="AB956" s="56">
        <f>IF(AS956="5",BL956,0)</f>
        <v>0</v>
      </c>
      <c r="AD956" s="56">
        <f>IF(AS956="1",BJ956,0)</f>
        <v>0</v>
      </c>
      <c r="AE956" s="56">
        <f>IF(AS956="1",BK956,0)</f>
        <v>0</v>
      </c>
      <c r="AF956" s="56">
        <f>IF(AS956="7",BJ956,0)</f>
        <v>0</v>
      </c>
      <c r="AG956" s="56">
        <f>IF(AS956="7",BK956,0)</f>
        <v>0</v>
      </c>
      <c r="AH956" s="56">
        <f>IF(AS956="2",BJ956,0)</f>
        <v>0</v>
      </c>
      <c r="AI956" s="56">
        <f>IF(AS956="2",BK956,0)</f>
        <v>0</v>
      </c>
      <c r="AJ956" s="56">
        <f>IF(AS956="0",BL956,0)</f>
        <v>0</v>
      </c>
      <c r="AK956" s="7" t="s">
        <v>527</v>
      </c>
      <c r="AL956" s="56">
        <f>IF(AP956=0,K956,0)</f>
        <v>0</v>
      </c>
      <c r="AM956" s="56">
        <f>IF(AP956=15,K956,0)</f>
        <v>0</v>
      </c>
      <c r="AN956" s="56">
        <f>IF(AP956=21,K956,0)</f>
        <v>0</v>
      </c>
      <c r="AP956" s="56">
        <v>21</v>
      </c>
      <c r="AQ956" s="88">
        <f>H956*0.420960854092527</f>
        <v>0</v>
      </c>
      <c r="AR956" s="88">
        <f>H956*(1-0.420960854092527)</f>
        <v>0</v>
      </c>
      <c r="AS956" s="21" t="s">
        <v>2311</v>
      </c>
      <c r="AX956" s="56">
        <f>AY956+AZ956</f>
        <v>0</v>
      </c>
      <c r="AY956" s="56">
        <f>G956*AQ956</f>
        <v>0</v>
      </c>
      <c r="AZ956" s="56">
        <f>G956*AR956</f>
        <v>0</v>
      </c>
      <c r="BA956" s="21" t="s">
        <v>1857</v>
      </c>
      <c r="BB956" s="21" t="s">
        <v>788</v>
      </c>
      <c r="BC956" s="7" t="s">
        <v>1887</v>
      </c>
      <c r="BE956" s="56">
        <f>AY956+AZ956</f>
        <v>0</v>
      </c>
      <c r="BF956" s="56">
        <f>H956/(100-BG956)*100</f>
        <v>0</v>
      </c>
      <c r="BG956" s="56">
        <v>0</v>
      </c>
      <c r="BH956" s="56">
        <f>M956</f>
        <v>0.12352</v>
      </c>
      <c r="BJ956" s="56">
        <f>G956*AQ956</f>
        <v>0</v>
      </c>
      <c r="BK956" s="56">
        <f>G956*AR956</f>
        <v>0</v>
      </c>
      <c r="BL956" s="56">
        <f>G956*H956</f>
        <v>0</v>
      </c>
      <c r="BM956" s="56"/>
      <c r="BN956" s="56">
        <v>764</v>
      </c>
    </row>
    <row r="957" spans="1:66" ht="15" customHeight="1">
      <c r="A957" s="36"/>
      <c r="D957" s="45" t="s">
        <v>2572</v>
      </c>
      <c r="E957" s="104" t="s">
        <v>1597</v>
      </c>
      <c r="G957" s="13">
        <v>32</v>
      </c>
      <c r="N957" s="19"/>
      <c r="P957" s="592"/>
      <c r="Q957" s="592"/>
      <c r="R957" s="592"/>
      <c r="S957" s="592"/>
      <c r="T957" s="592"/>
      <c r="U957" s="592"/>
      <c r="V957" s="592"/>
      <c r="W957" s="592"/>
      <c r="X957" s="592"/>
    </row>
    <row r="958" spans="1:66" ht="15" customHeight="1">
      <c r="A958" s="24" t="s">
        <v>1454</v>
      </c>
      <c r="B958" s="12" t="s">
        <v>527</v>
      </c>
      <c r="C958" s="12" t="s">
        <v>1369</v>
      </c>
      <c r="D958" s="630" t="s">
        <v>597</v>
      </c>
      <c r="E958" s="630"/>
      <c r="F958" s="12" t="s">
        <v>564</v>
      </c>
      <c r="G958" s="56">
        <v>50</v>
      </c>
      <c r="H958" s="625"/>
      <c r="I958" s="56">
        <f>G958*AQ958</f>
        <v>0</v>
      </c>
      <c r="J958" s="56">
        <f>G958*AR958</f>
        <v>0</v>
      </c>
      <c r="K958" s="56">
        <f>G958*H958</f>
        <v>0</v>
      </c>
      <c r="L958" s="56">
        <v>4.8500000000000001E-3</v>
      </c>
      <c r="M958" s="56">
        <f>G958*L958</f>
        <v>0.24249999999999999</v>
      </c>
      <c r="N958" s="31" t="s">
        <v>1579</v>
      </c>
      <c r="P958" s="592"/>
      <c r="Q958" s="592"/>
      <c r="R958" s="592"/>
      <c r="S958" s="592"/>
      <c r="T958" s="592"/>
      <c r="U958" s="592"/>
      <c r="V958" s="592"/>
      <c r="W958" s="592"/>
      <c r="X958" s="592"/>
      <c r="AB958" s="56">
        <f>IF(AS958="5",BL958,0)</f>
        <v>0</v>
      </c>
      <c r="AD958" s="56">
        <f>IF(AS958="1",BJ958,0)</f>
        <v>0</v>
      </c>
      <c r="AE958" s="56">
        <f>IF(AS958="1",BK958,0)</f>
        <v>0</v>
      </c>
      <c r="AF958" s="56">
        <f>IF(AS958="7",BJ958,0)</f>
        <v>0</v>
      </c>
      <c r="AG958" s="56">
        <f>IF(AS958="7",BK958,0)</f>
        <v>0</v>
      </c>
      <c r="AH958" s="56">
        <f>IF(AS958="2",BJ958,0)</f>
        <v>0</v>
      </c>
      <c r="AI958" s="56">
        <f>IF(AS958="2",BK958,0)</f>
        <v>0</v>
      </c>
      <c r="AJ958" s="56">
        <f>IF(AS958="0",BL958,0)</f>
        <v>0</v>
      </c>
      <c r="AK958" s="7" t="s">
        <v>527</v>
      </c>
      <c r="AL958" s="56">
        <f>IF(AP958=0,K958,0)</f>
        <v>0</v>
      </c>
      <c r="AM958" s="56">
        <f>IF(AP958=15,K958,0)</f>
        <v>0</v>
      </c>
      <c r="AN958" s="56">
        <f>IF(AP958=21,K958,0)</f>
        <v>0</v>
      </c>
      <c r="AP958" s="56">
        <v>21</v>
      </c>
      <c r="AQ958" s="88">
        <f>H958*0.528629343629344</f>
        <v>0</v>
      </c>
      <c r="AR958" s="88">
        <f>H958*(1-0.528629343629344)</f>
        <v>0</v>
      </c>
      <c r="AS958" s="21" t="s">
        <v>2311</v>
      </c>
      <c r="AX958" s="56">
        <f>AY958+AZ958</f>
        <v>0</v>
      </c>
      <c r="AY958" s="56">
        <f>G958*AQ958</f>
        <v>0</v>
      </c>
      <c r="AZ958" s="56">
        <f>G958*AR958</f>
        <v>0</v>
      </c>
      <c r="BA958" s="21" t="s">
        <v>1857</v>
      </c>
      <c r="BB958" s="21" t="s">
        <v>788</v>
      </c>
      <c r="BC958" s="7" t="s">
        <v>1887</v>
      </c>
      <c r="BE958" s="56">
        <f>AY958+AZ958</f>
        <v>0</v>
      </c>
      <c r="BF958" s="56">
        <f>H958/(100-BG958)*100</f>
        <v>0</v>
      </c>
      <c r="BG958" s="56">
        <v>0</v>
      </c>
      <c r="BH958" s="56">
        <f>M958</f>
        <v>0.24249999999999999</v>
      </c>
      <c r="BJ958" s="56">
        <f>G958*AQ958</f>
        <v>0</v>
      </c>
      <c r="BK958" s="56">
        <f>G958*AR958</f>
        <v>0</v>
      </c>
      <c r="BL958" s="56">
        <f>G958*H958</f>
        <v>0</v>
      </c>
      <c r="BM958" s="56"/>
      <c r="BN958" s="56">
        <v>764</v>
      </c>
    </row>
    <row r="959" spans="1:66" ht="15" customHeight="1">
      <c r="A959" s="36"/>
      <c r="D959" s="45" t="s">
        <v>2432</v>
      </c>
      <c r="E959" s="104" t="s">
        <v>1597</v>
      </c>
      <c r="G959" s="13">
        <v>50.000000000000007</v>
      </c>
      <c r="N959" s="19"/>
      <c r="P959" s="592"/>
      <c r="Q959" s="592"/>
      <c r="R959" s="592"/>
      <c r="S959" s="592"/>
      <c r="T959" s="592"/>
      <c r="U959" s="592"/>
      <c r="V959" s="592"/>
      <c r="W959" s="592"/>
      <c r="X959" s="592"/>
    </row>
    <row r="960" spans="1:66" ht="15" customHeight="1">
      <c r="A960" s="24" t="s">
        <v>1501</v>
      </c>
      <c r="B960" s="12" t="s">
        <v>527</v>
      </c>
      <c r="C960" s="12" t="s">
        <v>974</v>
      </c>
      <c r="D960" s="630" t="s">
        <v>779</v>
      </c>
      <c r="E960" s="630"/>
      <c r="F960" s="12" t="s">
        <v>1923</v>
      </c>
      <c r="G960" s="56">
        <v>12</v>
      </c>
      <c r="H960" s="625"/>
      <c r="I960" s="56">
        <f>G960*AQ960</f>
        <v>0</v>
      </c>
      <c r="J960" s="56">
        <f>G960*AR960</f>
        <v>0</v>
      </c>
      <c r="K960" s="56">
        <f>G960*H960</f>
        <v>0</v>
      </c>
      <c r="L960" s="56">
        <v>3.1199999999999999E-3</v>
      </c>
      <c r="M960" s="56">
        <f>G960*L960</f>
        <v>3.7440000000000001E-2</v>
      </c>
      <c r="N960" s="31" t="s">
        <v>1579</v>
      </c>
      <c r="P960" s="592"/>
      <c r="Q960" s="592"/>
      <c r="R960" s="592"/>
      <c r="S960" s="592"/>
      <c r="T960" s="592"/>
      <c r="U960" s="592"/>
      <c r="V960" s="592"/>
      <c r="W960" s="592"/>
      <c r="X960" s="592"/>
      <c r="AB960" s="56">
        <f>IF(AS960="5",BL960,0)</f>
        <v>0</v>
      </c>
      <c r="AD960" s="56">
        <f>IF(AS960="1",BJ960,0)</f>
        <v>0</v>
      </c>
      <c r="AE960" s="56">
        <f>IF(AS960="1",BK960,0)</f>
        <v>0</v>
      </c>
      <c r="AF960" s="56">
        <f>IF(AS960="7",BJ960,0)</f>
        <v>0</v>
      </c>
      <c r="AG960" s="56">
        <f>IF(AS960="7",BK960,0)</f>
        <v>0</v>
      </c>
      <c r="AH960" s="56">
        <f>IF(AS960="2",BJ960,0)</f>
        <v>0</v>
      </c>
      <c r="AI960" s="56">
        <f>IF(AS960="2",BK960,0)</f>
        <v>0</v>
      </c>
      <c r="AJ960" s="56">
        <f>IF(AS960="0",BL960,0)</f>
        <v>0</v>
      </c>
      <c r="AK960" s="7" t="s">
        <v>527</v>
      </c>
      <c r="AL960" s="56">
        <f>IF(AP960=0,K960,0)</f>
        <v>0</v>
      </c>
      <c r="AM960" s="56">
        <f>IF(AP960=15,K960,0)</f>
        <v>0</v>
      </c>
      <c r="AN960" s="56">
        <f>IF(AP960=21,K960,0)</f>
        <v>0</v>
      </c>
      <c r="AP960" s="56">
        <v>21</v>
      </c>
      <c r="AQ960" s="88">
        <f>H960*0.827246835443038</f>
        <v>0</v>
      </c>
      <c r="AR960" s="88">
        <f>H960*(1-0.827246835443038)</f>
        <v>0</v>
      </c>
      <c r="AS960" s="21" t="s">
        <v>2311</v>
      </c>
      <c r="AX960" s="56">
        <f>AY960+AZ960</f>
        <v>0</v>
      </c>
      <c r="AY960" s="56">
        <f>G960*AQ960</f>
        <v>0</v>
      </c>
      <c r="AZ960" s="56">
        <f>G960*AR960</f>
        <v>0</v>
      </c>
      <c r="BA960" s="21" t="s">
        <v>1857</v>
      </c>
      <c r="BB960" s="21" t="s">
        <v>788</v>
      </c>
      <c r="BC960" s="7" t="s">
        <v>1887</v>
      </c>
      <c r="BE960" s="56">
        <f>AY960+AZ960</f>
        <v>0</v>
      </c>
      <c r="BF960" s="56">
        <f>H960/(100-BG960)*100</f>
        <v>0</v>
      </c>
      <c r="BG960" s="56">
        <v>0</v>
      </c>
      <c r="BH960" s="56">
        <f>M960</f>
        <v>3.7440000000000001E-2</v>
      </c>
      <c r="BJ960" s="56">
        <f>G960*AQ960</f>
        <v>0</v>
      </c>
      <c r="BK960" s="56">
        <f>G960*AR960</f>
        <v>0</v>
      </c>
      <c r="BL960" s="56">
        <f>G960*H960</f>
        <v>0</v>
      </c>
      <c r="BM960" s="56"/>
      <c r="BN960" s="56">
        <v>764</v>
      </c>
    </row>
    <row r="961" spans="1:66" ht="15" customHeight="1">
      <c r="A961" s="36"/>
      <c r="D961" s="45" t="s">
        <v>2100</v>
      </c>
      <c r="E961" s="104" t="s">
        <v>1597</v>
      </c>
      <c r="G961" s="13">
        <v>12.000000000000002</v>
      </c>
      <c r="N961" s="19"/>
      <c r="P961" s="592"/>
      <c r="Q961" s="592"/>
      <c r="R961" s="592"/>
      <c r="S961" s="592"/>
      <c r="T961" s="592"/>
      <c r="U961" s="592"/>
      <c r="V961" s="592"/>
      <c r="W961" s="592"/>
      <c r="X961" s="592"/>
    </row>
    <row r="962" spans="1:66" ht="15" customHeight="1">
      <c r="A962" s="24" t="s">
        <v>2447</v>
      </c>
      <c r="B962" s="12" t="s">
        <v>527</v>
      </c>
      <c r="C962" s="12" t="s">
        <v>716</v>
      </c>
      <c r="D962" s="630" t="s">
        <v>373</v>
      </c>
      <c r="E962" s="630"/>
      <c r="F962" s="12" t="s">
        <v>1923</v>
      </c>
      <c r="G962" s="56">
        <v>50</v>
      </c>
      <c r="H962" s="625"/>
      <c r="I962" s="56">
        <f>G962*AQ962</f>
        <v>0</v>
      </c>
      <c r="J962" s="56">
        <f>G962*AR962</f>
        <v>0</v>
      </c>
      <c r="K962" s="56">
        <f>G962*H962</f>
        <v>0</v>
      </c>
      <c r="L962" s="56">
        <v>6.9999999999999994E-5</v>
      </c>
      <c r="M962" s="56">
        <f>G962*L962</f>
        <v>3.4999999999999996E-3</v>
      </c>
      <c r="N962" s="31" t="s">
        <v>1579</v>
      </c>
      <c r="P962" s="592"/>
      <c r="Q962" s="592"/>
      <c r="R962" s="592"/>
      <c r="S962" s="592"/>
      <c r="T962" s="592"/>
      <c r="U962" s="592"/>
      <c r="V962" s="592"/>
      <c r="W962" s="592"/>
      <c r="X962" s="592"/>
      <c r="AB962" s="56">
        <f>IF(AS962="5",BL962,0)</f>
        <v>0</v>
      </c>
      <c r="AD962" s="56">
        <f>IF(AS962="1",BJ962,0)</f>
        <v>0</v>
      </c>
      <c r="AE962" s="56">
        <f>IF(AS962="1",BK962,0)</f>
        <v>0</v>
      </c>
      <c r="AF962" s="56">
        <f>IF(AS962="7",BJ962,0)</f>
        <v>0</v>
      </c>
      <c r="AG962" s="56">
        <f>IF(AS962="7",BK962,0)</f>
        <v>0</v>
      </c>
      <c r="AH962" s="56">
        <f>IF(AS962="2",BJ962,0)</f>
        <v>0</v>
      </c>
      <c r="AI962" s="56">
        <f>IF(AS962="2",BK962,0)</f>
        <v>0</v>
      </c>
      <c r="AJ962" s="56">
        <f>IF(AS962="0",BL962,0)</f>
        <v>0</v>
      </c>
      <c r="AK962" s="7" t="s">
        <v>527</v>
      </c>
      <c r="AL962" s="56">
        <f>IF(AP962=0,K962,0)</f>
        <v>0</v>
      </c>
      <c r="AM962" s="56">
        <f>IF(AP962=15,K962,0)</f>
        <v>0</v>
      </c>
      <c r="AN962" s="56">
        <f>IF(AP962=21,K962,0)</f>
        <v>0</v>
      </c>
      <c r="AP962" s="56">
        <v>21</v>
      </c>
      <c r="AQ962" s="88">
        <f>H962*0.137851037851038</f>
        <v>0</v>
      </c>
      <c r="AR962" s="88">
        <f>H962*(1-0.137851037851038)</f>
        <v>0</v>
      </c>
      <c r="AS962" s="21" t="s">
        <v>2311</v>
      </c>
      <c r="AX962" s="56">
        <f>AY962+AZ962</f>
        <v>0</v>
      </c>
      <c r="AY962" s="56">
        <f>G962*AQ962</f>
        <v>0</v>
      </c>
      <c r="AZ962" s="56">
        <f>G962*AR962</f>
        <v>0</v>
      </c>
      <c r="BA962" s="21" t="s">
        <v>1857</v>
      </c>
      <c r="BB962" s="21" t="s">
        <v>788</v>
      </c>
      <c r="BC962" s="7" t="s">
        <v>1887</v>
      </c>
      <c r="BE962" s="56">
        <f>AY962+AZ962</f>
        <v>0</v>
      </c>
      <c r="BF962" s="56">
        <f>H962/(100-BG962)*100</f>
        <v>0</v>
      </c>
      <c r="BG962" s="56">
        <v>0</v>
      </c>
      <c r="BH962" s="56">
        <f>M962</f>
        <v>3.4999999999999996E-3</v>
      </c>
      <c r="BJ962" s="56">
        <f>G962*AQ962</f>
        <v>0</v>
      </c>
      <c r="BK962" s="56">
        <f>G962*AR962</f>
        <v>0</v>
      </c>
      <c r="BL962" s="56">
        <f>G962*H962</f>
        <v>0</v>
      </c>
      <c r="BM962" s="56"/>
      <c r="BN962" s="56">
        <v>764</v>
      </c>
    </row>
    <row r="963" spans="1:66" ht="15" customHeight="1">
      <c r="A963" s="36"/>
      <c r="D963" s="45" t="s">
        <v>691</v>
      </c>
      <c r="E963" s="104" t="s">
        <v>1597</v>
      </c>
      <c r="G963" s="13">
        <v>50.000000000000007</v>
      </c>
      <c r="N963" s="19"/>
      <c r="P963" s="592"/>
      <c r="Q963" s="592"/>
      <c r="R963" s="592"/>
      <c r="S963" s="592"/>
      <c r="T963" s="592"/>
      <c r="U963" s="592"/>
      <c r="V963" s="592"/>
      <c r="W963" s="592"/>
      <c r="X963" s="592"/>
    </row>
    <row r="964" spans="1:66" ht="15" customHeight="1">
      <c r="A964" s="8" t="s">
        <v>2134</v>
      </c>
      <c r="B964" s="75" t="s">
        <v>527</v>
      </c>
      <c r="C964" s="75" t="s">
        <v>1127</v>
      </c>
      <c r="D964" s="710" t="s">
        <v>144</v>
      </c>
      <c r="E964" s="710"/>
      <c r="F964" s="75" t="s">
        <v>564</v>
      </c>
      <c r="G964" s="80">
        <v>11</v>
      </c>
      <c r="H964" s="626"/>
      <c r="I964" s="80">
        <f>G964*AQ964</f>
        <v>0</v>
      </c>
      <c r="J964" s="80">
        <f>G964*AR964</f>
        <v>0</v>
      </c>
      <c r="K964" s="80">
        <f>G964*H964</f>
        <v>0</v>
      </c>
      <c r="L964" s="80">
        <v>1E-3</v>
      </c>
      <c r="M964" s="80">
        <f>G964*L964</f>
        <v>1.0999999999999999E-2</v>
      </c>
      <c r="N964" s="38" t="s">
        <v>1579</v>
      </c>
      <c r="P964" s="592"/>
      <c r="Q964" s="592"/>
      <c r="R964" s="592"/>
      <c r="S964" s="592"/>
      <c r="T964" s="592"/>
      <c r="U964" s="592"/>
      <c r="V964" s="592"/>
      <c r="W964" s="592"/>
      <c r="X964" s="592"/>
      <c r="AB964" s="56">
        <f>IF(AS964="5",BL964,0)</f>
        <v>0</v>
      </c>
      <c r="AD964" s="56">
        <f>IF(AS964="1",BJ964,0)</f>
        <v>0</v>
      </c>
      <c r="AE964" s="56">
        <f>IF(AS964="1",BK964,0)</f>
        <v>0</v>
      </c>
      <c r="AF964" s="56">
        <f>IF(AS964="7",BJ964,0)</f>
        <v>0</v>
      </c>
      <c r="AG964" s="56">
        <f>IF(AS964="7",BK964,0)</f>
        <v>0</v>
      </c>
      <c r="AH964" s="56">
        <f>IF(AS964="2",BJ964,0)</f>
        <v>0</v>
      </c>
      <c r="AI964" s="56">
        <f>IF(AS964="2",BK964,0)</f>
        <v>0</v>
      </c>
      <c r="AJ964" s="56">
        <f>IF(AS964="0",BL964,0)</f>
        <v>0</v>
      </c>
      <c r="AK964" s="7" t="s">
        <v>527</v>
      </c>
      <c r="AL964" s="80">
        <f>IF(AP964=0,K964,0)</f>
        <v>0</v>
      </c>
      <c r="AM964" s="80">
        <f>IF(AP964=15,K964,0)</f>
        <v>0</v>
      </c>
      <c r="AN964" s="80">
        <f>IF(AP964=21,K964,0)</f>
        <v>0</v>
      </c>
      <c r="AP964" s="56">
        <v>21</v>
      </c>
      <c r="AQ964" s="88">
        <f>H964*1</f>
        <v>0</v>
      </c>
      <c r="AR964" s="88">
        <f>H964*(1-1)</f>
        <v>0</v>
      </c>
      <c r="AS964" s="64" t="s">
        <v>2311</v>
      </c>
      <c r="AX964" s="56">
        <f>AY964+AZ964</f>
        <v>0</v>
      </c>
      <c r="AY964" s="56">
        <f>G964*AQ964</f>
        <v>0</v>
      </c>
      <c r="AZ964" s="56">
        <f>G964*AR964</f>
        <v>0</v>
      </c>
      <c r="BA964" s="21" t="s">
        <v>1857</v>
      </c>
      <c r="BB964" s="21" t="s">
        <v>788</v>
      </c>
      <c r="BC964" s="7" t="s">
        <v>1887</v>
      </c>
      <c r="BE964" s="56">
        <f>AY964+AZ964</f>
        <v>0</v>
      </c>
      <c r="BF964" s="56">
        <f>H964/(100-BG964)*100</f>
        <v>0</v>
      </c>
      <c r="BG964" s="56">
        <v>0</v>
      </c>
      <c r="BH964" s="56">
        <f>M964</f>
        <v>1.0999999999999999E-2</v>
      </c>
      <c r="BJ964" s="80">
        <f>G964*AQ964</f>
        <v>0</v>
      </c>
      <c r="BK964" s="80">
        <f>G964*AR964</f>
        <v>0</v>
      </c>
      <c r="BL964" s="80">
        <f>G964*H964</f>
        <v>0</v>
      </c>
      <c r="BM964" s="80"/>
      <c r="BN964" s="56">
        <v>764</v>
      </c>
    </row>
    <row r="965" spans="1:66" ht="15" customHeight="1">
      <c r="A965" s="36"/>
      <c r="D965" s="45" t="s">
        <v>2629</v>
      </c>
      <c r="E965" s="104" t="s">
        <v>1597</v>
      </c>
      <c r="G965" s="13">
        <v>10</v>
      </c>
      <c r="N965" s="19"/>
      <c r="P965" s="592"/>
      <c r="Q965" s="592"/>
      <c r="R965" s="592"/>
      <c r="S965" s="592"/>
      <c r="T965" s="592"/>
      <c r="U965" s="592"/>
      <c r="V965" s="592"/>
      <c r="W965" s="592"/>
      <c r="X965" s="592"/>
    </row>
    <row r="966" spans="1:66" ht="15" customHeight="1">
      <c r="A966" s="36"/>
      <c r="D966" s="45" t="s">
        <v>1004</v>
      </c>
      <c r="E966" s="104" t="s">
        <v>1597</v>
      </c>
      <c r="G966" s="13">
        <v>1</v>
      </c>
      <c r="N966" s="19"/>
      <c r="P966" s="592"/>
      <c r="Q966" s="592"/>
      <c r="R966" s="592"/>
      <c r="S966" s="592"/>
      <c r="T966" s="592"/>
      <c r="U966" s="592"/>
      <c r="V966" s="592"/>
      <c r="W966" s="592"/>
      <c r="X966" s="592"/>
    </row>
    <row r="967" spans="1:66" ht="15" customHeight="1">
      <c r="A967" s="8" t="s">
        <v>1772</v>
      </c>
      <c r="B967" s="75" t="s">
        <v>527</v>
      </c>
      <c r="C967" s="75" t="s">
        <v>267</v>
      </c>
      <c r="D967" s="710" t="s">
        <v>671</v>
      </c>
      <c r="E967" s="710"/>
      <c r="F967" s="75" t="s">
        <v>564</v>
      </c>
      <c r="G967" s="80">
        <v>13.75</v>
      </c>
      <c r="H967" s="626"/>
      <c r="I967" s="80">
        <f>G967*AQ967</f>
        <v>0</v>
      </c>
      <c r="J967" s="80">
        <f>G967*AR967</f>
        <v>0</v>
      </c>
      <c r="K967" s="80">
        <f>G967*H967</f>
        <v>0</v>
      </c>
      <c r="L967" s="80">
        <v>2E-3</v>
      </c>
      <c r="M967" s="80">
        <f>G967*L967</f>
        <v>2.75E-2</v>
      </c>
      <c r="N967" s="38" t="s">
        <v>1336</v>
      </c>
      <c r="P967" s="592"/>
      <c r="Q967" s="592"/>
      <c r="R967" s="592"/>
      <c r="S967" s="592"/>
      <c r="T967" s="592"/>
      <c r="U967" s="592"/>
      <c r="V967" s="592"/>
      <c r="W967" s="592"/>
      <c r="X967" s="592"/>
      <c r="AB967" s="56">
        <f>IF(AS967="5",BL967,0)</f>
        <v>0</v>
      </c>
      <c r="AD967" s="56">
        <f>IF(AS967="1",BJ967,0)</f>
        <v>0</v>
      </c>
      <c r="AE967" s="56">
        <f>IF(AS967="1",BK967,0)</f>
        <v>0</v>
      </c>
      <c r="AF967" s="56">
        <f>IF(AS967="7",BJ967,0)</f>
        <v>0</v>
      </c>
      <c r="AG967" s="56">
        <f>IF(AS967="7",BK967,0)</f>
        <v>0</v>
      </c>
      <c r="AH967" s="56">
        <f>IF(AS967="2",BJ967,0)</f>
        <v>0</v>
      </c>
      <c r="AI967" s="56">
        <f>IF(AS967="2",BK967,0)</f>
        <v>0</v>
      </c>
      <c r="AJ967" s="56">
        <f>IF(AS967="0",BL967,0)</f>
        <v>0</v>
      </c>
      <c r="AK967" s="7" t="s">
        <v>527</v>
      </c>
      <c r="AL967" s="80">
        <f>IF(AP967=0,K967,0)</f>
        <v>0</v>
      </c>
      <c r="AM967" s="80">
        <f>IF(AP967=15,K967,0)</f>
        <v>0</v>
      </c>
      <c r="AN967" s="80">
        <f>IF(AP967=21,K967,0)</f>
        <v>0</v>
      </c>
      <c r="AP967" s="56">
        <v>21</v>
      </c>
      <c r="AQ967" s="88">
        <f>H967*1</f>
        <v>0</v>
      </c>
      <c r="AR967" s="88">
        <f>H967*(1-1)</f>
        <v>0</v>
      </c>
      <c r="AS967" s="64" t="s">
        <v>2311</v>
      </c>
      <c r="AX967" s="56">
        <f>AY967+AZ967</f>
        <v>0</v>
      </c>
      <c r="AY967" s="56">
        <f>G967*AQ967</f>
        <v>0</v>
      </c>
      <c r="AZ967" s="56">
        <f>G967*AR967</f>
        <v>0</v>
      </c>
      <c r="BA967" s="21" t="s">
        <v>1857</v>
      </c>
      <c r="BB967" s="21" t="s">
        <v>788</v>
      </c>
      <c r="BC967" s="7" t="s">
        <v>1887</v>
      </c>
      <c r="BE967" s="56">
        <f>AY967+AZ967</f>
        <v>0</v>
      </c>
      <c r="BF967" s="56">
        <f>H967/(100-BG967)*100</f>
        <v>0</v>
      </c>
      <c r="BG967" s="56">
        <v>0</v>
      </c>
      <c r="BH967" s="56">
        <f>M967</f>
        <v>2.75E-2</v>
      </c>
      <c r="BJ967" s="80">
        <f>G967*AQ967</f>
        <v>0</v>
      </c>
      <c r="BK967" s="80">
        <f>G967*AR967</f>
        <v>0</v>
      </c>
      <c r="BL967" s="80">
        <f>G967*H967</f>
        <v>0</v>
      </c>
      <c r="BM967" s="80"/>
      <c r="BN967" s="56">
        <v>764</v>
      </c>
    </row>
    <row r="968" spans="1:66" ht="15" customHeight="1">
      <c r="A968" s="36"/>
      <c r="D968" s="45" t="s">
        <v>1949</v>
      </c>
      <c r="E968" s="104" t="s">
        <v>1597</v>
      </c>
      <c r="G968" s="13">
        <v>12.500000000000002</v>
      </c>
      <c r="N968" s="19"/>
      <c r="P968" s="592"/>
      <c r="Q968" s="592"/>
      <c r="R968" s="592"/>
      <c r="S968" s="592"/>
      <c r="T968" s="592"/>
      <c r="U968" s="592"/>
      <c r="V968" s="592"/>
      <c r="W968" s="592"/>
      <c r="X968" s="592"/>
    </row>
    <row r="969" spans="1:66" ht="15" customHeight="1">
      <c r="A969" s="36"/>
      <c r="D969" s="45" t="s">
        <v>529</v>
      </c>
      <c r="E969" s="104" t="s">
        <v>1597</v>
      </c>
      <c r="G969" s="13">
        <v>1.25</v>
      </c>
      <c r="N969" s="19"/>
      <c r="P969" s="592"/>
      <c r="Q969" s="592"/>
      <c r="R969" s="592"/>
      <c r="S969" s="592"/>
      <c r="T969" s="592"/>
      <c r="U969" s="592"/>
      <c r="V969" s="592"/>
      <c r="W969" s="592"/>
      <c r="X969" s="592"/>
    </row>
    <row r="970" spans="1:66" ht="15" customHeight="1">
      <c r="A970" s="24" t="s">
        <v>1682</v>
      </c>
      <c r="B970" s="12" t="s">
        <v>527</v>
      </c>
      <c r="C970" s="12" t="s">
        <v>1553</v>
      </c>
      <c r="D970" s="630" t="s">
        <v>1145</v>
      </c>
      <c r="E970" s="630"/>
      <c r="F970" s="12" t="s">
        <v>1923</v>
      </c>
      <c r="G970" s="56">
        <v>10</v>
      </c>
      <c r="H970" s="625"/>
      <c r="I970" s="56">
        <f>G970*AQ970</f>
        <v>0</v>
      </c>
      <c r="J970" s="56">
        <f>G970*AR970</f>
        <v>0</v>
      </c>
      <c r="K970" s="56">
        <f>G970*H970</f>
        <v>0</v>
      </c>
      <c r="L970" s="56">
        <v>3.0400000000000002E-3</v>
      </c>
      <c r="M970" s="56">
        <f>G970*L970</f>
        <v>3.0400000000000003E-2</v>
      </c>
      <c r="N970" s="31" t="s">
        <v>1579</v>
      </c>
      <c r="P970" s="592"/>
      <c r="Q970" s="592"/>
      <c r="R970" s="592"/>
      <c r="S970" s="592"/>
      <c r="T970" s="592"/>
      <c r="U970" s="592"/>
      <c r="V970" s="592"/>
      <c r="W970" s="592"/>
      <c r="X970" s="592"/>
      <c r="AB970" s="56">
        <f>IF(AS970="5",BL970,0)</f>
        <v>0</v>
      </c>
      <c r="AD970" s="56">
        <f>IF(AS970="1",BJ970,0)</f>
        <v>0</v>
      </c>
      <c r="AE970" s="56">
        <f>IF(AS970="1",BK970,0)</f>
        <v>0</v>
      </c>
      <c r="AF970" s="56">
        <f>IF(AS970="7",BJ970,0)</f>
        <v>0</v>
      </c>
      <c r="AG970" s="56">
        <f>IF(AS970="7",BK970,0)</f>
        <v>0</v>
      </c>
      <c r="AH970" s="56">
        <f>IF(AS970="2",BJ970,0)</f>
        <v>0</v>
      </c>
      <c r="AI970" s="56">
        <f>IF(AS970="2",BK970,0)</f>
        <v>0</v>
      </c>
      <c r="AJ970" s="56">
        <f>IF(AS970="0",BL970,0)</f>
        <v>0</v>
      </c>
      <c r="AK970" s="7" t="s">
        <v>527</v>
      </c>
      <c r="AL970" s="56">
        <f>IF(AP970=0,K970,0)</f>
        <v>0</v>
      </c>
      <c r="AM970" s="56">
        <f>IF(AP970=15,K970,0)</f>
        <v>0</v>
      </c>
      <c r="AN970" s="56">
        <f>IF(AP970=21,K970,0)</f>
        <v>0</v>
      </c>
      <c r="AP970" s="56">
        <v>21</v>
      </c>
      <c r="AQ970" s="88">
        <f>H970*0.28321568627451</f>
        <v>0</v>
      </c>
      <c r="AR970" s="88">
        <f>H970*(1-0.28321568627451)</f>
        <v>0</v>
      </c>
      <c r="AS970" s="21" t="s">
        <v>2311</v>
      </c>
      <c r="AX970" s="56">
        <f>AY970+AZ970</f>
        <v>0</v>
      </c>
      <c r="AY970" s="56">
        <f>G970*AQ970</f>
        <v>0</v>
      </c>
      <c r="AZ970" s="56">
        <f>G970*AR970</f>
        <v>0</v>
      </c>
      <c r="BA970" s="21" t="s">
        <v>1857</v>
      </c>
      <c r="BB970" s="21" t="s">
        <v>788</v>
      </c>
      <c r="BC970" s="7" t="s">
        <v>1887</v>
      </c>
      <c r="BE970" s="56">
        <f>AY970+AZ970</f>
        <v>0</v>
      </c>
      <c r="BF970" s="56">
        <f>H970/(100-BG970)*100</f>
        <v>0</v>
      </c>
      <c r="BG970" s="56">
        <v>0</v>
      </c>
      <c r="BH970" s="56">
        <f>M970</f>
        <v>3.0400000000000003E-2</v>
      </c>
      <c r="BJ970" s="56">
        <f>G970*AQ970</f>
        <v>0</v>
      </c>
      <c r="BK970" s="56">
        <f>G970*AR970</f>
        <v>0</v>
      </c>
      <c r="BL970" s="56">
        <f>G970*H970</f>
        <v>0</v>
      </c>
      <c r="BM970" s="56"/>
      <c r="BN970" s="56">
        <v>764</v>
      </c>
    </row>
    <row r="971" spans="1:66" ht="15" customHeight="1">
      <c r="A971" s="36"/>
      <c r="D971" s="45" t="s">
        <v>1346</v>
      </c>
      <c r="E971" s="104" t="s">
        <v>1235</v>
      </c>
      <c r="G971" s="13">
        <v>10</v>
      </c>
      <c r="N971" s="19"/>
      <c r="P971" s="592"/>
      <c r="Q971" s="592"/>
      <c r="R971" s="592"/>
      <c r="S971" s="592"/>
      <c r="T971" s="592"/>
      <c r="U971" s="592"/>
      <c r="V971" s="592"/>
      <c r="W971" s="592"/>
      <c r="X971" s="592"/>
    </row>
    <row r="972" spans="1:66" ht="15" customHeight="1">
      <c r="A972" s="24" t="s">
        <v>1406</v>
      </c>
      <c r="B972" s="12" t="s">
        <v>527</v>
      </c>
      <c r="C972" s="12" t="s">
        <v>1553</v>
      </c>
      <c r="D972" s="630" t="s">
        <v>1145</v>
      </c>
      <c r="E972" s="630"/>
      <c r="F972" s="12" t="s">
        <v>1923</v>
      </c>
      <c r="G972" s="56">
        <v>1.5</v>
      </c>
      <c r="H972" s="625"/>
      <c r="I972" s="56">
        <f>G972*AQ972</f>
        <v>0</v>
      </c>
      <c r="J972" s="56">
        <f>G972*AR972</f>
        <v>0</v>
      </c>
      <c r="K972" s="56">
        <f>G972*H972</f>
        <v>0</v>
      </c>
      <c r="L972" s="56">
        <v>3.0400000000000002E-3</v>
      </c>
      <c r="M972" s="56">
        <f>G972*L972</f>
        <v>4.5599999999999998E-3</v>
      </c>
      <c r="N972" s="31" t="s">
        <v>1579</v>
      </c>
      <c r="P972" s="592"/>
      <c r="Q972" s="592"/>
      <c r="R972" s="592"/>
      <c r="S972" s="592"/>
      <c r="T972" s="592"/>
      <c r="U972" s="592"/>
      <c r="V972" s="592"/>
      <c r="W972" s="592"/>
      <c r="X972" s="592"/>
      <c r="AB972" s="56">
        <f>IF(AS972="5",BL972,0)</f>
        <v>0</v>
      </c>
      <c r="AD972" s="56">
        <f>IF(AS972="1",BJ972,0)</f>
        <v>0</v>
      </c>
      <c r="AE972" s="56">
        <f>IF(AS972="1",BK972,0)</f>
        <v>0</v>
      </c>
      <c r="AF972" s="56">
        <f>IF(AS972="7",BJ972,0)</f>
        <v>0</v>
      </c>
      <c r="AG972" s="56">
        <f>IF(AS972="7",BK972,0)</f>
        <v>0</v>
      </c>
      <c r="AH972" s="56">
        <f>IF(AS972="2",BJ972,0)</f>
        <v>0</v>
      </c>
      <c r="AI972" s="56">
        <f>IF(AS972="2",BK972,0)</f>
        <v>0</v>
      </c>
      <c r="AJ972" s="56">
        <f>IF(AS972="0",BL972,0)</f>
        <v>0</v>
      </c>
      <c r="AK972" s="7" t="s">
        <v>527</v>
      </c>
      <c r="AL972" s="56">
        <f>IF(AP972=0,K972,0)</f>
        <v>0</v>
      </c>
      <c r="AM972" s="56">
        <f>IF(AP972=15,K972,0)</f>
        <v>0</v>
      </c>
      <c r="AN972" s="56">
        <f>IF(AP972=21,K972,0)</f>
        <v>0</v>
      </c>
      <c r="AP972" s="56">
        <v>21</v>
      </c>
      <c r="AQ972" s="88">
        <f>H972*0.28321568627451</f>
        <v>0</v>
      </c>
      <c r="AR972" s="88">
        <f>H972*(1-0.28321568627451)</f>
        <v>0</v>
      </c>
      <c r="AS972" s="21" t="s">
        <v>2311</v>
      </c>
      <c r="AX972" s="56">
        <f>AY972+AZ972</f>
        <v>0</v>
      </c>
      <c r="AY972" s="56">
        <f>G972*AQ972</f>
        <v>0</v>
      </c>
      <c r="AZ972" s="56">
        <f>G972*AR972</f>
        <v>0</v>
      </c>
      <c r="BA972" s="21" t="s">
        <v>1857</v>
      </c>
      <c r="BB972" s="21" t="s">
        <v>788</v>
      </c>
      <c r="BC972" s="7" t="s">
        <v>1887</v>
      </c>
      <c r="BE972" s="56">
        <f>AY972+AZ972</f>
        <v>0</v>
      </c>
      <c r="BF972" s="56">
        <f>H972/(100-BG972)*100</f>
        <v>0</v>
      </c>
      <c r="BG972" s="56">
        <v>0</v>
      </c>
      <c r="BH972" s="56">
        <f>M972</f>
        <v>4.5599999999999998E-3</v>
      </c>
      <c r="BJ972" s="56">
        <f>G972*AQ972</f>
        <v>0</v>
      </c>
      <c r="BK972" s="56">
        <f>G972*AR972</f>
        <v>0</v>
      </c>
      <c r="BL972" s="56">
        <f>G972*H972</f>
        <v>0</v>
      </c>
      <c r="BM972" s="56"/>
      <c r="BN972" s="56">
        <v>764</v>
      </c>
    </row>
    <row r="973" spans="1:66" ht="15" customHeight="1">
      <c r="A973" s="36"/>
      <c r="D973" s="45" t="s">
        <v>746</v>
      </c>
      <c r="E973" s="104" t="s">
        <v>1456</v>
      </c>
      <c r="G973" s="13">
        <v>1.5000000000000002</v>
      </c>
      <c r="N973" s="19"/>
      <c r="P973" s="592"/>
      <c r="Q973" s="592"/>
      <c r="R973" s="592"/>
      <c r="S973" s="592"/>
      <c r="T973" s="592"/>
      <c r="U973" s="592"/>
      <c r="V973" s="592"/>
      <c r="W973" s="592"/>
      <c r="X973" s="592"/>
    </row>
    <row r="974" spans="1:66" ht="15" customHeight="1">
      <c r="A974" s="24" t="s">
        <v>1521</v>
      </c>
      <c r="B974" s="12" t="s">
        <v>527</v>
      </c>
      <c r="C974" s="12" t="s">
        <v>1698</v>
      </c>
      <c r="D974" s="630" t="s">
        <v>502</v>
      </c>
      <c r="E974" s="630"/>
      <c r="F974" s="12" t="s">
        <v>1923</v>
      </c>
      <c r="G974" s="56">
        <v>65</v>
      </c>
      <c r="H974" s="625"/>
      <c r="I974" s="56">
        <f>G974*AQ974</f>
        <v>0</v>
      </c>
      <c r="J974" s="56">
        <f>G974*AR974</f>
        <v>0</v>
      </c>
      <c r="K974" s="56">
        <f>G974*H974</f>
        <v>0</v>
      </c>
      <c r="L974" s="56">
        <v>2.2249999999999999E-2</v>
      </c>
      <c r="M974" s="56">
        <f>G974*L974</f>
        <v>1.44625</v>
      </c>
      <c r="N974" s="31" t="s">
        <v>1579</v>
      </c>
      <c r="P974" s="592"/>
      <c r="Q974" s="592"/>
      <c r="R974" s="592"/>
      <c r="S974" s="592"/>
      <c r="T974" s="592"/>
      <c r="U974" s="592"/>
      <c r="V974" s="592"/>
      <c r="W974" s="592"/>
      <c r="X974" s="592"/>
      <c r="AB974" s="56">
        <f>IF(AS974="5",BL974,0)</f>
        <v>0</v>
      </c>
      <c r="AD974" s="56">
        <f>IF(AS974="1",BJ974,0)</f>
        <v>0</v>
      </c>
      <c r="AE974" s="56">
        <f>IF(AS974="1",BK974,0)</f>
        <v>0</v>
      </c>
      <c r="AF974" s="56">
        <f>IF(AS974="7",BJ974,0)</f>
        <v>0</v>
      </c>
      <c r="AG974" s="56">
        <f>IF(AS974="7",BK974,0)</f>
        <v>0</v>
      </c>
      <c r="AH974" s="56">
        <f>IF(AS974="2",BJ974,0)</f>
        <v>0</v>
      </c>
      <c r="AI974" s="56">
        <f>IF(AS974="2",BK974,0)</f>
        <v>0</v>
      </c>
      <c r="AJ974" s="56">
        <f>IF(AS974="0",BL974,0)</f>
        <v>0</v>
      </c>
      <c r="AK974" s="7" t="s">
        <v>527</v>
      </c>
      <c r="AL974" s="56">
        <f>IF(AP974=0,K974,0)</f>
        <v>0</v>
      </c>
      <c r="AM974" s="56">
        <f>IF(AP974=15,K974,0)</f>
        <v>0</v>
      </c>
      <c r="AN974" s="56">
        <f>IF(AP974=21,K974,0)</f>
        <v>0</v>
      </c>
      <c r="AP974" s="56">
        <v>21</v>
      </c>
      <c r="AQ974" s="88">
        <f>H974*0.335705770359958</f>
        <v>0</v>
      </c>
      <c r="AR974" s="88">
        <f>H974*(1-0.335705770359958)</f>
        <v>0</v>
      </c>
      <c r="AS974" s="21" t="s">
        <v>2311</v>
      </c>
      <c r="AX974" s="56">
        <f>AY974+AZ974</f>
        <v>0</v>
      </c>
      <c r="AY974" s="56">
        <f>G974*AQ974</f>
        <v>0</v>
      </c>
      <c r="AZ974" s="56">
        <f>G974*AR974</f>
        <v>0</v>
      </c>
      <c r="BA974" s="21" t="s">
        <v>1857</v>
      </c>
      <c r="BB974" s="21" t="s">
        <v>788</v>
      </c>
      <c r="BC974" s="7" t="s">
        <v>1887</v>
      </c>
      <c r="BE974" s="56">
        <f>AY974+AZ974</f>
        <v>0</v>
      </c>
      <c r="BF974" s="56">
        <f>H974/(100-BG974)*100</f>
        <v>0</v>
      </c>
      <c r="BG974" s="56">
        <v>0</v>
      </c>
      <c r="BH974" s="56">
        <f>M974</f>
        <v>1.44625</v>
      </c>
      <c r="BJ974" s="56">
        <f>G974*AQ974</f>
        <v>0</v>
      </c>
      <c r="BK974" s="56">
        <f>G974*AR974</f>
        <v>0</v>
      </c>
      <c r="BL974" s="56">
        <f>G974*H974</f>
        <v>0</v>
      </c>
      <c r="BM974" s="56"/>
      <c r="BN974" s="56">
        <v>764</v>
      </c>
    </row>
    <row r="975" spans="1:66" ht="15" customHeight="1">
      <c r="A975" s="36"/>
      <c r="D975" s="45" t="s">
        <v>2577</v>
      </c>
      <c r="E975" s="104" t="s">
        <v>197</v>
      </c>
      <c r="G975" s="13">
        <v>65</v>
      </c>
      <c r="N975" s="19"/>
      <c r="P975" s="592"/>
      <c r="Q975" s="592"/>
      <c r="R975" s="592"/>
      <c r="S975" s="592"/>
      <c r="T975" s="592"/>
      <c r="U975" s="592"/>
      <c r="V975" s="592"/>
      <c r="W975" s="592"/>
      <c r="X975" s="592"/>
    </row>
    <row r="976" spans="1:66" ht="15" customHeight="1">
      <c r="A976" s="24" t="s">
        <v>1770</v>
      </c>
      <c r="B976" s="12" t="s">
        <v>527</v>
      </c>
      <c r="C976" s="12" t="s">
        <v>1839</v>
      </c>
      <c r="D976" s="630" t="s">
        <v>952</v>
      </c>
      <c r="E976" s="630"/>
      <c r="F976" s="12" t="s">
        <v>1923</v>
      </c>
      <c r="G976" s="56">
        <v>7</v>
      </c>
      <c r="H976" s="625"/>
      <c r="I976" s="56">
        <f>G976*AQ976</f>
        <v>0</v>
      </c>
      <c r="J976" s="56">
        <f>G976*AR976</f>
        <v>0</v>
      </c>
      <c r="K976" s="56">
        <f>G976*H976</f>
        <v>0</v>
      </c>
      <c r="L976" s="56">
        <v>1.8669999999999999E-2</v>
      </c>
      <c r="M976" s="56">
        <f>G976*L976</f>
        <v>0.13069</v>
      </c>
      <c r="N976" s="31" t="s">
        <v>1579</v>
      </c>
      <c r="P976" s="592"/>
      <c r="Q976" s="592"/>
      <c r="R976" s="592"/>
      <c r="S976" s="592"/>
      <c r="T976" s="592"/>
      <c r="U976" s="592"/>
      <c r="V976" s="592"/>
      <c r="W976" s="592"/>
      <c r="X976" s="592"/>
      <c r="AB976" s="56">
        <f>IF(AS976="5",BL976,0)</f>
        <v>0</v>
      </c>
      <c r="AD976" s="56">
        <f>IF(AS976="1",BJ976,0)</f>
        <v>0</v>
      </c>
      <c r="AE976" s="56">
        <f>IF(AS976="1",BK976,0)</f>
        <v>0</v>
      </c>
      <c r="AF976" s="56">
        <f>IF(AS976="7",BJ976,0)</f>
        <v>0</v>
      </c>
      <c r="AG976" s="56">
        <f>IF(AS976="7",BK976,0)</f>
        <v>0</v>
      </c>
      <c r="AH976" s="56">
        <f>IF(AS976="2",BJ976,0)</f>
        <v>0</v>
      </c>
      <c r="AI976" s="56">
        <f>IF(AS976="2",BK976,0)</f>
        <v>0</v>
      </c>
      <c r="AJ976" s="56">
        <f>IF(AS976="0",BL976,0)</f>
        <v>0</v>
      </c>
      <c r="AK976" s="7" t="s">
        <v>527</v>
      </c>
      <c r="AL976" s="56">
        <f>IF(AP976=0,K976,0)</f>
        <v>0</v>
      </c>
      <c r="AM976" s="56">
        <f>IF(AP976=15,K976,0)</f>
        <v>0</v>
      </c>
      <c r="AN976" s="56">
        <f>IF(AP976=21,K976,0)</f>
        <v>0</v>
      </c>
      <c r="AP976" s="56">
        <v>21</v>
      </c>
      <c r="AQ976" s="88">
        <f>H976*0.258019169329073</f>
        <v>0</v>
      </c>
      <c r="AR976" s="88">
        <f>H976*(1-0.258019169329073)</f>
        <v>0</v>
      </c>
      <c r="AS976" s="21" t="s">
        <v>2311</v>
      </c>
      <c r="AX976" s="56">
        <f>AY976+AZ976</f>
        <v>0</v>
      </c>
      <c r="AY976" s="56">
        <f>G976*AQ976</f>
        <v>0</v>
      </c>
      <c r="AZ976" s="56">
        <f>G976*AR976</f>
        <v>0</v>
      </c>
      <c r="BA976" s="21" t="s">
        <v>1857</v>
      </c>
      <c r="BB976" s="21" t="s">
        <v>788</v>
      </c>
      <c r="BC976" s="7" t="s">
        <v>1887</v>
      </c>
      <c r="BE976" s="56">
        <f>AY976+AZ976</f>
        <v>0</v>
      </c>
      <c r="BF976" s="56">
        <f>H976/(100-BG976)*100</f>
        <v>0</v>
      </c>
      <c r="BG976" s="56">
        <v>0</v>
      </c>
      <c r="BH976" s="56">
        <f>M976</f>
        <v>0.13069</v>
      </c>
      <c r="BJ976" s="56">
        <f>G976*AQ976</f>
        <v>0</v>
      </c>
      <c r="BK976" s="56">
        <f>G976*AR976</f>
        <v>0</v>
      </c>
      <c r="BL976" s="56">
        <f>G976*H976</f>
        <v>0</v>
      </c>
      <c r="BM976" s="56"/>
      <c r="BN976" s="56">
        <v>764</v>
      </c>
    </row>
    <row r="977" spans="1:66" ht="15" customHeight="1">
      <c r="A977" s="36"/>
      <c r="D977" s="45" t="s">
        <v>2311</v>
      </c>
      <c r="E977" s="104" t="s">
        <v>1637</v>
      </c>
      <c r="G977" s="13">
        <v>7.0000000000000009</v>
      </c>
      <c r="N977" s="19"/>
      <c r="P977" s="592"/>
      <c r="Q977" s="592"/>
      <c r="R977" s="592"/>
      <c r="S977" s="592"/>
      <c r="T977" s="592"/>
      <c r="U977" s="592"/>
      <c r="V977" s="592"/>
      <c r="W977" s="592"/>
      <c r="X977" s="592"/>
    </row>
    <row r="978" spans="1:66" ht="15" customHeight="1">
      <c r="A978" s="24" t="s">
        <v>1529</v>
      </c>
      <c r="B978" s="12" t="s">
        <v>527</v>
      </c>
      <c r="C978" s="12" t="s">
        <v>1206</v>
      </c>
      <c r="D978" s="630" t="s">
        <v>2643</v>
      </c>
      <c r="E978" s="630"/>
      <c r="F978" s="12" t="s">
        <v>1923</v>
      </c>
      <c r="G978" s="56">
        <v>35</v>
      </c>
      <c r="H978" s="625"/>
      <c r="I978" s="56">
        <f>G978*AQ978</f>
        <v>0</v>
      </c>
      <c r="J978" s="56">
        <f>G978*AR978</f>
        <v>0</v>
      </c>
      <c r="K978" s="56">
        <f>G978*H978</f>
        <v>0</v>
      </c>
      <c r="L978" s="56">
        <v>9.3000000000000005E-4</v>
      </c>
      <c r="M978" s="56">
        <f>G978*L978</f>
        <v>3.2550000000000003E-2</v>
      </c>
      <c r="N978" s="31" t="s">
        <v>1579</v>
      </c>
      <c r="P978" s="592"/>
      <c r="Q978" s="592"/>
      <c r="R978" s="592"/>
      <c r="S978" s="592"/>
      <c r="T978" s="592"/>
      <c r="U978" s="592"/>
      <c r="V978" s="592"/>
      <c r="W978" s="592"/>
      <c r="X978" s="592"/>
      <c r="AB978" s="56">
        <f>IF(AS978="5",BL978,0)</f>
        <v>0</v>
      </c>
      <c r="AD978" s="56">
        <f>IF(AS978="1",BJ978,0)</f>
        <v>0</v>
      </c>
      <c r="AE978" s="56">
        <f>IF(AS978="1",BK978,0)</f>
        <v>0</v>
      </c>
      <c r="AF978" s="56">
        <f>IF(AS978="7",BJ978,0)</f>
        <v>0</v>
      </c>
      <c r="AG978" s="56">
        <f>IF(AS978="7",BK978,0)</f>
        <v>0</v>
      </c>
      <c r="AH978" s="56">
        <f>IF(AS978="2",BJ978,0)</f>
        <v>0</v>
      </c>
      <c r="AI978" s="56">
        <f>IF(AS978="2",BK978,0)</f>
        <v>0</v>
      </c>
      <c r="AJ978" s="56">
        <f>IF(AS978="0",BL978,0)</f>
        <v>0</v>
      </c>
      <c r="AK978" s="7" t="s">
        <v>527</v>
      </c>
      <c r="AL978" s="56">
        <f>IF(AP978=0,K978,0)</f>
        <v>0</v>
      </c>
      <c r="AM978" s="56">
        <f>IF(AP978=15,K978,0)</f>
        <v>0</v>
      </c>
      <c r="AN978" s="56">
        <f>IF(AP978=21,K978,0)</f>
        <v>0</v>
      </c>
      <c r="AP978" s="56">
        <v>21</v>
      </c>
      <c r="AQ978" s="88">
        <f>H978*0.0537859608745685</f>
        <v>0</v>
      </c>
      <c r="AR978" s="88">
        <f>H978*(1-0.0537859608745685)</f>
        <v>0</v>
      </c>
      <c r="AS978" s="21" t="s">
        <v>2311</v>
      </c>
      <c r="AX978" s="56">
        <f>AY978+AZ978</f>
        <v>0</v>
      </c>
      <c r="AY978" s="56">
        <f>G978*AQ978</f>
        <v>0</v>
      </c>
      <c r="AZ978" s="56">
        <f>G978*AR978</f>
        <v>0</v>
      </c>
      <c r="BA978" s="21" t="s">
        <v>1857</v>
      </c>
      <c r="BB978" s="21" t="s">
        <v>788</v>
      </c>
      <c r="BC978" s="7" t="s">
        <v>1887</v>
      </c>
      <c r="BE978" s="56">
        <f>AY978+AZ978</f>
        <v>0</v>
      </c>
      <c r="BF978" s="56">
        <f>H978/(100-BG978)*100</f>
        <v>0</v>
      </c>
      <c r="BG978" s="56">
        <v>0</v>
      </c>
      <c r="BH978" s="56">
        <f>M978</f>
        <v>3.2550000000000003E-2</v>
      </c>
      <c r="BJ978" s="56">
        <f>G978*AQ978</f>
        <v>0</v>
      </c>
      <c r="BK978" s="56">
        <f>G978*AR978</f>
        <v>0</v>
      </c>
      <c r="BL978" s="56">
        <f>G978*H978</f>
        <v>0</v>
      </c>
      <c r="BM978" s="56"/>
      <c r="BN978" s="56">
        <v>764</v>
      </c>
    </row>
    <row r="979" spans="1:66" ht="15" customHeight="1">
      <c r="A979" s="36"/>
      <c r="D979" s="45" t="s">
        <v>2059</v>
      </c>
      <c r="E979" s="104" t="s">
        <v>1882</v>
      </c>
      <c r="G979" s="13">
        <v>35</v>
      </c>
      <c r="N979" s="19"/>
      <c r="P979" s="592"/>
      <c r="Q979" s="592"/>
      <c r="R979" s="592"/>
      <c r="S979" s="592"/>
      <c r="T979" s="592"/>
      <c r="U979" s="592"/>
      <c r="V979" s="592"/>
      <c r="W979" s="592"/>
      <c r="X979" s="592"/>
    </row>
    <row r="980" spans="1:66" ht="15" customHeight="1">
      <c r="A980" s="24" t="s">
        <v>1926</v>
      </c>
      <c r="B980" s="12" t="s">
        <v>527</v>
      </c>
      <c r="C980" s="12" t="s">
        <v>391</v>
      </c>
      <c r="D980" s="630" t="s">
        <v>794</v>
      </c>
      <c r="E980" s="630"/>
      <c r="F980" s="12" t="s">
        <v>1923</v>
      </c>
      <c r="G980" s="56">
        <v>123</v>
      </c>
      <c r="H980" s="625"/>
      <c r="I980" s="56">
        <f>G980*AQ980</f>
        <v>0</v>
      </c>
      <c r="J980" s="56">
        <f>G980*AR980</f>
        <v>0</v>
      </c>
      <c r="K980" s="56">
        <f>G980*H980</f>
        <v>0</v>
      </c>
      <c r="L980" s="56">
        <v>4.0400000000000002E-3</v>
      </c>
      <c r="M980" s="56">
        <f>G980*L980</f>
        <v>0.49692000000000003</v>
      </c>
      <c r="N980" s="31" t="s">
        <v>1579</v>
      </c>
      <c r="P980" s="592"/>
      <c r="Q980" s="592"/>
      <c r="R980" s="592"/>
      <c r="S980" s="592"/>
      <c r="T980" s="592"/>
      <c r="U980" s="592"/>
      <c r="V980" s="592"/>
      <c r="W980" s="592"/>
      <c r="X980" s="592"/>
      <c r="AB980" s="56">
        <f>IF(AS980="5",BL980,0)</f>
        <v>0</v>
      </c>
      <c r="AD980" s="56">
        <f>IF(AS980="1",BJ980,0)</f>
        <v>0</v>
      </c>
      <c r="AE980" s="56">
        <f>IF(AS980="1",BK980,0)</f>
        <v>0</v>
      </c>
      <c r="AF980" s="56">
        <f>IF(AS980="7",BJ980,0)</f>
        <v>0</v>
      </c>
      <c r="AG980" s="56">
        <f>IF(AS980="7",BK980,0)</f>
        <v>0</v>
      </c>
      <c r="AH980" s="56">
        <f>IF(AS980="2",BJ980,0)</f>
        <v>0</v>
      </c>
      <c r="AI980" s="56">
        <f>IF(AS980="2",BK980,0)</f>
        <v>0</v>
      </c>
      <c r="AJ980" s="56">
        <f>IF(AS980="0",BL980,0)</f>
        <v>0</v>
      </c>
      <c r="AK980" s="7" t="s">
        <v>527</v>
      </c>
      <c r="AL980" s="56">
        <f>IF(AP980=0,K980,0)</f>
        <v>0</v>
      </c>
      <c r="AM980" s="56">
        <f>IF(AP980=15,K980,0)</f>
        <v>0</v>
      </c>
      <c r="AN980" s="56">
        <f>IF(AP980=21,K980,0)</f>
        <v>0</v>
      </c>
      <c r="AP980" s="56">
        <v>21</v>
      </c>
      <c r="AQ980" s="88">
        <f>H980*0.604332229898845</f>
        <v>0</v>
      </c>
      <c r="AR980" s="88">
        <f>H980*(1-0.604332229898845)</f>
        <v>0</v>
      </c>
      <c r="AS980" s="21" t="s">
        <v>2311</v>
      </c>
      <c r="AX980" s="56">
        <f>AY980+AZ980</f>
        <v>0</v>
      </c>
      <c r="AY980" s="56">
        <f>G980*AQ980</f>
        <v>0</v>
      </c>
      <c r="AZ980" s="56">
        <f>G980*AR980</f>
        <v>0</v>
      </c>
      <c r="BA980" s="21" t="s">
        <v>1857</v>
      </c>
      <c r="BB980" s="21" t="s">
        <v>788</v>
      </c>
      <c r="BC980" s="7" t="s">
        <v>1887</v>
      </c>
      <c r="BE980" s="56">
        <f>AY980+AZ980</f>
        <v>0</v>
      </c>
      <c r="BF980" s="56">
        <f>H980/(100-BG980)*100</f>
        <v>0</v>
      </c>
      <c r="BG980" s="56">
        <v>0</v>
      </c>
      <c r="BH980" s="56">
        <f>M980</f>
        <v>0.49692000000000003</v>
      </c>
      <c r="BJ980" s="56">
        <f>G980*AQ980</f>
        <v>0</v>
      </c>
      <c r="BK980" s="56">
        <f>G980*AR980</f>
        <v>0</v>
      </c>
      <c r="BL980" s="56">
        <f>G980*H980</f>
        <v>0</v>
      </c>
      <c r="BM980" s="56"/>
      <c r="BN980" s="56">
        <v>764</v>
      </c>
    </row>
    <row r="981" spans="1:66" ht="15" customHeight="1">
      <c r="A981" s="36"/>
      <c r="D981" s="45" t="s">
        <v>127</v>
      </c>
      <c r="E981" s="104" t="s">
        <v>412</v>
      </c>
      <c r="G981" s="13">
        <v>123.00000000000001</v>
      </c>
      <c r="N981" s="19"/>
      <c r="P981" s="592"/>
      <c r="Q981" s="592"/>
      <c r="R981" s="592"/>
      <c r="S981" s="592"/>
      <c r="T981" s="592"/>
      <c r="U981" s="592"/>
      <c r="V981" s="592"/>
      <c r="W981" s="592"/>
      <c r="X981" s="592"/>
    </row>
    <row r="982" spans="1:66" ht="15" customHeight="1">
      <c r="A982" s="32" t="s">
        <v>1597</v>
      </c>
      <c r="B982" s="26" t="s">
        <v>527</v>
      </c>
      <c r="C982" s="512" t="s">
        <v>950</v>
      </c>
      <c r="D982" s="709" t="s">
        <v>1091</v>
      </c>
      <c r="E982" s="709"/>
      <c r="F982" s="46" t="s">
        <v>2144</v>
      </c>
      <c r="G982" s="46" t="s">
        <v>2144</v>
      </c>
      <c r="H982" s="46" t="s">
        <v>2144</v>
      </c>
      <c r="I982" s="17">
        <f>SUM(I983:I1003)</f>
        <v>0</v>
      </c>
      <c r="J982" s="17">
        <f>SUM(J983:J1003)</f>
        <v>0</v>
      </c>
      <c r="K982" s="515">
        <f>SUM(K983:K1003)</f>
        <v>0</v>
      </c>
      <c r="L982" s="7" t="s">
        <v>1597</v>
      </c>
      <c r="M982" s="17">
        <f>SUM(M983:M1003)</f>
        <v>0.7581</v>
      </c>
      <c r="N982" s="20" t="s">
        <v>1597</v>
      </c>
      <c r="P982" s="592">
        <f>K982</f>
        <v>0</v>
      </c>
      <c r="Q982" s="592"/>
      <c r="R982" s="592"/>
      <c r="S982" s="592"/>
      <c r="T982" s="592"/>
      <c r="U982" s="592"/>
      <c r="V982" s="592"/>
      <c r="W982" s="592"/>
      <c r="X982" s="592"/>
      <c r="AK982" s="7" t="s">
        <v>527</v>
      </c>
      <c r="AU982" s="17">
        <f>SUM(AL983:AL1003)</f>
        <v>0</v>
      </c>
      <c r="AV982" s="17">
        <f>SUM(AM983:AM1003)</f>
        <v>0</v>
      </c>
      <c r="AW982" s="17">
        <f>SUM(AN983:AN1003)</f>
        <v>0</v>
      </c>
    </row>
    <row r="983" spans="1:66" ht="15" customHeight="1">
      <c r="A983" s="24" t="s">
        <v>826</v>
      </c>
      <c r="B983" s="12" t="s">
        <v>527</v>
      </c>
      <c r="C983" s="12" t="s">
        <v>2453</v>
      </c>
      <c r="D983" s="630" t="s">
        <v>358</v>
      </c>
      <c r="E983" s="630"/>
      <c r="F983" s="12" t="s">
        <v>564</v>
      </c>
      <c r="G983" s="56">
        <v>7</v>
      </c>
      <c r="H983" s="625"/>
      <c r="I983" s="56">
        <f>G983*AQ983</f>
        <v>0</v>
      </c>
      <c r="J983" s="56">
        <f>G983*AR983</f>
        <v>0</v>
      </c>
      <c r="K983" s="56">
        <f>G983*H983</f>
        <v>0</v>
      </c>
      <c r="L983" s="56">
        <v>2.7999999999999998E-4</v>
      </c>
      <c r="M983" s="56">
        <f>G983*L983</f>
        <v>1.9599999999999999E-3</v>
      </c>
      <c r="N983" s="31" t="s">
        <v>1579</v>
      </c>
      <c r="P983" s="592"/>
      <c r="Q983" s="592"/>
      <c r="R983" s="592"/>
      <c r="S983" s="592"/>
      <c r="T983" s="592"/>
      <c r="U983" s="592"/>
      <c r="V983" s="592"/>
      <c r="W983" s="592"/>
      <c r="X983" s="592"/>
      <c r="AB983" s="56">
        <f>IF(AS983="5",BL983,0)</f>
        <v>0</v>
      </c>
      <c r="AD983" s="56">
        <f>IF(AS983="1",BJ983,0)</f>
        <v>0</v>
      </c>
      <c r="AE983" s="56">
        <f>IF(AS983="1",BK983,0)</f>
        <v>0</v>
      </c>
      <c r="AF983" s="56">
        <f>IF(AS983="7",BJ983,0)</f>
        <v>0</v>
      </c>
      <c r="AG983" s="56">
        <f>IF(AS983="7",BK983,0)</f>
        <v>0</v>
      </c>
      <c r="AH983" s="56">
        <f>IF(AS983="2",BJ983,0)</f>
        <v>0</v>
      </c>
      <c r="AI983" s="56">
        <f>IF(AS983="2",BK983,0)</f>
        <v>0</v>
      </c>
      <c r="AJ983" s="56">
        <f>IF(AS983="0",BL983,0)</f>
        <v>0</v>
      </c>
      <c r="AK983" s="7" t="s">
        <v>527</v>
      </c>
      <c r="AL983" s="56">
        <f>IF(AP983=0,K983,0)</f>
        <v>0</v>
      </c>
      <c r="AM983" s="56">
        <f>IF(AP983=15,K983,0)</f>
        <v>0</v>
      </c>
      <c r="AN983" s="56">
        <f>IF(AP983=21,K983,0)</f>
        <v>0</v>
      </c>
      <c r="AP983" s="56">
        <v>21</v>
      </c>
      <c r="AQ983" s="88">
        <f>H983*0.00342073328005615</f>
        <v>0</v>
      </c>
      <c r="AR983" s="88">
        <f>H983*(1-0.00342073328005615)</f>
        <v>0</v>
      </c>
      <c r="AS983" s="21" t="s">
        <v>2311</v>
      </c>
      <c r="AX983" s="56">
        <f>AY983+AZ983</f>
        <v>0</v>
      </c>
      <c r="AY983" s="56">
        <f>G983*AQ983</f>
        <v>0</v>
      </c>
      <c r="AZ983" s="56">
        <f>G983*AR983</f>
        <v>0</v>
      </c>
      <c r="BA983" s="21" t="s">
        <v>243</v>
      </c>
      <c r="BB983" s="21" t="s">
        <v>788</v>
      </c>
      <c r="BC983" s="7" t="s">
        <v>1887</v>
      </c>
      <c r="BE983" s="56">
        <f>AY983+AZ983</f>
        <v>0</v>
      </c>
      <c r="BF983" s="56">
        <f>H983/(100-BG983)*100</f>
        <v>0</v>
      </c>
      <c r="BG983" s="56">
        <v>0</v>
      </c>
      <c r="BH983" s="56">
        <f>M983</f>
        <v>1.9599999999999999E-3</v>
      </c>
      <c r="BJ983" s="56">
        <f>G983*AQ983</f>
        <v>0</v>
      </c>
      <c r="BK983" s="56">
        <f>G983*AR983</f>
        <v>0</v>
      </c>
      <c r="BL983" s="56">
        <f>G983*H983</f>
        <v>0</v>
      </c>
      <c r="BM983" s="56"/>
      <c r="BN983" s="56">
        <v>766</v>
      </c>
    </row>
    <row r="984" spans="1:66" ht="15" customHeight="1">
      <c r="A984" s="36"/>
      <c r="D984" s="45" t="s">
        <v>1598</v>
      </c>
      <c r="E984" s="104" t="s">
        <v>1032</v>
      </c>
      <c r="G984" s="13">
        <v>7.0000000000000009</v>
      </c>
      <c r="N984" s="19"/>
      <c r="P984" s="592"/>
      <c r="Q984" s="592"/>
      <c r="R984" s="592"/>
      <c r="S984" s="592"/>
      <c r="T984" s="592"/>
      <c r="U984" s="592"/>
      <c r="V984" s="592"/>
      <c r="W984" s="592"/>
      <c r="X984" s="592"/>
    </row>
    <row r="985" spans="1:66" ht="15" customHeight="1">
      <c r="A985" s="8" t="s">
        <v>528</v>
      </c>
      <c r="B985" s="75" t="s">
        <v>527</v>
      </c>
      <c r="C985" s="75" t="s">
        <v>1784</v>
      </c>
      <c r="D985" s="710" t="s">
        <v>3618</v>
      </c>
      <c r="E985" s="710"/>
      <c r="F985" s="75" t="s">
        <v>564</v>
      </c>
      <c r="G985" s="80">
        <v>1</v>
      </c>
      <c r="H985" s="626"/>
      <c r="I985" s="80">
        <f>G985*AQ985</f>
        <v>0</v>
      </c>
      <c r="J985" s="80">
        <f>G985*AR985</f>
        <v>0</v>
      </c>
      <c r="K985" s="80">
        <f>G985*H985</f>
        <v>0</v>
      </c>
      <c r="L985" s="80">
        <v>0.05</v>
      </c>
      <c r="M985" s="80">
        <f>G985*L985</f>
        <v>0.05</v>
      </c>
      <c r="N985" s="38" t="s">
        <v>1579</v>
      </c>
      <c r="P985" s="592"/>
      <c r="Q985" s="592"/>
      <c r="R985" s="592"/>
      <c r="S985" s="592"/>
      <c r="T985" s="592"/>
      <c r="U985" s="592"/>
      <c r="V985" s="592"/>
      <c r="W985" s="592"/>
      <c r="X985" s="592"/>
      <c r="AB985" s="56">
        <f>IF(AS985="5",BL985,0)</f>
        <v>0</v>
      </c>
      <c r="AD985" s="56">
        <f>IF(AS985="1",BJ985,0)</f>
        <v>0</v>
      </c>
      <c r="AE985" s="56">
        <f>IF(AS985="1",BK985,0)</f>
        <v>0</v>
      </c>
      <c r="AF985" s="56">
        <f>IF(AS985="7",BJ985,0)</f>
        <v>0</v>
      </c>
      <c r="AG985" s="56">
        <f>IF(AS985="7",BK985,0)</f>
        <v>0</v>
      </c>
      <c r="AH985" s="56">
        <f>IF(AS985="2",BJ985,0)</f>
        <v>0</v>
      </c>
      <c r="AI985" s="56">
        <f>IF(AS985="2",BK985,0)</f>
        <v>0</v>
      </c>
      <c r="AJ985" s="56">
        <f>IF(AS985="0",BL985,0)</f>
        <v>0</v>
      </c>
      <c r="AK985" s="7" t="s">
        <v>527</v>
      </c>
      <c r="AL985" s="80">
        <f>IF(AP985=0,K985,0)</f>
        <v>0</v>
      </c>
      <c r="AM985" s="80">
        <f>IF(AP985=15,K985,0)</f>
        <v>0</v>
      </c>
      <c r="AN985" s="80">
        <f>IF(AP985=21,K985,0)</f>
        <v>0</v>
      </c>
      <c r="AP985" s="56">
        <v>21</v>
      </c>
      <c r="AQ985" s="88">
        <f>H985*1</f>
        <v>0</v>
      </c>
      <c r="AR985" s="88">
        <f>H985*(1-1)</f>
        <v>0</v>
      </c>
      <c r="AS985" s="64" t="s">
        <v>2311</v>
      </c>
      <c r="AX985" s="56">
        <f>AY985+AZ985</f>
        <v>0</v>
      </c>
      <c r="AY985" s="56">
        <f>G985*AQ985</f>
        <v>0</v>
      </c>
      <c r="AZ985" s="56">
        <f>G985*AR985</f>
        <v>0</v>
      </c>
      <c r="BA985" s="21" t="s">
        <v>243</v>
      </c>
      <c r="BB985" s="21" t="s">
        <v>788</v>
      </c>
      <c r="BC985" s="7" t="s">
        <v>1887</v>
      </c>
      <c r="BE985" s="56">
        <f>AY985+AZ985</f>
        <v>0</v>
      </c>
      <c r="BF985" s="56">
        <f>H985/(100-BG985)*100</f>
        <v>0</v>
      </c>
      <c r="BG985" s="56">
        <v>0</v>
      </c>
      <c r="BH985" s="56">
        <f>M985</f>
        <v>0.05</v>
      </c>
      <c r="BJ985" s="80">
        <f>G985*AQ985</f>
        <v>0</v>
      </c>
      <c r="BK985" s="80">
        <f>G985*AR985</f>
        <v>0</v>
      </c>
      <c r="BL985" s="80">
        <f>G985*H985</f>
        <v>0</v>
      </c>
      <c r="BM985" s="80"/>
      <c r="BN985" s="56">
        <v>766</v>
      </c>
    </row>
    <row r="986" spans="1:66" ht="15" customHeight="1">
      <c r="A986" s="36"/>
      <c r="D986" s="45" t="s">
        <v>2297</v>
      </c>
      <c r="E986" s="104" t="s">
        <v>1245</v>
      </c>
      <c r="G986" s="13">
        <v>1</v>
      </c>
      <c r="N986" s="19"/>
      <c r="P986" s="592"/>
      <c r="Q986" s="592"/>
      <c r="R986" s="592"/>
      <c r="S986" s="592"/>
      <c r="T986" s="592"/>
      <c r="U986" s="592"/>
      <c r="V986" s="592"/>
      <c r="W986" s="592"/>
      <c r="X986" s="592"/>
    </row>
    <row r="987" spans="1:66" ht="15" customHeight="1">
      <c r="A987" s="8" t="s">
        <v>2567</v>
      </c>
      <c r="B987" s="75" t="s">
        <v>527</v>
      </c>
      <c r="C987" s="75" t="s">
        <v>2465</v>
      </c>
      <c r="D987" s="710" t="s">
        <v>3619</v>
      </c>
      <c r="E987" s="710"/>
      <c r="F987" s="75" t="s">
        <v>564</v>
      </c>
      <c r="G987" s="80">
        <v>4</v>
      </c>
      <c r="H987" s="626"/>
      <c r="I987" s="80">
        <f>G987*AQ987</f>
        <v>0</v>
      </c>
      <c r="J987" s="80">
        <f>G987*AR987</f>
        <v>0</v>
      </c>
      <c r="K987" s="80">
        <f>G987*H987</f>
        <v>0</v>
      </c>
      <c r="L987" s="80">
        <v>8.6999999999999994E-2</v>
      </c>
      <c r="M987" s="80">
        <f>G987*L987</f>
        <v>0.34799999999999998</v>
      </c>
      <c r="N987" s="38" t="s">
        <v>1579</v>
      </c>
      <c r="P987" s="592"/>
      <c r="Q987" s="592"/>
      <c r="R987" s="592"/>
      <c r="S987" s="592"/>
      <c r="T987" s="592"/>
      <c r="U987" s="592"/>
      <c r="V987" s="592"/>
      <c r="W987" s="592"/>
      <c r="X987" s="592"/>
      <c r="AB987" s="56">
        <f>IF(AS987="5",BL987,0)</f>
        <v>0</v>
      </c>
      <c r="AD987" s="56">
        <f>IF(AS987="1",BJ987,0)</f>
        <v>0</v>
      </c>
      <c r="AE987" s="56">
        <f>IF(AS987="1",BK987,0)</f>
        <v>0</v>
      </c>
      <c r="AF987" s="56">
        <f>IF(AS987="7",BJ987,0)</f>
        <v>0</v>
      </c>
      <c r="AG987" s="56">
        <f>IF(AS987="7",BK987,0)</f>
        <v>0</v>
      </c>
      <c r="AH987" s="56">
        <f>IF(AS987="2",BJ987,0)</f>
        <v>0</v>
      </c>
      <c r="AI987" s="56">
        <f>IF(AS987="2",BK987,0)</f>
        <v>0</v>
      </c>
      <c r="AJ987" s="56">
        <f>IF(AS987="0",BL987,0)</f>
        <v>0</v>
      </c>
      <c r="AK987" s="7" t="s">
        <v>527</v>
      </c>
      <c r="AL987" s="80">
        <f>IF(AP987=0,K987,0)</f>
        <v>0</v>
      </c>
      <c r="AM987" s="80">
        <f>IF(AP987=15,K987,0)</f>
        <v>0</v>
      </c>
      <c r="AN987" s="80">
        <f>IF(AP987=21,K987,0)</f>
        <v>0</v>
      </c>
      <c r="AP987" s="56">
        <v>21</v>
      </c>
      <c r="AQ987" s="88">
        <f>H987*1</f>
        <v>0</v>
      </c>
      <c r="AR987" s="88">
        <f>H987*(1-1)</f>
        <v>0</v>
      </c>
      <c r="AS987" s="64" t="s">
        <v>2311</v>
      </c>
      <c r="AX987" s="56">
        <f>AY987+AZ987</f>
        <v>0</v>
      </c>
      <c r="AY987" s="56">
        <f>G987*AQ987</f>
        <v>0</v>
      </c>
      <c r="AZ987" s="56">
        <f>G987*AR987</f>
        <v>0</v>
      </c>
      <c r="BA987" s="21" t="s">
        <v>243</v>
      </c>
      <c r="BB987" s="21" t="s">
        <v>788</v>
      </c>
      <c r="BC987" s="7" t="s">
        <v>1887</v>
      </c>
      <c r="BE987" s="56">
        <f>AY987+AZ987</f>
        <v>0</v>
      </c>
      <c r="BF987" s="56">
        <f>H987/(100-BG987)*100</f>
        <v>0</v>
      </c>
      <c r="BG987" s="56">
        <v>0</v>
      </c>
      <c r="BH987" s="56">
        <f>M987</f>
        <v>0.34799999999999998</v>
      </c>
      <c r="BJ987" s="80">
        <f>G987*AQ987</f>
        <v>0</v>
      </c>
      <c r="BK987" s="80">
        <f>G987*AR987</f>
        <v>0</v>
      </c>
      <c r="BL987" s="80">
        <f>G987*H987</f>
        <v>0</v>
      </c>
      <c r="BM987" s="80"/>
      <c r="BN987" s="56">
        <v>766</v>
      </c>
    </row>
    <row r="988" spans="1:66" ht="15" customHeight="1">
      <c r="A988" s="36"/>
      <c r="D988" s="45" t="s">
        <v>258</v>
      </c>
      <c r="E988" s="104" t="s">
        <v>1813</v>
      </c>
      <c r="G988" s="13">
        <v>4</v>
      </c>
      <c r="N988" s="19"/>
      <c r="P988" s="592"/>
      <c r="Q988" s="592"/>
      <c r="R988" s="592"/>
      <c r="S988" s="592"/>
      <c r="T988" s="592"/>
      <c r="U988" s="592"/>
      <c r="V988" s="592"/>
      <c r="W988" s="592"/>
      <c r="X988" s="592"/>
    </row>
    <row r="989" spans="1:66" ht="15" customHeight="1">
      <c r="A989" s="8" t="s">
        <v>224</v>
      </c>
      <c r="B989" s="75" t="s">
        <v>527</v>
      </c>
      <c r="C989" s="75" t="s">
        <v>689</v>
      </c>
      <c r="D989" s="710" t="s">
        <v>3620</v>
      </c>
      <c r="E989" s="710"/>
      <c r="F989" s="75" t="s">
        <v>564</v>
      </c>
      <c r="G989" s="80">
        <v>2</v>
      </c>
      <c r="H989" s="626"/>
      <c r="I989" s="80">
        <f>G989*AQ989</f>
        <v>0</v>
      </c>
      <c r="J989" s="80">
        <f>G989*AR989</f>
        <v>0</v>
      </c>
      <c r="K989" s="80">
        <f>G989*H989</f>
        <v>0</v>
      </c>
      <c r="L989" s="80">
        <v>0.05</v>
      </c>
      <c r="M989" s="80">
        <f>G989*L989</f>
        <v>0.1</v>
      </c>
      <c r="N989" s="38" t="s">
        <v>1579</v>
      </c>
      <c r="P989" s="592"/>
      <c r="Q989" s="592"/>
      <c r="R989" s="592"/>
      <c r="S989" s="592"/>
      <c r="T989" s="592"/>
      <c r="U989" s="592"/>
      <c r="V989" s="592"/>
      <c r="W989" s="592"/>
      <c r="X989" s="592"/>
      <c r="AB989" s="56">
        <f>IF(AS989="5",BL989,0)</f>
        <v>0</v>
      </c>
      <c r="AD989" s="56">
        <f>IF(AS989="1",BJ989,0)</f>
        <v>0</v>
      </c>
      <c r="AE989" s="56">
        <f>IF(AS989="1",BK989,0)</f>
        <v>0</v>
      </c>
      <c r="AF989" s="56">
        <f>IF(AS989="7",BJ989,0)</f>
        <v>0</v>
      </c>
      <c r="AG989" s="56">
        <f>IF(AS989="7",BK989,0)</f>
        <v>0</v>
      </c>
      <c r="AH989" s="56">
        <f>IF(AS989="2",BJ989,0)</f>
        <v>0</v>
      </c>
      <c r="AI989" s="56">
        <f>IF(AS989="2",BK989,0)</f>
        <v>0</v>
      </c>
      <c r="AJ989" s="56">
        <f>IF(AS989="0",BL989,0)</f>
        <v>0</v>
      </c>
      <c r="AK989" s="7" t="s">
        <v>527</v>
      </c>
      <c r="AL989" s="80">
        <f>IF(AP989=0,K989,0)</f>
        <v>0</v>
      </c>
      <c r="AM989" s="80">
        <f>IF(AP989=15,K989,0)</f>
        <v>0</v>
      </c>
      <c r="AN989" s="80">
        <f>IF(AP989=21,K989,0)</f>
        <v>0</v>
      </c>
      <c r="AP989" s="56">
        <v>21</v>
      </c>
      <c r="AQ989" s="88">
        <f>H989*1</f>
        <v>0</v>
      </c>
      <c r="AR989" s="88">
        <f>H989*(1-1)</f>
        <v>0</v>
      </c>
      <c r="AS989" s="64" t="s">
        <v>2311</v>
      </c>
      <c r="AX989" s="56">
        <f>AY989+AZ989</f>
        <v>0</v>
      </c>
      <c r="AY989" s="56">
        <f>G989*AQ989</f>
        <v>0</v>
      </c>
      <c r="AZ989" s="56">
        <f>G989*AR989</f>
        <v>0</v>
      </c>
      <c r="BA989" s="21" t="s">
        <v>243</v>
      </c>
      <c r="BB989" s="21" t="s">
        <v>788</v>
      </c>
      <c r="BC989" s="7" t="s">
        <v>1887</v>
      </c>
      <c r="BE989" s="56">
        <f>AY989+AZ989</f>
        <v>0</v>
      </c>
      <c r="BF989" s="56">
        <f>H989/(100-BG989)*100</f>
        <v>0</v>
      </c>
      <c r="BG989" s="56">
        <v>0</v>
      </c>
      <c r="BH989" s="56">
        <f>M989</f>
        <v>0.1</v>
      </c>
      <c r="BJ989" s="80">
        <f>G989*AQ989</f>
        <v>0</v>
      </c>
      <c r="BK989" s="80">
        <f>G989*AR989</f>
        <v>0</v>
      </c>
      <c r="BL989" s="80">
        <f>G989*H989</f>
        <v>0</v>
      </c>
      <c r="BM989" s="80"/>
      <c r="BN989" s="56">
        <v>766</v>
      </c>
    </row>
    <row r="990" spans="1:66" ht="15" customHeight="1">
      <c r="A990" s="36"/>
      <c r="D990" s="45" t="s">
        <v>1589</v>
      </c>
      <c r="E990" s="104" t="s">
        <v>2632</v>
      </c>
      <c r="G990" s="13">
        <v>2</v>
      </c>
      <c r="N990" s="19"/>
      <c r="P990" s="592"/>
      <c r="Q990" s="592"/>
      <c r="R990" s="592"/>
      <c r="S990" s="592"/>
      <c r="T990" s="592"/>
      <c r="U990" s="592"/>
      <c r="V990" s="592"/>
      <c r="W990" s="592"/>
      <c r="X990" s="592"/>
    </row>
    <row r="991" spans="1:66" ht="15" customHeight="1">
      <c r="A991" s="24" t="s">
        <v>921</v>
      </c>
      <c r="B991" s="12" t="s">
        <v>527</v>
      </c>
      <c r="C991" s="12" t="s">
        <v>1272</v>
      </c>
      <c r="D991" s="630" t="s">
        <v>388</v>
      </c>
      <c r="E991" s="630"/>
      <c r="F991" s="12" t="s">
        <v>564</v>
      </c>
      <c r="G991" s="56">
        <v>3</v>
      </c>
      <c r="H991" s="625"/>
      <c r="I991" s="56">
        <f>G991*AQ991</f>
        <v>0</v>
      </c>
      <c r="J991" s="56">
        <f>G991*AR991</f>
        <v>0</v>
      </c>
      <c r="K991" s="56">
        <f>G991*H991</f>
        <v>0</v>
      </c>
      <c r="L991" s="56">
        <v>1.2999999999999999E-3</v>
      </c>
      <c r="M991" s="56">
        <f>G991*L991</f>
        <v>3.8999999999999998E-3</v>
      </c>
      <c r="N991" s="31" t="s">
        <v>1579</v>
      </c>
      <c r="P991" s="592"/>
      <c r="Q991" s="592"/>
      <c r="R991" s="592"/>
      <c r="S991" s="592"/>
      <c r="T991" s="592"/>
      <c r="U991" s="592"/>
      <c r="V991" s="592"/>
      <c r="W991" s="592"/>
      <c r="X991" s="592"/>
      <c r="AB991" s="56">
        <f>IF(AS991="5",BL991,0)</f>
        <v>0</v>
      </c>
      <c r="AD991" s="56">
        <f>IF(AS991="1",BJ991,0)</f>
        <v>0</v>
      </c>
      <c r="AE991" s="56">
        <f>IF(AS991="1",BK991,0)</f>
        <v>0</v>
      </c>
      <c r="AF991" s="56">
        <f>IF(AS991="7",BJ991,0)</f>
        <v>0</v>
      </c>
      <c r="AG991" s="56">
        <f>IF(AS991="7",BK991,0)</f>
        <v>0</v>
      </c>
      <c r="AH991" s="56">
        <f>IF(AS991="2",BJ991,0)</f>
        <v>0</v>
      </c>
      <c r="AI991" s="56">
        <f>IF(AS991="2",BK991,0)</f>
        <v>0</v>
      </c>
      <c r="AJ991" s="56">
        <f>IF(AS991="0",BL991,0)</f>
        <v>0</v>
      </c>
      <c r="AK991" s="7" t="s">
        <v>527</v>
      </c>
      <c r="AL991" s="56">
        <f>IF(AP991=0,K991,0)</f>
        <v>0</v>
      </c>
      <c r="AM991" s="56">
        <f>IF(AP991=15,K991,0)</f>
        <v>0</v>
      </c>
      <c r="AN991" s="56">
        <f>IF(AP991=21,K991,0)</f>
        <v>0</v>
      </c>
      <c r="AP991" s="56">
        <v>21</v>
      </c>
      <c r="AQ991" s="88">
        <f>H991*0.41573994867408</f>
        <v>0</v>
      </c>
      <c r="AR991" s="88">
        <f>H991*(1-0.41573994867408)</f>
        <v>0</v>
      </c>
      <c r="AS991" s="21" t="s">
        <v>2311</v>
      </c>
      <c r="AX991" s="56">
        <f>AY991+AZ991</f>
        <v>0</v>
      </c>
      <c r="AY991" s="56">
        <f>G991*AQ991</f>
        <v>0</v>
      </c>
      <c r="AZ991" s="56">
        <f>G991*AR991</f>
        <v>0</v>
      </c>
      <c r="BA991" s="21" t="s">
        <v>243</v>
      </c>
      <c r="BB991" s="21" t="s">
        <v>788</v>
      </c>
      <c r="BC991" s="7" t="s">
        <v>1887</v>
      </c>
      <c r="BE991" s="56">
        <f>AY991+AZ991</f>
        <v>0</v>
      </c>
      <c r="BF991" s="56">
        <f>H991/(100-BG991)*100</f>
        <v>0</v>
      </c>
      <c r="BG991" s="56">
        <v>0</v>
      </c>
      <c r="BH991" s="56">
        <f>M991</f>
        <v>3.8999999999999998E-3</v>
      </c>
      <c r="BJ991" s="56">
        <f>G991*AQ991</f>
        <v>0</v>
      </c>
      <c r="BK991" s="56">
        <f>G991*AR991</f>
        <v>0</v>
      </c>
      <c r="BL991" s="56">
        <f>G991*H991</f>
        <v>0</v>
      </c>
      <c r="BM991" s="56"/>
      <c r="BN991" s="56">
        <v>766</v>
      </c>
    </row>
    <row r="992" spans="1:66" ht="15" customHeight="1">
      <c r="A992" s="36"/>
      <c r="D992" s="45" t="s">
        <v>2007</v>
      </c>
      <c r="E992" s="104" t="s">
        <v>1597</v>
      </c>
      <c r="G992" s="13">
        <v>3.0000000000000004</v>
      </c>
      <c r="N992" s="19"/>
      <c r="P992" s="592"/>
      <c r="Q992" s="592"/>
      <c r="R992" s="592"/>
      <c r="S992" s="592"/>
      <c r="T992" s="592"/>
      <c r="U992" s="592"/>
      <c r="V992" s="592"/>
      <c r="W992" s="592"/>
      <c r="X992" s="592"/>
    </row>
    <row r="993" spans="1:66" ht="15" customHeight="1">
      <c r="A993" s="8" t="s">
        <v>51</v>
      </c>
      <c r="B993" s="75" t="s">
        <v>527</v>
      </c>
      <c r="C993" s="75" t="s">
        <v>2337</v>
      </c>
      <c r="D993" s="710" t="s">
        <v>3697</v>
      </c>
      <c r="E993" s="710"/>
      <c r="F993" s="75" t="s">
        <v>564</v>
      </c>
      <c r="G993" s="80">
        <v>2</v>
      </c>
      <c r="H993" s="626"/>
      <c r="I993" s="80">
        <f>G993*AQ993</f>
        <v>0</v>
      </c>
      <c r="J993" s="80">
        <f>G993*AR993</f>
        <v>0</v>
      </c>
      <c r="K993" s="80">
        <f>G993*H993</f>
        <v>0</v>
      </c>
      <c r="L993" s="80">
        <v>0.05</v>
      </c>
      <c r="M993" s="80">
        <f>G993*L993</f>
        <v>0.1</v>
      </c>
      <c r="N993" s="38" t="s">
        <v>1579</v>
      </c>
      <c r="P993" s="592"/>
      <c r="Q993" s="592"/>
      <c r="R993" s="592"/>
      <c r="S993" s="592"/>
      <c r="T993" s="592"/>
      <c r="U993" s="592"/>
      <c r="V993" s="592"/>
      <c r="W993" s="592"/>
      <c r="X993" s="592"/>
      <c r="AB993" s="56">
        <f>IF(AS993="5",BL993,0)</f>
        <v>0</v>
      </c>
      <c r="AD993" s="56">
        <f>IF(AS993="1",BJ993,0)</f>
        <v>0</v>
      </c>
      <c r="AE993" s="56">
        <f>IF(AS993="1",BK993,0)</f>
        <v>0</v>
      </c>
      <c r="AF993" s="56">
        <f>IF(AS993="7",BJ993,0)</f>
        <v>0</v>
      </c>
      <c r="AG993" s="56">
        <f>IF(AS993="7",BK993,0)</f>
        <v>0</v>
      </c>
      <c r="AH993" s="56">
        <f>IF(AS993="2",BJ993,0)</f>
        <v>0</v>
      </c>
      <c r="AI993" s="56">
        <f>IF(AS993="2",BK993,0)</f>
        <v>0</v>
      </c>
      <c r="AJ993" s="56">
        <f>IF(AS993="0",BL993,0)</f>
        <v>0</v>
      </c>
      <c r="AK993" s="7" t="s">
        <v>527</v>
      </c>
      <c r="AL993" s="80">
        <f>IF(AP993=0,K993,0)</f>
        <v>0</v>
      </c>
      <c r="AM993" s="80">
        <f>IF(AP993=15,K993,0)</f>
        <v>0</v>
      </c>
      <c r="AN993" s="80">
        <f>IF(AP993=21,K993,0)</f>
        <v>0</v>
      </c>
      <c r="AP993" s="56">
        <v>21</v>
      </c>
      <c r="AQ993" s="88">
        <f>H993*1</f>
        <v>0</v>
      </c>
      <c r="AR993" s="88">
        <f>H993*(1-1)</f>
        <v>0</v>
      </c>
      <c r="AS993" s="64" t="s">
        <v>2311</v>
      </c>
      <c r="AX993" s="56">
        <f>AY993+AZ993</f>
        <v>0</v>
      </c>
      <c r="AY993" s="56">
        <f>G993*AQ993</f>
        <v>0</v>
      </c>
      <c r="AZ993" s="56">
        <f>G993*AR993</f>
        <v>0</v>
      </c>
      <c r="BA993" s="21" t="s">
        <v>243</v>
      </c>
      <c r="BB993" s="21" t="s">
        <v>788</v>
      </c>
      <c r="BC993" s="7" t="s">
        <v>1887</v>
      </c>
      <c r="BE993" s="56">
        <f>AY993+AZ993</f>
        <v>0</v>
      </c>
      <c r="BF993" s="56">
        <f>H993/(100-BG993)*100</f>
        <v>0</v>
      </c>
      <c r="BG993" s="56">
        <v>0</v>
      </c>
      <c r="BH993" s="56">
        <f>M993</f>
        <v>0.1</v>
      </c>
      <c r="BJ993" s="80">
        <f>G993*AQ993</f>
        <v>0</v>
      </c>
      <c r="BK993" s="80">
        <f>G993*AR993</f>
        <v>0</v>
      </c>
      <c r="BL993" s="80">
        <f>G993*H993</f>
        <v>0</v>
      </c>
      <c r="BM993" s="80"/>
      <c r="BN993" s="56">
        <v>766</v>
      </c>
    </row>
    <row r="994" spans="1:66" ht="15" customHeight="1">
      <c r="A994" s="36"/>
      <c r="D994" s="45" t="s">
        <v>1589</v>
      </c>
      <c r="E994" s="104" t="s">
        <v>1413</v>
      </c>
      <c r="G994" s="13">
        <v>2</v>
      </c>
      <c r="N994" s="19"/>
      <c r="P994" s="592"/>
      <c r="Q994" s="592"/>
      <c r="R994" s="592"/>
      <c r="S994" s="592"/>
      <c r="T994" s="592"/>
      <c r="U994" s="592"/>
      <c r="V994" s="592"/>
      <c r="W994" s="592"/>
      <c r="X994" s="592"/>
    </row>
    <row r="995" spans="1:66" ht="15" customHeight="1">
      <c r="A995" s="8" t="s">
        <v>1571</v>
      </c>
      <c r="B995" s="75" t="s">
        <v>527</v>
      </c>
      <c r="C995" s="75" t="s">
        <v>2337</v>
      </c>
      <c r="D995" s="710" t="s">
        <v>3698</v>
      </c>
      <c r="E995" s="710"/>
      <c r="F995" s="75" t="s">
        <v>564</v>
      </c>
      <c r="G995" s="80">
        <v>1</v>
      </c>
      <c r="H995" s="626"/>
      <c r="I995" s="80">
        <f>G995*AQ995</f>
        <v>0</v>
      </c>
      <c r="J995" s="80">
        <f>G995*AR995</f>
        <v>0</v>
      </c>
      <c r="K995" s="80">
        <f>G995*H995</f>
        <v>0</v>
      </c>
      <c r="L995" s="80">
        <v>0.05</v>
      </c>
      <c r="M995" s="80">
        <f>G995*L995</f>
        <v>0.05</v>
      </c>
      <c r="N995" s="38" t="s">
        <v>1579</v>
      </c>
      <c r="P995" s="592"/>
      <c r="Q995" s="592"/>
      <c r="R995" s="592"/>
      <c r="S995" s="592"/>
      <c r="T995" s="592"/>
      <c r="U995" s="592"/>
      <c r="V995" s="592"/>
      <c r="W995" s="592"/>
      <c r="X995" s="592"/>
      <c r="AB995" s="56">
        <f>IF(AS995="5",BL995,0)</f>
        <v>0</v>
      </c>
      <c r="AD995" s="56">
        <f>IF(AS995="1",BJ995,0)</f>
        <v>0</v>
      </c>
      <c r="AE995" s="56">
        <f>IF(AS995="1",BK995,0)</f>
        <v>0</v>
      </c>
      <c r="AF995" s="56">
        <f>IF(AS995="7",BJ995,0)</f>
        <v>0</v>
      </c>
      <c r="AG995" s="56">
        <f>IF(AS995="7",BK995,0)</f>
        <v>0</v>
      </c>
      <c r="AH995" s="56">
        <f>IF(AS995="2",BJ995,0)</f>
        <v>0</v>
      </c>
      <c r="AI995" s="56">
        <f>IF(AS995="2",BK995,0)</f>
        <v>0</v>
      </c>
      <c r="AJ995" s="56">
        <f>IF(AS995="0",BL995,0)</f>
        <v>0</v>
      </c>
      <c r="AK995" s="7" t="s">
        <v>527</v>
      </c>
      <c r="AL995" s="80">
        <f>IF(AP995=0,K995,0)</f>
        <v>0</v>
      </c>
      <c r="AM995" s="80">
        <f>IF(AP995=15,K995,0)</f>
        <v>0</v>
      </c>
      <c r="AN995" s="80">
        <f>IF(AP995=21,K995,0)</f>
        <v>0</v>
      </c>
      <c r="AP995" s="56">
        <v>21</v>
      </c>
      <c r="AQ995" s="88">
        <f>H995*1</f>
        <v>0</v>
      </c>
      <c r="AR995" s="88">
        <f>H995*(1-1)</f>
        <v>0</v>
      </c>
      <c r="AS995" s="64" t="s">
        <v>2311</v>
      </c>
      <c r="AX995" s="56">
        <f>AY995+AZ995</f>
        <v>0</v>
      </c>
      <c r="AY995" s="56">
        <f>G995*AQ995</f>
        <v>0</v>
      </c>
      <c r="AZ995" s="56">
        <f>G995*AR995</f>
        <v>0</v>
      </c>
      <c r="BA995" s="21" t="s">
        <v>243</v>
      </c>
      <c r="BB995" s="21" t="s">
        <v>788</v>
      </c>
      <c r="BC995" s="7" t="s">
        <v>1887</v>
      </c>
      <c r="BE995" s="56">
        <f>AY995+AZ995</f>
        <v>0</v>
      </c>
      <c r="BF995" s="56">
        <f>H995/(100-BG995)*100</f>
        <v>0</v>
      </c>
      <c r="BG995" s="56">
        <v>0</v>
      </c>
      <c r="BH995" s="56">
        <f>M995</f>
        <v>0.05</v>
      </c>
      <c r="BJ995" s="80">
        <f>G995*AQ995</f>
        <v>0</v>
      </c>
      <c r="BK995" s="80">
        <f>G995*AR995</f>
        <v>0</v>
      </c>
      <c r="BL995" s="80">
        <f>G995*H995</f>
        <v>0</v>
      </c>
      <c r="BM995" s="80"/>
      <c r="BN995" s="56">
        <v>766</v>
      </c>
    </row>
    <row r="996" spans="1:66" ht="15" customHeight="1">
      <c r="A996" s="36"/>
      <c r="D996" s="45" t="s">
        <v>2297</v>
      </c>
      <c r="E996" s="104" t="s">
        <v>347</v>
      </c>
      <c r="G996" s="13">
        <v>1</v>
      </c>
      <c r="N996" s="19"/>
      <c r="P996" s="592"/>
      <c r="Q996" s="592"/>
      <c r="R996" s="592"/>
      <c r="S996" s="592"/>
      <c r="T996" s="592"/>
      <c r="U996" s="592"/>
      <c r="V996" s="592"/>
      <c r="W996" s="592"/>
      <c r="X996" s="592"/>
    </row>
    <row r="997" spans="1:66" ht="15" customHeight="1">
      <c r="A997" s="24" t="s">
        <v>2068</v>
      </c>
      <c r="B997" s="12" t="s">
        <v>527</v>
      </c>
      <c r="C997" s="12" t="s">
        <v>1806</v>
      </c>
      <c r="D997" s="630" t="s">
        <v>2547</v>
      </c>
      <c r="E997" s="630"/>
      <c r="F997" s="12" t="s">
        <v>564</v>
      </c>
      <c r="G997" s="56">
        <v>1</v>
      </c>
      <c r="H997" s="625"/>
      <c r="I997" s="56">
        <f>G997*AQ997</f>
        <v>0</v>
      </c>
      <c r="J997" s="56">
        <f>G997*AR997</f>
        <v>0</v>
      </c>
      <c r="K997" s="56">
        <f>G997*H997</f>
        <v>0</v>
      </c>
      <c r="L997" s="56">
        <v>5.5599999999999998E-3</v>
      </c>
      <c r="M997" s="56">
        <f>G997*L997</f>
        <v>5.5599999999999998E-3</v>
      </c>
      <c r="N997" s="31" t="s">
        <v>1579</v>
      </c>
      <c r="P997" s="592"/>
      <c r="Q997" s="592"/>
      <c r="R997" s="592"/>
      <c r="S997" s="592"/>
      <c r="T997" s="592"/>
      <c r="U997" s="592"/>
      <c r="V997" s="592"/>
      <c r="W997" s="592"/>
      <c r="X997" s="592"/>
      <c r="AB997" s="56">
        <f>IF(AS997="5",BL997,0)</f>
        <v>0</v>
      </c>
      <c r="AD997" s="56">
        <f>IF(AS997="1",BJ997,0)</f>
        <v>0</v>
      </c>
      <c r="AE997" s="56">
        <f>IF(AS997="1",BK997,0)</f>
        <v>0</v>
      </c>
      <c r="AF997" s="56">
        <f>IF(AS997="7",BJ997,0)</f>
        <v>0</v>
      </c>
      <c r="AG997" s="56">
        <f>IF(AS997="7",BK997,0)</f>
        <v>0</v>
      </c>
      <c r="AH997" s="56">
        <f>IF(AS997="2",BJ997,0)</f>
        <v>0</v>
      </c>
      <c r="AI997" s="56">
        <f>IF(AS997="2",BK997,0)</f>
        <v>0</v>
      </c>
      <c r="AJ997" s="56">
        <f>IF(AS997="0",BL997,0)</f>
        <v>0</v>
      </c>
      <c r="AK997" s="7" t="s">
        <v>527</v>
      </c>
      <c r="AL997" s="56">
        <f>IF(AP997=0,K997,0)</f>
        <v>0</v>
      </c>
      <c r="AM997" s="56">
        <f>IF(AP997=15,K997,0)</f>
        <v>0</v>
      </c>
      <c r="AN997" s="56">
        <f>IF(AP997=21,K997,0)</f>
        <v>0</v>
      </c>
      <c r="AP997" s="56">
        <v>21</v>
      </c>
      <c r="AQ997" s="88">
        <f>H997*0.24599776411403</f>
        <v>0</v>
      </c>
      <c r="AR997" s="88">
        <f>H997*(1-0.24599776411403)</f>
        <v>0</v>
      </c>
      <c r="AS997" s="21" t="s">
        <v>2311</v>
      </c>
      <c r="AX997" s="56">
        <f>AY997+AZ997</f>
        <v>0</v>
      </c>
      <c r="AY997" s="56">
        <f>G997*AQ997</f>
        <v>0</v>
      </c>
      <c r="AZ997" s="56">
        <f>G997*AR997</f>
        <v>0</v>
      </c>
      <c r="BA997" s="21" t="s">
        <v>243</v>
      </c>
      <c r="BB997" s="21" t="s">
        <v>788</v>
      </c>
      <c r="BC997" s="7" t="s">
        <v>1887</v>
      </c>
      <c r="BE997" s="56">
        <f>AY997+AZ997</f>
        <v>0</v>
      </c>
      <c r="BF997" s="56">
        <f>H997/(100-BG997)*100</f>
        <v>0</v>
      </c>
      <c r="BG997" s="56">
        <v>0</v>
      </c>
      <c r="BH997" s="56">
        <f>M997</f>
        <v>5.5599999999999998E-3</v>
      </c>
      <c r="BJ997" s="56">
        <f>G997*AQ997</f>
        <v>0</v>
      </c>
      <c r="BK997" s="56">
        <f>G997*AR997</f>
        <v>0</v>
      </c>
      <c r="BL997" s="56">
        <f>G997*H997</f>
        <v>0</v>
      </c>
      <c r="BM997" s="56"/>
      <c r="BN997" s="56">
        <v>766</v>
      </c>
    </row>
    <row r="998" spans="1:66" ht="15" customHeight="1">
      <c r="A998" s="36"/>
      <c r="D998" s="45" t="s">
        <v>2297</v>
      </c>
      <c r="E998" s="104" t="s">
        <v>1597</v>
      </c>
      <c r="G998" s="13">
        <v>1</v>
      </c>
      <c r="N998" s="19"/>
      <c r="P998" s="592"/>
      <c r="Q998" s="592"/>
      <c r="R998" s="592"/>
      <c r="S998" s="592"/>
      <c r="T998" s="592"/>
      <c r="U998" s="592"/>
      <c r="V998" s="592"/>
      <c r="W998" s="592"/>
      <c r="X998" s="592"/>
    </row>
    <row r="999" spans="1:66" ht="15" customHeight="1">
      <c r="A999" s="8" t="s">
        <v>476</v>
      </c>
      <c r="B999" s="75" t="s">
        <v>527</v>
      </c>
      <c r="C999" s="75" t="s">
        <v>1777</v>
      </c>
      <c r="D999" s="710" t="s">
        <v>3699</v>
      </c>
      <c r="E999" s="710"/>
      <c r="F999" s="75" t="s">
        <v>564</v>
      </c>
      <c r="G999" s="80">
        <v>1</v>
      </c>
      <c r="H999" s="626"/>
      <c r="I999" s="80">
        <f>G999*AQ999</f>
        <v>0</v>
      </c>
      <c r="J999" s="80">
        <f>G999*AR999</f>
        <v>0</v>
      </c>
      <c r="K999" s="80">
        <f>G999*H999</f>
        <v>0</v>
      </c>
      <c r="L999" s="80">
        <v>8.8999999999999996E-2</v>
      </c>
      <c r="M999" s="80">
        <f>G999*L999</f>
        <v>8.8999999999999996E-2</v>
      </c>
      <c r="N999" s="38" t="s">
        <v>1579</v>
      </c>
      <c r="P999" s="592"/>
      <c r="Q999" s="592"/>
      <c r="R999" s="592"/>
      <c r="S999" s="592"/>
      <c r="T999" s="592"/>
      <c r="U999" s="592"/>
      <c r="V999" s="592"/>
      <c r="W999" s="592"/>
      <c r="X999" s="592"/>
      <c r="AB999" s="56">
        <f>IF(AS999="5",BL999,0)</f>
        <v>0</v>
      </c>
      <c r="AD999" s="56">
        <f>IF(AS999="1",BJ999,0)</f>
        <v>0</v>
      </c>
      <c r="AE999" s="56">
        <f>IF(AS999="1",BK999,0)</f>
        <v>0</v>
      </c>
      <c r="AF999" s="56">
        <f>IF(AS999="7",BJ999,0)</f>
        <v>0</v>
      </c>
      <c r="AG999" s="56">
        <f>IF(AS999="7",BK999,0)</f>
        <v>0</v>
      </c>
      <c r="AH999" s="56">
        <f>IF(AS999="2",BJ999,0)</f>
        <v>0</v>
      </c>
      <c r="AI999" s="56">
        <f>IF(AS999="2",BK999,0)</f>
        <v>0</v>
      </c>
      <c r="AJ999" s="56">
        <f>IF(AS999="0",BL999,0)</f>
        <v>0</v>
      </c>
      <c r="AK999" s="7" t="s">
        <v>527</v>
      </c>
      <c r="AL999" s="80">
        <f>IF(AP999=0,K999,0)</f>
        <v>0</v>
      </c>
      <c r="AM999" s="80">
        <f>IF(AP999=15,K999,0)</f>
        <v>0</v>
      </c>
      <c r="AN999" s="80">
        <f>IF(AP999=21,K999,0)</f>
        <v>0</v>
      </c>
      <c r="AP999" s="56">
        <v>21</v>
      </c>
      <c r="AQ999" s="88">
        <f>H999*1</f>
        <v>0</v>
      </c>
      <c r="AR999" s="88">
        <f>H999*(1-1)</f>
        <v>0</v>
      </c>
      <c r="AS999" s="64" t="s">
        <v>2311</v>
      </c>
      <c r="AX999" s="56">
        <f>AY999+AZ999</f>
        <v>0</v>
      </c>
      <c r="AY999" s="56">
        <f>G999*AQ999</f>
        <v>0</v>
      </c>
      <c r="AZ999" s="56">
        <f>G999*AR999</f>
        <v>0</v>
      </c>
      <c r="BA999" s="21" t="s">
        <v>243</v>
      </c>
      <c r="BB999" s="21" t="s">
        <v>788</v>
      </c>
      <c r="BC999" s="7" t="s">
        <v>1887</v>
      </c>
      <c r="BE999" s="56">
        <f>AY999+AZ999</f>
        <v>0</v>
      </c>
      <c r="BF999" s="56">
        <f>H999/(100-BG999)*100</f>
        <v>0</v>
      </c>
      <c r="BG999" s="56">
        <v>0</v>
      </c>
      <c r="BH999" s="56">
        <f>M999</f>
        <v>8.8999999999999996E-2</v>
      </c>
      <c r="BJ999" s="80">
        <f>G999*AQ999</f>
        <v>0</v>
      </c>
      <c r="BK999" s="80">
        <f>G999*AR999</f>
        <v>0</v>
      </c>
      <c r="BL999" s="80">
        <f>G999*H999</f>
        <v>0</v>
      </c>
      <c r="BM999" s="80"/>
      <c r="BN999" s="56">
        <v>766</v>
      </c>
    </row>
    <row r="1000" spans="1:66" ht="15" customHeight="1">
      <c r="A1000" s="36"/>
      <c r="D1000" s="45" t="s">
        <v>2297</v>
      </c>
      <c r="E1000" s="104" t="s">
        <v>1416</v>
      </c>
      <c r="G1000" s="13">
        <v>1</v>
      </c>
      <c r="N1000" s="19"/>
      <c r="P1000" s="592"/>
      <c r="Q1000" s="592"/>
      <c r="R1000" s="592"/>
      <c r="S1000" s="592"/>
      <c r="T1000" s="592"/>
      <c r="U1000" s="592"/>
      <c r="V1000" s="592"/>
      <c r="W1000" s="592"/>
      <c r="X1000" s="592"/>
    </row>
    <row r="1001" spans="1:66" ht="15" customHeight="1">
      <c r="A1001" s="24" t="s">
        <v>2032</v>
      </c>
      <c r="B1001" s="12" t="s">
        <v>527</v>
      </c>
      <c r="C1001" s="12" t="s">
        <v>1463</v>
      </c>
      <c r="D1001" s="630" t="s">
        <v>1648</v>
      </c>
      <c r="E1001" s="630"/>
      <c r="F1001" s="12" t="s">
        <v>564</v>
      </c>
      <c r="G1001" s="56">
        <v>8</v>
      </c>
      <c r="H1001" s="625"/>
      <c r="I1001" s="56">
        <f>G1001*AQ1001</f>
        <v>0</v>
      </c>
      <c r="J1001" s="56">
        <f>G1001*AR1001</f>
        <v>0</v>
      </c>
      <c r="K1001" s="56">
        <f>G1001*H1001</f>
        <v>0</v>
      </c>
      <c r="L1001" s="56">
        <v>1.0000000000000001E-5</v>
      </c>
      <c r="M1001" s="56">
        <f>G1001*L1001</f>
        <v>8.0000000000000007E-5</v>
      </c>
      <c r="N1001" s="31" t="s">
        <v>1579</v>
      </c>
      <c r="P1001" s="592"/>
      <c r="Q1001" s="592"/>
      <c r="R1001" s="592"/>
      <c r="S1001" s="592"/>
      <c r="T1001" s="592"/>
      <c r="U1001" s="592"/>
      <c r="V1001" s="592"/>
      <c r="W1001" s="592"/>
      <c r="X1001" s="592"/>
      <c r="AB1001" s="56">
        <f>IF(AS1001="5",BL1001,0)</f>
        <v>0</v>
      </c>
      <c r="AD1001" s="56">
        <f>IF(AS1001="1",BJ1001,0)</f>
        <v>0</v>
      </c>
      <c r="AE1001" s="56">
        <f>IF(AS1001="1",BK1001,0)</f>
        <v>0</v>
      </c>
      <c r="AF1001" s="56">
        <f>IF(AS1001="7",BJ1001,0)</f>
        <v>0</v>
      </c>
      <c r="AG1001" s="56">
        <f>IF(AS1001="7",BK1001,0)</f>
        <v>0</v>
      </c>
      <c r="AH1001" s="56">
        <f>IF(AS1001="2",BJ1001,0)</f>
        <v>0</v>
      </c>
      <c r="AI1001" s="56">
        <f>IF(AS1001="2",BK1001,0)</f>
        <v>0</v>
      </c>
      <c r="AJ1001" s="56">
        <f>IF(AS1001="0",BL1001,0)</f>
        <v>0</v>
      </c>
      <c r="AK1001" s="7" t="s">
        <v>527</v>
      </c>
      <c r="AL1001" s="56">
        <f>IF(AP1001=0,K1001,0)</f>
        <v>0</v>
      </c>
      <c r="AM1001" s="56">
        <f>IF(AP1001=15,K1001,0)</f>
        <v>0</v>
      </c>
      <c r="AN1001" s="56">
        <f>IF(AP1001=21,K1001,0)</f>
        <v>0</v>
      </c>
      <c r="AP1001" s="56">
        <v>21</v>
      </c>
      <c r="AQ1001" s="88">
        <f>H1001*0.0388191881918819</f>
        <v>0</v>
      </c>
      <c r="AR1001" s="88">
        <f>H1001*(1-0.0388191881918819)</f>
        <v>0</v>
      </c>
      <c r="AS1001" s="21" t="s">
        <v>2311</v>
      </c>
      <c r="AX1001" s="56">
        <f>AY1001+AZ1001</f>
        <v>0</v>
      </c>
      <c r="AY1001" s="56">
        <f>G1001*AQ1001</f>
        <v>0</v>
      </c>
      <c r="AZ1001" s="56">
        <f>G1001*AR1001</f>
        <v>0</v>
      </c>
      <c r="BA1001" s="21" t="s">
        <v>243</v>
      </c>
      <c r="BB1001" s="21" t="s">
        <v>788</v>
      </c>
      <c r="BC1001" s="7" t="s">
        <v>1887</v>
      </c>
      <c r="BE1001" s="56">
        <f>AY1001+AZ1001</f>
        <v>0</v>
      </c>
      <c r="BF1001" s="56">
        <f>H1001/(100-BG1001)*100</f>
        <v>0</v>
      </c>
      <c r="BG1001" s="56">
        <v>0</v>
      </c>
      <c r="BH1001" s="56">
        <f>M1001</f>
        <v>8.0000000000000007E-5</v>
      </c>
      <c r="BJ1001" s="56">
        <f>G1001*AQ1001</f>
        <v>0</v>
      </c>
      <c r="BK1001" s="56">
        <f>G1001*AR1001</f>
        <v>0</v>
      </c>
      <c r="BL1001" s="56">
        <f>G1001*H1001</f>
        <v>0</v>
      </c>
      <c r="BM1001" s="56"/>
      <c r="BN1001" s="56">
        <v>766</v>
      </c>
    </row>
    <row r="1002" spans="1:66" ht="15" customHeight="1">
      <c r="A1002" s="36"/>
      <c r="D1002" s="45" t="s">
        <v>160</v>
      </c>
      <c r="E1002" s="104" t="s">
        <v>1597</v>
      </c>
      <c r="G1002" s="13">
        <v>8</v>
      </c>
      <c r="N1002" s="19"/>
      <c r="P1002" s="592"/>
      <c r="Q1002" s="592"/>
      <c r="R1002" s="592"/>
      <c r="S1002" s="592"/>
      <c r="T1002" s="592"/>
      <c r="U1002" s="592"/>
      <c r="V1002" s="592"/>
      <c r="W1002" s="592"/>
      <c r="X1002" s="592"/>
    </row>
    <row r="1003" spans="1:66" ht="15" customHeight="1">
      <c r="A1003" s="8" t="s">
        <v>2405</v>
      </c>
      <c r="B1003" s="75" t="s">
        <v>527</v>
      </c>
      <c r="C1003" s="75" t="s">
        <v>2640</v>
      </c>
      <c r="D1003" s="710" t="s">
        <v>2462</v>
      </c>
      <c r="E1003" s="710"/>
      <c r="F1003" s="75" t="s">
        <v>564</v>
      </c>
      <c r="G1003" s="80">
        <v>8</v>
      </c>
      <c r="H1003" s="626"/>
      <c r="I1003" s="80">
        <f>G1003*AQ1003</f>
        <v>0</v>
      </c>
      <c r="J1003" s="80">
        <f>G1003*AR1003</f>
        <v>0</v>
      </c>
      <c r="K1003" s="80">
        <f>G1003*H1003</f>
        <v>0</v>
      </c>
      <c r="L1003" s="80">
        <v>1.1999999999999999E-3</v>
      </c>
      <c r="M1003" s="80">
        <f>G1003*L1003</f>
        <v>9.5999999999999992E-3</v>
      </c>
      <c r="N1003" s="38" t="s">
        <v>1579</v>
      </c>
      <c r="P1003" s="592"/>
      <c r="Q1003" s="592"/>
      <c r="R1003" s="592"/>
      <c r="S1003" s="592"/>
      <c r="T1003" s="592"/>
      <c r="U1003" s="592"/>
      <c r="V1003" s="592"/>
      <c r="W1003" s="592"/>
      <c r="X1003" s="592"/>
      <c r="AB1003" s="56">
        <f>IF(AS1003="5",BL1003,0)</f>
        <v>0</v>
      </c>
      <c r="AD1003" s="56">
        <f>IF(AS1003="1",BJ1003,0)</f>
        <v>0</v>
      </c>
      <c r="AE1003" s="56">
        <f>IF(AS1003="1",BK1003,0)</f>
        <v>0</v>
      </c>
      <c r="AF1003" s="56">
        <f>IF(AS1003="7",BJ1003,0)</f>
        <v>0</v>
      </c>
      <c r="AG1003" s="56">
        <f>IF(AS1003="7",BK1003,0)</f>
        <v>0</v>
      </c>
      <c r="AH1003" s="56">
        <f>IF(AS1003="2",BJ1003,0)</f>
        <v>0</v>
      </c>
      <c r="AI1003" s="56">
        <f>IF(AS1003="2",BK1003,0)</f>
        <v>0</v>
      </c>
      <c r="AJ1003" s="56">
        <f>IF(AS1003="0",BL1003,0)</f>
        <v>0</v>
      </c>
      <c r="AK1003" s="7" t="s">
        <v>527</v>
      </c>
      <c r="AL1003" s="80">
        <f>IF(AP1003=0,K1003,0)</f>
        <v>0</v>
      </c>
      <c r="AM1003" s="80">
        <f>IF(AP1003=15,K1003,0)</f>
        <v>0</v>
      </c>
      <c r="AN1003" s="80">
        <f>IF(AP1003=21,K1003,0)</f>
        <v>0</v>
      </c>
      <c r="AP1003" s="56">
        <v>21</v>
      </c>
      <c r="AQ1003" s="88">
        <f>H1003*1</f>
        <v>0</v>
      </c>
      <c r="AR1003" s="88">
        <f>H1003*(1-1)</f>
        <v>0</v>
      </c>
      <c r="AS1003" s="64" t="s">
        <v>2311</v>
      </c>
      <c r="AX1003" s="56">
        <f>AY1003+AZ1003</f>
        <v>0</v>
      </c>
      <c r="AY1003" s="56">
        <f>G1003*AQ1003</f>
        <v>0</v>
      </c>
      <c r="AZ1003" s="56">
        <f>G1003*AR1003</f>
        <v>0</v>
      </c>
      <c r="BA1003" s="21" t="s">
        <v>243</v>
      </c>
      <c r="BB1003" s="21" t="s">
        <v>788</v>
      </c>
      <c r="BC1003" s="7" t="s">
        <v>1887</v>
      </c>
      <c r="BE1003" s="56">
        <f>AY1003+AZ1003</f>
        <v>0</v>
      </c>
      <c r="BF1003" s="56">
        <f>H1003/(100-BG1003)*100</f>
        <v>0</v>
      </c>
      <c r="BG1003" s="56">
        <v>0</v>
      </c>
      <c r="BH1003" s="56">
        <f>M1003</f>
        <v>9.5999999999999992E-3</v>
      </c>
      <c r="BJ1003" s="80">
        <f>G1003*AQ1003</f>
        <v>0</v>
      </c>
      <c r="BK1003" s="80">
        <f>G1003*AR1003</f>
        <v>0</v>
      </c>
      <c r="BL1003" s="80">
        <f>G1003*H1003</f>
        <v>0</v>
      </c>
      <c r="BM1003" s="80"/>
      <c r="BN1003" s="56">
        <v>766</v>
      </c>
    </row>
    <row r="1004" spans="1:66" ht="15" customHeight="1">
      <c r="A1004" s="36"/>
      <c r="D1004" s="45" t="s">
        <v>1829</v>
      </c>
      <c r="E1004" s="104" t="s">
        <v>1597</v>
      </c>
      <c r="G1004" s="13">
        <v>8</v>
      </c>
      <c r="N1004" s="19"/>
      <c r="P1004" s="592"/>
      <c r="Q1004" s="592"/>
      <c r="R1004" s="592"/>
      <c r="S1004" s="592"/>
      <c r="T1004" s="592"/>
      <c r="U1004" s="592"/>
      <c r="V1004" s="592"/>
      <c r="W1004" s="592"/>
      <c r="X1004" s="592"/>
    </row>
    <row r="1005" spans="1:66" ht="15" customHeight="1">
      <c r="A1005" s="32" t="s">
        <v>1597</v>
      </c>
      <c r="B1005" s="26" t="s">
        <v>527</v>
      </c>
      <c r="C1005" s="512" t="s">
        <v>1041</v>
      </c>
      <c r="D1005" s="709" t="s">
        <v>703</v>
      </c>
      <c r="E1005" s="709"/>
      <c r="F1005" s="46" t="s">
        <v>2144</v>
      </c>
      <c r="G1005" s="46" t="s">
        <v>2144</v>
      </c>
      <c r="H1005" s="46" t="s">
        <v>2144</v>
      </c>
      <c r="I1005" s="17">
        <f>SUM(I1006:I1022)</f>
        <v>0</v>
      </c>
      <c r="J1005" s="17">
        <f>SUM(J1006:J1022)</f>
        <v>0</v>
      </c>
      <c r="K1005" s="515">
        <f>SUM(K1006:K1022)</f>
        <v>0</v>
      </c>
      <c r="L1005" s="7" t="s">
        <v>1597</v>
      </c>
      <c r="M1005" s="17">
        <f>SUM(M1006:M1022)</f>
        <v>6.1030000000000008E-2</v>
      </c>
      <c r="N1005" s="20" t="s">
        <v>1597</v>
      </c>
      <c r="P1005" s="592">
        <f>K1005</f>
        <v>0</v>
      </c>
      <c r="Q1005" s="592"/>
      <c r="R1005" s="592"/>
      <c r="S1005" s="592"/>
      <c r="T1005" s="592"/>
      <c r="U1005" s="592"/>
      <c r="V1005" s="592"/>
      <c r="W1005" s="592"/>
      <c r="X1005" s="592"/>
      <c r="AK1005" s="7" t="s">
        <v>527</v>
      </c>
      <c r="AU1005" s="17">
        <f>SUM(AL1006:AL1022)</f>
        <v>0</v>
      </c>
      <c r="AV1005" s="17">
        <f>SUM(AM1006:AM1022)</f>
        <v>0</v>
      </c>
      <c r="AW1005" s="17">
        <f>SUM(AN1006:AN1022)</f>
        <v>0</v>
      </c>
    </row>
    <row r="1006" spans="1:66" ht="15" customHeight="1">
      <c r="A1006" s="24" t="s">
        <v>1884</v>
      </c>
      <c r="B1006" s="12" t="s">
        <v>527</v>
      </c>
      <c r="C1006" s="12" t="s">
        <v>2117</v>
      </c>
      <c r="D1006" s="630" t="s">
        <v>600</v>
      </c>
      <c r="E1006" s="630"/>
      <c r="F1006" s="12" t="s">
        <v>2182</v>
      </c>
      <c r="G1006" s="56">
        <v>25</v>
      </c>
      <c r="H1006" s="625"/>
      <c r="I1006" s="56">
        <f>G1006*AQ1006</f>
        <v>0</v>
      </c>
      <c r="J1006" s="56">
        <f>G1006*AR1006</f>
        <v>0</v>
      </c>
      <c r="K1006" s="56">
        <f>G1006*H1006</f>
        <v>0</v>
      </c>
      <c r="L1006" s="56">
        <v>6.0000000000000002E-5</v>
      </c>
      <c r="M1006" s="56">
        <f>G1006*L1006</f>
        <v>1.5E-3</v>
      </c>
      <c r="N1006" s="31" t="s">
        <v>1579</v>
      </c>
      <c r="P1006" s="592"/>
      <c r="Q1006" s="592"/>
      <c r="R1006" s="592"/>
      <c r="S1006" s="592"/>
      <c r="T1006" s="592"/>
      <c r="U1006" s="592"/>
      <c r="V1006" s="592"/>
      <c r="W1006" s="592"/>
      <c r="X1006" s="592"/>
      <c r="AB1006" s="56">
        <f>IF(AS1006="5",BL1006,0)</f>
        <v>0</v>
      </c>
      <c r="AD1006" s="56">
        <f>IF(AS1006="1",BJ1006,0)</f>
        <v>0</v>
      </c>
      <c r="AE1006" s="56">
        <f>IF(AS1006="1",BK1006,0)</f>
        <v>0</v>
      </c>
      <c r="AF1006" s="56">
        <f>IF(AS1006="7",BJ1006,0)</f>
        <v>0</v>
      </c>
      <c r="AG1006" s="56">
        <f>IF(AS1006="7",BK1006,0)</f>
        <v>0</v>
      </c>
      <c r="AH1006" s="56">
        <f>IF(AS1006="2",BJ1006,0)</f>
        <v>0</v>
      </c>
      <c r="AI1006" s="56">
        <f>IF(AS1006="2",BK1006,0)</f>
        <v>0</v>
      </c>
      <c r="AJ1006" s="56">
        <f>IF(AS1006="0",BL1006,0)</f>
        <v>0</v>
      </c>
      <c r="AK1006" s="7" t="s">
        <v>527</v>
      </c>
      <c r="AL1006" s="56">
        <f>IF(AP1006=0,K1006,0)</f>
        <v>0</v>
      </c>
      <c r="AM1006" s="56">
        <f>IF(AP1006=15,K1006,0)</f>
        <v>0</v>
      </c>
      <c r="AN1006" s="56">
        <f>IF(AP1006=21,K1006,0)</f>
        <v>0</v>
      </c>
      <c r="AP1006" s="56">
        <v>21</v>
      </c>
      <c r="AQ1006" s="88">
        <f>H1006*0.0818333333333333</f>
        <v>0</v>
      </c>
      <c r="AR1006" s="88">
        <f>H1006*(1-0.0818333333333333)</f>
        <v>0</v>
      </c>
      <c r="AS1006" s="21" t="s">
        <v>2311</v>
      </c>
      <c r="AX1006" s="56">
        <f>AY1006+AZ1006</f>
        <v>0</v>
      </c>
      <c r="AY1006" s="56">
        <f>G1006*AQ1006</f>
        <v>0</v>
      </c>
      <c r="AZ1006" s="56">
        <f>G1006*AR1006</f>
        <v>0</v>
      </c>
      <c r="BA1006" s="21" t="s">
        <v>644</v>
      </c>
      <c r="BB1006" s="21" t="s">
        <v>788</v>
      </c>
      <c r="BC1006" s="7" t="s">
        <v>1887</v>
      </c>
      <c r="BE1006" s="56">
        <f>AY1006+AZ1006</f>
        <v>0</v>
      </c>
      <c r="BF1006" s="56">
        <f>H1006/(100-BG1006)*100</f>
        <v>0</v>
      </c>
      <c r="BG1006" s="56">
        <v>0</v>
      </c>
      <c r="BH1006" s="56">
        <f>M1006</f>
        <v>1.5E-3</v>
      </c>
      <c r="BJ1006" s="56">
        <f>G1006*AQ1006</f>
        <v>0</v>
      </c>
      <c r="BK1006" s="56">
        <f>G1006*AR1006</f>
        <v>0</v>
      </c>
      <c r="BL1006" s="56">
        <f>G1006*H1006</f>
        <v>0</v>
      </c>
      <c r="BM1006" s="56"/>
      <c r="BN1006" s="56">
        <v>767</v>
      </c>
    </row>
    <row r="1007" spans="1:66" ht="15" customHeight="1">
      <c r="A1007" s="36"/>
      <c r="D1007" s="45" t="s">
        <v>1962</v>
      </c>
      <c r="E1007" s="104" t="s">
        <v>1231</v>
      </c>
      <c r="G1007" s="13">
        <v>25.000000000000004</v>
      </c>
      <c r="N1007" s="19"/>
      <c r="P1007" s="592"/>
      <c r="Q1007" s="592"/>
      <c r="R1007" s="592"/>
      <c r="S1007" s="592"/>
      <c r="T1007" s="592"/>
      <c r="U1007" s="592"/>
      <c r="V1007" s="592"/>
      <c r="W1007" s="592"/>
      <c r="X1007" s="592"/>
    </row>
    <row r="1008" spans="1:66" ht="15" customHeight="1">
      <c r="A1008" s="8" t="s">
        <v>812</v>
      </c>
      <c r="B1008" s="75" t="s">
        <v>527</v>
      </c>
      <c r="C1008" s="75" t="s">
        <v>250</v>
      </c>
      <c r="D1008" s="710" t="s">
        <v>2175</v>
      </c>
      <c r="E1008" s="710"/>
      <c r="F1008" s="75" t="s">
        <v>564</v>
      </c>
      <c r="G1008" s="80">
        <v>50</v>
      </c>
      <c r="H1008" s="626"/>
      <c r="I1008" s="80">
        <f>G1008*AQ1008</f>
        <v>0</v>
      </c>
      <c r="J1008" s="80">
        <f>G1008*AR1008</f>
        <v>0</v>
      </c>
      <c r="K1008" s="80">
        <f>G1008*H1008</f>
        <v>0</v>
      </c>
      <c r="L1008" s="80">
        <v>0</v>
      </c>
      <c r="M1008" s="80">
        <f>G1008*L1008</f>
        <v>0</v>
      </c>
      <c r="N1008" s="38" t="s">
        <v>1579</v>
      </c>
      <c r="P1008" s="592"/>
      <c r="Q1008" s="592"/>
      <c r="R1008" s="592"/>
      <c r="S1008" s="592"/>
      <c r="T1008" s="592"/>
      <c r="U1008" s="592"/>
      <c r="V1008" s="592"/>
      <c r="W1008" s="592"/>
      <c r="X1008" s="592"/>
      <c r="AB1008" s="56">
        <f>IF(AS1008="5",BL1008,0)</f>
        <v>0</v>
      </c>
      <c r="AD1008" s="56">
        <f>IF(AS1008="1",BJ1008,0)</f>
        <v>0</v>
      </c>
      <c r="AE1008" s="56">
        <f>IF(AS1008="1",BK1008,0)</f>
        <v>0</v>
      </c>
      <c r="AF1008" s="56">
        <f>IF(AS1008="7",BJ1008,0)</f>
        <v>0</v>
      </c>
      <c r="AG1008" s="56">
        <f>IF(AS1008="7",BK1008,0)</f>
        <v>0</v>
      </c>
      <c r="AH1008" s="56">
        <f>IF(AS1008="2",BJ1008,0)</f>
        <v>0</v>
      </c>
      <c r="AI1008" s="56">
        <f>IF(AS1008="2",BK1008,0)</f>
        <v>0</v>
      </c>
      <c r="AJ1008" s="56">
        <f>IF(AS1008="0",BL1008,0)</f>
        <v>0</v>
      </c>
      <c r="AK1008" s="7" t="s">
        <v>527</v>
      </c>
      <c r="AL1008" s="80">
        <f>IF(AP1008=0,K1008,0)</f>
        <v>0</v>
      </c>
      <c r="AM1008" s="80">
        <f>IF(AP1008=15,K1008,0)</f>
        <v>0</v>
      </c>
      <c r="AN1008" s="80">
        <f>IF(AP1008=21,K1008,0)</f>
        <v>0</v>
      </c>
      <c r="AP1008" s="56">
        <v>21</v>
      </c>
      <c r="AQ1008" s="88">
        <f>H1008*1</f>
        <v>0</v>
      </c>
      <c r="AR1008" s="88">
        <f>H1008*(1-1)</f>
        <v>0</v>
      </c>
      <c r="AS1008" s="64" t="s">
        <v>2311</v>
      </c>
      <c r="AX1008" s="56">
        <f>AY1008+AZ1008</f>
        <v>0</v>
      </c>
      <c r="AY1008" s="56">
        <f>G1008*AQ1008</f>
        <v>0</v>
      </c>
      <c r="AZ1008" s="56">
        <f>G1008*AR1008</f>
        <v>0</v>
      </c>
      <c r="BA1008" s="21" t="s">
        <v>644</v>
      </c>
      <c r="BB1008" s="21" t="s">
        <v>788</v>
      </c>
      <c r="BC1008" s="7" t="s">
        <v>1887</v>
      </c>
      <c r="BE1008" s="56">
        <f>AY1008+AZ1008</f>
        <v>0</v>
      </c>
      <c r="BF1008" s="56">
        <f>H1008/(100-BG1008)*100</f>
        <v>0</v>
      </c>
      <c r="BG1008" s="56">
        <v>0</v>
      </c>
      <c r="BH1008" s="56">
        <f>M1008</f>
        <v>0</v>
      </c>
      <c r="BJ1008" s="80">
        <f>G1008*AQ1008</f>
        <v>0</v>
      </c>
      <c r="BK1008" s="80">
        <f>G1008*AR1008</f>
        <v>0</v>
      </c>
      <c r="BL1008" s="80">
        <f>G1008*H1008</f>
        <v>0</v>
      </c>
      <c r="BM1008" s="80"/>
      <c r="BN1008" s="56">
        <v>767</v>
      </c>
    </row>
    <row r="1009" spans="1:66" ht="15" customHeight="1">
      <c r="A1009" s="36"/>
      <c r="D1009" s="45" t="s">
        <v>1903</v>
      </c>
      <c r="E1009" s="104" t="s">
        <v>1597</v>
      </c>
      <c r="G1009" s="13">
        <v>50.000000000000007</v>
      </c>
      <c r="N1009" s="19"/>
      <c r="P1009" s="592"/>
      <c r="Q1009" s="592"/>
      <c r="R1009" s="592"/>
      <c r="S1009" s="592"/>
      <c r="T1009" s="592"/>
      <c r="U1009" s="592"/>
      <c r="V1009" s="592"/>
      <c r="W1009" s="592"/>
      <c r="X1009" s="592"/>
    </row>
    <row r="1010" spans="1:66" ht="15" customHeight="1">
      <c r="A1010" s="8" t="s">
        <v>2168</v>
      </c>
      <c r="B1010" s="75" t="s">
        <v>527</v>
      </c>
      <c r="C1010" s="75" t="s">
        <v>1865</v>
      </c>
      <c r="D1010" s="710" t="s">
        <v>263</v>
      </c>
      <c r="E1010" s="710"/>
      <c r="F1010" s="75" t="s">
        <v>1923</v>
      </c>
      <c r="G1010" s="80">
        <v>25</v>
      </c>
      <c r="H1010" s="626"/>
      <c r="I1010" s="80">
        <f>G1010*AQ1010</f>
        <v>0</v>
      </c>
      <c r="J1010" s="80">
        <f>G1010*AR1010</f>
        <v>0</v>
      </c>
      <c r="K1010" s="80">
        <f>G1010*H1010</f>
        <v>0</v>
      </c>
      <c r="L1010" s="80">
        <v>1.33E-3</v>
      </c>
      <c r="M1010" s="80">
        <f>G1010*L1010</f>
        <v>3.3250000000000002E-2</v>
      </c>
      <c r="N1010" s="38" t="s">
        <v>1579</v>
      </c>
      <c r="P1010" s="592"/>
      <c r="Q1010" s="592"/>
      <c r="R1010" s="592"/>
      <c r="S1010" s="592"/>
      <c r="T1010" s="592"/>
      <c r="U1010" s="592"/>
      <c r="V1010" s="592"/>
      <c r="W1010" s="592"/>
      <c r="X1010" s="592"/>
      <c r="AB1010" s="56">
        <f>IF(AS1010="5",BL1010,0)</f>
        <v>0</v>
      </c>
      <c r="AD1010" s="56">
        <f>IF(AS1010="1",BJ1010,0)</f>
        <v>0</v>
      </c>
      <c r="AE1010" s="56">
        <f>IF(AS1010="1",BK1010,0)</f>
        <v>0</v>
      </c>
      <c r="AF1010" s="56">
        <f>IF(AS1010="7",BJ1010,0)</f>
        <v>0</v>
      </c>
      <c r="AG1010" s="56">
        <f>IF(AS1010="7",BK1010,0)</f>
        <v>0</v>
      </c>
      <c r="AH1010" s="56">
        <f>IF(AS1010="2",BJ1010,0)</f>
        <v>0</v>
      </c>
      <c r="AI1010" s="56">
        <f>IF(AS1010="2",BK1010,0)</f>
        <v>0</v>
      </c>
      <c r="AJ1010" s="56">
        <f>IF(AS1010="0",BL1010,0)</f>
        <v>0</v>
      </c>
      <c r="AK1010" s="7" t="s">
        <v>527</v>
      </c>
      <c r="AL1010" s="80">
        <f>IF(AP1010=0,K1010,0)</f>
        <v>0</v>
      </c>
      <c r="AM1010" s="80">
        <f>IF(AP1010=15,K1010,0)</f>
        <v>0</v>
      </c>
      <c r="AN1010" s="80">
        <f>IF(AP1010=21,K1010,0)</f>
        <v>0</v>
      </c>
      <c r="AP1010" s="56">
        <v>21</v>
      </c>
      <c r="AQ1010" s="88">
        <f>H1010*1</f>
        <v>0</v>
      </c>
      <c r="AR1010" s="88">
        <f>H1010*(1-1)</f>
        <v>0</v>
      </c>
      <c r="AS1010" s="64" t="s">
        <v>2311</v>
      </c>
      <c r="AX1010" s="56">
        <f>AY1010+AZ1010</f>
        <v>0</v>
      </c>
      <c r="AY1010" s="56">
        <f>G1010*AQ1010</f>
        <v>0</v>
      </c>
      <c r="AZ1010" s="56">
        <f>G1010*AR1010</f>
        <v>0</v>
      </c>
      <c r="BA1010" s="21" t="s">
        <v>644</v>
      </c>
      <c r="BB1010" s="21" t="s">
        <v>788</v>
      </c>
      <c r="BC1010" s="7" t="s">
        <v>1887</v>
      </c>
      <c r="BE1010" s="56">
        <f>AY1010+AZ1010</f>
        <v>0</v>
      </c>
      <c r="BF1010" s="56">
        <f>H1010/(100-BG1010)*100</f>
        <v>0</v>
      </c>
      <c r="BG1010" s="56">
        <v>0</v>
      </c>
      <c r="BH1010" s="56">
        <f>M1010</f>
        <v>3.3250000000000002E-2</v>
      </c>
      <c r="BJ1010" s="80">
        <f>G1010*AQ1010</f>
        <v>0</v>
      </c>
      <c r="BK1010" s="80">
        <f>G1010*AR1010</f>
        <v>0</v>
      </c>
      <c r="BL1010" s="80">
        <f>G1010*H1010</f>
        <v>0</v>
      </c>
      <c r="BM1010" s="80"/>
      <c r="BN1010" s="56">
        <v>767</v>
      </c>
    </row>
    <row r="1011" spans="1:66" ht="15" customHeight="1">
      <c r="A1011" s="36"/>
      <c r="D1011" s="45" t="s">
        <v>562</v>
      </c>
      <c r="E1011" s="104" t="s">
        <v>1597</v>
      </c>
      <c r="G1011" s="13">
        <v>25.000000000000004</v>
      </c>
      <c r="N1011" s="19"/>
      <c r="P1011" s="592"/>
      <c r="Q1011" s="592"/>
      <c r="R1011" s="592"/>
      <c r="S1011" s="592"/>
      <c r="T1011" s="592"/>
      <c r="U1011" s="592"/>
      <c r="V1011" s="592"/>
      <c r="W1011" s="592"/>
      <c r="X1011" s="592"/>
    </row>
    <row r="1012" spans="1:66" ht="15" customHeight="1">
      <c r="A1012" s="8" t="s">
        <v>2066</v>
      </c>
      <c r="B1012" s="75" t="s">
        <v>527</v>
      </c>
      <c r="C1012" s="75" t="s">
        <v>1377</v>
      </c>
      <c r="D1012" s="710" t="s">
        <v>3622</v>
      </c>
      <c r="E1012" s="710"/>
      <c r="F1012" s="75" t="s">
        <v>564</v>
      </c>
      <c r="G1012" s="80">
        <v>10</v>
      </c>
      <c r="H1012" s="626"/>
      <c r="I1012" s="80">
        <f>G1012*AQ1012</f>
        <v>0</v>
      </c>
      <c r="J1012" s="80">
        <f>G1012*AR1012</f>
        <v>0</v>
      </c>
      <c r="K1012" s="80">
        <f>G1012*H1012</f>
        <v>0</v>
      </c>
      <c r="L1012" s="80">
        <v>0</v>
      </c>
      <c r="M1012" s="80">
        <f>G1012*L1012</f>
        <v>0</v>
      </c>
      <c r="N1012" s="38" t="s">
        <v>1579</v>
      </c>
      <c r="P1012" s="592"/>
      <c r="Q1012" s="592"/>
      <c r="R1012" s="592"/>
      <c r="S1012" s="592"/>
      <c r="T1012" s="592"/>
      <c r="U1012" s="592"/>
      <c r="V1012" s="592"/>
      <c r="W1012" s="592"/>
      <c r="X1012" s="592"/>
      <c r="AB1012" s="56">
        <f>IF(AS1012="5",BL1012,0)</f>
        <v>0</v>
      </c>
      <c r="AD1012" s="56">
        <f>IF(AS1012="1",BJ1012,0)</f>
        <v>0</v>
      </c>
      <c r="AE1012" s="56">
        <f>IF(AS1012="1",BK1012,0)</f>
        <v>0</v>
      </c>
      <c r="AF1012" s="56">
        <f>IF(AS1012="7",BJ1012,0)</f>
        <v>0</v>
      </c>
      <c r="AG1012" s="56">
        <f>IF(AS1012="7",BK1012,0)</f>
        <v>0</v>
      </c>
      <c r="AH1012" s="56">
        <f>IF(AS1012="2",BJ1012,0)</f>
        <v>0</v>
      </c>
      <c r="AI1012" s="56">
        <f>IF(AS1012="2",BK1012,0)</f>
        <v>0</v>
      </c>
      <c r="AJ1012" s="56">
        <f>IF(AS1012="0",BL1012,0)</f>
        <v>0</v>
      </c>
      <c r="AK1012" s="7" t="s">
        <v>527</v>
      </c>
      <c r="AL1012" s="80">
        <f>IF(AP1012=0,K1012,0)</f>
        <v>0</v>
      </c>
      <c r="AM1012" s="80">
        <f>IF(AP1012=15,K1012,0)</f>
        <v>0</v>
      </c>
      <c r="AN1012" s="80">
        <f>IF(AP1012=21,K1012,0)</f>
        <v>0</v>
      </c>
      <c r="AP1012" s="56">
        <v>21</v>
      </c>
      <c r="AQ1012" s="88">
        <f>H1012*1</f>
        <v>0</v>
      </c>
      <c r="AR1012" s="88">
        <f>H1012*(1-1)</f>
        <v>0</v>
      </c>
      <c r="AS1012" s="64" t="s">
        <v>2311</v>
      </c>
      <c r="AX1012" s="56">
        <f>AY1012+AZ1012</f>
        <v>0</v>
      </c>
      <c r="AY1012" s="56">
        <f>G1012*AQ1012</f>
        <v>0</v>
      </c>
      <c r="AZ1012" s="56">
        <f>G1012*AR1012</f>
        <v>0</v>
      </c>
      <c r="BA1012" s="21" t="s">
        <v>644</v>
      </c>
      <c r="BB1012" s="21" t="s">
        <v>788</v>
      </c>
      <c r="BC1012" s="7" t="s">
        <v>1887</v>
      </c>
      <c r="BE1012" s="56">
        <f>AY1012+AZ1012</f>
        <v>0</v>
      </c>
      <c r="BF1012" s="56">
        <f>H1012/(100-BG1012)*100</f>
        <v>0</v>
      </c>
      <c r="BG1012" s="56">
        <v>0</v>
      </c>
      <c r="BH1012" s="56">
        <f>M1012</f>
        <v>0</v>
      </c>
      <c r="BJ1012" s="80">
        <f>G1012*AQ1012</f>
        <v>0</v>
      </c>
      <c r="BK1012" s="80">
        <f>G1012*AR1012</f>
        <v>0</v>
      </c>
      <c r="BL1012" s="80">
        <f>G1012*H1012</f>
        <v>0</v>
      </c>
      <c r="BM1012" s="80"/>
      <c r="BN1012" s="56">
        <v>767</v>
      </c>
    </row>
    <row r="1013" spans="1:66" ht="15" customHeight="1">
      <c r="A1013" s="36"/>
      <c r="D1013" s="45" t="s">
        <v>1346</v>
      </c>
      <c r="E1013" s="104" t="s">
        <v>1597</v>
      </c>
      <c r="G1013" s="13">
        <v>10</v>
      </c>
      <c r="N1013" s="19"/>
      <c r="P1013" s="592"/>
      <c r="Q1013" s="592"/>
      <c r="R1013" s="592"/>
      <c r="S1013" s="592"/>
      <c r="T1013" s="592"/>
      <c r="U1013" s="592"/>
      <c r="V1013" s="592"/>
      <c r="W1013" s="592"/>
      <c r="X1013" s="592"/>
    </row>
    <row r="1014" spans="1:66" ht="15" customHeight="1">
      <c r="A1014" s="24" t="s">
        <v>797</v>
      </c>
      <c r="B1014" s="12" t="s">
        <v>527</v>
      </c>
      <c r="C1014" s="12" t="s">
        <v>1580</v>
      </c>
      <c r="D1014" s="630" t="s">
        <v>739</v>
      </c>
      <c r="E1014" s="630"/>
      <c r="F1014" s="12" t="s">
        <v>2182</v>
      </c>
      <c r="G1014" s="56">
        <v>350</v>
      </c>
      <c r="H1014" s="625"/>
      <c r="I1014" s="56">
        <f>G1014*AQ1014</f>
        <v>0</v>
      </c>
      <c r="J1014" s="56">
        <f>G1014*AR1014</f>
        <v>0</v>
      </c>
      <c r="K1014" s="56">
        <f>G1014*H1014</f>
        <v>0</v>
      </c>
      <c r="L1014" s="56">
        <v>6.0000000000000002E-5</v>
      </c>
      <c r="M1014" s="56">
        <f>G1014*L1014</f>
        <v>2.1000000000000001E-2</v>
      </c>
      <c r="N1014" s="31" t="s">
        <v>1579</v>
      </c>
      <c r="P1014" s="592"/>
      <c r="Q1014" s="592"/>
      <c r="R1014" s="592"/>
      <c r="S1014" s="592"/>
      <c r="T1014" s="592"/>
      <c r="U1014" s="592"/>
      <c r="V1014" s="592"/>
      <c r="W1014" s="592"/>
      <c r="X1014" s="592"/>
      <c r="AB1014" s="56">
        <f>IF(AS1014="5",BL1014,0)</f>
        <v>0</v>
      </c>
      <c r="AD1014" s="56">
        <f>IF(AS1014="1",BJ1014,0)</f>
        <v>0</v>
      </c>
      <c r="AE1014" s="56">
        <f>IF(AS1014="1",BK1014,0)</f>
        <v>0</v>
      </c>
      <c r="AF1014" s="56">
        <f>IF(AS1014="7",BJ1014,0)</f>
        <v>0</v>
      </c>
      <c r="AG1014" s="56">
        <f>IF(AS1014="7",BK1014,0)</f>
        <v>0</v>
      </c>
      <c r="AH1014" s="56">
        <f>IF(AS1014="2",BJ1014,0)</f>
        <v>0</v>
      </c>
      <c r="AI1014" s="56">
        <f>IF(AS1014="2",BK1014,0)</f>
        <v>0</v>
      </c>
      <c r="AJ1014" s="56">
        <f>IF(AS1014="0",BL1014,0)</f>
        <v>0</v>
      </c>
      <c r="AK1014" s="7" t="s">
        <v>527</v>
      </c>
      <c r="AL1014" s="56">
        <f>IF(AP1014=0,K1014,0)</f>
        <v>0</v>
      </c>
      <c r="AM1014" s="56">
        <f>IF(AP1014=15,K1014,0)</f>
        <v>0</v>
      </c>
      <c r="AN1014" s="56">
        <f>IF(AP1014=21,K1014,0)</f>
        <v>0</v>
      </c>
      <c r="AP1014" s="56">
        <v>21</v>
      </c>
      <c r="AQ1014" s="88">
        <f>H1014*0.0951149425287356</f>
        <v>0</v>
      </c>
      <c r="AR1014" s="88">
        <f>H1014*(1-0.0951149425287356)</f>
        <v>0</v>
      </c>
      <c r="AS1014" s="21" t="s">
        <v>2311</v>
      </c>
      <c r="AX1014" s="56">
        <f>AY1014+AZ1014</f>
        <v>0</v>
      </c>
      <c r="AY1014" s="56">
        <f>G1014*AQ1014</f>
        <v>0</v>
      </c>
      <c r="AZ1014" s="56">
        <f>G1014*AR1014</f>
        <v>0</v>
      </c>
      <c r="BA1014" s="21" t="s">
        <v>644</v>
      </c>
      <c r="BB1014" s="21" t="s">
        <v>788</v>
      </c>
      <c r="BC1014" s="7" t="s">
        <v>1887</v>
      </c>
      <c r="BE1014" s="56">
        <f>AY1014+AZ1014</f>
        <v>0</v>
      </c>
      <c r="BF1014" s="56">
        <f>H1014/(100-BG1014)*100</f>
        <v>0</v>
      </c>
      <c r="BG1014" s="56">
        <v>0</v>
      </c>
      <c r="BH1014" s="56">
        <f>M1014</f>
        <v>2.1000000000000001E-2</v>
      </c>
      <c r="BJ1014" s="56">
        <f>G1014*AQ1014</f>
        <v>0</v>
      </c>
      <c r="BK1014" s="56">
        <f>G1014*AR1014</f>
        <v>0</v>
      </c>
      <c r="BL1014" s="56">
        <f>G1014*H1014</f>
        <v>0</v>
      </c>
      <c r="BM1014" s="56"/>
      <c r="BN1014" s="56">
        <v>767</v>
      </c>
    </row>
    <row r="1015" spans="1:66" ht="15" customHeight="1">
      <c r="A1015" s="36"/>
      <c r="D1015" s="45" t="s">
        <v>2329</v>
      </c>
      <c r="E1015" s="104" t="s">
        <v>1582</v>
      </c>
      <c r="G1015" s="13">
        <v>350.00000000000006</v>
      </c>
      <c r="N1015" s="19"/>
      <c r="P1015" s="592"/>
      <c r="Q1015" s="592"/>
      <c r="R1015" s="592"/>
      <c r="S1015" s="592"/>
      <c r="T1015" s="592"/>
      <c r="U1015" s="592"/>
      <c r="V1015" s="592"/>
      <c r="W1015" s="592"/>
      <c r="X1015" s="592"/>
    </row>
    <row r="1016" spans="1:66" ht="15" customHeight="1">
      <c r="A1016" s="8" t="s">
        <v>1967</v>
      </c>
      <c r="B1016" s="75" t="s">
        <v>527</v>
      </c>
      <c r="C1016" s="75" t="s">
        <v>1377</v>
      </c>
      <c r="D1016" s="710" t="s">
        <v>3623</v>
      </c>
      <c r="E1016" s="710"/>
      <c r="F1016" s="75" t="s">
        <v>564</v>
      </c>
      <c r="G1016" s="80">
        <v>10</v>
      </c>
      <c r="H1016" s="626"/>
      <c r="I1016" s="80">
        <f>G1016*AQ1016</f>
        <v>0</v>
      </c>
      <c r="J1016" s="80">
        <f>G1016*AR1016</f>
        <v>0</v>
      </c>
      <c r="K1016" s="80">
        <f>G1016*H1016</f>
        <v>0</v>
      </c>
      <c r="L1016" s="80">
        <v>0</v>
      </c>
      <c r="M1016" s="80">
        <f>G1016*L1016</f>
        <v>0</v>
      </c>
      <c r="N1016" s="38" t="s">
        <v>1579</v>
      </c>
      <c r="P1016" s="592"/>
      <c r="Q1016" s="592"/>
      <c r="R1016" s="592"/>
      <c r="S1016" s="592"/>
      <c r="T1016" s="592"/>
      <c r="U1016" s="592"/>
      <c r="V1016" s="592"/>
      <c r="W1016" s="592"/>
      <c r="X1016" s="592"/>
      <c r="AB1016" s="56">
        <f>IF(AS1016="5",BL1016,0)</f>
        <v>0</v>
      </c>
      <c r="AD1016" s="56">
        <f>IF(AS1016="1",BJ1016,0)</f>
        <v>0</v>
      </c>
      <c r="AE1016" s="56">
        <f>IF(AS1016="1",BK1016,0)</f>
        <v>0</v>
      </c>
      <c r="AF1016" s="56">
        <f>IF(AS1016="7",BJ1016,0)</f>
        <v>0</v>
      </c>
      <c r="AG1016" s="56">
        <f>IF(AS1016="7",BK1016,0)</f>
        <v>0</v>
      </c>
      <c r="AH1016" s="56">
        <f>IF(AS1016="2",BJ1016,0)</f>
        <v>0</v>
      </c>
      <c r="AI1016" s="56">
        <f>IF(AS1016="2",BK1016,0)</f>
        <v>0</v>
      </c>
      <c r="AJ1016" s="56">
        <f>IF(AS1016="0",BL1016,0)</f>
        <v>0</v>
      </c>
      <c r="AK1016" s="7" t="s">
        <v>527</v>
      </c>
      <c r="AL1016" s="80">
        <f>IF(AP1016=0,K1016,0)</f>
        <v>0</v>
      </c>
      <c r="AM1016" s="80">
        <f>IF(AP1016=15,K1016,0)</f>
        <v>0</v>
      </c>
      <c r="AN1016" s="80">
        <f>IF(AP1016=21,K1016,0)</f>
        <v>0</v>
      </c>
      <c r="AP1016" s="56">
        <v>21</v>
      </c>
      <c r="AQ1016" s="88">
        <f>H1016*1</f>
        <v>0</v>
      </c>
      <c r="AR1016" s="88">
        <f>H1016*(1-1)</f>
        <v>0</v>
      </c>
      <c r="AS1016" s="64" t="s">
        <v>2311</v>
      </c>
      <c r="AX1016" s="56">
        <f>AY1016+AZ1016</f>
        <v>0</v>
      </c>
      <c r="AY1016" s="56">
        <f>G1016*AQ1016</f>
        <v>0</v>
      </c>
      <c r="AZ1016" s="56">
        <f>G1016*AR1016</f>
        <v>0</v>
      </c>
      <c r="BA1016" s="21" t="s">
        <v>644</v>
      </c>
      <c r="BB1016" s="21" t="s">
        <v>788</v>
      </c>
      <c r="BC1016" s="7" t="s">
        <v>1887</v>
      </c>
      <c r="BE1016" s="56">
        <f>AY1016+AZ1016</f>
        <v>0</v>
      </c>
      <c r="BF1016" s="56">
        <f>H1016/(100-BG1016)*100</f>
        <v>0</v>
      </c>
      <c r="BG1016" s="56">
        <v>0</v>
      </c>
      <c r="BH1016" s="56">
        <f>M1016</f>
        <v>0</v>
      </c>
      <c r="BJ1016" s="80">
        <f>G1016*AQ1016</f>
        <v>0</v>
      </c>
      <c r="BK1016" s="80">
        <f>G1016*AR1016</f>
        <v>0</v>
      </c>
      <c r="BL1016" s="80">
        <f>G1016*H1016</f>
        <v>0</v>
      </c>
      <c r="BM1016" s="80"/>
      <c r="BN1016" s="56">
        <v>767</v>
      </c>
    </row>
    <row r="1017" spans="1:66" ht="15" customHeight="1">
      <c r="A1017" s="36"/>
      <c r="D1017" s="45" t="s">
        <v>1346</v>
      </c>
      <c r="E1017" s="104" t="s">
        <v>1597</v>
      </c>
      <c r="G1017" s="13">
        <v>10</v>
      </c>
      <c r="N1017" s="19"/>
      <c r="P1017" s="592"/>
      <c r="Q1017" s="592"/>
      <c r="R1017" s="592"/>
      <c r="S1017" s="592"/>
      <c r="T1017" s="592"/>
      <c r="U1017" s="592"/>
      <c r="V1017" s="592"/>
      <c r="W1017" s="592"/>
      <c r="X1017" s="592"/>
    </row>
    <row r="1018" spans="1:66" ht="15" customHeight="1">
      <c r="A1018" s="24" t="s">
        <v>249</v>
      </c>
      <c r="B1018" s="12" t="s">
        <v>527</v>
      </c>
      <c r="C1018" s="12" t="s">
        <v>1580</v>
      </c>
      <c r="D1018" s="630" t="s">
        <v>2056</v>
      </c>
      <c r="E1018" s="630"/>
      <c r="F1018" s="12" t="s">
        <v>2182</v>
      </c>
      <c r="G1018" s="56">
        <v>88</v>
      </c>
      <c r="H1018" s="625"/>
      <c r="I1018" s="56">
        <f>G1018*AQ1018</f>
        <v>0</v>
      </c>
      <c r="J1018" s="56">
        <f>G1018*AR1018</f>
        <v>0</v>
      </c>
      <c r="K1018" s="56">
        <f>G1018*H1018</f>
        <v>0</v>
      </c>
      <c r="L1018" s="56">
        <v>6.0000000000000002E-5</v>
      </c>
      <c r="M1018" s="56">
        <f>G1018*L1018</f>
        <v>5.28E-3</v>
      </c>
      <c r="N1018" s="31" t="s">
        <v>1579</v>
      </c>
      <c r="P1018" s="592"/>
      <c r="Q1018" s="592"/>
      <c r="R1018" s="592"/>
      <c r="S1018" s="592"/>
      <c r="T1018" s="592"/>
      <c r="U1018" s="592"/>
      <c r="V1018" s="592"/>
      <c r="W1018" s="592"/>
      <c r="X1018" s="592"/>
      <c r="AB1018" s="56">
        <f>IF(AS1018="5",BL1018,0)</f>
        <v>0</v>
      </c>
      <c r="AD1018" s="56">
        <f>IF(AS1018="1",BJ1018,0)</f>
        <v>0</v>
      </c>
      <c r="AE1018" s="56">
        <f>IF(AS1018="1",BK1018,0)</f>
        <v>0</v>
      </c>
      <c r="AF1018" s="56">
        <f>IF(AS1018="7",BJ1018,0)</f>
        <v>0</v>
      </c>
      <c r="AG1018" s="56">
        <f>IF(AS1018="7",BK1018,0)</f>
        <v>0</v>
      </c>
      <c r="AH1018" s="56">
        <f>IF(AS1018="2",BJ1018,0)</f>
        <v>0</v>
      </c>
      <c r="AI1018" s="56">
        <f>IF(AS1018="2",BK1018,0)</f>
        <v>0</v>
      </c>
      <c r="AJ1018" s="56">
        <f>IF(AS1018="0",BL1018,0)</f>
        <v>0</v>
      </c>
      <c r="AK1018" s="7" t="s">
        <v>527</v>
      </c>
      <c r="AL1018" s="56">
        <f>IF(AP1018=0,K1018,0)</f>
        <v>0</v>
      </c>
      <c r="AM1018" s="56">
        <f>IF(AP1018=15,K1018,0)</f>
        <v>0</v>
      </c>
      <c r="AN1018" s="56">
        <f>IF(AP1018=21,K1018,0)</f>
        <v>0</v>
      </c>
      <c r="AP1018" s="56">
        <v>21</v>
      </c>
      <c r="AQ1018" s="88">
        <f>H1018*0.0951149425287356</f>
        <v>0</v>
      </c>
      <c r="AR1018" s="88">
        <f>H1018*(1-0.0951149425287356)</f>
        <v>0</v>
      </c>
      <c r="AS1018" s="21" t="s">
        <v>2311</v>
      </c>
      <c r="AX1018" s="56">
        <f>AY1018+AZ1018</f>
        <v>0</v>
      </c>
      <c r="AY1018" s="56">
        <f>G1018*AQ1018</f>
        <v>0</v>
      </c>
      <c r="AZ1018" s="56">
        <f>G1018*AR1018</f>
        <v>0</v>
      </c>
      <c r="BA1018" s="21" t="s">
        <v>644</v>
      </c>
      <c r="BB1018" s="21" t="s">
        <v>788</v>
      </c>
      <c r="BC1018" s="7" t="s">
        <v>1887</v>
      </c>
      <c r="BE1018" s="56">
        <f>AY1018+AZ1018</f>
        <v>0</v>
      </c>
      <c r="BF1018" s="56">
        <f>H1018/(100-BG1018)*100</f>
        <v>0</v>
      </c>
      <c r="BG1018" s="56">
        <v>0</v>
      </c>
      <c r="BH1018" s="56">
        <f>M1018</f>
        <v>5.28E-3</v>
      </c>
      <c r="BJ1018" s="56">
        <f>G1018*AQ1018</f>
        <v>0</v>
      </c>
      <c r="BK1018" s="56">
        <f>G1018*AR1018</f>
        <v>0</v>
      </c>
      <c r="BL1018" s="56">
        <f>G1018*H1018</f>
        <v>0</v>
      </c>
      <c r="BM1018" s="56"/>
      <c r="BN1018" s="56">
        <v>767</v>
      </c>
    </row>
    <row r="1019" spans="1:66" ht="15" customHeight="1">
      <c r="A1019" s="36"/>
      <c r="D1019" s="45" t="s">
        <v>2512</v>
      </c>
      <c r="E1019" s="104" t="s">
        <v>914</v>
      </c>
      <c r="G1019" s="13">
        <v>88.000000000000014</v>
      </c>
      <c r="N1019" s="19"/>
      <c r="P1019" s="592"/>
      <c r="Q1019" s="592"/>
      <c r="R1019" s="592"/>
      <c r="S1019" s="592"/>
      <c r="T1019" s="592"/>
      <c r="U1019" s="592"/>
      <c r="V1019" s="592"/>
      <c r="W1019" s="592"/>
      <c r="X1019" s="592"/>
    </row>
    <row r="1020" spans="1:66" ht="15" customHeight="1">
      <c r="A1020" s="8" t="s">
        <v>693</v>
      </c>
      <c r="B1020" s="75" t="s">
        <v>527</v>
      </c>
      <c r="C1020" s="75" t="s">
        <v>134</v>
      </c>
      <c r="D1020" s="710" t="s">
        <v>643</v>
      </c>
      <c r="E1020" s="710"/>
      <c r="F1020" s="75" t="s">
        <v>564</v>
      </c>
      <c r="G1020" s="80">
        <v>1</v>
      </c>
      <c r="H1020" s="626"/>
      <c r="I1020" s="80">
        <f>G1020*AQ1020</f>
        <v>0</v>
      </c>
      <c r="J1020" s="80">
        <f>G1020*AR1020</f>
        <v>0</v>
      </c>
      <c r="K1020" s="80">
        <f>G1020*H1020</f>
        <v>0</v>
      </c>
      <c r="L1020" s="80">
        <v>0</v>
      </c>
      <c r="M1020" s="80">
        <f>G1020*L1020</f>
        <v>0</v>
      </c>
      <c r="N1020" s="38" t="s">
        <v>1597</v>
      </c>
      <c r="P1020" s="592"/>
      <c r="Q1020" s="592"/>
      <c r="R1020" s="592"/>
      <c r="S1020" s="592"/>
      <c r="T1020" s="592"/>
      <c r="U1020" s="592"/>
      <c r="V1020" s="592"/>
      <c r="W1020" s="592"/>
      <c r="X1020" s="592"/>
      <c r="AB1020" s="56">
        <f>IF(AS1020="5",BL1020,0)</f>
        <v>0</v>
      </c>
      <c r="AD1020" s="56">
        <f>IF(AS1020="1",BJ1020,0)</f>
        <v>0</v>
      </c>
      <c r="AE1020" s="56">
        <f>IF(AS1020="1",BK1020,0)</f>
        <v>0</v>
      </c>
      <c r="AF1020" s="56">
        <f>IF(AS1020="7",BJ1020,0)</f>
        <v>0</v>
      </c>
      <c r="AG1020" s="56">
        <f>IF(AS1020="7",BK1020,0)</f>
        <v>0</v>
      </c>
      <c r="AH1020" s="56">
        <f>IF(AS1020="2",BJ1020,0)</f>
        <v>0</v>
      </c>
      <c r="AI1020" s="56">
        <f>IF(AS1020="2",BK1020,0)</f>
        <v>0</v>
      </c>
      <c r="AJ1020" s="56">
        <f>IF(AS1020="0",BL1020,0)</f>
        <v>0</v>
      </c>
      <c r="AK1020" s="7" t="s">
        <v>527</v>
      </c>
      <c r="AL1020" s="80">
        <f>IF(AP1020=0,K1020,0)</f>
        <v>0</v>
      </c>
      <c r="AM1020" s="80">
        <f>IF(AP1020=15,K1020,0)</f>
        <v>0</v>
      </c>
      <c r="AN1020" s="80">
        <f>IF(AP1020=21,K1020,0)</f>
        <v>0</v>
      </c>
      <c r="AP1020" s="56">
        <v>21</v>
      </c>
      <c r="AQ1020" s="88">
        <f>H1020*1</f>
        <v>0</v>
      </c>
      <c r="AR1020" s="88">
        <f>H1020*(1-1)</f>
        <v>0</v>
      </c>
      <c r="AS1020" s="64" t="s">
        <v>2311</v>
      </c>
      <c r="AX1020" s="56">
        <f>AY1020+AZ1020</f>
        <v>0</v>
      </c>
      <c r="AY1020" s="56">
        <f>G1020*AQ1020</f>
        <v>0</v>
      </c>
      <c r="AZ1020" s="56">
        <f>G1020*AR1020</f>
        <v>0</v>
      </c>
      <c r="BA1020" s="21" t="s">
        <v>644</v>
      </c>
      <c r="BB1020" s="21" t="s">
        <v>788</v>
      </c>
      <c r="BC1020" s="7" t="s">
        <v>1887</v>
      </c>
      <c r="BE1020" s="56">
        <f>AY1020+AZ1020</f>
        <v>0</v>
      </c>
      <c r="BF1020" s="56">
        <f>H1020/(100-BG1020)*100</f>
        <v>0</v>
      </c>
      <c r="BG1020" s="56">
        <v>0</v>
      </c>
      <c r="BH1020" s="56">
        <f>M1020</f>
        <v>0</v>
      </c>
      <c r="BJ1020" s="80">
        <f>G1020*AQ1020</f>
        <v>0</v>
      </c>
      <c r="BK1020" s="80">
        <f>G1020*AR1020</f>
        <v>0</v>
      </c>
      <c r="BL1020" s="80">
        <f>G1020*H1020</f>
        <v>0</v>
      </c>
      <c r="BM1020" s="80"/>
      <c r="BN1020" s="56">
        <v>767</v>
      </c>
    </row>
    <row r="1021" spans="1:66" ht="15" customHeight="1">
      <c r="A1021" s="36"/>
      <c r="D1021" s="45" t="s">
        <v>2297</v>
      </c>
      <c r="E1021" s="104" t="s">
        <v>2481</v>
      </c>
      <c r="G1021" s="13">
        <v>1</v>
      </c>
      <c r="N1021" s="19"/>
      <c r="P1021" s="592"/>
      <c r="Q1021" s="592"/>
      <c r="R1021" s="592"/>
      <c r="S1021" s="592"/>
      <c r="T1021" s="592"/>
      <c r="U1021" s="592"/>
      <c r="V1021" s="592"/>
      <c r="W1021" s="592"/>
      <c r="X1021" s="592"/>
    </row>
    <row r="1022" spans="1:66" ht="15" customHeight="1">
      <c r="A1022" s="8" t="s">
        <v>905</v>
      </c>
      <c r="B1022" s="75" t="s">
        <v>527</v>
      </c>
      <c r="C1022" s="75" t="s">
        <v>2079</v>
      </c>
      <c r="D1022" s="710" t="s">
        <v>2075</v>
      </c>
      <c r="E1022" s="710"/>
      <c r="F1022" s="75" t="s">
        <v>564</v>
      </c>
      <c r="G1022" s="80">
        <v>1</v>
      </c>
      <c r="H1022" s="626"/>
      <c r="I1022" s="80">
        <f>G1022*AQ1022</f>
        <v>0</v>
      </c>
      <c r="J1022" s="80">
        <f>G1022*AR1022</f>
        <v>0</v>
      </c>
      <c r="K1022" s="80">
        <f>G1022*H1022</f>
        <v>0</v>
      </c>
      <c r="L1022" s="80">
        <v>0</v>
      </c>
      <c r="M1022" s="80">
        <f>G1022*L1022</f>
        <v>0</v>
      </c>
      <c r="N1022" s="38" t="s">
        <v>1597</v>
      </c>
      <c r="P1022" s="592"/>
      <c r="Q1022" s="592"/>
      <c r="R1022" s="592"/>
      <c r="S1022" s="592"/>
      <c r="T1022" s="592"/>
      <c r="U1022" s="592"/>
      <c r="V1022" s="592"/>
      <c r="W1022" s="592"/>
      <c r="X1022" s="592"/>
      <c r="AB1022" s="56">
        <f>IF(AS1022="5",BL1022,0)</f>
        <v>0</v>
      </c>
      <c r="AD1022" s="56">
        <f>IF(AS1022="1",BJ1022,0)</f>
        <v>0</v>
      </c>
      <c r="AE1022" s="56">
        <f>IF(AS1022="1",BK1022,0)</f>
        <v>0</v>
      </c>
      <c r="AF1022" s="56">
        <f>IF(AS1022="7",BJ1022,0)</f>
        <v>0</v>
      </c>
      <c r="AG1022" s="56">
        <f>IF(AS1022="7",BK1022,0)</f>
        <v>0</v>
      </c>
      <c r="AH1022" s="56">
        <f>IF(AS1022="2",BJ1022,0)</f>
        <v>0</v>
      </c>
      <c r="AI1022" s="56">
        <f>IF(AS1022="2",BK1022,0)</f>
        <v>0</v>
      </c>
      <c r="AJ1022" s="56">
        <f>IF(AS1022="0",BL1022,0)</f>
        <v>0</v>
      </c>
      <c r="AK1022" s="7" t="s">
        <v>527</v>
      </c>
      <c r="AL1022" s="80">
        <f>IF(AP1022=0,K1022,0)</f>
        <v>0</v>
      </c>
      <c r="AM1022" s="80">
        <f>IF(AP1022=15,K1022,0)</f>
        <v>0</v>
      </c>
      <c r="AN1022" s="80">
        <f>IF(AP1022=21,K1022,0)</f>
        <v>0</v>
      </c>
      <c r="AP1022" s="56">
        <v>21</v>
      </c>
      <c r="AQ1022" s="88">
        <f>H1022*1</f>
        <v>0</v>
      </c>
      <c r="AR1022" s="88">
        <f>H1022*(1-1)</f>
        <v>0</v>
      </c>
      <c r="AS1022" s="64" t="s">
        <v>2311</v>
      </c>
      <c r="AX1022" s="56">
        <f>AY1022+AZ1022</f>
        <v>0</v>
      </c>
      <c r="AY1022" s="56">
        <f>G1022*AQ1022</f>
        <v>0</v>
      </c>
      <c r="AZ1022" s="56">
        <f>G1022*AR1022</f>
        <v>0</v>
      </c>
      <c r="BA1022" s="21" t="s">
        <v>644</v>
      </c>
      <c r="BB1022" s="21" t="s">
        <v>788</v>
      </c>
      <c r="BC1022" s="7" t="s">
        <v>1887</v>
      </c>
      <c r="BE1022" s="56">
        <f>AY1022+AZ1022</f>
        <v>0</v>
      </c>
      <c r="BF1022" s="56">
        <f>H1022/(100-BG1022)*100</f>
        <v>0</v>
      </c>
      <c r="BG1022" s="56">
        <v>0</v>
      </c>
      <c r="BH1022" s="56">
        <f>M1022</f>
        <v>0</v>
      </c>
      <c r="BJ1022" s="80">
        <f>G1022*AQ1022</f>
        <v>0</v>
      </c>
      <c r="BK1022" s="80">
        <f>G1022*AR1022</f>
        <v>0</v>
      </c>
      <c r="BL1022" s="80">
        <f>G1022*H1022</f>
        <v>0</v>
      </c>
      <c r="BM1022" s="80"/>
      <c r="BN1022" s="56">
        <v>767</v>
      </c>
    </row>
    <row r="1023" spans="1:66" ht="15" customHeight="1">
      <c r="A1023" s="36"/>
      <c r="D1023" s="45" t="s">
        <v>2297</v>
      </c>
      <c r="E1023" s="104" t="s">
        <v>1039</v>
      </c>
      <c r="G1023" s="13">
        <v>1</v>
      </c>
      <c r="N1023" s="19"/>
      <c r="P1023" s="592"/>
      <c r="Q1023" s="592"/>
      <c r="R1023" s="592"/>
      <c r="S1023" s="592"/>
      <c r="T1023" s="592"/>
      <c r="U1023" s="592"/>
      <c r="V1023" s="592"/>
      <c r="W1023" s="592"/>
      <c r="X1023" s="592"/>
    </row>
    <row r="1024" spans="1:66" ht="15" customHeight="1">
      <c r="A1024" s="32" t="s">
        <v>1597</v>
      </c>
      <c r="B1024" s="26" t="s">
        <v>527</v>
      </c>
      <c r="C1024" s="518" t="s">
        <v>2556</v>
      </c>
      <c r="D1024" s="709" t="s">
        <v>2045</v>
      </c>
      <c r="E1024" s="709"/>
      <c r="F1024" s="46" t="s">
        <v>2144</v>
      </c>
      <c r="G1024" s="46" t="s">
        <v>2144</v>
      </c>
      <c r="H1024" s="46" t="s">
        <v>2144</v>
      </c>
      <c r="I1024" s="17">
        <f>SUM(I1025:I1027)</f>
        <v>0</v>
      </c>
      <c r="J1024" s="17">
        <f>SUM(J1025:J1027)</f>
        <v>0</v>
      </c>
      <c r="K1024" s="524">
        <f>SUM(K1025:K1027)</f>
        <v>0</v>
      </c>
      <c r="L1024" s="7" t="s">
        <v>1597</v>
      </c>
      <c r="M1024" s="17">
        <f>SUM(M1025:M1027)</f>
        <v>0.80520000000000003</v>
      </c>
      <c r="N1024" s="20" t="s">
        <v>1597</v>
      </c>
      <c r="P1024" s="592"/>
      <c r="Q1024" s="592"/>
      <c r="R1024" s="592"/>
      <c r="S1024" s="592"/>
      <c r="T1024" s="592"/>
      <c r="U1024" s="592"/>
      <c r="V1024" s="592">
        <f>K1024</f>
        <v>0</v>
      </c>
      <c r="W1024" s="592"/>
      <c r="X1024" s="592"/>
      <c r="AK1024" s="7" t="s">
        <v>527</v>
      </c>
      <c r="AU1024" s="17">
        <f>SUM(AL1025:AL1027)</f>
        <v>0</v>
      </c>
      <c r="AV1024" s="17">
        <f>SUM(AM1025:AM1027)</f>
        <v>0</v>
      </c>
      <c r="AW1024" s="17">
        <f>SUM(AN1025:AN1027)</f>
        <v>0</v>
      </c>
    </row>
    <row r="1025" spans="1:66" ht="15" customHeight="1">
      <c r="A1025" s="24" t="s">
        <v>1242</v>
      </c>
      <c r="B1025" s="12" t="s">
        <v>527</v>
      </c>
      <c r="C1025" s="12" t="s">
        <v>173</v>
      </c>
      <c r="D1025" s="630" t="s">
        <v>1047</v>
      </c>
      <c r="E1025" s="630"/>
      <c r="F1025" s="12" t="s">
        <v>2274</v>
      </c>
      <c r="G1025" s="56">
        <v>30</v>
      </c>
      <c r="H1025" s="625"/>
      <c r="I1025" s="56">
        <f>G1025*AQ1025</f>
        <v>0</v>
      </c>
      <c r="J1025" s="56">
        <f>G1025*AR1025</f>
        <v>0</v>
      </c>
      <c r="K1025" s="56">
        <f>G1025*H1025</f>
        <v>0</v>
      </c>
      <c r="L1025" s="56">
        <v>4.7600000000000003E-3</v>
      </c>
      <c r="M1025" s="56">
        <f>G1025*L1025</f>
        <v>0.14280000000000001</v>
      </c>
      <c r="N1025" s="31" t="s">
        <v>1579</v>
      </c>
      <c r="P1025" s="592"/>
      <c r="Q1025" s="592"/>
      <c r="R1025" s="592"/>
      <c r="S1025" s="592"/>
      <c r="T1025" s="592"/>
      <c r="U1025" s="592"/>
      <c r="V1025" s="592"/>
      <c r="W1025" s="592"/>
      <c r="X1025" s="592"/>
      <c r="AB1025" s="56">
        <f>IF(AS1025="5",BL1025,0)</f>
        <v>0</v>
      </c>
      <c r="AD1025" s="56">
        <f>IF(AS1025="1",BJ1025,0)</f>
        <v>0</v>
      </c>
      <c r="AE1025" s="56">
        <f>IF(AS1025="1",BK1025,0)</f>
        <v>0</v>
      </c>
      <c r="AF1025" s="56">
        <f>IF(AS1025="7",BJ1025,0)</f>
        <v>0</v>
      </c>
      <c r="AG1025" s="56">
        <f>IF(AS1025="7",BK1025,0)</f>
        <v>0</v>
      </c>
      <c r="AH1025" s="56">
        <f>IF(AS1025="2",BJ1025,0)</f>
        <v>0</v>
      </c>
      <c r="AI1025" s="56">
        <f>IF(AS1025="2",BK1025,0)</f>
        <v>0</v>
      </c>
      <c r="AJ1025" s="56">
        <f>IF(AS1025="0",BL1025,0)</f>
        <v>0</v>
      </c>
      <c r="AK1025" s="7" t="s">
        <v>527</v>
      </c>
      <c r="AL1025" s="56">
        <f>IF(AP1025=0,K1025,0)</f>
        <v>0</v>
      </c>
      <c r="AM1025" s="56">
        <f>IF(AP1025=15,K1025,0)</f>
        <v>0</v>
      </c>
      <c r="AN1025" s="56">
        <f>IF(AP1025=21,K1025,0)</f>
        <v>0</v>
      </c>
      <c r="AP1025" s="56">
        <v>21</v>
      </c>
      <c r="AQ1025" s="88">
        <f>H1025*0.192165242165242</f>
        <v>0</v>
      </c>
      <c r="AR1025" s="88">
        <f>H1025*(1-0.192165242165242)</f>
        <v>0</v>
      </c>
      <c r="AS1025" s="21" t="s">
        <v>2311</v>
      </c>
      <c r="AX1025" s="56">
        <f>AY1025+AZ1025</f>
        <v>0</v>
      </c>
      <c r="AY1025" s="56">
        <f>G1025*AQ1025</f>
        <v>0</v>
      </c>
      <c r="AZ1025" s="56">
        <f>G1025*AR1025</f>
        <v>0</v>
      </c>
      <c r="BA1025" s="21" t="s">
        <v>2365</v>
      </c>
      <c r="BB1025" s="21" t="s">
        <v>2603</v>
      </c>
      <c r="BC1025" s="7" t="s">
        <v>1887</v>
      </c>
      <c r="BE1025" s="56">
        <f>AY1025+AZ1025</f>
        <v>0</v>
      </c>
      <c r="BF1025" s="56">
        <f>H1025/(100-BG1025)*100</f>
        <v>0</v>
      </c>
      <c r="BG1025" s="56">
        <v>0</v>
      </c>
      <c r="BH1025" s="56">
        <f>M1025</f>
        <v>0.14280000000000001</v>
      </c>
      <c r="BJ1025" s="56">
        <f>G1025*AQ1025</f>
        <v>0</v>
      </c>
      <c r="BK1025" s="56">
        <f>G1025*AR1025</f>
        <v>0</v>
      </c>
      <c r="BL1025" s="56">
        <f>G1025*H1025</f>
        <v>0</v>
      </c>
      <c r="BM1025" s="56"/>
      <c r="BN1025" s="56">
        <v>771</v>
      </c>
    </row>
    <row r="1026" spans="1:66" ht="15" customHeight="1">
      <c r="A1026" s="36"/>
      <c r="D1026" s="45" t="s">
        <v>2543</v>
      </c>
      <c r="E1026" s="104" t="s">
        <v>1597</v>
      </c>
      <c r="G1026" s="13">
        <v>30.000000000000004</v>
      </c>
      <c r="N1026" s="19"/>
      <c r="P1026" s="592"/>
      <c r="Q1026" s="592"/>
      <c r="R1026" s="592"/>
      <c r="S1026" s="592"/>
      <c r="T1026" s="592"/>
      <c r="U1026" s="592"/>
      <c r="V1026" s="592"/>
      <c r="W1026" s="592"/>
      <c r="X1026" s="592"/>
    </row>
    <row r="1027" spans="1:66" ht="15" customHeight="1">
      <c r="A1027" s="8" t="s">
        <v>2071</v>
      </c>
      <c r="B1027" s="75" t="s">
        <v>527</v>
      </c>
      <c r="C1027" s="75" t="s">
        <v>1222</v>
      </c>
      <c r="D1027" s="710" t="s">
        <v>2680</v>
      </c>
      <c r="E1027" s="710"/>
      <c r="F1027" s="75" t="s">
        <v>2274</v>
      </c>
      <c r="G1027" s="80">
        <v>34.5</v>
      </c>
      <c r="H1027" s="626"/>
      <c r="I1027" s="80">
        <f>G1027*AQ1027</f>
        <v>0</v>
      </c>
      <c r="J1027" s="80">
        <f>G1027*AR1027</f>
        <v>0</v>
      </c>
      <c r="K1027" s="80">
        <f>G1027*H1027</f>
        <v>0</v>
      </c>
      <c r="L1027" s="80">
        <v>1.9199999999999998E-2</v>
      </c>
      <c r="M1027" s="80">
        <f>G1027*L1027</f>
        <v>0.66239999999999999</v>
      </c>
      <c r="N1027" s="38" t="s">
        <v>1579</v>
      </c>
      <c r="P1027" s="592"/>
      <c r="Q1027" s="592"/>
      <c r="R1027" s="592"/>
      <c r="S1027" s="592"/>
      <c r="T1027" s="592"/>
      <c r="U1027" s="592"/>
      <c r="V1027" s="592"/>
      <c r="W1027" s="592"/>
      <c r="X1027" s="592"/>
      <c r="AB1027" s="56">
        <f>IF(AS1027="5",BL1027,0)</f>
        <v>0</v>
      </c>
      <c r="AD1027" s="56">
        <f>IF(AS1027="1",BJ1027,0)</f>
        <v>0</v>
      </c>
      <c r="AE1027" s="56">
        <f>IF(AS1027="1",BK1027,0)</f>
        <v>0</v>
      </c>
      <c r="AF1027" s="56">
        <f>IF(AS1027="7",BJ1027,0)</f>
        <v>0</v>
      </c>
      <c r="AG1027" s="56">
        <f>IF(AS1027="7",BK1027,0)</f>
        <v>0</v>
      </c>
      <c r="AH1027" s="56">
        <f>IF(AS1027="2",BJ1027,0)</f>
        <v>0</v>
      </c>
      <c r="AI1027" s="56">
        <f>IF(AS1027="2",BK1027,0)</f>
        <v>0</v>
      </c>
      <c r="AJ1027" s="56">
        <f>IF(AS1027="0",BL1027,0)</f>
        <v>0</v>
      </c>
      <c r="AK1027" s="7" t="s">
        <v>527</v>
      </c>
      <c r="AL1027" s="80">
        <f>IF(AP1027=0,K1027,0)</f>
        <v>0</v>
      </c>
      <c r="AM1027" s="80">
        <f>IF(AP1027=15,K1027,0)</f>
        <v>0</v>
      </c>
      <c r="AN1027" s="80">
        <f>IF(AP1027=21,K1027,0)</f>
        <v>0</v>
      </c>
      <c r="AP1027" s="56">
        <v>21</v>
      </c>
      <c r="AQ1027" s="88">
        <f>H1027*1</f>
        <v>0</v>
      </c>
      <c r="AR1027" s="88">
        <f>H1027*(1-1)</f>
        <v>0</v>
      </c>
      <c r="AS1027" s="64" t="s">
        <v>2311</v>
      </c>
      <c r="AX1027" s="56">
        <f>AY1027+AZ1027</f>
        <v>0</v>
      </c>
      <c r="AY1027" s="56">
        <f>G1027*AQ1027</f>
        <v>0</v>
      </c>
      <c r="AZ1027" s="56">
        <f>G1027*AR1027</f>
        <v>0</v>
      </c>
      <c r="BA1027" s="21" t="s">
        <v>2365</v>
      </c>
      <c r="BB1027" s="21" t="s">
        <v>2603</v>
      </c>
      <c r="BC1027" s="7" t="s">
        <v>1887</v>
      </c>
      <c r="BE1027" s="56">
        <f>AY1027+AZ1027</f>
        <v>0</v>
      </c>
      <c r="BF1027" s="56">
        <f>H1027/(100-BG1027)*100</f>
        <v>0</v>
      </c>
      <c r="BG1027" s="56">
        <v>0</v>
      </c>
      <c r="BH1027" s="56">
        <f>M1027</f>
        <v>0.66239999999999999</v>
      </c>
      <c r="BJ1027" s="80">
        <f>G1027*AQ1027</f>
        <v>0</v>
      </c>
      <c r="BK1027" s="80">
        <f>G1027*AR1027</f>
        <v>0</v>
      </c>
      <c r="BL1027" s="80">
        <f>G1027*H1027</f>
        <v>0</v>
      </c>
      <c r="BM1027" s="80"/>
      <c r="BN1027" s="56">
        <v>771</v>
      </c>
    </row>
    <row r="1028" spans="1:66" ht="15" customHeight="1">
      <c r="A1028" s="36"/>
      <c r="D1028" s="45" t="s">
        <v>1485</v>
      </c>
      <c r="E1028" s="104" t="s">
        <v>1597</v>
      </c>
      <c r="G1028" s="13">
        <v>30.000000000000004</v>
      </c>
      <c r="N1028" s="19"/>
      <c r="P1028" s="592"/>
      <c r="Q1028" s="592"/>
      <c r="R1028" s="592"/>
      <c r="S1028" s="592"/>
      <c r="T1028" s="592"/>
      <c r="U1028" s="592"/>
      <c r="V1028" s="592"/>
      <c r="W1028" s="592"/>
      <c r="X1028" s="592"/>
    </row>
    <row r="1029" spans="1:66" ht="15" customHeight="1">
      <c r="A1029" s="36"/>
      <c r="D1029" s="45" t="s">
        <v>1186</v>
      </c>
      <c r="E1029" s="104" t="s">
        <v>1597</v>
      </c>
      <c r="G1029" s="13">
        <v>4.5</v>
      </c>
      <c r="N1029" s="19"/>
      <c r="P1029" s="592"/>
      <c r="Q1029" s="592"/>
      <c r="R1029" s="592"/>
      <c r="S1029" s="592"/>
      <c r="T1029" s="592"/>
      <c r="U1029" s="592"/>
      <c r="V1029" s="592"/>
      <c r="W1029" s="592"/>
      <c r="X1029" s="592"/>
    </row>
    <row r="1030" spans="1:66" ht="15" customHeight="1">
      <c r="A1030" s="32" t="s">
        <v>1597</v>
      </c>
      <c r="B1030" s="26" t="s">
        <v>527</v>
      </c>
      <c r="C1030" s="518" t="s">
        <v>1827</v>
      </c>
      <c r="D1030" s="709" t="s">
        <v>1519</v>
      </c>
      <c r="E1030" s="709"/>
      <c r="F1030" s="46" t="s">
        <v>2144</v>
      </c>
      <c r="G1030" s="46" t="s">
        <v>2144</v>
      </c>
      <c r="H1030" s="46" t="s">
        <v>2144</v>
      </c>
      <c r="I1030" s="17">
        <f>SUM(I1031:I1040)</f>
        <v>0</v>
      </c>
      <c r="J1030" s="17">
        <f>SUM(J1031:J1040)</f>
        <v>0</v>
      </c>
      <c r="K1030" s="524">
        <f>SUM(K1031:K1040)</f>
        <v>0</v>
      </c>
      <c r="L1030" s="7" t="s">
        <v>1597</v>
      </c>
      <c r="M1030" s="17">
        <f>SUM(M1031:M1040)</f>
        <v>0.51167000000000007</v>
      </c>
      <c r="N1030" s="20" t="s">
        <v>1597</v>
      </c>
      <c r="P1030" s="592"/>
      <c r="Q1030" s="592"/>
      <c r="R1030" s="592"/>
      <c r="S1030" s="592"/>
      <c r="T1030" s="592"/>
      <c r="U1030" s="592"/>
      <c r="V1030" s="592">
        <f>K1030</f>
        <v>0</v>
      </c>
      <c r="W1030" s="592"/>
      <c r="X1030" s="592"/>
      <c r="AK1030" s="7" t="s">
        <v>527</v>
      </c>
      <c r="AU1030" s="17">
        <f>SUM(AL1031:AL1040)</f>
        <v>0</v>
      </c>
      <c r="AV1030" s="17">
        <f>SUM(AM1031:AM1040)</f>
        <v>0</v>
      </c>
      <c r="AW1030" s="17">
        <f>SUM(AN1031:AN1040)</f>
        <v>0</v>
      </c>
    </row>
    <row r="1031" spans="1:66" ht="15" customHeight="1">
      <c r="A1031" s="24" t="s">
        <v>866</v>
      </c>
      <c r="B1031" s="12" t="s">
        <v>527</v>
      </c>
      <c r="C1031" s="12" t="s">
        <v>1129</v>
      </c>
      <c r="D1031" s="630" t="s">
        <v>949</v>
      </c>
      <c r="E1031" s="630"/>
      <c r="F1031" s="12" t="s">
        <v>2274</v>
      </c>
      <c r="G1031" s="56">
        <v>97.9</v>
      </c>
      <c r="H1031" s="625"/>
      <c r="I1031" s="56">
        <f>G1031*AQ1031</f>
        <v>0</v>
      </c>
      <c r="J1031" s="56">
        <f>G1031*AR1031</f>
        <v>0</v>
      </c>
      <c r="K1031" s="56">
        <f>G1031*H1031</f>
        <v>0</v>
      </c>
      <c r="L1031" s="56">
        <v>2.5000000000000001E-4</v>
      </c>
      <c r="M1031" s="56">
        <f>G1031*L1031</f>
        <v>2.4475E-2</v>
      </c>
      <c r="N1031" s="31" t="s">
        <v>1579</v>
      </c>
      <c r="P1031" s="592"/>
      <c r="Q1031" s="592"/>
      <c r="R1031" s="592"/>
      <c r="S1031" s="592"/>
      <c r="T1031" s="592"/>
      <c r="U1031" s="592"/>
      <c r="V1031" s="592"/>
      <c r="W1031" s="592"/>
      <c r="X1031" s="592"/>
      <c r="AB1031" s="56">
        <f>IF(AS1031="5",BL1031,0)</f>
        <v>0</v>
      </c>
      <c r="AD1031" s="56">
        <f>IF(AS1031="1",BJ1031,0)</f>
        <v>0</v>
      </c>
      <c r="AE1031" s="56">
        <f>IF(AS1031="1",BK1031,0)</f>
        <v>0</v>
      </c>
      <c r="AF1031" s="56">
        <f>IF(AS1031="7",BJ1031,0)</f>
        <v>0</v>
      </c>
      <c r="AG1031" s="56">
        <f>IF(AS1031="7",BK1031,0)</f>
        <v>0</v>
      </c>
      <c r="AH1031" s="56">
        <f>IF(AS1031="2",BJ1031,0)</f>
        <v>0</v>
      </c>
      <c r="AI1031" s="56">
        <f>IF(AS1031="2",BK1031,0)</f>
        <v>0</v>
      </c>
      <c r="AJ1031" s="56">
        <f>IF(AS1031="0",BL1031,0)</f>
        <v>0</v>
      </c>
      <c r="AK1031" s="7" t="s">
        <v>527</v>
      </c>
      <c r="AL1031" s="56">
        <f>IF(AP1031=0,K1031,0)</f>
        <v>0</v>
      </c>
      <c r="AM1031" s="56">
        <f>IF(AP1031=15,K1031,0)</f>
        <v>0</v>
      </c>
      <c r="AN1031" s="56">
        <f>IF(AP1031=21,K1031,0)</f>
        <v>0</v>
      </c>
      <c r="AP1031" s="56">
        <v>21</v>
      </c>
      <c r="AQ1031" s="88">
        <f>H1031*0.283826606875934</f>
        <v>0</v>
      </c>
      <c r="AR1031" s="88">
        <f>H1031*(1-0.283826606875934)</f>
        <v>0</v>
      </c>
      <c r="AS1031" s="21" t="s">
        <v>2311</v>
      </c>
      <c r="AX1031" s="56">
        <f>AY1031+AZ1031</f>
        <v>0</v>
      </c>
      <c r="AY1031" s="56">
        <f>G1031*AQ1031</f>
        <v>0</v>
      </c>
      <c r="AZ1031" s="56">
        <f>G1031*AR1031</f>
        <v>0</v>
      </c>
      <c r="BA1031" s="21" t="s">
        <v>451</v>
      </c>
      <c r="BB1031" s="21" t="s">
        <v>2603</v>
      </c>
      <c r="BC1031" s="7" t="s">
        <v>1887</v>
      </c>
      <c r="BE1031" s="56">
        <f>AY1031+AZ1031</f>
        <v>0</v>
      </c>
      <c r="BF1031" s="56">
        <f>H1031/(100-BG1031)*100</f>
        <v>0</v>
      </c>
      <c r="BG1031" s="56">
        <v>0</v>
      </c>
      <c r="BH1031" s="56">
        <f>M1031</f>
        <v>2.4475E-2</v>
      </c>
      <c r="BJ1031" s="56">
        <f>G1031*AQ1031</f>
        <v>0</v>
      </c>
      <c r="BK1031" s="56">
        <f>G1031*AR1031</f>
        <v>0</v>
      </c>
      <c r="BL1031" s="56">
        <f>G1031*H1031</f>
        <v>0</v>
      </c>
      <c r="BM1031" s="56"/>
      <c r="BN1031" s="56">
        <v>776</v>
      </c>
    </row>
    <row r="1032" spans="1:66" ht="15" customHeight="1">
      <c r="A1032" s="36"/>
      <c r="D1032" s="45" t="s">
        <v>1324</v>
      </c>
      <c r="E1032" s="104" t="s">
        <v>1597</v>
      </c>
      <c r="G1032" s="13">
        <v>97.9</v>
      </c>
      <c r="N1032" s="19"/>
      <c r="P1032" s="592"/>
      <c r="Q1032" s="592"/>
      <c r="R1032" s="592"/>
      <c r="S1032" s="592"/>
      <c r="T1032" s="592"/>
      <c r="U1032" s="592"/>
      <c r="V1032" s="592"/>
      <c r="W1032" s="592"/>
      <c r="X1032" s="592"/>
    </row>
    <row r="1033" spans="1:66" ht="15" customHeight="1">
      <c r="A1033" s="8" t="s">
        <v>1907</v>
      </c>
      <c r="B1033" s="75" t="s">
        <v>527</v>
      </c>
      <c r="C1033" s="75" t="s">
        <v>1992</v>
      </c>
      <c r="D1033" s="710" t="s">
        <v>2654</v>
      </c>
      <c r="E1033" s="710"/>
      <c r="F1033" s="75" t="s">
        <v>2274</v>
      </c>
      <c r="G1033" s="80">
        <v>112.7</v>
      </c>
      <c r="H1033" s="626"/>
      <c r="I1033" s="80">
        <f>G1033*AQ1033</f>
        <v>0</v>
      </c>
      <c r="J1033" s="80">
        <f>G1033*AR1033</f>
        <v>0</v>
      </c>
      <c r="K1033" s="80">
        <f>G1033*H1033</f>
        <v>0</v>
      </c>
      <c r="L1033" s="80">
        <v>4.0000000000000001E-3</v>
      </c>
      <c r="M1033" s="80">
        <f>G1033*L1033</f>
        <v>0.45080000000000003</v>
      </c>
      <c r="N1033" s="38" t="s">
        <v>1579</v>
      </c>
      <c r="P1033" s="592"/>
      <c r="Q1033" s="592"/>
      <c r="R1033" s="592"/>
      <c r="S1033" s="592"/>
      <c r="T1033" s="592"/>
      <c r="U1033" s="592"/>
      <c r="V1033" s="592"/>
      <c r="W1033" s="592"/>
      <c r="X1033" s="592"/>
      <c r="AB1033" s="56">
        <f>IF(AS1033="5",BL1033,0)</f>
        <v>0</v>
      </c>
      <c r="AD1033" s="56">
        <f>IF(AS1033="1",BJ1033,0)</f>
        <v>0</v>
      </c>
      <c r="AE1033" s="56">
        <f>IF(AS1033="1",BK1033,0)</f>
        <v>0</v>
      </c>
      <c r="AF1033" s="56">
        <f>IF(AS1033="7",BJ1033,0)</f>
        <v>0</v>
      </c>
      <c r="AG1033" s="56">
        <f>IF(AS1033="7",BK1033,0)</f>
        <v>0</v>
      </c>
      <c r="AH1033" s="56">
        <f>IF(AS1033="2",BJ1033,0)</f>
        <v>0</v>
      </c>
      <c r="AI1033" s="56">
        <f>IF(AS1033="2",BK1033,0)</f>
        <v>0</v>
      </c>
      <c r="AJ1033" s="56">
        <f>IF(AS1033="0",BL1033,0)</f>
        <v>0</v>
      </c>
      <c r="AK1033" s="7" t="s">
        <v>527</v>
      </c>
      <c r="AL1033" s="80">
        <f>IF(AP1033=0,K1033,0)</f>
        <v>0</v>
      </c>
      <c r="AM1033" s="80">
        <f>IF(AP1033=15,K1033,0)</f>
        <v>0</v>
      </c>
      <c r="AN1033" s="80">
        <f>IF(AP1033=21,K1033,0)</f>
        <v>0</v>
      </c>
      <c r="AP1033" s="56">
        <v>21</v>
      </c>
      <c r="AQ1033" s="88">
        <f>H1033*1</f>
        <v>0</v>
      </c>
      <c r="AR1033" s="88">
        <f>H1033*(1-1)</f>
        <v>0</v>
      </c>
      <c r="AS1033" s="64" t="s">
        <v>2311</v>
      </c>
      <c r="AX1033" s="56">
        <f>AY1033+AZ1033</f>
        <v>0</v>
      </c>
      <c r="AY1033" s="56">
        <f>G1033*AQ1033</f>
        <v>0</v>
      </c>
      <c r="AZ1033" s="56">
        <f>G1033*AR1033</f>
        <v>0</v>
      </c>
      <c r="BA1033" s="21" t="s">
        <v>451</v>
      </c>
      <c r="BB1033" s="21" t="s">
        <v>2603</v>
      </c>
      <c r="BC1033" s="7" t="s">
        <v>1887</v>
      </c>
      <c r="BE1033" s="56">
        <f>AY1033+AZ1033</f>
        <v>0</v>
      </c>
      <c r="BF1033" s="56">
        <f>H1033/(100-BG1033)*100</f>
        <v>0</v>
      </c>
      <c r="BG1033" s="56">
        <v>0</v>
      </c>
      <c r="BH1033" s="56">
        <f>M1033</f>
        <v>0.45080000000000003</v>
      </c>
      <c r="BJ1033" s="80">
        <f>G1033*AQ1033</f>
        <v>0</v>
      </c>
      <c r="BK1033" s="80">
        <f>G1033*AR1033</f>
        <v>0</v>
      </c>
      <c r="BL1033" s="80">
        <f>G1033*H1033</f>
        <v>0</v>
      </c>
      <c r="BM1033" s="80"/>
      <c r="BN1033" s="56">
        <v>776</v>
      </c>
    </row>
    <row r="1034" spans="1:66" ht="15" customHeight="1">
      <c r="A1034" s="36"/>
      <c r="D1034" s="45" t="s">
        <v>1625</v>
      </c>
      <c r="E1034" s="104" t="s">
        <v>1597</v>
      </c>
      <c r="G1034" s="13">
        <v>98.000000000000014</v>
      </c>
      <c r="N1034" s="19"/>
      <c r="P1034" s="592"/>
      <c r="Q1034" s="592"/>
      <c r="R1034" s="592"/>
      <c r="S1034" s="592"/>
      <c r="T1034" s="592"/>
      <c r="U1034" s="592"/>
      <c r="V1034" s="592"/>
      <c r="W1034" s="592"/>
      <c r="X1034" s="592"/>
    </row>
    <row r="1035" spans="1:66" ht="15" customHeight="1">
      <c r="A1035" s="36"/>
      <c r="D1035" s="45" t="s">
        <v>1168</v>
      </c>
      <c r="E1035" s="104" t="s">
        <v>1597</v>
      </c>
      <c r="G1035" s="13">
        <v>14.700000000000001</v>
      </c>
      <c r="N1035" s="19"/>
      <c r="P1035" s="592"/>
      <c r="Q1035" s="592"/>
      <c r="R1035" s="592"/>
      <c r="S1035" s="592"/>
      <c r="T1035" s="592"/>
      <c r="U1035" s="592"/>
      <c r="V1035" s="592"/>
      <c r="W1035" s="592"/>
      <c r="X1035" s="592"/>
    </row>
    <row r="1036" spans="1:66" ht="15" customHeight="1">
      <c r="A1036" s="24" t="s">
        <v>1942</v>
      </c>
      <c r="B1036" s="12" t="s">
        <v>527</v>
      </c>
      <c r="C1036" s="12" t="s">
        <v>1959</v>
      </c>
      <c r="D1036" s="630" t="s">
        <v>1303</v>
      </c>
      <c r="E1036" s="630"/>
      <c r="F1036" s="12" t="s">
        <v>2274</v>
      </c>
      <c r="G1036" s="56">
        <v>103.5</v>
      </c>
      <c r="H1036" s="625"/>
      <c r="I1036" s="56">
        <f>G1036*AQ1036</f>
        <v>0</v>
      </c>
      <c r="J1036" s="56">
        <f>G1036*AR1036</f>
        <v>0</v>
      </c>
      <c r="K1036" s="56">
        <f>G1036*H1036</f>
        <v>0</v>
      </c>
      <c r="L1036" s="56">
        <v>2.7E-4</v>
      </c>
      <c r="M1036" s="56">
        <f>G1036*L1036</f>
        <v>2.7945000000000001E-2</v>
      </c>
      <c r="N1036" s="31" t="s">
        <v>1579</v>
      </c>
      <c r="P1036" s="592"/>
      <c r="Q1036" s="592"/>
      <c r="R1036" s="592"/>
      <c r="S1036" s="592"/>
      <c r="T1036" s="592"/>
      <c r="U1036" s="592"/>
      <c r="V1036" s="592"/>
      <c r="W1036" s="592"/>
      <c r="X1036" s="592"/>
      <c r="AB1036" s="56">
        <f>IF(AS1036="5",BL1036,0)</f>
        <v>0</v>
      </c>
      <c r="AD1036" s="56">
        <f>IF(AS1036="1",BJ1036,0)</f>
        <v>0</v>
      </c>
      <c r="AE1036" s="56">
        <f>IF(AS1036="1",BK1036,0)</f>
        <v>0</v>
      </c>
      <c r="AF1036" s="56">
        <f>IF(AS1036="7",BJ1036,0)</f>
        <v>0</v>
      </c>
      <c r="AG1036" s="56">
        <f>IF(AS1036="7",BK1036,0)</f>
        <v>0</v>
      </c>
      <c r="AH1036" s="56">
        <f>IF(AS1036="2",BJ1036,0)</f>
        <v>0</v>
      </c>
      <c r="AI1036" s="56">
        <f>IF(AS1036="2",BK1036,0)</f>
        <v>0</v>
      </c>
      <c r="AJ1036" s="56">
        <f>IF(AS1036="0",BL1036,0)</f>
        <v>0</v>
      </c>
      <c r="AK1036" s="7" t="s">
        <v>527</v>
      </c>
      <c r="AL1036" s="56">
        <f>IF(AP1036=0,K1036,0)</f>
        <v>0</v>
      </c>
      <c r="AM1036" s="56">
        <f>IF(AP1036=15,K1036,0)</f>
        <v>0</v>
      </c>
      <c r="AN1036" s="56">
        <f>IF(AP1036=21,K1036,0)</f>
        <v>0</v>
      </c>
      <c r="AP1036" s="56">
        <v>21</v>
      </c>
      <c r="AQ1036" s="88">
        <f>H1036*0.337993079584775</f>
        <v>0</v>
      </c>
      <c r="AR1036" s="88">
        <f>H1036*(1-0.337993079584775)</f>
        <v>0</v>
      </c>
      <c r="AS1036" s="21" t="s">
        <v>2311</v>
      </c>
      <c r="AX1036" s="56">
        <f>AY1036+AZ1036</f>
        <v>0</v>
      </c>
      <c r="AY1036" s="56">
        <f>G1036*AQ1036</f>
        <v>0</v>
      </c>
      <c r="AZ1036" s="56">
        <f>G1036*AR1036</f>
        <v>0</v>
      </c>
      <c r="BA1036" s="21" t="s">
        <v>451</v>
      </c>
      <c r="BB1036" s="21" t="s">
        <v>2603</v>
      </c>
      <c r="BC1036" s="7" t="s">
        <v>1887</v>
      </c>
      <c r="BE1036" s="56">
        <f>AY1036+AZ1036</f>
        <v>0</v>
      </c>
      <c r="BF1036" s="56">
        <f>H1036/(100-BG1036)*100</f>
        <v>0</v>
      </c>
      <c r="BG1036" s="56">
        <v>0</v>
      </c>
      <c r="BH1036" s="56">
        <f>M1036</f>
        <v>2.7945000000000001E-2</v>
      </c>
      <c r="BJ1036" s="56">
        <f>G1036*AQ1036</f>
        <v>0</v>
      </c>
      <c r="BK1036" s="56">
        <f>G1036*AR1036</f>
        <v>0</v>
      </c>
      <c r="BL1036" s="56">
        <f>G1036*H1036</f>
        <v>0</v>
      </c>
      <c r="BM1036" s="56"/>
      <c r="BN1036" s="56">
        <v>776</v>
      </c>
    </row>
    <row r="1037" spans="1:66" ht="15" customHeight="1">
      <c r="A1037" s="36"/>
      <c r="D1037" s="45" t="s">
        <v>1366</v>
      </c>
      <c r="E1037" s="104" t="s">
        <v>1597</v>
      </c>
      <c r="G1037" s="13">
        <v>103.50000000000001</v>
      </c>
      <c r="N1037" s="19"/>
      <c r="P1037" s="592"/>
      <c r="Q1037" s="592"/>
      <c r="R1037" s="592"/>
      <c r="S1037" s="592"/>
      <c r="T1037" s="592"/>
      <c r="U1037" s="592"/>
      <c r="V1037" s="592"/>
      <c r="W1037" s="592"/>
      <c r="X1037" s="592"/>
    </row>
    <row r="1038" spans="1:66" ht="15" customHeight="1">
      <c r="A1038" s="24" t="s">
        <v>1128</v>
      </c>
      <c r="B1038" s="12" t="s">
        <v>527</v>
      </c>
      <c r="C1038" s="12" t="s">
        <v>2070</v>
      </c>
      <c r="D1038" s="630" t="s">
        <v>704</v>
      </c>
      <c r="E1038" s="630"/>
      <c r="F1038" s="12" t="s">
        <v>1923</v>
      </c>
      <c r="G1038" s="56">
        <v>65</v>
      </c>
      <c r="H1038" s="625"/>
      <c r="I1038" s="56">
        <f>G1038*AQ1038</f>
        <v>0</v>
      </c>
      <c r="J1038" s="56">
        <f>G1038*AR1038</f>
        <v>0</v>
      </c>
      <c r="K1038" s="56">
        <f>G1038*H1038</f>
        <v>0</v>
      </c>
      <c r="L1038" s="56">
        <v>2.0000000000000002E-5</v>
      </c>
      <c r="M1038" s="56">
        <f>G1038*L1038</f>
        <v>1.3000000000000002E-3</v>
      </c>
      <c r="N1038" s="31" t="s">
        <v>1579</v>
      </c>
      <c r="P1038" s="592"/>
      <c r="Q1038" s="592"/>
      <c r="R1038" s="592"/>
      <c r="S1038" s="592"/>
      <c r="T1038" s="592"/>
      <c r="U1038" s="592"/>
      <c r="V1038" s="592"/>
      <c r="W1038" s="592"/>
      <c r="X1038" s="592"/>
      <c r="AB1038" s="56">
        <f>IF(AS1038="5",BL1038,0)</f>
        <v>0</v>
      </c>
      <c r="AD1038" s="56">
        <f>IF(AS1038="1",BJ1038,0)</f>
        <v>0</v>
      </c>
      <c r="AE1038" s="56">
        <f>IF(AS1038="1",BK1038,0)</f>
        <v>0</v>
      </c>
      <c r="AF1038" s="56">
        <f>IF(AS1038="7",BJ1038,0)</f>
        <v>0</v>
      </c>
      <c r="AG1038" s="56">
        <f>IF(AS1038="7",BK1038,0)</f>
        <v>0</v>
      </c>
      <c r="AH1038" s="56">
        <f>IF(AS1038="2",BJ1038,0)</f>
        <v>0</v>
      </c>
      <c r="AI1038" s="56">
        <f>IF(AS1038="2",BK1038,0)</f>
        <v>0</v>
      </c>
      <c r="AJ1038" s="56">
        <f>IF(AS1038="0",BL1038,0)</f>
        <v>0</v>
      </c>
      <c r="AK1038" s="7" t="s">
        <v>527</v>
      </c>
      <c r="AL1038" s="56">
        <f>IF(AP1038=0,K1038,0)</f>
        <v>0</v>
      </c>
      <c r="AM1038" s="56">
        <f>IF(AP1038=15,K1038,0)</f>
        <v>0</v>
      </c>
      <c r="AN1038" s="56">
        <f>IF(AP1038=21,K1038,0)</f>
        <v>0</v>
      </c>
      <c r="AP1038" s="56">
        <v>21</v>
      </c>
      <c r="AQ1038" s="88">
        <f>H1038*0.164692482915718</f>
        <v>0</v>
      </c>
      <c r="AR1038" s="88">
        <f>H1038*(1-0.164692482915718)</f>
        <v>0</v>
      </c>
      <c r="AS1038" s="21" t="s">
        <v>2311</v>
      </c>
      <c r="AX1038" s="56">
        <f>AY1038+AZ1038</f>
        <v>0</v>
      </c>
      <c r="AY1038" s="56">
        <f>G1038*AQ1038</f>
        <v>0</v>
      </c>
      <c r="AZ1038" s="56">
        <f>G1038*AR1038</f>
        <v>0</v>
      </c>
      <c r="BA1038" s="21" t="s">
        <v>451</v>
      </c>
      <c r="BB1038" s="21" t="s">
        <v>2603</v>
      </c>
      <c r="BC1038" s="7" t="s">
        <v>1887</v>
      </c>
      <c r="BE1038" s="56">
        <f>AY1038+AZ1038</f>
        <v>0</v>
      </c>
      <c r="BF1038" s="56">
        <f>H1038/(100-BG1038)*100</f>
        <v>0</v>
      </c>
      <c r="BG1038" s="56">
        <v>0</v>
      </c>
      <c r="BH1038" s="56">
        <f>M1038</f>
        <v>1.3000000000000002E-3</v>
      </c>
      <c r="BJ1038" s="56">
        <f>G1038*AQ1038</f>
        <v>0</v>
      </c>
      <c r="BK1038" s="56">
        <f>G1038*AR1038</f>
        <v>0</v>
      </c>
      <c r="BL1038" s="56">
        <f>G1038*H1038</f>
        <v>0</v>
      </c>
      <c r="BM1038" s="56"/>
      <c r="BN1038" s="56">
        <v>776</v>
      </c>
    </row>
    <row r="1039" spans="1:66" ht="15" customHeight="1">
      <c r="A1039" s="36"/>
      <c r="D1039" s="45" t="s">
        <v>2577</v>
      </c>
      <c r="E1039" s="104" t="s">
        <v>1597</v>
      </c>
      <c r="G1039" s="13">
        <v>65</v>
      </c>
      <c r="N1039" s="19"/>
      <c r="P1039" s="592"/>
      <c r="Q1039" s="592"/>
      <c r="R1039" s="592"/>
      <c r="S1039" s="592"/>
      <c r="T1039" s="592"/>
      <c r="U1039" s="592"/>
      <c r="V1039" s="592"/>
      <c r="W1039" s="592"/>
      <c r="X1039" s="592"/>
    </row>
    <row r="1040" spans="1:66" ht="15" customHeight="1">
      <c r="A1040" s="8" t="s">
        <v>2415</v>
      </c>
      <c r="B1040" s="75" t="s">
        <v>527</v>
      </c>
      <c r="C1040" s="75" t="s">
        <v>1876</v>
      </c>
      <c r="D1040" s="710" t="s">
        <v>2487</v>
      </c>
      <c r="E1040" s="710"/>
      <c r="F1040" s="75" t="s">
        <v>564</v>
      </c>
      <c r="G1040" s="80">
        <v>71.5</v>
      </c>
      <c r="H1040" s="626"/>
      <c r="I1040" s="80">
        <f>G1040*AQ1040</f>
        <v>0</v>
      </c>
      <c r="J1040" s="80">
        <f>G1040*AR1040</f>
        <v>0</v>
      </c>
      <c r="K1040" s="80">
        <f>G1040*H1040</f>
        <v>0</v>
      </c>
      <c r="L1040" s="80">
        <v>1E-4</v>
      </c>
      <c r="M1040" s="80">
        <f>G1040*L1040</f>
        <v>7.1500000000000001E-3</v>
      </c>
      <c r="N1040" s="38" t="s">
        <v>1579</v>
      </c>
      <c r="P1040" s="592"/>
      <c r="Q1040" s="592"/>
      <c r="R1040" s="592"/>
      <c r="S1040" s="592"/>
      <c r="T1040" s="592"/>
      <c r="U1040" s="592"/>
      <c r="V1040" s="592"/>
      <c r="W1040" s="592"/>
      <c r="X1040" s="592"/>
      <c r="AB1040" s="56">
        <f>IF(AS1040="5",BL1040,0)</f>
        <v>0</v>
      </c>
      <c r="AD1040" s="56">
        <f>IF(AS1040="1",BJ1040,0)</f>
        <v>0</v>
      </c>
      <c r="AE1040" s="56">
        <f>IF(AS1040="1",BK1040,0)</f>
        <v>0</v>
      </c>
      <c r="AF1040" s="56">
        <f>IF(AS1040="7",BJ1040,0)</f>
        <v>0</v>
      </c>
      <c r="AG1040" s="56">
        <f>IF(AS1040="7",BK1040,0)</f>
        <v>0</v>
      </c>
      <c r="AH1040" s="56">
        <f>IF(AS1040="2",BJ1040,0)</f>
        <v>0</v>
      </c>
      <c r="AI1040" s="56">
        <f>IF(AS1040="2",BK1040,0)</f>
        <v>0</v>
      </c>
      <c r="AJ1040" s="56">
        <f>IF(AS1040="0",BL1040,0)</f>
        <v>0</v>
      </c>
      <c r="AK1040" s="7" t="s">
        <v>527</v>
      </c>
      <c r="AL1040" s="80">
        <f>IF(AP1040=0,K1040,0)</f>
        <v>0</v>
      </c>
      <c r="AM1040" s="80">
        <f>IF(AP1040=15,K1040,0)</f>
        <v>0</v>
      </c>
      <c r="AN1040" s="80">
        <f>IF(AP1040=21,K1040,0)</f>
        <v>0</v>
      </c>
      <c r="AP1040" s="56">
        <v>21</v>
      </c>
      <c r="AQ1040" s="88">
        <f>H1040*1</f>
        <v>0</v>
      </c>
      <c r="AR1040" s="88">
        <f>H1040*(1-1)</f>
        <v>0</v>
      </c>
      <c r="AS1040" s="64" t="s">
        <v>2311</v>
      </c>
      <c r="AX1040" s="56">
        <f>AY1040+AZ1040</f>
        <v>0</v>
      </c>
      <c r="AY1040" s="56">
        <f>G1040*AQ1040</f>
        <v>0</v>
      </c>
      <c r="AZ1040" s="56">
        <f>G1040*AR1040</f>
        <v>0</v>
      </c>
      <c r="BA1040" s="21" t="s">
        <v>451</v>
      </c>
      <c r="BB1040" s="21" t="s">
        <v>2603</v>
      </c>
      <c r="BC1040" s="7" t="s">
        <v>1887</v>
      </c>
      <c r="BE1040" s="56">
        <f>AY1040+AZ1040</f>
        <v>0</v>
      </c>
      <c r="BF1040" s="56">
        <f>H1040/(100-BG1040)*100</f>
        <v>0</v>
      </c>
      <c r="BG1040" s="56">
        <v>0</v>
      </c>
      <c r="BH1040" s="56">
        <f>M1040</f>
        <v>7.1500000000000001E-3</v>
      </c>
      <c r="BJ1040" s="80">
        <f>G1040*AQ1040</f>
        <v>0</v>
      </c>
      <c r="BK1040" s="80">
        <f>G1040*AR1040</f>
        <v>0</v>
      </c>
      <c r="BL1040" s="80">
        <f>G1040*H1040</f>
        <v>0</v>
      </c>
      <c r="BM1040" s="80"/>
      <c r="BN1040" s="56">
        <v>776</v>
      </c>
    </row>
    <row r="1041" spans="1:66" ht="15" customHeight="1">
      <c r="A1041" s="36"/>
      <c r="D1041" s="45" t="s">
        <v>2577</v>
      </c>
      <c r="E1041" s="104" t="s">
        <v>1597</v>
      </c>
      <c r="G1041" s="13">
        <v>65</v>
      </c>
      <c r="N1041" s="19"/>
      <c r="P1041" s="592"/>
      <c r="Q1041" s="592"/>
      <c r="R1041" s="592"/>
      <c r="S1041" s="592"/>
      <c r="T1041" s="592"/>
      <c r="U1041" s="592"/>
      <c r="V1041" s="592"/>
      <c r="W1041" s="592"/>
      <c r="X1041" s="592"/>
    </row>
    <row r="1042" spans="1:66" ht="15" customHeight="1">
      <c r="A1042" s="36"/>
      <c r="D1042" s="45" t="s">
        <v>1443</v>
      </c>
      <c r="E1042" s="104" t="s">
        <v>1597</v>
      </c>
      <c r="G1042" s="13">
        <v>6.5000000000000009</v>
      </c>
      <c r="N1042" s="19"/>
      <c r="P1042" s="592"/>
      <c r="Q1042" s="592"/>
      <c r="R1042" s="592"/>
      <c r="S1042" s="592"/>
      <c r="T1042" s="592"/>
      <c r="U1042" s="592"/>
      <c r="V1042" s="592"/>
      <c r="W1042" s="592"/>
      <c r="X1042" s="592"/>
    </row>
    <row r="1043" spans="1:66" ht="15" customHeight="1">
      <c r="A1043" s="32" t="s">
        <v>1597</v>
      </c>
      <c r="B1043" s="26" t="s">
        <v>527</v>
      </c>
      <c r="C1043" s="518" t="s">
        <v>1990</v>
      </c>
      <c r="D1043" s="709" t="s">
        <v>2124</v>
      </c>
      <c r="E1043" s="709"/>
      <c r="F1043" s="46" t="s">
        <v>2144</v>
      </c>
      <c r="G1043" s="46" t="s">
        <v>2144</v>
      </c>
      <c r="H1043" s="46" t="s">
        <v>2144</v>
      </c>
      <c r="I1043" s="17">
        <f>SUM(I1044:I1046)</f>
        <v>0</v>
      </c>
      <c r="J1043" s="17">
        <f>SUM(J1044:J1046)</f>
        <v>0</v>
      </c>
      <c r="K1043" s="524">
        <f>SUM(K1044:K1046)</f>
        <v>0</v>
      </c>
      <c r="L1043" s="7" t="s">
        <v>1597</v>
      </c>
      <c r="M1043" s="17">
        <f>SUM(M1044:M1046)</f>
        <v>0.85499999999999998</v>
      </c>
      <c r="N1043" s="20" t="s">
        <v>1597</v>
      </c>
      <c r="P1043" s="592"/>
      <c r="Q1043" s="592"/>
      <c r="R1043" s="592"/>
      <c r="S1043" s="592"/>
      <c r="T1043" s="592"/>
      <c r="U1043" s="592"/>
      <c r="V1043" s="592">
        <f>K1043</f>
        <v>0</v>
      </c>
      <c r="W1043" s="592"/>
      <c r="X1043" s="592"/>
      <c r="AK1043" s="7" t="s">
        <v>527</v>
      </c>
      <c r="AU1043" s="17">
        <f>SUM(AL1044:AL1046)</f>
        <v>0</v>
      </c>
      <c r="AV1043" s="17">
        <f>SUM(AM1044:AM1046)</f>
        <v>0</v>
      </c>
      <c r="AW1043" s="17">
        <f>SUM(AN1044:AN1046)</f>
        <v>0</v>
      </c>
    </row>
    <row r="1044" spans="1:66" ht="15" customHeight="1">
      <c r="A1044" s="24" t="s">
        <v>992</v>
      </c>
      <c r="B1044" s="12" t="s">
        <v>527</v>
      </c>
      <c r="C1044" s="12" t="s">
        <v>1005</v>
      </c>
      <c r="D1044" s="630" t="s">
        <v>719</v>
      </c>
      <c r="E1044" s="630"/>
      <c r="F1044" s="12" t="s">
        <v>2274</v>
      </c>
      <c r="G1044" s="56">
        <v>110</v>
      </c>
      <c r="H1044" s="625"/>
      <c r="I1044" s="56">
        <f>G1044*AQ1044</f>
        <v>0</v>
      </c>
      <c r="J1044" s="56">
        <f>G1044*AR1044</f>
        <v>0</v>
      </c>
      <c r="K1044" s="56">
        <f>G1044*H1044</f>
        <v>0</v>
      </c>
      <c r="L1044" s="56">
        <v>3.5999999999999999E-3</v>
      </c>
      <c r="M1044" s="56">
        <f>G1044*L1044</f>
        <v>0.39599999999999996</v>
      </c>
      <c r="N1044" s="31" t="s">
        <v>1579</v>
      </c>
      <c r="P1044" s="592"/>
      <c r="Q1044" s="592"/>
      <c r="R1044" s="592"/>
      <c r="S1044" s="592"/>
      <c r="T1044" s="592"/>
      <c r="U1044" s="592"/>
      <c r="V1044" s="592"/>
      <c r="W1044" s="592"/>
      <c r="X1044" s="592"/>
      <c r="AB1044" s="56">
        <f>IF(AS1044="5",BL1044,0)</f>
        <v>0</v>
      </c>
      <c r="AD1044" s="56">
        <f>IF(AS1044="1",BJ1044,0)</f>
        <v>0</v>
      </c>
      <c r="AE1044" s="56">
        <f>IF(AS1044="1",BK1044,0)</f>
        <v>0</v>
      </c>
      <c r="AF1044" s="56">
        <f>IF(AS1044="7",BJ1044,0)</f>
        <v>0</v>
      </c>
      <c r="AG1044" s="56">
        <f>IF(AS1044="7",BK1044,0)</f>
        <v>0</v>
      </c>
      <c r="AH1044" s="56">
        <f>IF(AS1044="2",BJ1044,0)</f>
        <v>0</v>
      </c>
      <c r="AI1044" s="56">
        <f>IF(AS1044="2",BK1044,0)</f>
        <v>0</v>
      </c>
      <c r="AJ1044" s="56">
        <f>IF(AS1044="0",BL1044,0)</f>
        <v>0</v>
      </c>
      <c r="AK1044" s="7" t="s">
        <v>527</v>
      </c>
      <c r="AL1044" s="56">
        <f>IF(AP1044=0,K1044,0)</f>
        <v>0</v>
      </c>
      <c r="AM1044" s="56">
        <f>IF(AP1044=15,K1044,0)</f>
        <v>0</v>
      </c>
      <c r="AN1044" s="56">
        <f>IF(AP1044=21,K1044,0)</f>
        <v>0</v>
      </c>
      <c r="AP1044" s="56">
        <v>21</v>
      </c>
      <c r="AQ1044" s="88">
        <f>H1044*0.466595905989386</f>
        <v>0</v>
      </c>
      <c r="AR1044" s="88">
        <f>H1044*(1-0.466595905989386)</f>
        <v>0</v>
      </c>
      <c r="AS1044" s="21" t="s">
        <v>2311</v>
      </c>
      <c r="AX1044" s="56">
        <f>AY1044+AZ1044</f>
        <v>0</v>
      </c>
      <c r="AY1044" s="56">
        <f>G1044*AQ1044</f>
        <v>0</v>
      </c>
      <c r="AZ1044" s="56">
        <f>G1044*AR1044</f>
        <v>0</v>
      </c>
      <c r="BA1044" s="21" t="s">
        <v>715</v>
      </c>
      <c r="BB1044" s="21" t="s">
        <v>2603</v>
      </c>
      <c r="BC1044" s="7" t="s">
        <v>1887</v>
      </c>
      <c r="BE1044" s="56">
        <f>AY1044+AZ1044</f>
        <v>0</v>
      </c>
      <c r="BF1044" s="56">
        <f>H1044/(100-BG1044)*100</f>
        <v>0</v>
      </c>
      <c r="BG1044" s="56">
        <v>0</v>
      </c>
      <c r="BH1044" s="56">
        <f>M1044</f>
        <v>0.39599999999999996</v>
      </c>
      <c r="BJ1044" s="56">
        <f>G1044*AQ1044</f>
        <v>0</v>
      </c>
      <c r="BK1044" s="56">
        <f>G1044*AR1044</f>
        <v>0</v>
      </c>
      <c r="BL1044" s="56">
        <f>G1044*H1044</f>
        <v>0</v>
      </c>
      <c r="BM1044" s="56"/>
      <c r="BN1044" s="56">
        <v>777</v>
      </c>
    </row>
    <row r="1045" spans="1:66" ht="15" customHeight="1">
      <c r="A1045" s="36"/>
      <c r="D1045" s="45" t="s">
        <v>1478</v>
      </c>
      <c r="E1045" s="104" t="s">
        <v>1096</v>
      </c>
      <c r="G1045" s="13">
        <v>110.00000000000001</v>
      </c>
      <c r="N1045" s="19"/>
      <c r="P1045" s="592"/>
      <c r="Q1045" s="592"/>
      <c r="R1045" s="592"/>
      <c r="S1045" s="592"/>
      <c r="T1045" s="592"/>
      <c r="U1045" s="592"/>
      <c r="V1045" s="592"/>
      <c r="W1045" s="592"/>
      <c r="X1045" s="592"/>
    </row>
    <row r="1046" spans="1:66" ht="15" customHeight="1">
      <c r="A1046" s="24" t="s">
        <v>1518</v>
      </c>
      <c r="B1046" s="12" t="s">
        <v>527</v>
      </c>
      <c r="C1046" s="12" t="s">
        <v>1622</v>
      </c>
      <c r="D1046" s="630" t="s">
        <v>3624</v>
      </c>
      <c r="E1046" s="630"/>
      <c r="F1046" s="12" t="s">
        <v>2274</v>
      </c>
      <c r="G1046" s="56">
        <v>153</v>
      </c>
      <c r="H1046" s="625"/>
      <c r="I1046" s="56">
        <f>G1046*AQ1046</f>
        <v>0</v>
      </c>
      <c r="J1046" s="56">
        <f>G1046*AR1046</f>
        <v>0</v>
      </c>
      <c r="K1046" s="56">
        <f>G1046*H1046</f>
        <v>0</v>
      </c>
      <c r="L1046" s="56">
        <v>3.0000000000000001E-3</v>
      </c>
      <c r="M1046" s="56">
        <f>G1046*L1046</f>
        <v>0.45900000000000002</v>
      </c>
      <c r="N1046" s="31" t="s">
        <v>1579</v>
      </c>
      <c r="P1046" s="592"/>
      <c r="Q1046" s="592"/>
      <c r="R1046" s="592"/>
      <c r="S1046" s="592"/>
      <c r="T1046" s="592"/>
      <c r="U1046" s="592"/>
      <c r="V1046" s="592"/>
      <c r="W1046" s="592"/>
      <c r="X1046" s="592"/>
      <c r="AB1046" s="56">
        <f>IF(AS1046="5",BL1046,0)</f>
        <v>0</v>
      </c>
      <c r="AD1046" s="56">
        <f>IF(AS1046="1",BJ1046,0)</f>
        <v>0</v>
      </c>
      <c r="AE1046" s="56">
        <f>IF(AS1046="1",BK1046,0)</f>
        <v>0</v>
      </c>
      <c r="AF1046" s="56">
        <f>IF(AS1046="7",BJ1046,0)</f>
        <v>0</v>
      </c>
      <c r="AG1046" s="56">
        <f>IF(AS1046="7",BK1046,0)</f>
        <v>0</v>
      </c>
      <c r="AH1046" s="56">
        <f>IF(AS1046="2",BJ1046,0)</f>
        <v>0</v>
      </c>
      <c r="AI1046" s="56">
        <f>IF(AS1046="2",BK1046,0)</f>
        <v>0</v>
      </c>
      <c r="AJ1046" s="56">
        <f>IF(AS1046="0",BL1046,0)</f>
        <v>0</v>
      </c>
      <c r="AK1046" s="7" t="s">
        <v>527</v>
      </c>
      <c r="AL1046" s="56">
        <f>IF(AP1046=0,K1046,0)</f>
        <v>0</v>
      </c>
      <c r="AM1046" s="56">
        <f>IF(AP1046=15,K1046,0)</f>
        <v>0</v>
      </c>
      <c r="AN1046" s="56">
        <f>IF(AP1046=21,K1046,0)</f>
        <v>0</v>
      </c>
      <c r="AP1046" s="56">
        <v>21</v>
      </c>
      <c r="AQ1046" s="88">
        <f>H1046*0.227472527472527</f>
        <v>0</v>
      </c>
      <c r="AR1046" s="88">
        <f>H1046*(1-0.227472527472527)</f>
        <v>0</v>
      </c>
      <c r="AS1046" s="21" t="s">
        <v>2311</v>
      </c>
      <c r="AX1046" s="56">
        <f>AY1046+AZ1046</f>
        <v>0</v>
      </c>
      <c r="AY1046" s="56">
        <f>G1046*AQ1046</f>
        <v>0</v>
      </c>
      <c r="AZ1046" s="56">
        <f>G1046*AR1046</f>
        <v>0</v>
      </c>
      <c r="BA1046" s="21" t="s">
        <v>715</v>
      </c>
      <c r="BB1046" s="21" t="s">
        <v>2603</v>
      </c>
      <c r="BC1046" s="7" t="s">
        <v>1887</v>
      </c>
      <c r="BE1046" s="56">
        <f>AY1046+AZ1046</f>
        <v>0</v>
      </c>
      <c r="BF1046" s="56">
        <f>H1046/(100-BG1046)*100</f>
        <v>0</v>
      </c>
      <c r="BG1046" s="56">
        <v>0</v>
      </c>
      <c r="BH1046" s="56">
        <f>M1046</f>
        <v>0.45900000000000002</v>
      </c>
      <c r="BJ1046" s="56">
        <f>G1046*AQ1046</f>
        <v>0</v>
      </c>
      <c r="BK1046" s="56">
        <f>G1046*AR1046</f>
        <v>0</v>
      </c>
      <c r="BL1046" s="56">
        <f>G1046*H1046</f>
        <v>0</v>
      </c>
      <c r="BM1046" s="56"/>
      <c r="BN1046" s="56">
        <v>777</v>
      </c>
    </row>
    <row r="1047" spans="1:66" ht="15" customHeight="1">
      <c r="A1047" s="36"/>
      <c r="D1047" s="45" t="s">
        <v>2159</v>
      </c>
      <c r="E1047" s="104" t="s">
        <v>1597</v>
      </c>
      <c r="G1047" s="13">
        <v>153</v>
      </c>
      <c r="N1047" s="19"/>
      <c r="P1047" s="592"/>
      <c r="Q1047" s="592"/>
      <c r="R1047" s="592"/>
      <c r="S1047" s="592"/>
      <c r="T1047" s="592"/>
      <c r="U1047" s="592"/>
      <c r="V1047" s="592"/>
      <c r="W1047" s="592"/>
      <c r="X1047" s="592"/>
    </row>
    <row r="1048" spans="1:66" ht="15" customHeight="1">
      <c r="A1048" s="32" t="s">
        <v>1597</v>
      </c>
      <c r="B1048" s="26" t="s">
        <v>527</v>
      </c>
      <c r="C1048" s="518" t="s">
        <v>1335</v>
      </c>
      <c r="D1048" s="709" t="s">
        <v>1838</v>
      </c>
      <c r="E1048" s="709"/>
      <c r="F1048" s="46" t="s">
        <v>2144</v>
      </c>
      <c r="G1048" s="46" t="s">
        <v>2144</v>
      </c>
      <c r="H1048" s="46" t="s">
        <v>2144</v>
      </c>
      <c r="I1048" s="17">
        <f>SUM(I1049:I1053)</f>
        <v>0</v>
      </c>
      <c r="J1048" s="17">
        <f>SUM(J1049:J1053)</f>
        <v>0</v>
      </c>
      <c r="K1048" s="524">
        <f>SUM(K1049:K1053)</f>
        <v>0</v>
      </c>
      <c r="L1048" s="7" t="s">
        <v>1597</v>
      </c>
      <c r="M1048" s="17">
        <f>SUM(M1049:M1053)</f>
        <v>0.186</v>
      </c>
      <c r="N1048" s="20" t="s">
        <v>1597</v>
      </c>
      <c r="P1048" s="592"/>
      <c r="Q1048" s="592"/>
      <c r="R1048" s="592"/>
      <c r="S1048" s="592"/>
      <c r="T1048" s="592"/>
      <c r="U1048" s="592"/>
      <c r="V1048" s="592">
        <f>K1048</f>
        <v>0</v>
      </c>
      <c r="W1048" s="592"/>
      <c r="X1048" s="592"/>
      <c r="AK1048" s="7" t="s">
        <v>527</v>
      </c>
      <c r="AU1048" s="17">
        <f>SUM(AL1049:AL1053)</f>
        <v>0</v>
      </c>
      <c r="AV1048" s="17">
        <f>SUM(AM1049:AM1053)</f>
        <v>0</v>
      </c>
      <c r="AW1048" s="17">
        <f>SUM(AN1049:AN1053)</f>
        <v>0</v>
      </c>
    </row>
    <row r="1049" spans="1:66" ht="15" customHeight="1">
      <c r="A1049" s="24" t="s">
        <v>2183</v>
      </c>
      <c r="B1049" s="12" t="s">
        <v>527</v>
      </c>
      <c r="C1049" s="12" t="s">
        <v>751</v>
      </c>
      <c r="D1049" s="630" t="s">
        <v>3625</v>
      </c>
      <c r="E1049" s="630"/>
      <c r="F1049" s="12" t="s">
        <v>2274</v>
      </c>
      <c r="G1049" s="56">
        <v>250</v>
      </c>
      <c r="H1049" s="625"/>
      <c r="I1049" s="56">
        <f>G1049*AQ1049</f>
        <v>0</v>
      </c>
      <c r="J1049" s="56">
        <f>G1049*AR1049</f>
        <v>0</v>
      </c>
      <c r="K1049" s="56">
        <f>G1049*H1049</f>
        <v>0</v>
      </c>
      <c r="L1049" s="56">
        <v>1.3999999999999999E-4</v>
      </c>
      <c r="M1049" s="56">
        <f>G1049*L1049</f>
        <v>3.4999999999999996E-2</v>
      </c>
      <c r="N1049" s="31" t="s">
        <v>1579</v>
      </c>
      <c r="P1049" s="592"/>
      <c r="Q1049" s="592"/>
      <c r="R1049" s="592"/>
      <c r="S1049" s="592"/>
      <c r="T1049" s="592"/>
      <c r="U1049" s="592"/>
      <c r="V1049" s="592"/>
      <c r="W1049" s="592"/>
      <c r="X1049" s="592"/>
      <c r="AB1049" s="56">
        <f>IF(AS1049="5",BL1049,0)</f>
        <v>0</v>
      </c>
      <c r="AD1049" s="56">
        <f>IF(AS1049="1",BJ1049,0)</f>
        <v>0</v>
      </c>
      <c r="AE1049" s="56">
        <f>IF(AS1049="1",BK1049,0)</f>
        <v>0</v>
      </c>
      <c r="AF1049" s="56">
        <f>IF(AS1049="7",BJ1049,0)</f>
        <v>0</v>
      </c>
      <c r="AG1049" s="56">
        <f>IF(AS1049="7",BK1049,0)</f>
        <v>0</v>
      </c>
      <c r="AH1049" s="56">
        <f>IF(AS1049="2",BJ1049,0)</f>
        <v>0</v>
      </c>
      <c r="AI1049" s="56">
        <f>IF(AS1049="2",BK1049,0)</f>
        <v>0</v>
      </c>
      <c r="AJ1049" s="56">
        <f>IF(AS1049="0",BL1049,0)</f>
        <v>0</v>
      </c>
      <c r="AK1049" s="7" t="s">
        <v>527</v>
      </c>
      <c r="AL1049" s="56">
        <f>IF(AP1049=0,K1049,0)</f>
        <v>0</v>
      </c>
      <c r="AM1049" s="56">
        <f>IF(AP1049=15,K1049,0)</f>
        <v>0</v>
      </c>
      <c r="AN1049" s="56">
        <f>IF(AP1049=21,K1049,0)</f>
        <v>0</v>
      </c>
      <c r="AP1049" s="56">
        <v>21</v>
      </c>
      <c r="AQ1049" s="88">
        <f>H1049*0.7108928979219</f>
        <v>0</v>
      </c>
      <c r="AR1049" s="88">
        <f>H1049*(1-0.7108928979219)</f>
        <v>0</v>
      </c>
      <c r="AS1049" s="21" t="s">
        <v>2311</v>
      </c>
      <c r="AX1049" s="56">
        <f>AY1049+AZ1049</f>
        <v>0</v>
      </c>
      <c r="AY1049" s="56">
        <f>G1049*AQ1049</f>
        <v>0</v>
      </c>
      <c r="AZ1049" s="56">
        <f>G1049*AR1049</f>
        <v>0</v>
      </c>
      <c r="BA1049" s="21" t="s">
        <v>531</v>
      </c>
      <c r="BB1049" s="21" t="s">
        <v>1830</v>
      </c>
      <c r="BC1049" s="7" t="s">
        <v>1887</v>
      </c>
      <c r="BE1049" s="56">
        <f>AY1049+AZ1049</f>
        <v>0</v>
      </c>
      <c r="BF1049" s="56">
        <f>H1049/(100-BG1049)*100</f>
        <v>0</v>
      </c>
      <c r="BG1049" s="56">
        <v>0</v>
      </c>
      <c r="BH1049" s="56">
        <f>M1049</f>
        <v>3.4999999999999996E-2</v>
      </c>
      <c r="BJ1049" s="56">
        <f>G1049*AQ1049</f>
        <v>0</v>
      </c>
      <c r="BK1049" s="56">
        <f>G1049*AR1049</f>
        <v>0</v>
      </c>
      <c r="BL1049" s="56">
        <f>G1049*H1049</f>
        <v>0</v>
      </c>
      <c r="BM1049" s="56"/>
      <c r="BN1049" s="56">
        <v>783</v>
      </c>
    </row>
    <row r="1050" spans="1:66" ht="15" customHeight="1">
      <c r="A1050" s="36"/>
      <c r="D1050" s="45" t="s">
        <v>1060</v>
      </c>
      <c r="E1050" s="104" t="s">
        <v>1597</v>
      </c>
      <c r="G1050" s="13">
        <v>250.00000000000003</v>
      </c>
      <c r="N1050" s="19"/>
      <c r="P1050" s="592"/>
      <c r="Q1050" s="592"/>
      <c r="R1050" s="592"/>
      <c r="S1050" s="592"/>
      <c r="T1050" s="592"/>
      <c r="U1050" s="592"/>
      <c r="V1050" s="592"/>
      <c r="W1050" s="592"/>
      <c r="X1050" s="592"/>
    </row>
    <row r="1051" spans="1:66" ht="15" customHeight="1">
      <c r="A1051" s="24" t="s">
        <v>1797</v>
      </c>
      <c r="B1051" s="12" t="s">
        <v>527</v>
      </c>
      <c r="C1051" s="12" t="s">
        <v>1152</v>
      </c>
      <c r="D1051" s="630" t="s">
        <v>1218</v>
      </c>
      <c r="E1051" s="630"/>
      <c r="F1051" s="12" t="s">
        <v>2274</v>
      </c>
      <c r="G1051" s="56">
        <v>250</v>
      </c>
      <c r="H1051" s="625"/>
      <c r="I1051" s="56">
        <f>G1051*AQ1051</f>
        <v>0</v>
      </c>
      <c r="J1051" s="56">
        <f>G1051*AR1051</f>
        <v>0</v>
      </c>
      <c r="K1051" s="56">
        <f>G1051*H1051</f>
        <v>0</v>
      </c>
      <c r="L1051" s="56">
        <v>2.2000000000000001E-4</v>
      </c>
      <c r="M1051" s="56">
        <f>G1051*L1051</f>
        <v>5.5E-2</v>
      </c>
      <c r="N1051" s="31" t="s">
        <v>1579</v>
      </c>
      <c r="P1051" s="592"/>
      <c r="Q1051" s="592"/>
      <c r="R1051" s="592"/>
      <c r="S1051" s="592"/>
      <c r="T1051" s="592"/>
      <c r="U1051" s="592"/>
      <c r="V1051" s="592"/>
      <c r="W1051" s="592"/>
      <c r="X1051" s="592"/>
      <c r="AB1051" s="56">
        <f>IF(AS1051="5",BL1051,0)</f>
        <v>0</v>
      </c>
      <c r="AD1051" s="56">
        <f>IF(AS1051="1",BJ1051,0)</f>
        <v>0</v>
      </c>
      <c r="AE1051" s="56">
        <f>IF(AS1051="1",BK1051,0)</f>
        <v>0</v>
      </c>
      <c r="AF1051" s="56">
        <f>IF(AS1051="7",BJ1051,0)</f>
        <v>0</v>
      </c>
      <c r="AG1051" s="56">
        <f>IF(AS1051="7",BK1051,0)</f>
        <v>0</v>
      </c>
      <c r="AH1051" s="56">
        <f>IF(AS1051="2",BJ1051,0)</f>
        <v>0</v>
      </c>
      <c r="AI1051" s="56">
        <f>IF(AS1051="2",BK1051,0)</f>
        <v>0</v>
      </c>
      <c r="AJ1051" s="56">
        <f>IF(AS1051="0",BL1051,0)</f>
        <v>0</v>
      </c>
      <c r="AK1051" s="7" t="s">
        <v>527</v>
      </c>
      <c r="AL1051" s="56">
        <f>IF(AP1051=0,K1051,0)</f>
        <v>0</v>
      </c>
      <c r="AM1051" s="56">
        <f>IF(AP1051=15,K1051,0)</f>
        <v>0</v>
      </c>
      <c r="AN1051" s="56">
        <f>IF(AP1051=21,K1051,0)</f>
        <v>0</v>
      </c>
      <c r="AP1051" s="56">
        <v>21</v>
      </c>
      <c r="AQ1051" s="88">
        <f>H1051*0.480287474332649</f>
        <v>0</v>
      </c>
      <c r="AR1051" s="88">
        <f>H1051*(1-0.480287474332649)</f>
        <v>0</v>
      </c>
      <c r="AS1051" s="21" t="s">
        <v>2311</v>
      </c>
      <c r="AX1051" s="56">
        <f>AY1051+AZ1051</f>
        <v>0</v>
      </c>
      <c r="AY1051" s="56">
        <f>G1051*AQ1051</f>
        <v>0</v>
      </c>
      <c r="AZ1051" s="56">
        <f>G1051*AR1051</f>
        <v>0</v>
      </c>
      <c r="BA1051" s="21" t="s">
        <v>531</v>
      </c>
      <c r="BB1051" s="21" t="s">
        <v>1830</v>
      </c>
      <c r="BC1051" s="7" t="s">
        <v>1887</v>
      </c>
      <c r="BE1051" s="56">
        <f>AY1051+AZ1051</f>
        <v>0</v>
      </c>
      <c r="BF1051" s="56">
        <f>H1051/(100-BG1051)*100</f>
        <v>0</v>
      </c>
      <c r="BG1051" s="56">
        <v>0</v>
      </c>
      <c r="BH1051" s="56">
        <f>M1051</f>
        <v>5.5E-2</v>
      </c>
      <c r="BJ1051" s="56">
        <f>G1051*AQ1051</f>
        <v>0</v>
      </c>
      <c r="BK1051" s="56">
        <f>G1051*AR1051</f>
        <v>0</v>
      </c>
      <c r="BL1051" s="56">
        <f>G1051*H1051</f>
        <v>0</v>
      </c>
      <c r="BM1051" s="56"/>
      <c r="BN1051" s="56">
        <v>783</v>
      </c>
    </row>
    <row r="1052" spans="1:66" ht="15" customHeight="1">
      <c r="A1052" s="36"/>
      <c r="D1052" s="45" t="s">
        <v>1060</v>
      </c>
      <c r="E1052" s="104" t="s">
        <v>1597</v>
      </c>
      <c r="G1052" s="13">
        <v>250.00000000000003</v>
      </c>
      <c r="N1052" s="19"/>
      <c r="P1052" s="592"/>
      <c r="Q1052" s="592"/>
      <c r="R1052" s="592"/>
      <c r="S1052" s="592"/>
      <c r="T1052" s="592"/>
      <c r="U1052" s="592"/>
      <c r="V1052" s="592"/>
      <c r="W1052" s="592"/>
      <c r="X1052" s="592"/>
    </row>
    <row r="1053" spans="1:66" ht="15" customHeight="1">
      <c r="A1053" s="24" t="s">
        <v>1110</v>
      </c>
      <c r="B1053" s="12" t="s">
        <v>527</v>
      </c>
      <c r="C1053" s="12" t="s">
        <v>1643</v>
      </c>
      <c r="D1053" s="630" t="s">
        <v>3626</v>
      </c>
      <c r="E1053" s="630"/>
      <c r="F1053" s="12" t="s">
        <v>2274</v>
      </c>
      <c r="G1053" s="56">
        <v>600</v>
      </c>
      <c r="H1053" s="625"/>
      <c r="I1053" s="56">
        <f>G1053*AQ1053</f>
        <v>0</v>
      </c>
      <c r="J1053" s="56">
        <f>G1053*AR1053</f>
        <v>0</v>
      </c>
      <c r="K1053" s="56">
        <f>G1053*H1053</f>
        <v>0</v>
      </c>
      <c r="L1053" s="56">
        <v>1.6000000000000001E-4</v>
      </c>
      <c r="M1053" s="56">
        <f>G1053*L1053</f>
        <v>9.6000000000000002E-2</v>
      </c>
      <c r="N1053" s="31" t="s">
        <v>1579</v>
      </c>
      <c r="P1053" s="592"/>
      <c r="Q1053" s="592"/>
      <c r="R1053" s="592"/>
      <c r="S1053" s="592"/>
      <c r="T1053" s="592"/>
      <c r="U1053" s="592"/>
      <c r="V1053" s="592"/>
      <c r="W1053" s="592"/>
      <c r="X1053" s="592"/>
      <c r="AB1053" s="56">
        <f>IF(AS1053="5",BL1053,0)</f>
        <v>0</v>
      </c>
      <c r="AD1053" s="56">
        <f>IF(AS1053="1",BJ1053,0)</f>
        <v>0</v>
      </c>
      <c r="AE1053" s="56">
        <f>IF(AS1053="1",BK1053,0)</f>
        <v>0</v>
      </c>
      <c r="AF1053" s="56">
        <f>IF(AS1053="7",BJ1053,0)</f>
        <v>0</v>
      </c>
      <c r="AG1053" s="56">
        <f>IF(AS1053="7",BK1053,0)</f>
        <v>0</v>
      </c>
      <c r="AH1053" s="56">
        <f>IF(AS1053="2",BJ1053,0)</f>
        <v>0</v>
      </c>
      <c r="AI1053" s="56">
        <f>IF(AS1053="2",BK1053,0)</f>
        <v>0</v>
      </c>
      <c r="AJ1053" s="56">
        <f>IF(AS1053="0",BL1053,0)</f>
        <v>0</v>
      </c>
      <c r="AK1053" s="7" t="s">
        <v>527</v>
      </c>
      <c r="AL1053" s="56">
        <f>IF(AP1053=0,K1053,0)</f>
        <v>0</v>
      </c>
      <c r="AM1053" s="56">
        <f>IF(AP1053=15,K1053,0)</f>
        <v>0</v>
      </c>
      <c r="AN1053" s="56">
        <f>IF(AP1053=21,K1053,0)</f>
        <v>0</v>
      </c>
      <c r="AP1053" s="56">
        <v>21</v>
      </c>
      <c r="AQ1053" s="88">
        <f>H1053*0.167158056659403</f>
        <v>0</v>
      </c>
      <c r="AR1053" s="88">
        <f>H1053*(1-0.167158056659403)</f>
        <v>0</v>
      </c>
      <c r="AS1053" s="21" t="s">
        <v>2311</v>
      </c>
      <c r="AX1053" s="56">
        <f>AY1053+AZ1053</f>
        <v>0</v>
      </c>
      <c r="AY1053" s="56">
        <f>G1053*AQ1053</f>
        <v>0</v>
      </c>
      <c r="AZ1053" s="56">
        <f>G1053*AR1053</f>
        <v>0</v>
      </c>
      <c r="BA1053" s="21" t="s">
        <v>531</v>
      </c>
      <c r="BB1053" s="21" t="s">
        <v>1830</v>
      </c>
      <c r="BC1053" s="7" t="s">
        <v>1887</v>
      </c>
      <c r="BE1053" s="56">
        <f>AY1053+AZ1053</f>
        <v>0</v>
      </c>
      <c r="BF1053" s="56">
        <f>H1053/(100-BG1053)*100</f>
        <v>0</v>
      </c>
      <c r="BG1053" s="56">
        <v>0</v>
      </c>
      <c r="BH1053" s="56">
        <f>M1053</f>
        <v>9.6000000000000002E-2</v>
      </c>
      <c r="BJ1053" s="56">
        <f>G1053*AQ1053</f>
        <v>0</v>
      </c>
      <c r="BK1053" s="56">
        <f>G1053*AR1053</f>
        <v>0</v>
      </c>
      <c r="BL1053" s="56">
        <f>G1053*H1053</f>
        <v>0</v>
      </c>
      <c r="BM1053" s="56"/>
      <c r="BN1053" s="56">
        <v>783</v>
      </c>
    </row>
    <row r="1054" spans="1:66" ht="15" customHeight="1">
      <c r="A1054" s="36"/>
      <c r="D1054" s="45" t="s">
        <v>803</v>
      </c>
      <c r="E1054" s="104" t="s">
        <v>1597</v>
      </c>
      <c r="G1054" s="13">
        <v>600</v>
      </c>
      <c r="N1054" s="19"/>
      <c r="P1054" s="592"/>
      <c r="Q1054" s="592"/>
      <c r="R1054" s="592"/>
      <c r="S1054" s="592"/>
      <c r="T1054" s="592"/>
      <c r="U1054" s="592"/>
      <c r="V1054" s="592"/>
      <c r="W1054" s="592"/>
      <c r="X1054" s="592"/>
    </row>
    <row r="1055" spans="1:66" ht="15" customHeight="1">
      <c r="A1055" s="32" t="s">
        <v>1597</v>
      </c>
      <c r="B1055" s="26" t="s">
        <v>527</v>
      </c>
      <c r="C1055" s="518" t="s">
        <v>1284</v>
      </c>
      <c r="D1055" s="709" t="s">
        <v>44</v>
      </c>
      <c r="E1055" s="709"/>
      <c r="F1055" s="46" t="s">
        <v>2144</v>
      </c>
      <c r="G1055" s="46" t="s">
        <v>2144</v>
      </c>
      <c r="H1055" s="46" t="s">
        <v>2144</v>
      </c>
      <c r="I1055" s="17">
        <f>SUM(I1056:I1058)</f>
        <v>0</v>
      </c>
      <c r="J1055" s="17">
        <f>SUM(J1056:J1058)</f>
        <v>0</v>
      </c>
      <c r="K1055" s="524">
        <f>SUM(K1056:K1058)</f>
        <v>0</v>
      </c>
      <c r="L1055" s="7" t="s">
        <v>1597</v>
      </c>
      <c r="M1055" s="17">
        <f>SUM(M1056:M1058)</f>
        <v>0.23930000000000001</v>
      </c>
      <c r="N1055" s="20" t="s">
        <v>1597</v>
      </c>
      <c r="P1055" s="592"/>
      <c r="Q1055" s="592"/>
      <c r="R1055" s="592"/>
      <c r="S1055" s="592"/>
      <c r="T1055" s="592"/>
      <c r="U1055" s="592"/>
      <c r="V1055" s="592">
        <f>K1055</f>
        <v>0</v>
      </c>
      <c r="W1055" s="592"/>
      <c r="X1055" s="592"/>
      <c r="AK1055" s="7" t="s">
        <v>527</v>
      </c>
      <c r="AU1055" s="17">
        <f>SUM(AL1056:AL1058)</f>
        <v>0</v>
      </c>
      <c r="AV1055" s="17">
        <f>SUM(AM1056:AM1058)</f>
        <v>0</v>
      </c>
      <c r="AW1055" s="17">
        <f>SUM(AN1056:AN1058)</f>
        <v>0</v>
      </c>
    </row>
    <row r="1056" spans="1:66" ht="15" customHeight="1">
      <c r="A1056" s="24" t="s">
        <v>1613</v>
      </c>
      <c r="B1056" s="12" t="s">
        <v>527</v>
      </c>
      <c r="C1056" s="12" t="s">
        <v>186</v>
      </c>
      <c r="D1056" s="630" t="s">
        <v>3627</v>
      </c>
      <c r="E1056" s="630"/>
      <c r="F1056" s="12" t="s">
        <v>2274</v>
      </c>
      <c r="G1056" s="56">
        <v>32</v>
      </c>
      <c r="H1056" s="625"/>
      <c r="I1056" s="56">
        <f>G1056*AQ1056</f>
        <v>0</v>
      </c>
      <c r="J1056" s="56">
        <f>G1056*AR1056</f>
        <v>0</v>
      </c>
      <c r="K1056" s="56">
        <f>G1056*H1056</f>
        <v>0</v>
      </c>
      <c r="L1056" s="56">
        <v>2.0000000000000001E-4</v>
      </c>
      <c r="M1056" s="56">
        <f>G1056*L1056</f>
        <v>6.4000000000000003E-3</v>
      </c>
      <c r="N1056" s="31" t="s">
        <v>1579</v>
      </c>
      <c r="P1056" s="592"/>
      <c r="Q1056" s="592"/>
      <c r="R1056" s="592"/>
      <c r="S1056" s="592"/>
      <c r="T1056" s="592"/>
      <c r="U1056" s="592"/>
      <c r="V1056" s="592"/>
      <c r="W1056" s="592"/>
      <c r="X1056" s="592"/>
      <c r="AB1056" s="56">
        <f>IF(AS1056="5",BL1056,0)</f>
        <v>0</v>
      </c>
      <c r="AD1056" s="56">
        <f>IF(AS1056="1",BJ1056,0)</f>
        <v>0</v>
      </c>
      <c r="AE1056" s="56">
        <f>IF(AS1056="1",BK1056,0)</f>
        <v>0</v>
      </c>
      <c r="AF1056" s="56">
        <f>IF(AS1056="7",BJ1056,0)</f>
        <v>0</v>
      </c>
      <c r="AG1056" s="56">
        <f>IF(AS1056="7",BK1056,0)</f>
        <v>0</v>
      </c>
      <c r="AH1056" s="56">
        <f>IF(AS1056="2",BJ1056,0)</f>
        <v>0</v>
      </c>
      <c r="AI1056" s="56">
        <f>IF(AS1056="2",BK1056,0)</f>
        <v>0</v>
      </c>
      <c r="AJ1056" s="56">
        <f>IF(AS1056="0",BL1056,0)</f>
        <v>0</v>
      </c>
      <c r="AK1056" s="7" t="s">
        <v>527</v>
      </c>
      <c r="AL1056" s="56">
        <f>IF(AP1056=0,K1056,0)</f>
        <v>0</v>
      </c>
      <c r="AM1056" s="56">
        <f>IF(AP1056=15,K1056,0)</f>
        <v>0</v>
      </c>
      <c r="AN1056" s="56">
        <f>IF(AP1056=21,K1056,0)</f>
        <v>0</v>
      </c>
      <c r="AP1056" s="56">
        <v>21</v>
      </c>
      <c r="AQ1056" s="88">
        <f>H1056*0.352014652014652</f>
        <v>0</v>
      </c>
      <c r="AR1056" s="88">
        <f>H1056*(1-0.352014652014652)</f>
        <v>0</v>
      </c>
      <c r="AS1056" s="21" t="s">
        <v>2311</v>
      </c>
      <c r="AX1056" s="56">
        <f>AY1056+AZ1056</f>
        <v>0</v>
      </c>
      <c r="AY1056" s="56">
        <f>G1056*AQ1056</f>
        <v>0</v>
      </c>
      <c r="AZ1056" s="56">
        <f>G1056*AR1056</f>
        <v>0</v>
      </c>
      <c r="BA1056" s="21" t="s">
        <v>2055</v>
      </c>
      <c r="BB1056" s="21" t="s">
        <v>1830</v>
      </c>
      <c r="BC1056" s="7" t="s">
        <v>1887</v>
      </c>
      <c r="BE1056" s="56">
        <f>AY1056+AZ1056</f>
        <v>0</v>
      </c>
      <c r="BF1056" s="56">
        <f>H1056/(100-BG1056)*100</f>
        <v>0</v>
      </c>
      <c r="BG1056" s="56">
        <v>0</v>
      </c>
      <c r="BH1056" s="56">
        <f>M1056</f>
        <v>6.4000000000000003E-3</v>
      </c>
      <c r="BJ1056" s="56">
        <f>G1056*AQ1056</f>
        <v>0</v>
      </c>
      <c r="BK1056" s="56">
        <f>G1056*AR1056</f>
        <v>0</v>
      </c>
      <c r="BL1056" s="56">
        <f>G1056*H1056</f>
        <v>0</v>
      </c>
      <c r="BM1056" s="56"/>
      <c r="BN1056" s="56">
        <v>784</v>
      </c>
    </row>
    <row r="1057" spans="1:70" ht="15" customHeight="1">
      <c r="A1057" s="36"/>
      <c r="D1057" s="45" t="s">
        <v>1954</v>
      </c>
      <c r="E1057" s="104" t="s">
        <v>1597</v>
      </c>
      <c r="G1057" s="13">
        <v>32</v>
      </c>
      <c r="N1057" s="19"/>
      <c r="P1057" s="592"/>
      <c r="Q1057" s="592"/>
      <c r="R1057" s="592"/>
      <c r="S1057" s="592"/>
      <c r="T1057" s="592"/>
      <c r="U1057" s="592"/>
      <c r="V1057" s="592"/>
      <c r="W1057" s="592"/>
      <c r="X1057" s="592"/>
    </row>
    <row r="1058" spans="1:70" ht="15" customHeight="1">
      <c r="A1058" s="24" t="s">
        <v>2106</v>
      </c>
      <c r="B1058" s="12" t="s">
        <v>527</v>
      </c>
      <c r="C1058" s="12" t="s">
        <v>2094</v>
      </c>
      <c r="D1058" s="630" t="s">
        <v>3628</v>
      </c>
      <c r="E1058" s="630"/>
      <c r="F1058" s="12" t="s">
        <v>2274</v>
      </c>
      <c r="G1058" s="56">
        <v>685</v>
      </c>
      <c r="H1058" s="625"/>
      <c r="I1058" s="56">
        <f>G1058*AQ1058</f>
        <v>0</v>
      </c>
      <c r="J1058" s="56">
        <f>G1058*AR1058</f>
        <v>0</v>
      </c>
      <c r="K1058" s="56">
        <f>G1058*H1058</f>
        <v>0</v>
      </c>
      <c r="L1058" s="56">
        <v>3.4000000000000002E-4</v>
      </c>
      <c r="M1058" s="56">
        <f>G1058*L1058</f>
        <v>0.23290000000000002</v>
      </c>
      <c r="N1058" s="31" t="s">
        <v>1579</v>
      </c>
      <c r="P1058" s="592"/>
      <c r="Q1058" s="592"/>
      <c r="R1058" s="592"/>
      <c r="S1058" s="592"/>
      <c r="T1058" s="592"/>
      <c r="U1058" s="592"/>
      <c r="V1058" s="592"/>
      <c r="W1058" s="592"/>
      <c r="X1058" s="592"/>
      <c r="AB1058" s="56">
        <f>IF(AS1058="5",BL1058,0)</f>
        <v>0</v>
      </c>
      <c r="AD1058" s="56">
        <f>IF(AS1058="1",BJ1058,0)</f>
        <v>0</v>
      </c>
      <c r="AE1058" s="56">
        <f>IF(AS1058="1",BK1058,0)</f>
        <v>0</v>
      </c>
      <c r="AF1058" s="56">
        <f>IF(AS1058="7",BJ1058,0)</f>
        <v>0</v>
      </c>
      <c r="AG1058" s="56">
        <f>IF(AS1058="7",BK1058,0)</f>
        <v>0</v>
      </c>
      <c r="AH1058" s="56">
        <f>IF(AS1058="2",BJ1058,0)</f>
        <v>0</v>
      </c>
      <c r="AI1058" s="56">
        <f>IF(AS1058="2",BK1058,0)</f>
        <v>0</v>
      </c>
      <c r="AJ1058" s="56">
        <f>IF(AS1058="0",BL1058,0)</f>
        <v>0</v>
      </c>
      <c r="AK1058" s="7" t="s">
        <v>527</v>
      </c>
      <c r="AL1058" s="56">
        <f>IF(AP1058=0,K1058,0)</f>
        <v>0</v>
      </c>
      <c r="AM1058" s="56">
        <f>IF(AP1058=15,K1058,0)</f>
        <v>0</v>
      </c>
      <c r="AN1058" s="56">
        <f>IF(AP1058=21,K1058,0)</f>
        <v>0</v>
      </c>
      <c r="AP1058" s="56">
        <v>21</v>
      </c>
      <c r="AQ1058" s="88">
        <f>H1058*0.28421686746988</f>
        <v>0</v>
      </c>
      <c r="AR1058" s="88">
        <f>H1058*(1-0.28421686746988)</f>
        <v>0</v>
      </c>
      <c r="AS1058" s="21" t="s">
        <v>2311</v>
      </c>
      <c r="AX1058" s="56">
        <f>AY1058+AZ1058</f>
        <v>0</v>
      </c>
      <c r="AY1058" s="56">
        <f>G1058*AQ1058</f>
        <v>0</v>
      </c>
      <c r="AZ1058" s="56">
        <f>G1058*AR1058</f>
        <v>0</v>
      </c>
      <c r="BA1058" s="21" t="s">
        <v>2055</v>
      </c>
      <c r="BB1058" s="21" t="s">
        <v>1830</v>
      </c>
      <c r="BC1058" s="7" t="s">
        <v>1887</v>
      </c>
      <c r="BE1058" s="56">
        <f>AY1058+AZ1058</f>
        <v>0</v>
      </c>
      <c r="BF1058" s="56">
        <f>H1058/(100-BG1058)*100</f>
        <v>0</v>
      </c>
      <c r="BG1058" s="56">
        <v>0</v>
      </c>
      <c r="BH1058" s="56">
        <f>M1058</f>
        <v>0.23290000000000002</v>
      </c>
      <c r="BJ1058" s="56">
        <f>G1058*AQ1058</f>
        <v>0</v>
      </c>
      <c r="BK1058" s="56">
        <f>G1058*AR1058</f>
        <v>0</v>
      </c>
      <c r="BL1058" s="56">
        <f>G1058*H1058</f>
        <v>0</v>
      </c>
      <c r="BM1058" s="56"/>
      <c r="BN1058" s="56">
        <v>784</v>
      </c>
    </row>
    <row r="1059" spans="1:70" ht="15" customHeight="1">
      <c r="A1059" s="36"/>
      <c r="D1059" s="45" t="s">
        <v>1321</v>
      </c>
      <c r="E1059" s="104" t="s">
        <v>1520</v>
      </c>
      <c r="G1059" s="13">
        <v>685</v>
      </c>
      <c r="N1059" s="19"/>
      <c r="P1059" s="592"/>
      <c r="Q1059" s="592"/>
      <c r="R1059" s="592"/>
      <c r="S1059" s="592"/>
      <c r="T1059" s="592"/>
      <c r="U1059" s="592"/>
      <c r="V1059" s="592"/>
      <c r="W1059" s="592"/>
      <c r="X1059" s="592"/>
    </row>
    <row r="1060" spans="1:70" ht="15" customHeight="1">
      <c r="A1060" s="32" t="s">
        <v>1597</v>
      </c>
      <c r="B1060" s="26" t="s">
        <v>527</v>
      </c>
      <c r="C1060" s="518" t="s">
        <v>919</v>
      </c>
      <c r="D1060" s="709" t="s">
        <v>1714</v>
      </c>
      <c r="E1060" s="709"/>
      <c r="F1060" s="46" t="s">
        <v>2144</v>
      </c>
      <c r="G1060" s="46" t="s">
        <v>2144</v>
      </c>
      <c r="H1060" s="46" t="s">
        <v>2144</v>
      </c>
      <c r="I1060" s="17">
        <f>SUM(I1061:I1061)</f>
        <v>0</v>
      </c>
      <c r="J1060" s="17">
        <f>SUM(J1061:J1061)</f>
        <v>0</v>
      </c>
      <c r="K1060" s="524">
        <f>SUM(K1061:K1061)</f>
        <v>0</v>
      </c>
      <c r="L1060" s="7" t="s">
        <v>1597</v>
      </c>
      <c r="M1060" s="17">
        <f>SUM(M1061:M1061)</f>
        <v>9.8000000000000014E-3</v>
      </c>
      <c r="N1060" s="20" t="s">
        <v>1597</v>
      </c>
      <c r="P1060" s="592"/>
      <c r="Q1060" s="592"/>
      <c r="R1060" s="592"/>
      <c r="S1060" s="592"/>
      <c r="T1060" s="592"/>
      <c r="U1060" s="592"/>
      <c r="V1060" s="592">
        <f>K1060</f>
        <v>0</v>
      </c>
      <c r="W1060" s="592"/>
      <c r="X1060" s="592"/>
      <c r="AK1060" s="7" t="s">
        <v>527</v>
      </c>
      <c r="AU1060" s="17">
        <f>SUM(AL1061:AL1061)</f>
        <v>0</v>
      </c>
      <c r="AV1060" s="17">
        <f>SUM(AM1061:AM1061)</f>
        <v>0</v>
      </c>
      <c r="AW1060" s="17">
        <f>SUM(AN1061:AN1061)</f>
        <v>0</v>
      </c>
    </row>
    <row r="1061" spans="1:70" ht="15" customHeight="1">
      <c r="A1061" s="24" t="s">
        <v>418</v>
      </c>
      <c r="B1061" s="12" t="s">
        <v>527</v>
      </c>
      <c r="C1061" s="12" t="s">
        <v>2051</v>
      </c>
      <c r="D1061" s="630" t="s">
        <v>736</v>
      </c>
      <c r="E1061" s="630"/>
      <c r="F1061" s="12" t="s">
        <v>2274</v>
      </c>
      <c r="G1061" s="56">
        <v>245</v>
      </c>
      <c r="H1061" s="625"/>
      <c r="I1061" s="56">
        <f>G1061*AQ1061</f>
        <v>0</v>
      </c>
      <c r="J1061" s="56">
        <f>G1061*AR1061</f>
        <v>0</v>
      </c>
      <c r="K1061" s="56">
        <f>G1061*H1061</f>
        <v>0</v>
      </c>
      <c r="L1061" s="56">
        <v>4.0000000000000003E-5</v>
      </c>
      <c r="M1061" s="56">
        <f>G1061*L1061</f>
        <v>9.8000000000000014E-3</v>
      </c>
      <c r="N1061" s="31" t="s">
        <v>1579</v>
      </c>
      <c r="P1061" s="592"/>
      <c r="Q1061" s="592"/>
      <c r="R1061" s="592"/>
      <c r="S1061" s="592"/>
      <c r="T1061" s="592"/>
      <c r="U1061" s="592"/>
      <c r="V1061" s="592"/>
      <c r="W1061" s="592"/>
      <c r="X1061" s="592"/>
      <c r="AB1061" s="56">
        <f>IF(AS1061="5",BL1061,0)</f>
        <v>0</v>
      </c>
      <c r="AD1061" s="56">
        <f>IF(AS1061="1",BJ1061,0)</f>
        <v>0</v>
      </c>
      <c r="AE1061" s="56">
        <f>IF(AS1061="1",BK1061,0)</f>
        <v>0</v>
      </c>
      <c r="AF1061" s="56">
        <f>IF(AS1061="7",BJ1061,0)</f>
        <v>0</v>
      </c>
      <c r="AG1061" s="56">
        <f>IF(AS1061="7",BK1061,0)</f>
        <v>0</v>
      </c>
      <c r="AH1061" s="56">
        <f>IF(AS1061="2",BJ1061,0)</f>
        <v>0</v>
      </c>
      <c r="AI1061" s="56">
        <f>IF(AS1061="2",BK1061,0)</f>
        <v>0</v>
      </c>
      <c r="AJ1061" s="56">
        <f>IF(AS1061="0",BL1061,0)</f>
        <v>0</v>
      </c>
      <c r="AK1061" s="7" t="s">
        <v>527</v>
      </c>
      <c r="AL1061" s="56">
        <f>IF(AP1061=0,K1061,0)</f>
        <v>0</v>
      </c>
      <c r="AM1061" s="56">
        <f>IF(AP1061=15,K1061,0)</f>
        <v>0</v>
      </c>
      <c r="AN1061" s="56">
        <f>IF(AP1061=21,K1061,0)</f>
        <v>0</v>
      </c>
      <c r="AP1061" s="56">
        <v>21</v>
      </c>
      <c r="AQ1061" s="88">
        <f>H1061*0.0135315985130112</f>
        <v>0</v>
      </c>
      <c r="AR1061" s="88">
        <f>H1061*(1-0.0135315985130112)</f>
        <v>0</v>
      </c>
      <c r="AS1061" s="21" t="s">
        <v>2297</v>
      </c>
      <c r="AX1061" s="56">
        <f>AY1061+AZ1061</f>
        <v>0</v>
      </c>
      <c r="AY1061" s="56">
        <f>G1061*AQ1061</f>
        <v>0</v>
      </c>
      <c r="AZ1061" s="56">
        <f>G1061*AR1061</f>
        <v>0</v>
      </c>
      <c r="BA1061" s="21" t="s">
        <v>1417</v>
      </c>
      <c r="BB1061" s="21" t="s">
        <v>1019</v>
      </c>
      <c r="BC1061" s="7" t="s">
        <v>1887</v>
      </c>
      <c r="BE1061" s="56">
        <f>AY1061+AZ1061</f>
        <v>0</v>
      </c>
      <c r="BF1061" s="56">
        <f>H1061/(100-BG1061)*100</f>
        <v>0</v>
      </c>
      <c r="BG1061" s="56">
        <v>0</v>
      </c>
      <c r="BH1061" s="56">
        <f>M1061</f>
        <v>9.8000000000000014E-3</v>
      </c>
      <c r="BJ1061" s="56">
        <f>G1061*AQ1061</f>
        <v>0</v>
      </c>
      <c r="BK1061" s="56">
        <f>G1061*AR1061</f>
        <v>0</v>
      </c>
      <c r="BL1061" s="56">
        <f>G1061*H1061</f>
        <v>0</v>
      </c>
      <c r="BM1061" s="56"/>
      <c r="BN1061" s="56">
        <v>95</v>
      </c>
    </row>
    <row r="1062" spans="1:70" ht="15" customHeight="1">
      <c r="A1062" s="36"/>
      <c r="D1062" s="45" t="s">
        <v>2484</v>
      </c>
      <c r="E1062" s="104" t="s">
        <v>1597</v>
      </c>
      <c r="G1062" s="13">
        <v>245.00000000000003</v>
      </c>
      <c r="N1062" s="19"/>
      <c r="P1062" s="592"/>
      <c r="Q1062" s="592"/>
      <c r="R1062" s="592"/>
      <c r="S1062" s="592"/>
      <c r="T1062" s="592"/>
      <c r="U1062" s="592"/>
      <c r="V1062" s="592"/>
      <c r="W1062" s="592"/>
      <c r="X1062" s="592"/>
    </row>
    <row r="1063" spans="1:70" ht="15" customHeight="1">
      <c r="A1063" s="32" t="s">
        <v>1597</v>
      </c>
      <c r="B1063" s="26" t="s">
        <v>527</v>
      </c>
      <c r="C1063" s="511" t="s">
        <v>1494</v>
      </c>
      <c r="D1063" s="709" t="s">
        <v>1414</v>
      </c>
      <c r="E1063" s="709"/>
      <c r="F1063" s="46" t="s">
        <v>2144</v>
      </c>
      <c r="G1063" s="46" t="s">
        <v>2144</v>
      </c>
      <c r="H1063" s="46" t="s">
        <v>2144</v>
      </c>
      <c r="I1063" s="17">
        <f>SUM(I1064:I1064)</f>
        <v>0</v>
      </c>
      <c r="J1063" s="17">
        <f>SUM(J1064:J1064)</f>
        <v>0</v>
      </c>
      <c r="K1063" s="516">
        <f>SUM(K1064:K1064)</f>
        <v>0</v>
      </c>
      <c r="L1063" s="7" t="s">
        <v>1597</v>
      </c>
      <c r="M1063" s="17">
        <f>SUM(M1064:M1064)</f>
        <v>0</v>
      </c>
      <c r="N1063" s="20" t="s">
        <v>1597</v>
      </c>
      <c r="P1063" s="592"/>
      <c r="Q1063" s="592"/>
      <c r="R1063" s="592"/>
      <c r="S1063" s="592"/>
      <c r="T1063" s="592"/>
      <c r="U1063" s="592"/>
      <c r="V1063" s="592"/>
      <c r="W1063" s="592" t="e">
        <f>K1063*((SUM(P733:P1063)+SUM(R733:R1063))/(K732-K1063))</f>
        <v>#DIV/0!</v>
      </c>
      <c r="X1063" s="592" t="e">
        <f>K1063*((SUM(Q733:Q1063)+SUM(S733:S1063)+SUM(U733:U1063)+SUM(V733:V1063))/(K732-K1063))+1073.9</f>
        <v>#DIV/0!</v>
      </c>
      <c r="AK1063" s="7" t="s">
        <v>527</v>
      </c>
      <c r="AU1063" s="17">
        <f>SUM(AL1064:AL1064)</f>
        <v>0</v>
      </c>
      <c r="AV1063" s="17">
        <f>SUM(AM1064:AM1064)</f>
        <v>0</v>
      </c>
      <c r="AW1063" s="17">
        <f>SUM(AN1064:AN1064)</f>
        <v>0</v>
      </c>
      <c r="BP1063" s="592" t="e">
        <f>SUM(P1063:X1063)</f>
        <v>#DIV/0!</v>
      </c>
      <c r="BR1063" s="108" t="e">
        <f>K1063-BP1063</f>
        <v>#DIV/0!</v>
      </c>
    </row>
    <row r="1064" spans="1:70" ht="15" customHeight="1">
      <c r="A1064" s="24" t="s">
        <v>749</v>
      </c>
      <c r="B1064" s="12" t="s">
        <v>527</v>
      </c>
      <c r="C1064" s="12" t="s">
        <v>607</v>
      </c>
      <c r="D1064" s="630" t="s">
        <v>429</v>
      </c>
      <c r="E1064" s="630"/>
      <c r="F1064" s="12" t="s">
        <v>1074</v>
      </c>
      <c r="G1064" s="56">
        <v>199.85</v>
      </c>
      <c r="H1064" s="625"/>
      <c r="I1064" s="56">
        <f>G1064*AQ1064</f>
        <v>0</v>
      </c>
      <c r="J1064" s="56">
        <f>G1064*AR1064</f>
        <v>0</v>
      </c>
      <c r="K1064" s="56">
        <f>G1064*H1064</f>
        <v>0</v>
      </c>
      <c r="L1064" s="56">
        <v>0</v>
      </c>
      <c r="M1064" s="56">
        <f>G1064*L1064</f>
        <v>0</v>
      </c>
      <c r="N1064" s="31" t="s">
        <v>1579</v>
      </c>
      <c r="P1064" s="592"/>
      <c r="Q1064" s="592"/>
      <c r="R1064" s="592"/>
      <c r="S1064" s="592"/>
      <c r="T1064" s="592"/>
      <c r="U1064" s="592"/>
      <c r="V1064" s="592"/>
      <c r="W1064" s="592"/>
      <c r="X1064" s="592"/>
      <c r="AB1064" s="56">
        <f>IF(AS1064="5",BL1064,0)</f>
        <v>0</v>
      </c>
      <c r="AD1064" s="56">
        <f>IF(AS1064="1",BJ1064,0)</f>
        <v>0</v>
      </c>
      <c r="AE1064" s="56">
        <f>IF(AS1064="1",BK1064,0)</f>
        <v>0</v>
      </c>
      <c r="AF1064" s="56">
        <f>IF(AS1064="7",BJ1064,0)</f>
        <v>0</v>
      </c>
      <c r="AG1064" s="56">
        <f>IF(AS1064="7",BK1064,0)</f>
        <v>0</v>
      </c>
      <c r="AH1064" s="56">
        <f>IF(AS1064="2",BJ1064,0)</f>
        <v>0</v>
      </c>
      <c r="AI1064" s="56">
        <f>IF(AS1064="2",BK1064,0)</f>
        <v>0</v>
      </c>
      <c r="AJ1064" s="56">
        <f>IF(AS1064="0",BL1064,0)</f>
        <v>0</v>
      </c>
      <c r="AK1064" s="7" t="s">
        <v>527</v>
      </c>
      <c r="AL1064" s="56">
        <f>IF(AP1064=0,K1064,0)</f>
        <v>0</v>
      </c>
      <c r="AM1064" s="56">
        <f>IF(AP1064=15,K1064,0)</f>
        <v>0</v>
      </c>
      <c r="AN1064" s="56">
        <f>IF(AP1064=21,K1064,0)</f>
        <v>0</v>
      </c>
      <c r="AP1064" s="56">
        <v>21</v>
      </c>
      <c r="AQ1064" s="88">
        <f>H1064*0</f>
        <v>0</v>
      </c>
      <c r="AR1064" s="88">
        <f>H1064*(1-0)</f>
        <v>0</v>
      </c>
      <c r="AS1064" s="21" t="s">
        <v>1227</v>
      </c>
      <c r="AX1064" s="56">
        <f>AY1064+AZ1064</f>
        <v>0</v>
      </c>
      <c r="AY1064" s="56">
        <f>G1064*AQ1064</f>
        <v>0</v>
      </c>
      <c r="AZ1064" s="56">
        <f>G1064*AR1064</f>
        <v>0</v>
      </c>
      <c r="BA1064" s="21" t="s">
        <v>2353</v>
      </c>
      <c r="BB1064" s="21" t="s">
        <v>1019</v>
      </c>
      <c r="BC1064" s="7" t="s">
        <v>1887</v>
      </c>
      <c r="BE1064" s="56">
        <f>AY1064+AZ1064</f>
        <v>0</v>
      </c>
      <c r="BF1064" s="56">
        <f>H1064/(100-BG1064)*100</f>
        <v>0</v>
      </c>
      <c r="BG1064" s="56">
        <v>0</v>
      </c>
      <c r="BH1064" s="56">
        <f>M1064</f>
        <v>0</v>
      </c>
      <c r="BJ1064" s="56">
        <f>G1064*AQ1064</f>
        <v>0</v>
      </c>
      <c r="BK1064" s="56">
        <f>G1064*AR1064</f>
        <v>0</v>
      </c>
      <c r="BL1064" s="56">
        <f>G1064*H1064</f>
        <v>0</v>
      </c>
      <c r="BM1064" s="56"/>
      <c r="BN1064" s="56"/>
    </row>
    <row r="1065" spans="1:70" ht="15" customHeight="1">
      <c r="A1065" s="36"/>
      <c r="D1065" s="45" t="s">
        <v>1769</v>
      </c>
      <c r="E1065" s="104" t="s">
        <v>1597</v>
      </c>
      <c r="G1065" s="13">
        <v>199.85000000000002</v>
      </c>
      <c r="N1065" s="19"/>
      <c r="P1065" s="592"/>
      <c r="Q1065" s="592"/>
      <c r="R1065" s="592"/>
      <c r="S1065" s="592"/>
      <c r="T1065" s="592"/>
      <c r="U1065" s="592"/>
      <c r="V1065" s="592"/>
      <c r="W1065" s="592"/>
      <c r="X1065" s="592"/>
    </row>
    <row r="1066" spans="1:70" ht="15" customHeight="1">
      <c r="A1066" s="32" t="s">
        <v>1597</v>
      </c>
      <c r="B1066" s="26" t="s">
        <v>527</v>
      </c>
      <c r="C1066" s="512" t="s">
        <v>2296</v>
      </c>
      <c r="D1066" s="709" t="s">
        <v>2620</v>
      </c>
      <c r="E1066" s="709"/>
      <c r="F1066" s="46" t="s">
        <v>2144</v>
      </c>
      <c r="G1066" s="46" t="s">
        <v>2144</v>
      </c>
      <c r="H1066" s="46" t="s">
        <v>2144</v>
      </c>
      <c r="I1066" s="17">
        <f>SUM(I1067:I1067)</f>
        <v>0</v>
      </c>
      <c r="J1066" s="17">
        <f>SUM(J1067:J1067)</f>
        <v>0</v>
      </c>
      <c r="K1066" s="515">
        <f>SUM(K1067:K1067)</f>
        <v>0</v>
      </c>
      <c r="L1066" s="7" t="s">
        <v>1597</v>
      </c>
      <c r="M1066" s="17">
        <f>SUM(M1067:M1067)</f>
        <v>0</v>
      </c>
      <c r="N1066" s="20" t="s">
        <v>1597</v>
      </c>
      <c r="P1066" s="592">
        <f>K1066</f>
        <v>0</v>
      </c>
      <c r="Q1066" s="592"/>
      <c r="R1066" s="592"/>
      <c r="S1066" s="592"/>
      <c r="T1066" s="592"/>
      <c r="U1066" s="592"/>
      <c r="V1066" s="592"/>
      <c r="W1066" s="592"/>
      <c r="X1066" s="592"/>
      <c r="AK1066" s="7" t="s">
        <v>527</v>
      </c>
      <c r="AU1066" s="17">
        <f>SUM(AL1067:AL1067)</f>
        <v>0</v>
      </c>
      <c r="AV1066" s="17">
        <f>SUM(AM1067:AM1067)</f>
        <v>0</v>
      </c>
      <c r="AW1066" s="17">
        <f>SUM(AN1067:AN1067)</f>
        <v>0</v>
      </c>
    </row>
    <row r="1067" spans="1:70" ht="15" customHeight="1">
      <c r="A1067" s="24" t="s">
        <v>1442</v>
      </c>
      <c r="B1067" s="12" t="s">
        <v>527</v>
      </c>
      <c r="C1067" s="12" t="s">
        <v>2198</v>
      </c>
      <c r="D1067" s="630" t="s">
        <v>1818</v>
      </c>
      <c r="E1067" s="630"/>
      <c r="F1067" s="12" t="s">
        <v>1074</v>
      </c>
      <c r="G1067" s="56">
        <v>1.17</v>
      </c>
      <c r="H1067" s="625"/>
      <c r="I1067" s="56">
        <f>G1067*AQ1067</f>
        <v>0</v>
      </c>
      <c r="J1067" s="56">
        <f>G1067*AR1067</f>
        <v>0</v>
      </c>
      <c r="K1067" s="56">
        <f>G1067*H1067</f>
        <v>0</v>
      </c>
      <c r="L1067" s="56">
        <v>0</v>
      </c>
      <c r="M1067" s="56">
        <f>G1067*L1067</f>
        <v>0</v>
      </c>
      <c r="N1067" s="31" t="s">
        <v>1579</v>
      </c>
      <c r="P1067" s="592"/>
      <c r="Q1067" s="592"/>
      <c r="R1067" s="592"/>
      <c r="S1067" s="592"/>
      <c r="T1067" s="592"/>
      <c r="U1067" s="592"/>
      <c r="V1067" s="592"/>
      <c r="W1067" s="592"/>
      <c r="X1067" s="592"/>
      <c r="AB1067" s="56">
        <f>IF(AS1067="5",BL1067,0)</f>
        <v>0</v>
      </c>
      <c r="AD1067" s="56">
        <f>IF(AS1067="1",BJ1067,0)</f>
        <v>0</v>
      </c>
      <c r="AE1067" s="56">
        <f>IF(AS1067="1",BK1067,0)</f>
        <v>0</v>
      </c>
      <c r="AF1067" s="56">
        <f>IF(AS1067="7",BJ1067,0)</f>
        <v>0</v>
      </c>
      <c r="AG1067" s="56">
        <f>IF(AS1067="7",BK1067,0)</f>
        <v>0</v>
      </c>
      <c r="AH1067" s="56">
        <f>IF(AS1067="2",BJ1067,0)</f>
        <v>0</v>
      </c>
      <c r="AI1067" s="56">
        <f>IF(AS1067="2",BK1067,0)</f>
        <v>0</v>
      </c>
      <c r="AJ1067" s="56">
        <f>IF(AS1067="0",BL1067,0)</f>
        <v>0</v>
      </c>
      <c r="AK1067" s="7" t="s">
        <v>527</v>
      </c>
      <c r="AL1067" s="56">
        <f>IF(AP1067=0,K1067,0)</f>
        <v>0</v>
      </c>
      <c r="AM1067" s="56">
        <f>IF(AP1067=15,K1067,0)</f>
        <v>0</v>
      </c>
      <c r="AN1067" s="56">
        <f>IF(AP1067=21,K1067,0)</f>
        <v>0</v>
      </c>
      <c r="AP1067" s="56">
        <v>21</v>
      </c>
      <c r="AQ1067" s="88">
        <f>H1067*0</f>
        <v>0</v>
      </c>
      <c r="AR1067" s="88">
        <f>H1067*(1-0)</f>
        <v>0</v>
      </c>
      <c r="AS1067" s="21" t="s">
        <v>1227</v>
      </c>
      <c r="AX1067" s="56">
        <f>AY1067+AZ1067</f>
        <v>0</v>
      </c>
      <c r="AY1067" s="56">
        <f>G1067*AQ1067</f>
        <v>0</v>
      </c>
      <c r="AZ1067" s="56">
        <f>G1067*AR1067</f>
        <v>0</v>
      </c>
      <c r="BA1067" s="21" t="s">
        <v>816</v>
      </c>
      <c r="BB1067" s="21" t="s">
        <v>1019</v>
      </c>
      <c r="BC1067" s="7" t="s">
        <v>1887</v>
      </c>
      <c r="BE1067" s="56">
        <f>AY1067+AZ1067</f>
        <v>0</v>
      </c>
      <c r="BF1067" s="56">
        <f>H1067/(100-BG1067)*100</f>
        <v>0</v>
      </c>
      <c r="BG1067" s="56">
        <v>0</v>
      </c>
      <c r="BH1067" s="56">
        <f>M1067</f>
        <v>0</v>
      </c>
      <c r="BJ1067" s="56">
        <f>G1067*AQ1067</f>
        <v>0</v>
      </c>
      <c r="BK1067" s="56">
        <f>G1067*AR1067</f>
        <v>0</v>
      </c>
      <c r="BL1067" s="56">
        <f>G1067*H1067</f>
        <v>0</v>
      </c>
      <c r="BM1067" s="56"/>
      <c r="BN1067" s="56"/>
    </row>
    <row r="1068" spans="1:70" ht="15" customHeight="1">
      <c r="A1068" s="36"/>
      <c r="D1068" s="45" t="s">
        <v>774</v>
      </c>
      <c r="E1068" s="104" t="s">
        <v>1597</v>
      </c>
      <c r="G1068" s="13">
        <v>1.1700000000000002</v>
      </c>
      <c r="N1068" s="19"/>
      <c r="P1068" s="592"/>
      <c r="Q1068" s="592"/>
      <c r="R1068" s="592"/>
      <c r="S1068" s="592"/>
      <c r="T1068" s="592"/>
      <c r="U1068" s="592"/>
      <c r="V1068" s="592"/>
      <c r="W1068" s="592"/>
      <c r="X1068" s="592"/>
    </row>
    <row r="1069" spans="1:70" ht="15" customHeight="1">
      <c r="A1069" s="32" t="s">
        <v>1597</v>
      </c>
      <c r="B1069" s="26" t="s">
        <v>527</v>
      </c>
      <c r="C1069" s="512" t="s">
        <v>302</v>
      </c>
      <c r="D1069" s="709" t="s">
        <v>1993</v>
      </c>
      <c r="E1069" s="709"/>
      <c r="F1069" s="46" t="s">
        <v>2144</v>
      </c>
      <c r="G1069" s="46" t="s">
        <v>2144</v>
      </c>
      <c r="H1069" s="46" t="s">
        <v>2144</v>
      </c>
      <c r="I1069" s="17">
        <f>SUM(I1070:I1070)</f>
        <v>0</v>
      </c>
      <c r="J1069" s="17">
        <f>SUM(J1070:J1070)</f>
        <v>0</v>
      </c>
      <c r="K1069" s="515">
        <f>SUM(K1070:K1070)</f>
        <v>0</v>
      </c>
      <c r="L1069" s="7" t="s">
        <v>1597</v>
      </c>
      <c r="M1069" s="17">
        <f>SUM(M1070:M1070)</f>
        <v>0</v>
      </c>
      <c r="N1069" s="20" t="s">
        <v>1597</v>
      </c>
      <c r="P1069" s="592">
        <f>K1069</f>
        <v>0</v>
      </c>
      <c r="Q1069" s="592"/>
      <c r="R1069" s="592"/>
      <c r="S1069" s="592"/>
      <c r="T1069" s="592"/>
      <c r="U1069" s="592"/>
      <c r="V1069" s="592"/>
      <c r="W1069" s="592"/>
      <c r="X1069" s="592"/>
      <c r="AK1069" s="7" t="s">
        <v>527</v>
      </c>
      <c r="AU1069" s="17">
        <f>SUM(AL1070:AL1070)</f>
        <v>0</v>
      </c>
      <c r="AV1069" s="17">
        <f>SUM(AM1070:AM1070)</f>
        <v>0</v>
      </c>
      <c r="AW1069" s="17">
        <f>SUM(AN1070:AN1070)</f>
        <v>0</v>
      </c>
    </row>
    <row r="1070" spans="1:70" ht="15" customHeight="1">
      <c r="A1070" s="24" t="s">
        <v>2245</v>
      </c>
      <c r="B1070" s="12" t="s">
        <v>527</v>
      </c>
      <c r="C1070" s="12" t="s">
        <v>821</v>
      </c>
      <c r="D1070" s="630" t="s">
        <v>2147</v>
      </c>
      <c r="E1070" s="630"/>
      <c r="F1070" s="12" t="s">
        <v>1074</v>
      </c>
      <c r="G1070" s="56">
        <v>17.600000000000001</v>
      </c>
      <c r="H1070" s="625"/>
      <c r="I1070" s="56">
        <f>G1070*AQ1070</f>
        <v>0</v>
      </c>
      <c r="J1070" s="56">
        <f>G1070*AR1070</f>
        <v>0</v>
      </c>
      <c r="K1070" s="56">
        <f>G1070*H1070</f>
        <v>0</v>
      </c>
      <c r="L1070" s="56">
        <v>0</v>
      </c>
      <c r="M1070" s="56">
        <f>G1070*L1070</f>
        <v>0</v>
      </c>
      <c r="N1070" s="31" t="s">
        <v>1579</v>
      </c>
      <c r="P1070" s="592"/>
      <c r="Q1070" s="592"/>
      <c r="R1070" s="592"/>
      <c r="S1070" s="592"/>
      <c r="T1070" s="592"/>
      <c r="U1070" s="592"/>
      <c r="V1070" s="592"/>
      <c r="W1070" s="592"/>
      <c r="X1070" s="592"/>
      <c r="AB1070" s="56">
        <f>IF(AS1070="5",BL1070,0)</f>
        <v>0</v>
      </c>
      <c r="AD1070" s="56">
        <f>IF(AS1070="1",BJ1070,0)</f>
        <v>0</v>
      </c>
      <c r="AE1070" s="56">
        <f>IF(AS1070="1",BK1070,0)</f>
        <v>0</v>
      </c>
      <c r="AF1070" s="56">
        <f>IF(AS1070="7",BJ1070,0)</f>
        <v>0</v>
      </c>
      <c r="AG1070" s="56">
        <f>IF(AS1070="7",BK1070,0)</f>
        <v>0</v>
      </c>
      <c r="AH1070" s="56">
        <f>IF(AS1070="2",BJ1070,0)</f>
        <v>0</v>
      </c>
      <c r="AI1070" s="56">
        <f>IF(AS1070="2",BK1070,0)</f>
        <v>0</v>
      </c>
      <c r="AJ1070" s="56">
        <f>IF(AS1070="0",BL1070,0)</f>
        <v>0</v>
      </c>
      <c r="AK1070" s="7" t="s">
        <v>527</v>
      </c>
      <c r="AL1070" s="56">
        <f>IF(AP1070=0,K1070,0)</f>
        <v>0</v>
      </c>
      <c r="AM1070" s="56">
        <f>IF(AP1070=15,K1070,0)</f>
        <v>0</v>
      </c>
      <c r="AN1070" s="56">
        <f>IF(AP1070=21,K1070,0)</f>
        <v>0</v>
      </c>
      <c r="AP1070" s="56">
        <v>21</v>
      </c>
      <c r="AQ1070" s="88">
        <f>H1070*0</f>
        <v>0</v>
      </c>
      <c r="AR1070" s="88">
        <f>H1070*(1-0)</f>
        <v>0</v>
      </c>
      <c r="AS1070" s="21" t="s">
        <v>1227</v>
      </c>
      <c r="AX1070" s="56">
        <f>AY1070+AZ1070</f>
        <v>0</v>
      </c>
      <c r="AY1070" s="56">
        <f>G1070*AQ1070</f>
        <v>0</v>
      </c>
      <c r="AZ1070" s="56">
        <f>G1070*AR1070</f>
        <v>0</v>
      </c>
      <c r="BA1070" s="21" t="s">
        <v>2087</v>
      </c>
      <c r="BB1070" s="21" t="s">
        <v>1019</v>
      </c>
      <c r="BC1070" s="7" t="s">
        <v>1887</v>
      </c>
      <c r="BE1070" s="56">
        <f>AY1070+AZ1070</f>
        <v>0</v>
      </c>
      <c r="BF1070" s="56">
        <f>H1070/(100-BG1070)*100</f>
        <v>0</v>
      </c>
      <c r="BG1070" s="56">
        <v>0</v>
      </c>
      <c r="BH1070" s="56">
        <f>M1070</f>
        <v>0</v>
      </c>
      <c r="BJ1070" s="56">
        <f>G1070*AQ1070</f>
        <v>0</v>
      </c>
      <c r="BK1070" s="56">
        <f>G1070*AR1070</f>
        <v>0</v>
      </c>
      <c r="BL1070" s="56">
        <f>G1070*H1070</f>
        <v>0</v>
      </c>
      <c r="BM1070" s="56"/>
      <c r="BN1070" s="56"/>
    </row>
    <row r="1071" spans="1:70" ht="15" customHeight="1">
      <c r="A1071" s="36"/>
      <c r="D1071" s="45" t="s">
        <v>1900</v>
      </c>
      <c r="E1071" s="104" t="s">
        <v>1597</v>
      </c>
      <c r="G1071" s="13">
        <v>17.600000000000001</v>
      </c>
      <c r="N1071" s="19"/>
      <c r="P1071" s="592"/>
      <c r="Q1071" s="592"/>
      <c r="R1071" s="592"/>
      <c r="S1071" s="592"/>
      <c r="T1071" s="592"/>
      <c r="U1071" s="592"/>
      <c r="V1071" s="592"/>
      <c r="W1071" s="592"/>
      <c r="X1071" s="592"/>
    </row>
    <row r="1072" spans="1:70" ht="15" customHeight="1">
      <c r="A1072" s="32" t="s">
        <v>1597</v>
      </c>
      <c r="B1072" s="26" t="s">
        <v>527</v>
      </c>
      <c r="C1072" s="512" t="s">
        <v>835</v>
      </c>
      <c r="D1072" s="709" t="s">
        <v>2463</v>
      </c>
      <c r="E1072" s="709"/>
      <c r="F1072" s="46" t="s">
        <v>2144</v>
      </c>
      <c r="G1072" s="46" t="s">
        <v>2144</v>
      </c>
      <c r="H1072" s="46" t="s">
        <v>2144</v>
      </c>
      <c r="I1072" s="17">
        <f>SUM(I1073:I1073)</f>
        <v>0</v>
      </c>
      <c r="J1072" s="17">
        <f>SUM(J1073:J1073)</f>
        <v>0</v>
      </c>
      <c r="K1072" s="515">
        <f>SUM(K1073:K1073)</f>
        <v>0</v>
      </c>
      <c r="L1072" s="7" t="s">
        <v>1597</v>
      </c>
      <c r="M1072" s="17">
        <f>SUM(M1073:M1073)</f>
        <v>0</v>
      </c>
      <c r="N1072" s="20" t="s">
        <v>1597</v>
      </c>
      <c r="P1072" s="592">
        <f>K1072</f>
        <v>0</v>
      </c>
      <c r="Q1072" s="592"/>
      <c r="R1072" s="592"/>
      <c r="S1072" s="592"/>
      <c r="T1072" s="592"/>
      <c r="U1072" s="592"/>
      <c r="V1072" s="592"/>
      <c r="W1072" s="592"/>
      <c r="X1072" s="592"/>
      <c r="AK1072" s="7" t="s">
        <v>527</v>
      </c>
      <c r="AU1072" s="17">
        <f>SUM(AL1073:AL1073)</f>
        <v>0</v>
      </c>
      <c r="AV1072" s="17">
        <f>SUM(AM1073:AM1073)</f>
        <v>0</v>
      </c>
      <c r="AW1072" s="17">
        <f>SUM(AN1073:AN1073)</f>
        <v>0</v>
      </c>
    </row>
    <row r="1073" spans="1:68" ht="15" customHeight="1">
      <c r="A1073" s="24" t="s">
        <v>21</v>
      </c>
      <c r="B1073" s="12" t="s">
        <v>527</v>
      </c>
      <c r="C1073" s="12" t="s">
        <v>1774</v>
      </c>
      <c r="D1073" s="630" t="s">
        <v>2510</v>
      </c>
      <c r="E1073" s="630"/>
      <c r="F1073" s="12" t="s">
        <v>1074</v>
      </c>
      <c r="G1073" s="56">
        <v>38.4</v>
      </c>
      <c r="H1073" s="625"/>
      <c r="I1073" s="56">
        <f>G1073*AQ1073</f>
        <v>0</v>
      </c>
      <c r="J1073" s="56">
        <f>G1073*AR1073</f>
        <v>0</v>
      </c>
      <c r="K1073" s="56">
        <f>G1073*H1073</f>
        <v>0</v>
      </c>
      <c r="L1073" s="56">
        <v>0</v>
      </c>
      <c r="M1073" s="56">
        <f>G1073*L1073</f>
        <v>0</v>
      </c>
      <c r="N1073" s="31" t="s">
        <v>1579</v>
      </c>
      <c r="P1073" s="592"/>
      <c r="Q1073" s="592"/>
      <c r="R1073" s="592"/>
      <c r="S1073" s="592"/>
      <c r="T1073" s="592"/>
      <c r="U1073" s="592"/>
      <c r="V1073" s="592"/>
      <c r="W1073" s="592"/>
      <c r="X1073" s="592"/>
      <c r="AB1073" s="56">
        <f>IF(AS1073="5",BL1073,0)</f>
        <v>0</v>
      </c>
      <c r="AD1073" s="56">
        <f>IF(AS1073="1",BJ1073,0)</f>
        <v>0</v>
      </c>
      <c r="AE1073" s="56">
        <f>IF(AS1073="1",BK1073,0)</f>
        <v>0</v>
      </c>
      <c r="AF1073" s="56">
        <f>IF(AS1073="7",BJ1073,0)</f>
        <v>0</v>
      </c>
      <c r="AG1073" s="56">
        <f>IF(AS1073="7",BK1073,0)</f>
        <v>0</v>
      </c>
      <c r="AH1073" s="56">
        <f>IF(AS1073="2",BJ1073,0)</f>
        <v>0</v>
      </c>
      <c r="AI1073" s="56">
        <f>IF(AS1073="2",BK1073,0)</f>
        <v>0</v>
      </c>
      <c r="AJ1073" s="56">
        <f>IF(AS1073="0",BL1073,0)</f>
        <v>0</v>
      </c>
      <c r="AK1073" s="7" t="s">
        <v>527</v>
      </c>
      <c r="AL1073" s="56">
        <f>IF(AP1073=0,K1073,0)</f>
        <v>0</v>
      </c>
      <c r="AM1073" s="56">
        <f>IF(AP1073=15,K1073,0)</f>
        <v>0</v>
      </c>
      <c r="AN1073" s="56">
        <f>IF(AP1073=21,K1073,0)</f>
        <v>0</v>
      </c>
      <c r="AP1073" s="56">
        <v>21</v>
      </c>
      <c r="AQ1073" s="88">
        <f>H1073*0</f>
        <v>0</v>
      </c>
      <c r="AR1073" s="88">
        <f>H1073*(1-0)</f>
        <v>0</v>
      </c>
      <c r="AS1073" s="21" t="s">
        <v>1227</v>
      </c>
      <c r="AX1073" s="56">
        <f>AY1073+AZ1073</f>
        <v>0</v>
      </c>
      <c r="AY1073" s="56">
        <f>G1073*AQ1073</f>
        <v>0</v>
      </c>
      <c r="AZ1073" s="56">
        <f>G1073*AR1073</f>
        <v>0</v>
      </c>
      <c r="BA1073" s="21" t="s">
        <v>190</v>
      </c>
      <c r="BB1073" s="21" t="s">
        <v>1019</v>
      </c>
      <c r="BC1073" s="7" t="s">
        <v>1887</v>
      </c>
      <c r="BE1073" s="56">
        <f>AY1073+AZ1073</f>
        <v>0</v>
      </c>
      <c r="BF1073" s="56">
        <f>H1073/(100-BG1073)*100</f>
        <v>0</v>
      </c>
      <c r="BG1073" s="56">
        <v>0</v>
      </c>
      <c r="BH1073" s="56">
        <f>M1073</f>
        <v>0</v>
      </c>
      <c r="BJ1073" s="56">
        <f>G1073*AQ1073</f>
        <v>0</v>
      </c>
      <c r="BK1073" s="56">
        <f>G1073*AR1073</f>
        <v>0</v>
      </c>
      <c r="BL1073" s="56">
        <f>G1073*H1073</f>
        <v>0</v>
      </c>
      <c r="BM1073" s="56"/>
      <c r="BN1073" s="56"/>
    </row>
    <row r="1074" spans="1:68" ht="15" customHeight="1">
      <c r="A1074" s="36"/>
      <c r="D1074" s="45" t="s">
        <v>622</v>
      </c>
      <c r="E1074" s="104" t="s">
        <v>1597</v>
      </c>
      <c r="G1074" s="13">
        <v>38.400000000000006</v>
      </c>
      <c r="N1074" s="19"/>
      <c r="P1074" s="592"/>
      <c r="Q1074" s="592"/>
      <c r="R1074" s="592"/>
      <c r="S1074" s="592"/>
      <c r="T1074" s="592"/>
      <c r="U1074" s="592"/>
      <c r="V1074" s="592"/>
      <c r="W1074" s="592"/>
      <c r="X1074" s="592"/>
    </row>
    <row r="1075" spans="1:68" ht="15" customHeight="1">
      <c r="A1075" s="32" t="s">
        <v>1597</v>
      </c>
      <c r="B1075" s="26" t="s">
        <v>527</v>
      </c>
      <c r="C1075" s="553" t="s">
        <v>1149</v>
      </c>
      <c r="D1075" s="709" t="s">
        <v>1481</v>
      </c>
      <c r="E1075" s="709"/>
      <c r="F1075" s="46" t="s">
        <v>2144</v>
      </c>
      <c r="G1075" s="46" t="s">
        <v>2144</v>
      </c>
      <c r="H1075" s="46" t="s">
        <v>2144</v>
      </c>
      <c r="I1075" s="17">
        <f>SUM(I1076:I1076)</f>
        <v>0</v>
      </c>
      <c r="J1075" s="17">
        <f>SUM(J1076:J1076)</f>
        <v>0</v>
      </c>
      <c r="K1075" s="554">
        <f>SUM(K1076:K1076)</f>
        <v>0</v>
      </c>
      <c r="L1075" s="7" t="s">
        <v>1597</v>
      </c>
      <c r="M1075" s="17">
        <f>SUM(M1076:M1076)</f>
        <v>0</v>
      </c>
      <c r="N1075" s="20" t="s">
        <v>1597</v>
      </c>
      <c r="P1075" s="592"/>
      <c r="Q1075" s="592"/>
      <c r="R1075" s="592">
        <f>K1075*0.5</f>
        <v>0</v>
      </c>
      <c r="S1075" s="592">
        <f>K1075*0.5</f>
        <v>0</v>
      </c>
      <c r="T1075" s="592"/>
      <c r="U1075" s="592"/>
      <c r="V1075" s="592"/>
      <c r="W1075" s="592"/>
      <c r="X1075" s="592"/>
      <c r="AK1075" s="7" t="s">
        <v>527</v>
      </c>
      <c r="AU1075" s="17">
        <f>SUM(AL1076:AL1076)</f>
        <v>0</v>
      </c>
      <c r="AV1075" s="17">
        <f>SUM(AM1076:AM1076)</f>
        <v>0</v>
      </c>
      <c r="AW1075" s="17">
        <f>SUM(AN1076:AN1076)</f>
        <v>0</v>
      </c>
      <c r="BP1075" s="592">
        <f>SUM(P1075:X1075)</f>
        <v>0</v>
      </c>
    </row>
    <row r="1076" spans="1:68" ht="15" customHeight="1">
      <c r="A1076" s="24" t="s">
        <v>252</v>
      </c>
      <c r="B1076" s="12" t="s">
        <v>527</v>
      </c>
      <c r="C1076" s="12" t="s">
        <v>2180</v>
      </c>
      <c r="D1076" s="630" t="s">
        <v>1153</v>
      </c>
      <c r="E1076" s="630"/>
      <c r="F1076" s="12" t="s">
        <v>1074</v>
      </c>
      <c r="G1076" s="56">
        <v>2.4300000000000002</v>
      </c>
      <c r="H1076" s="625"/>
      <c r="I1076" s="56">
        <f>G1076*AQ1076</f>
        <v>0</v>
      </c>
      <c r="J1076" s="56">
        <f>G1076*AR1076</f>
        <v>0</v>
      </c>
      <c r="K1076" s="56">
        <f>G1076*H1076</f>
        <v>0</v>
      </c>
      <c r="L1076" s="56">
        <v>0</v>
      </c>
      <c r="M1076" s="56">
        <f>G1076*L1076</f>
        <v>0</v>
      </c>
      <c r="N1076" s="31" t="s">
        <v>1579</v>
      </c>
      <c r="P1076" s="592"/>
      <c r="Q1076" s="592"/>
      <c r="R1076" s="592"/>
      <c r="S1076" s="592"/>
      <c r="T1076" s="592"/>
      <c r="U1076" s="592"/>
      <c r="V1076" s="592"/>
      <c r="W1076" s="592"/>
      <c r="X1076" s="592"/>
      <c r="AB1076" s="56">
        <f>IF(AS1076="5",BL1076,0)</f>
        <v>0</v>
      </c>
      <c r="AD1076" s="56">
        <f>IF(AS1076="1",BJ1076,0)</f>
        <v>0</v>
      </c>
      <c r="AE1076" s="56">
        <f>IF(AS1076="1",BK1076,0)</f>
        <v>0</v>
      </c>
      <c r="AF1076" s="56">
        <f>IF(AS1076="7",BJ1076,0)</f>
        <v>0</v>
      </c>
      <c r="AG1076" s="56">
        <f>IF(AS1076="7",BK1076,0)</f>
        <v>0</v>
      </c>
      <c r="AH1076" s="56">
        <f>IF(AS1076="2",BJ1076,0)</f>
        <v>0</v>
      </c>
      <c r="AI1076" s="56">
        <f>IF(AS1076="2",BK1076,0)</f>
        <v>0</v>
      </c>
      <c r="AJ1076" s="56">
        <f>IF(AS1076="0",BL1076,0)</f>
        <v>0</v>
      </c>
      <c r="AK1076" s="7" t="s">
        <v>527</v>
      </c>
      <c r="AL1076" s="56">
        <f>IF(AP1076=0,K1076,0)</f>
        <v>0</v>
      </c>
      <c r="AM1076" s="56">
        <f>IF(AP1076=15,K1076,0)</f>
        <v>0</v>
      </c>
      <c r="AN1076" s="56">
        <f>IF(AP1076=21,K1076,0)</f>
        <v>0</v>
      </c>
      <c r="AP1076" s="56">
        <v>21</v>
      </c>
      <c r="AQ1076" s="88">
        <f>H1076*0</f>
        <v>0</v>
      </c>
      <c r="AR1076" s="88">
        <f>H1076*(1-0)</f>
        <v>0</v>
      </c>
      <c r="AS1076" s="21" t="s">
        <v>1227</v>
      </c>
      <c r="AX1076" s="56">
        <f>AY1076+AZ1076</f>
        <v>0</v>
      </c>
      <c r="AY1076" s="56">
        <f>G1076*AQ1076</f>
        <v>0</v>
      </c>
      <c r="AZ1076" s="56">
        <f>G1076*AR1076</f>
        <v>0</v>
      </c>
      <c r="BA1076" s="21" t="s">
        <v>1755</v>
      </c>
      <c r="BB1076" s="21" t="s">
        <v>1019</v>
      </c>
      <c r="BC1076" s="7" t="s">
        <v>1887</v>
      </c>
      <c r="BE1076" s="56">
        <f>AY1076+AZ1076</f>
        <v>0</v>
      </c>
      <c r="BF1076" s="56">
        <f>H1076/(100-BG1076)*100</f>
        <v>0</v>
      </c>
      <c r="BG1076" s="56">
        <v>0</v>
      </c>
      <c r="BH1076" s="56">
        <f>M1076</f>
        <v>0</v>
      </c>
      <c r="BJ1076" s="56">
        <f>G1076*AQ1076</f>
        <v>0</v>
      </c>
      <c r="BK1076" s="56">
        <f>G1076*AR1076</f>
        <v>0</v>
      </c>
      <c r="BL1076" s="56">
        <f>G1076*H1076</f>
        <v>0</v>
      </c>
      <c r="BM1076" s="56"/>
      <c r="BN1076" s="56"/>
    </row>
    <row r="1077" spans="1:68" ht="15" customHeight="1">
      <c r="A1077" s="36"/>
      <c r="D1077" s="45" t="s">
        <v>1766</v>
      </c>
      <c r="E1077" s="104" t="s">
        <v>1597</v>
      </c>
      <c r="G1077" s="13">
        <v>2.4300000000000002</v>
      </c>
      <c r="N1077" s="19"/>
      <c r="P1077" s="592"/>
      <c r="Q1077" s="592"/>
      <c r="R1077" s="592"/>
      <c r="S1077" s="592"/>
      <c r="T1077" s="592"/>
      <c r="U1077" s="592"/>
      <c r="V1077" s="592"/>
      <c r="W1077" s="592"/>
      <c r="X1077" s="592"/>
    </row>
    <row r="1078" spans="1:68" ht="15" customHeight="1">
      <c r="A1078" s="32" t="s">
        <v>1597</v>
      </c>
      <c r="B1078" s="26" t="s">
        <v>527</v>
      </c>
      <c r="C1078" s="512" t="s">
        <v>458</v>
      </c>
      <c r="D1078" s="709" t="s">
        <v>305</v>
      </c>
      <c r="E1078" s="709"/>
      <c r="F1078" s="46" t="s">
        <v>2144</v>
      </c>
      <c r="G1078" s="46" t="s">
        <v>2144</v>
      </c>
      <c r="H1078" s="46" t="s">
        <v>2144</v>
      </c>
      <c r="I1078" s="17">
        <f>SUM(I1079:I1079)</f>
        <v>0</v>
      </c>
      <c r="J1078" s="17">
        <f>SUM(J1079:J1079)</f>
        <v>0</v>
      </c>
      <c r="K1078" s="515">
        <f>SUM(K1079:K1079)</f>
        <v>0</v>
      </c>
      <c r="L1078" s="7" t="s">
        <v>1597</v>
      </c>
      <c r="M1078" s="17">
        <f>SUM(M1079:M1079)</f>
        <v>0</v>
      </c>
      <c r="N1078" s="20" t="s">
        <v>1597</v>
      </c>
      <c r="P1078" s="592">
        <f>K1078</f>
        <v>0</v>
      </c>
      <c r="Q1078" s="592"/>
      <c r="R1078" s="592"/>
      <c r="S1078" s="592"/>
      <c r="T1078" s="592"/>
      <c r="U1078" s="592"/>
      <c r="V1078" s="592"/>
      <c r="W1078" s="592"/>
      <c r="X1078" s="592"/>
      <c r="AK1078" s="7" t="s">
        <v>527</v>
      </c>
      <c r="AU1078" s="17">
        <f>SUM(AL1079:AL1079)</f>
        <v>0</v>
      </c>
      <c r="AV1078" s="17">
        <f>SUM(AM1079:AM1079)</f>
        <v>0</v>
      </c>
      <c r="AW1078" s="17">
        <f>SUM(AN1079:AN1079)</f>
        <v>0</v>
      </c>
    </row>
    <row r="1079" spans="1:68" ht="15" customHeight="1">
      <c r="A1079" s="24" t="s">
        <v>2449</v>
      </c>
      <c r="B1079" s="12" t="s">
        <v>527</v>
      </c>
      <c r="C1079" s="12" t="s">
        <v>1768</v>
      </c>
      <c r="D1079" s="630" t="s">
        <v>2508</v>
      </c>
      <c r="E1079" s="630"/>
      <c r="F1079" s="12" t="s">
        <v>1074</v>
      </c>
      <c r="G1079" s="56">
        <v>12.64</v>
      </c>
      <c r="H1079" s="625"/>
      <c r="I1079" s="56">
        <f>G1079*AQ1079</f>
        <v>0</v>
      </c>
      <c r="J1079" s="56">
        <f>G1079*AR1079</f>
        <v>0</v>
      </c>
      <c r="K1079" s="56">
        <f>G1079*H1079</f>
        <v>0</v>
      </c>
      <c r="L1079" s="56">
        <v>0</v>
      </c>
      <c r="M1079" s="56">
        <f>G1079*L1079</f>
        <v>0</v>
      </c>
      <c r="N1079" s="31" t="s">
        <v>1579</v>
      </c>
      <c r="P1079" s="592"/>
      <c r="Q1079" s="592"/>
      <c r="R1079" s="592"/>
      <c r="S1079" s="592"/>
      <c r="T1079" s="592"/>
      <c r="U1079" s="592"/>
      <c r="V1079" s="592"/>
      <c r="W1079" s="592"/>
      <c r="X1079" s="592"/>
      <c r="AB1079" s="56">
        <f>IF(AS1079="5",BL1079,0)</f>
        <v>0</v>
      </c>
      <c r="AD1079" s="56">
        <f>IF(AS1079="1",BJ1079,0)</f>
        <v>0</v>
      </c>
      <c r="AE1079" s="56">
        <f>IF(AS1079="1",BK1079,0)</f>
        <v>0</v>
      </c>
      <c r="AF1079" s="56">
        <f>IF(AS1079="7",BJ1079,0)</f>
        <v>0</v>
      </c>
      <c r="AG1079" s="56">
        <f>IF(AS1079="7",BK1079,0)</f>
        <v>0</v>
      </c>
      <c r="AH1079" s="56">
        <f>IF(AS1079="2",BJ1079,0)</f>
        <v>0</v>
      </c>
      <c r="AI1079" s="56">
        <f>IF(AS1079="2",BK1079,0)</f>
        <v>0</v>
      </c>
      <c r="AJ1079" s="56">
        <f>IF(AS1079="0",BL1079,0)</f>
        <v>0</v>
      </c>
      <c r="AK1079" s="7" t="s">
        <v>527</v>
      </c>
      <c r="AL1079" s="56">
        <f>IF(AP1079=0,K1079,0)</f>
        <v>0</v>
      </c>
      <c r="AM1079" s="56">
        <f>IF(AP1079=15,K1079,0)</f>
        <v>0</v>
      </c>
      <c r="AN1079" s="56">
        <f>IF(AP1079=21,K1079,0)</f>
        <v>0</v>
      </c>
      <c r="AP1079" s="56">
        <v>21</v>
      </c>
      <c r="AQ1079" s="88">
        <f>H1079*0</f>
        <v>0</v>
      </c>
      <c r="AR1079" s="88">
        <f>H1079*(1-0)</f>
        <v>0</v>
      </c>
      <c r="AS1079" s="21" t="s">
        <v>1227</v>
      </c>
      <c r="AX1079" s="56">
        <f>AY1079+AZ1079</f>
        <v>0</v>
      </c>
      <c r="AY1079" s="56">
        <f>G1079*AQ1079</f>
        <v>0</v>
      </c>
      <c r="AZ1079" s="56">
        <f>G1079*AR1079</f>
        <v>0</v>
      </c>
      <c r="BA1079" s="21" t="s">
        <v>536</v>
      </c>
      <c r="BB1079" s="21" t="s">
        <v>1019</v>
      </c>
      <c r="BC1079" s="7" t="s">
        <v>1887</v>
      </c>
      <c r="BE1079" s="56">
        <f>AY1079+AZ1079</f>
        <v>0</v>
      </c>
      <c r="BF1079" s="56">
        <f>H1079/(100-BG1079)*100</f>
        <v>0</v>
      </c>
      <c r="BG1079" s="56">
        <v>0</v>
      </c>
      <c r="BH1079" s="56">
        <f>M1079</f>
        <v>0</v>
      </c>
      <c r="BJ1079" s="56">
        <f>G1079*AQ1079</f>
        <v>0</v>
      </c>
      <c r="BK1079" s="56">
        <f>G1079*AR1079</f>
        <v>0</v>
      </c>
      <c r="BL1079" s="56">
        <f>G1079*H1079</f>
        <v>0</v>
      </c>
      <c r="BM1079" s="56"/>
      <c r="BN1079" s="56"/>
    </row>
    <row r="1080" spans="1:68" ht="15" customHeight="1">
      <c r="A1080" s="36"/>
      <c r="D1080" s="45" t="s">
        <v>128</v>
      </c>
      <c r="E1080" s="104" t="s">
        <v>1597</v>
      </c>
      <c r="G1080" s="13">
        <v>12.64</v>
      </c>
      <c r="N1080" s="19"/>
      <c r="P1080" s="592"/>
      <c r="Q1080" s="592"/>
      <c r="R1080" s="592"/>
      <c r="S1080" s="592"/>
      <c r="T1080" s="592"/>
      <c r="U1080" s="592"/>
      <c r="V1080" s="592"/>
      <c r="W1080" s="592"/>
      <c r="X1080" s="592"/>
    </row>
    <row r="1081" spans="1:68" ht="15" customHeight="1">
      <c r="A1081" s="32" t="s">
        <v>1597</v>
      </c>
      <c r="B1081" s="26" t="s">
        <v>527</v>
      </c>
      <c r="C1081" s="512" t="s">
        <v>1531</v>
      </c>
      <c r="D1081" s="709" t="s">
        <v>1091</v>
      </c>
      <c r="E1081" s="709"/>
      <c r="F1081" s="46" t="s">
        <v>2144</v>
      </c>
      <c r="G1081" s="46" t="s">
        <v>2144</v>
      </c>
      <c r="H1081" s="46" t="s">
        <v>2144</v>
      </c>
      <c r="I1081" s="17">
        <f>SUM(I1082:I1082)</f>
        <v>0</v>
      </c>
      <c r="J1081" s="17">
        <f>SUM(J1082:J1082)</f>
        <v>0</v>
      </c>
      <c r="K1081" s="515">
        <f>SUM(K1082:K1082)</f>
        <v>0</v>
      </c>
      <c r="L1081" s="7" t="s">
        <v>1597</v>
      </c>
      <c r="M1081" s="17">
        <f>SUM(M1082:M1082)</f>
        <v>0</v>
      </c>
      <c r="N1081" s="20" t="s">
        <v>1597</v>
      </c>
      <c r="P1081" s="592">
        <f>K1081</f>
        <v>0</v>
      </c>
      <c r="Q1081" s="592"/>
      <c r="R1081" s="592"/>
      <c r="S1081" s="592"/>
      <c r="T1081" s="592"/>
      <c r="U1081" s="592"/>
      <c r="V1081" s="592"/>
      <c r="W1081" s="592"/>
      <c r="X1081" s="592"/>
      <c r="AK1081" s="7" t="s">
        <v>527</v>
      </c>
      <c r="AU1081" s="17">
        <f>SUM(AL1082:AL1082)</f>
        <v>0</v>
      </c>
      <c r="AV1081" s="17">
        <f>SUM(AM1082:AM1082)</f>
        <v>0</v>
      </c>
      <c r="AW1081" s="17">
        <f>SUM(AN1082:AN1082)</f>
        <v>0</v>
      </c>
    </row>
    <row r="1082" spans="1:68" ht="15" customHeight="1">
      <c r="A1082" s="24" t="s">
        <v>2618</v>
      </c>
      <c r="B1082" s="12" t="s">
        <v>527</v>
      </c>
      <c r="C1082" s="12" t="s">
        <v>1973</v>
      </c>
      <c r="D1082" s="630" t="s">
        <v>1851</v>
      </c>
      <c r="E1082" s="630"/>
      <c r="F1082" s="12" t="s">
        <v>1074</v>
      </c>
      <c r="G1082" s="56">
        <v>0.76</v>
      </c>
      <c r="H1082" s="625"/>
      <c r="I1082" s="56">
        <f>G1082*AQ1082</f>
        <v>0</v>
      </c>
      <c r="J1082" s="56">
        <f>G1082*AR1082</f>
        <v>0</v>
      </c>
      <c r="K1082" s="56">
        <f>G1082*H1082</f>
        <v>0</v>
      </c>
      <c r="L1082" s="56">
        <v>0</v>
      </c>
      <c r="M1082" s="56">
        <f>G1082*L1082</f>
        <v>0</v>
      </c>
      <c r="N1082" s="31" t="s">
        <v>1579</v>
      </c>
      <c r="P1082" s="592"/>
      <c r="Q1082" s="592"/>
      <c r="R1082" s="592"/>
      <c r="S1082" s="592"/>
      <c r="T1082" s="592"/>
      <c r="U1082" s="592"/>
      <c r="V1082" s="592"/>
      <c r="W1082" s="592"/>
      <c r="X1082" s="592"/>
      <c r="AB1082" s="56">
        <f>IF(AS1082="5",BL1082,0)</f>
        <v>0</v>
      </c>
      <c r="AD1082" s="56">
        <f>IF(AS1082="1",BJ1082,0)</f>
        <v>0</v>
      </c>
      <c r="AE1082" s="56">
        <f>IF(AS1082="1",BK1082,0)</f>
        <v>0</v>
      </c>
      <c r="AF1082" s="56">
        <f>IF(AS1082="7",BJ1082,0)</f>
        <v>0</v>
      </c>
      <c r="AG1082" s="56">
        <f>IF(AS1082="7",BK1082,0)</f>
        <v>0</v>
      </c>
      <c r="AH1082" s="56">
        <f>IF(AS1082="2",BJ1082,0)</f>
        <v>0</v>
      </c>
      <c r="AI1082" s="56">
        <f>IF(AS1082="2",BK1082,0)</f>
        <v>0</v>
      </c>
      <c r="AJ1082" s="56">
        <f>IF(AS1082="0",BL1082,0)</f>
        <v>0</v>
      </c>
      <c r="AK1082" s="7" t="s">
        <v>527</v>
      </c>
      <c r="AL1082" s="56">
        <f>IF(AP1082=0,K1082,0)</f>
        <v>0</v>
      </c>
      <c r="AM1082" s="56">
        <f>IF(AP1082=15,K1082,0)</f>
        <v>0</v>
      </c>
      <c r="AN1082" s="56">
        <f>IF(AP1082=21,K1082,0)</f>
        <v>0</v>
      </c>
      <c r="AP1082" s="56">
        <v>21</v>
      </c>
      <c r="AQ1082" s="88">
        <f>H1082*0</f>
        <v>0</v>
      </c>
      <c r="AR1082" s="88">
        <f>H1082*(1-0)</f>
        <v>0</v>
      </c>
      <c r="AS1082" s="21" t="s">
        <v>1227</v>
      </c>
      <c r="AX1082" s="56">
        <f>AY1082+AZ1082</f>
        <v>0</v>
      </c>
      <c r="AY1082" s="56">
        <f>G1082*AQ1082</f>
        <v>0</v>
      </c>
      <c r="AZ1082" s="56">
        <f>G1082*AR1082</f>
        <v>0</v>
      </c>
      <c r="BA1082" s="21" t="s">
        <v>1052</v>
      </c>
      <c r="BB1082" s="21" t="s">
        <v>1019</v>
      </c>
      <c r="BC1082" s="7" t="s">
        <v>1887</v>
      </c>
      <c r="BE1082" s="56">
        <f>AY1082+AZ1082</f>
        <v>0</v>
      </c>
      <c r="BF1082" s="56">
        <f>H1082/(100-BG1082)*100</f>
        <v>0</v>
      </c>
      <c r="BG1082" s="56">
        <v>0</v>
      </c>
      <c r="BH1082" s="56">
        <f>M1082</f>
        <v>0</v>
      </c>
      <c r="BJ1082" s="56">
        <f>G1082*AQ1082</f>
        <v>0</v>
      </c>
      <c r="BK1082" s="56">
        <f>G1082*AR1082</f>
        <v>0</v>
      </c>
      <c r="BL1082" s="56">
        <f>G1082*H1082</f>
        <v>0</v>
      </c>
      <c r="BM1082" s="56"/>
      <c r="BN1082" s="56"/>
    </row>
    <row r="1083" spans="1:68" ht="15" customHeight="1">
      <c r="A1083" s="36"/>
      <c r="D1083" s="45" t="s">
        <v>325</v>
      </c>
      <c r="E1083" s="104" t="s">
        <v>1597</v>
      </c>
      <c r="G1083" s="13">
        <v>0.76</v>
      </c>
      <c r="N1083" s="19"/>
      <c r="P1083" s="592"/>
      <c r="Q1083" s="592"/>
      <c r="R1083" s="592"/>
      <c r="S1083" s="592"/>
      <c r="T1083" s="592"/>
      <c r="U1083" s="592"/>
      <c r="V1083" s="592"/>
      <c r="W1083" s="592"/>
      <c r="X1083" s="592"/>
    </row>
    <row r="1084" spans="1:68" ht="15" customHeight="1">
      <c r="A1084" s="67" t="s">
        <v>1597</v>
      </c>
      <c r="B1084" s="65" t="s">
        <v>941</v>
      </c>
      <c r="C1084" s="512" t="s">
        <v>1597</v>
      </c>
      <c r="D1084" s="708" t="s">
        <v>152</v>
      </c>
      <c r="E1084" s="708"/>
      <c r="F1084" s="78" t="s">
        <v>2144</v>
      </c>
      <c r="G1084" s="78" t="s">
        <v>2144</v>
      </c>
      <c r="H1084" s="78" t="s">
        <v>2144</v>
      </c>
      <c r="I1084" s="11">
        <f>I1085</f>
        <v>0</v>
      </c>
      <c r="J1084" s="11">
        <f>J1085</f>
        <v>0</v>
      </c>
      <c r="K1084" s="515">
        <f>K1085</f>
        <v>0</v>
      </c>
      <c r="L1084" s="44" t="s">
        <v>1597</v>
      </c>
      <c r="M1084" s="11">
        <f>M1085</f>
        <v>0</v>
      </c>
      <c r="N1084" s="5" t="s">
        <v>1597</v>
      </c>
      <c r="P1084" s="592">
        <f>K1084</f>
        <v>0</v>
      </c>
      <c r="Q1084" s="592"/>
      <c r="R1084" s="592"/>
      <c r="S1084" s="592"/>
      <c r="T1084" s="592"/>
      <c r="U1084" s="592"/>
      <c r="V1084" s="592"/>
      <c r="W1084" s="592"/>
      <c r="X1084" s="592"/>
    </row>
    <row r="1085" spans="1:68" ht="15" customHeight="1">
      <c r="A1085" s="32" t="s">
        <v>1597</v>
      </c>
      <c r="B1085" s="26" t="s">
        <v>941</v>
      </c>
      <c r="C1085" s="26" t="s">
        <v>2052</v>
      </c>
      <c r="D1085" s="709" t="s">
        <v>1002</v>
      </c>
      <c r="E1085" s="709"/>
      <c r="F1085" s="46" t="s">
        <v>2144</v>
      </c>
      <c r="G1085" s="46" t="s">
        <v>2144</v>
      </c>
      <c r="H1085" s="46" t="s">
        <v>2144</v>
      </c>
      <c r="I1085" s="17">
        <f>SUM(I1086:I1086)</f>
        <v>0</v>
      </c>
      <c r="J1085" s="17">
        <f>SUM(J1086:J1086)</f>
        <v>0</v>
      </c>
      <c r="K1085" s="17">
        <f>SUM(K1086:K1086)</f>
        <v>0</v>
      </c>
      <c r="L1085" s="7" t="s">
        <v>1597</v>
      </c>
      <c r="M1085" s="17">
        <f>SUM(M1086:M1086)</f>
        <v>0</v>
      </c>
      <c r="N1085" s="20" t="s">
        <v>1597</v>
      </c>
      <c r="P1085" s="592"/>
      <c r="Q1085" s="592"/>
      <c r="R1085" s="592"/>
      <c r="S1085" s="592"/>
      <c r="T1085" s="592"/>
      <c r="U1085" s="592"/>
      <c r="V1085" s="592"/>
      <c r="W1085" s="592"/>
      <c r="X1085" s="592"/>
      <c r="AK1085" s="7" t="s">
        <v>941</v>
      </c>
      <c r="AU1085" s="17">
        <f>SUM(AL1086:AL1086)</f>
        <v>0</v>
      </c>
      <c r="AV1085" s="17">
        <f>SUM(AM1086:AM1086)</f>
        <v>0</v>
      </c>
      <c r="AW1085" s="17">
        <f>SUM(AN1086:AN1086)</f>
        <v>0</v>
      </c>
    </row>
    <row r="1086" spans="1:68" ht="14" customHeight="1">
      <c r="A1086" s="59" t="s">
        <v>1257</v>
      </c>
      <c r="B1086" s="70" t="s">
        <v>941</v>
      </c>
      <c r="C1086" s="70" t="s">
        <v>1309</v>
      </c>
      <c r="D1086" s="711" t="s">
        <v>1033</v>
      </c>
      <c r="E1086" s="711"/>
      <c r="F1086" s="70" t="s">
        <v>1781</v>
      </c>
      <c r="G1086" s="88">
        <v>1</v>
      </c>
      <c r="H1086" s="88">
        <f>'REKAPITULACE VZT'!C45</f>
        <v>0</v>
      </c>
      <c r="I1086" s="88">
        <f>G1086*AQ1086</f>
        <v>0</v>
      </c>
      <c r="J1086" s="88">
        <f>G1086*AR1086</f>
        <v>0</v>
      </c>
      <c r="K1086" s="88">
        <f>G1086*H1086</f>
        <v>0</v>
      </c>
      <c r="L1086" s="88">
        <v>0</v>
      </c>
      <c r="M1086" s="88">
        <f>G1086*L1086</f>
        <v>0</v>
      </c>
      <c r="N1086" s="53" t="s">
        <v>1597</v>
      </c>
      <c r="P1086" s="592"/>
      <c r="Q1086" s="592"/>
      <c r="R1086" s="592"/>
      <c r="S1086" s="592"/>
      <c r="T1086" s="592"/>
      <c r="U1086" s="592"/>
      <c r="V1086" s="592"/>
      <c r="W1086" s="592"/>
      <c r="X1086" s="592"/>
      <c r="AB1086" s="56">
        <f>IF(AS1086="5",BL1086,0)</f>
        <v>0</v>
      </c>
      <c r="AD1086" s="56">
        <f>IF(AS1086="1",BJ1086,0)</f>
        <v>0</v>
      </c>
      <c r="AE1086" s="56">
        <f>IF(AS1086="1",BK1086,0)</f>
        <v>0</v>
      </c>
      <c r="AF1086" s="56">
        <f>IF(AS1086="7",BJ1086,0)</f>
        <v>0</v>
      </c>
      <c r="AG1086" s="56">
        <f>IF(AS1086="7",BK1086,0)</f>
        <v>0</v>
      </c>
      <c r="AH1086" s="56">
        <f>IF(AS1086="2",BJ1086,0)</f>
        <v>0</v>
      </c>
      <c r="AI1086" s="56">
        <f>IF(AS1086="2",BK1086,0)</f>
        <v>0</v>
      </c>
      <c r="AJ1086" s="56">
        <f>IF(AS1086="0",BL1086,0)</f>
        <v>0</v>
      </c>
      <c r="AK1086" s="7" t="s">
        <v>941</v>
      </c>
      <c r="AL1086" s="56">
        <f>IF(AP1086=0,K1086,0)</f>
        <v>0</v>
      </c>
      <c r="AM1086" s="56">
        <f>IF(AP1086=15,K1086,0)</f>
        <v>0</v>
      </c>
      <c r="AN1086" s="56">
        <f>IF(AP1086=21,K1086,0)</f>
        <v>0</v>
      </c>
      <c r="AP1086" s="56">
        <v>21</v>
      </c>
      <c r="AQ1086" s="88">
        <f>'REKAPITULACE VZT'!B42</f>
        <v>0</v>
      </c>
      <c r="AR1086" s="88">
        <f>'REKAPITULACE VZT'!C43</f>
        <v>0</v>
      </c>
      <c r="AS1086" s="21" t="s">
        <v>1589</v>
      </c>
      <c r="AX1086" s="56">
        <f>AY1086+AZ1086</f>
        <v>0</v>
      </c>
      <c r="AY1086" s="56">
        <f>G1086*AQ1086</f>
        <v>0</v>
      </c>
      <c r="AZ1086" s="56">
        <f>G1086*AR1086</f>
        <v>0</v>
      </c>
      <c r="BA1086" s="21" t="s">
        <v>1471</v>
      </c>
      <c r="BB1086" s="21" t="s">
        <v>1263</v>
      </c>
      <c r="BC1086" s="7" t="s">
        <v>386</v>
      </c>
      <c r="BE1086" s="56">
        <f>AY1086+AZ1086</f>
        <v>0</v>
      </c>
      <c r="BF1086" s="56">
        <f>H1086/(100-BG1086)*100</f>
        <v>0</v>
      </c>
      <c r="BG1086" s="56">
        <v>0</v>
      </c>
      <c r="BH1086" s="56">
        <f>M1086</f>
        <v>0</v>
      </c>
      <c r="BJ1086" s="56">
        <f>G1086*AQ1086</f>
        <v>0</v>
      </c>
      <c r="BK1086" s="56">
        <f>G1086*AR1086</f>
        <v>0</v>
      </c>
      <c r="BL1086" s="56">
        <f>G1086*H1086</f>
        <v>0</v>
      </c>
      <c r="BM1086" s="56"/>
      <c r="BN1086" s="56"/>
    </row>
    <row r="1087" spans="1:68" ht="15" customHeight="1">
      <c r="A1087" s="10"/>
      <c r="B1087" s="41"/>
      <c r="C1087" s="41"/>
      <c r="D1087" s="106" t="s">
        <v>2297</v>
      </c>
      <c r="E1087" s="18" t="s">
        <v>1136</v>
      </c>
      <c r="F1087" s="41"/>
      <c r="G1087" s="9">
        <v>1</v>
      </c>
      <c r="H1087" s="41"/>
      <c r="I1087" s="41"/>
      <c r="J1087" s="41"/>
      <c r="K1087" s="41"/>
      <c r="L1087" s="41"/>
      <c r="M1087" s="41"/>
      <c r="N1087" s="85"/>
      <c r="P1087" s="592"/>
      <c r="Q1087" s="592"/>
      <c r="R1087" s="592"/>
      <c r="S1087" s="592"/>
      <c r="T1087" s="592"/>
      <c r="U1087" s="592"/>
      <c r="V1087" s="592"/>
      <c r="W1087" s="592"/>
      <c r="X1087" s="592"/>
    </row>
    <row r="1088" spans="1:68" ht="15" customHeight="1">
      <c r="A1088" s="67" t="s">
        <v>1597</v>
      </c>
      <c r="B1088" s="65" t="s">
        <v>12</v>
      </c>
      <c r="C1088" s="512" t="s">
        <v>1597</v>
      </c>
      <c r="D1088" s="708" t="s">
        <v>2222</v>
      </c>
      <c r="E1088" s="708"/>
      <c r="F1088" s="78" t="s">
        <v>2144</v>
      </c>
      <c r="G1088" s="78" t="s">
        <v>2144</v>
      </c>
      <c r="H1088" s="78" t="s">
        <v>2144</v>
      </c>
      <c r="I1088" s="11">
        <f>I1089</f>
        <v>0</v>
      </c>
      <c r="J1088" s="11">
        <f>J1089</f>
        <v>0</v>
      </c>
      <c r="K1088" s="515">
        <f>K1089</f>
        <v>0</v>
      </c>
      <c r="L1088" s="44" t="s">
        <v>1597</v>
      </c>
      <c r="M1088" s="11">
        <f>M1089</f>
        <v>0</v>
      </c>
      <c r="N1088" s="5" t="s">
        <v>1597</v>
      </c>
      <c r="P1088" s="592">
        <f>K1088</f>
        <v>0</v>
      </c>
      <c r="Q1088" s="592"/>
      <c r="R1088" s="592"/>
      <c r="S1088" s="592"/>
      <c r="T1088" s="592"/>
      <c r="U1088" s="592"/>
      <c r="V1088" s="592"/>
      <c r="W1088" s="592"/>
      <c r="X1088" s="592"/>
    </row>
    <row r="1089" spans="1:66" ht="15" customHeight="1">
      <c r="A1089" s="32" t="s">
        <v>1597</v>
      </c>
      <c r="B1089" s="26" t="s">
        <v>12</v>
      </c>
      <c r="C1089" s="26" t="s">
        <v>663</v>
      </c>
      <c r="D1089" s="709" t="s">
        <v>2564</v>
      </c>
      <c r="E1089" s="709"/>
      <c r="F1089" s="46" t="s">
        <v>2144</v>
      </c>
      <c r="G1089" s="46" t="s">
        <v>2144</v>
      </c>
      <c r="H1089" s="46" t="s">
        <v>2144</v>
      </c>
      <c r="I1089" s="17">
        <f>SUM(I1090:I1090)</f>
        <v>0</v>
      </c>
      <c r="J1089" s="17">
        <f>SUM(J1090:J1090)</f>
        <v>0</v>
      </c>
      <c r="K1089" s="17">
        <f>SUM(K1090:K1090)</f>
        <v>0</v>
      </c>
      <c r="L1089" s="7" t="s">
        <v>1597</v>
      </c>
      <c r="M1089" s="17">
        <f>SUM(M1090:M1090)</f>
        <v>0</v>
      </c>
      <c r="N1089" s="20" t="s">
        <v>1597</v>
      </c>
      <c r="P1089" s="592"/>
      <c r="Q1089" s="592"/>
      <c r="R1089" s="592"/>
      <c r="S1089" s="592"/>
      <c r="T1089" s="592"/>
      <c r="U1089" s="592"/>
      <c r="V1089" s="592"/>
      <c r="W1089" s="592"/>
      <c r="X1089" s="592"/>
      <c r="AK1089" s="7" t="s">
        <v>12</v>
      </c>
      <c r="AU1089" s="17">
        <f>SUM(AL1090:AL1090)</f>
        <v>0</v>
      </c>
      <c r="AV1089" s="17">
        <f>SUM(AM1090:AM1090)</f>
        <v>0</v>
      </c>
      <c r="AW1089" s="17">
        <f>SUM(AN1090:AN1090)</f>
        <v>0</v>
      </c>
    </row>
    <row r="1090" spans="1:66" ht="15" customHeight="1">
      <c r="A1090" s="59" t="s">
        <v>2550</v>
      </c>
      <c r="B1090" s="70" t="s">
        <v>12</v>
      </c>
      <c r="C1090" s="70" t="s">
        <v>111</v>
      </c>
      <c r="D1090" s="711" t="s">
        <v>2301</v>
      </c>
      <c r="E1090" s="711"/>
      <c r="F1090" s="70" t="s">
        <v>2542</v>
      </c>
      <c r="G1090" s="88">
        <v>1</v>
      </c>
      <c r="H1090" s="88">
        <f>TOPENÍ!J106</f>
        <v>0</v>
      </c>
      <c r="I1090" s="88">
        <f>G1090*AQ1090</f>
        <v>0</v>
      </c>
      <c r="J1090" s="88">
        <f>G1090*AR1090</f>
        <v>0</v>
      </c>
      <c r="K1090" s="88">
        <f>G1090*H1090</f>
        <v>0</v>
      </c>
      <c r="L1090" s="88">
        <v>0</v>
      </c>
      <c r="M1090" s="88">
        <f>G1090*L1090</f>
        <v>0</v>
      </c>
      <c r="N1090" s="53" t="s">
        <v>1597</v>
      </c>
      <c r="P1090" s="592"/>
      <c r="Q1090" s="592"/>
      <c r="R1090" s="592"/>
      <c r="S1090" s="592"/>
      <c r="T1090" s="592"/>
      <c r="U1090" s="592"/>
      <c r="V1090" s="592"/>
      <c r="W1090" s="592"/>
      <c r="X1090" s="592"/>
      <c r="AB1090" s="56">
        <f>IF(AS1090="5",BL1090,0)</f>
        <v>0</v>
      </c>
      <c r="AD1090" s="56">
        <f>IF(AS1090="1",BJ1090,0)</f>
        <v>0</v>
      </c>
      <c r="AE1090" s="56">
        <f>IF(AS1090="1",BK1090,0)</f>
        <v>0</v>
      </c>
      <c r="AF1090" s="56">
        <f>IF(AS1090="7",BJ1090,0)</f>
        <v>0</v>
      </c>
      <c r="AG1090" s="56">
        <f>IF(AS1090="7",BK1090,0)</f>
        <v>0</v>
      </c>
      <c r="AH1090" s="56">
        <f>IF(AS1090="2",BJ1090,0)</f>
        <v>0</v>
      </c>
      <c r="AI1090" s="56">
        <f>IF(AS1090="2",BK1090,0)</f>
        <v>0</v>
      </c>
      <c r="AJ1090" s="56">
        <f>IF(AS1090="0",BL1090,0)</f>
        <v>0</v>
      </c>
      <c r="AK1090" s="7" t="s">
        <v>12</v>
      </c>
      <c r="AL1090" s="56">
        <f>IF(AP1090=0,K1090,0)</f>
        <v>0</v>
      </c>
      <c r="AM1090" s="56">
        <f>IF(AP1090=15,K1090,0)</f>
        <v>0</v>
      </c>
      <c r="AN1090" s="56">
        <f>IF(AP1090=21,K1090,0)</f>
        <v>0</v>
      </c>
      <c r="AP1090" s="56">
        <v>21</v>
      </c>
      <c r="AQ1090" s="88">
        <f>TOPENÍ!J104</f>
        <v>0</v>
      </c>
      <c r="AR1090" s="88">
        <f>TOPENÍ!J105</f>
        <v>0</v>
      </c>
      <c r="AS1090" s="21" t="s">
        <v>2311</v>
      </c>
      <c r="AX1090" s="56">
        <f>AY1090+AZ1090</f>
        <v>0</v>
      </c>
      <c r="AY1090" s="56">
        <f>G1090*AQ1090</f>
        <v>0</v>
      </c>
      <c r="AZ1090" s="56">
        <f>G1090*AR1090</f>
        <v>0</v>
      </c>
      <c r="BA1090" s="21" t="s">
        <v>1147</v>
      </c>
      <c r="BB1090" s="21" t="s">
        <v>566</v>
      </c>
      <c r="BC1090" s="7" t="s">
        <v>2010</v>
      </c>
      <c r="BE1090" s="56">
        <f>AY1090+AZ1090</f>
        <v>0</v>
      </c>
      <c r="BF1090" s="56">
        <f>H1090/(100-BG1090)*100</f>
        <v>0</v>
      </c>
      <c r="BG1090" s="56">
        <v>0</v>
      </c>
      <c r="BH1090" s="56">
        <f>M1090</f>
        <v>0</v>
      </c>
      <c r="BJ1090" s="56">
        <f>G1090*AQ1090</f>
        <v>0</v>
      </c>
      <c r="BK1090" s="56">
        <f>G1090*AR1090</f>
        <v>0</v>
      </c>
      <c r="BL1090" s="56">
        <f>G1090*H1090</f>
        <v>0</v>
      </c>
      <c r="BM1090" s="56"/>
      <c r="BN1090" s="56"/>
    </row>
    <row r="1091" spans="1:66" ht="15" customHeight="1">
      <c r="A1091" s="10"/>
      <c r="B1091" s="41"/>
      <c r="C1091" s="41"/>
      <c r="D1091" s="106" t="s">
        <v>2297</v>
      </c>
      <c r="E1091" s="18" t="s">
        <v>1597</v>
      </c>
      <c r="F1091" s="41"/>
      <c r="G1091" s="9">
        <v>1</v>
      </c>
      <c r="H1091" s="41"/>
      <c r="I1091" s="41"/>
      <c r="J1091" s="41"/>
      <c r="K1091" s="41"/>
      <c r="L1091" s="41"/>
      <c r="M1091" s="41"/>
      <c r="N1091" s="85"/>
      <c r="P1091" s="592"/>
      <c r="Q1091" s="592"/>
      <c r="R1091" s="592"/>
      <c r="S1091" s="592"/>
      <c r="T1091" s="592"/>
      <c r="U1091" s="592"/>
      <c r="V1091" s="592"/>
      <c r="W1091" s="592"/>
      <c r="X1091" s="592"/>
    </row>
    <row r="1092" spans="1:66" ht="15" customHeight="1">
      <c r="A1092" s="67" t="s">
        <v>1597</v>
      </c>
      <c r="B1092" s="65" t="s">
        <v>1452</v>
      </c>
      <c r="C1092" s="512" t="s">
        <v>1597</v>
      </c>
      <c r="D1092" s="708" t="s">
        <v>2478</v>
      </c>
      <c r="E1092" s="708"/>
      <c r="F1092" s="78" t="s">
        <v>2144</v>
      </c>
      <c r="G1092" s="78" t="s">
        <v>2144</v>
      </c>
      <c r="H1092" s="78" t="s">
        <v>2144</v>
      </c>
      <c r="I1092" s="11">
        <f>I1093</f>
        <v>0</v>
      </c>
      <c r="J1092" s="11">
        <f>J1093</f>
        <v>0</v>
      </c>
      <c r="K1092" s="515">
        <f>K1093</f>
        <v>0</v>
      </c>
      <c r="L1092" s="44" t="s">
        <v>1597</v>
      </c>
      <c r="M1092" s="11">
        <f>M1093</f>
        <v>0</v>
      </c>
      <c r="N1092" s="5" t="s">
        <v>1597</v>
      </c>
      <c r="P1092" s="592">
        <f>K1092</f>
        <v>0</v>
      </c>
      <c r="Q1092" s="592"/>
      <c r="R1092" s="592"/>
      <c r="S1092" s="592"/>
      <c r="T1092" s="592"/>
      <c r="U1092" s="592"/>
      <c r="V1092" s="592"/>
      <c r="W1092" s="592"/>
      <c r="X1092" s="592"/>
    </row>
    <row r="1093" spans="1:66" ht="15" customHeight="1">
      <c r="A1093" s="32" t="s">
        <v>1597</v>
      </c>
      <c r="B1093" s="26" t="s">
        <v>1452</v>
      </c>
      <c r="C1093" s="26" t="s">
        <v>1398</v>
      </c>
      <c r="D1093" s="709" t="s">
        <v>2153</v>
      </c>
      <c r="E1093" s="709"/>
      <c r="F1093" s="46" t="s">
        <v>2144</v>
      </c>
      <c r="G1093" s="46" t="s">
        <v>2144</v>
      </c>
      <c r="H1093" s="46" t="s">
        <v>2144</v>
      </c>
      <c r="I1093" s="17">
        <f>SUM(I1094:I1094)</f>
        <v>0</v>
      </c>
      <c r="J1093" s="17">
        <f>SUM(J1094:J1094)</f>
        <v>0</v>
      </c>
      <c r="K1093" s="17">
        <f>SUM(K1094:K1094)</f>
        <v>0</v>
      </c>
      <c r="L1093" s="7" t="s">
        <v>1597</v>
      </c>
      <c r="M1093" s="17">
        <f>SUM(M1094:M1094)</f>
        <v>0</v>
      </c>
      <c r="N1093" s="20" t="s">
        <v>1597</v>
      </c>
      <c r="P1093" s="592"/>
      <c r="Q1093" s="592"/>
      <c r="R1093" s="592"/>
      <c r="S1093" s="592"/>
      <c r="T1093" s="592"/>
      <c r="U1093" s="592"/>
      <c r="V1093" s="592"/>
      <c r="W1093" s="592"/>
      <c r="X1093" s="592"/>
      <c r="AK1093" s="7" t="s">
        <v>1452</v>
      </c>
      <c r="AU1093" s="17">
        <f>SUM(AL1094:AL1094)</f>
        <v>0</v>
      </c>
      <c r="AV1093" s="17">
        <f>SUM(AM1094:AM1094)</f>
        <v>0</v>
      </c>
      <c r="AW1093" s="17">
        <f>SUM(AN1094:AN1094)</f>
        <v>0</v>
      </c>
    </row>
    <row r="1094" spans="1:66" ht="15" customHeight="1">
      <c r="A1094" s="59" t="s">
        <v>936</v>
      </c>
      <c r="B1094" s="70" t="s">
        <v>1452</v>
      </c>
      <c r="C1094" s="70" t="s">
        <v>770</v>
      </c>
      <c r="D1094" s="711" t="s">
        <v>1850</v>
      </c>
      <c r="E1094" s="711"/>
      <c r="F1094" s="70" t="s">
        <v>811</v>
      </c>
      <c r="G1094" s="88">
        <v>1</v>
      </c>
      <c r="H1094" s="88">
        <f>'Rekapitulace NN'!F43</f>
        <v>0</v>
      </c>
      <c r="I1094" s="88">
        <f>G1094*AQ1094</f>
        <v>0</v>
      </c>
      <c r="J1094" s="88">
        <f>G1094*AR1094</f>
        <v>0</v>
      </c>
      <c r="K1094" s="88">
        <f>G1094*H1094</f>
        <v>0</v>
      </c>
      <c r="L1094" s="88">
        <v>0</v>
      </c>
      <c r="M1094" s="88">
        <f>G1094*L1094</f>
        <v>0</v>
      </c>
      <c r="N1094" s="53" t="s">
        <v>1597</v>
      </c>
      <c r="P1094" s="592"/>
      <c r="Q1094" s="592"/>
      <c r="R1094" s="592"/>
      <c r="S1094" s="592"/>
      <c r="T1094" s="592"/>
      <c r="U1094" s="592"/>
      <c r="V1094" s="592"/>
      <c r="W1094" s="592"/>
      <c r="X1094" s="592"/>
      <c r="AB1094" s="56">
        <f>IF(AS1094="5",BL1094,0)</f>
        <v>0</v>
      </c>
      <c r="AD1094" s="56">
        <f>IF(AS1094="1",BJ1094,0)</f>
        <v>0</v>
      </c>
      <c r="AE1094" s="56">
        <f>IF(AS1094="1",BK1094,0)</f>
        <v>0</v>
      </c>
      <c r="AF1094" s="56">
        <f>IF(AS1094="7",BJ1094,0)</f>
        <v>0</v>
      </c>
      <c r="AG1094" s="56">
        <f>IF(AS1094="7",BK1094,0)</f>
        <v>0</v>
      </c>
      <c r="AH1094" s="56">
        <f>IF(AS1094="2",BJ1094,0)</f>
        <v>0</v>
      </c>
      <c r="AI1094" s="56">
        <f>IF(AS1094="2",BK1094,0)</f>
        <v>0</v>
      </c>
      <c r="AJ1094" s="56">
        <f>IF(AS1094="0",BL1094,0)</f>
        <v>0</v>
      </c>
      <c r="AK1094" s="7" t="s">
        <v>1452</v>
      </c>
      <c r="AL1094" s="56">
        <f>IF(AP1094=0,K1094,0)</f>
        <v>0</v>
      </c>
      <c r="AM1094" s="56">
        <f>IF(AP1094=15,K1094,0)</f>
        <v>0</v>
      </c>
      <c r="AN1094" s="56">
        <f>IF(AP1094=21,K1094,0)</f>
        <v>0</v>
      </c>
      <c r="AP1094" s="56">
        <v>21</v>
      </c>
      <c r="AQ1094" s="88">
        <f>'Rekapitulace NN'!F41</f>
        <v>0</v>
      </c>
      <c r="AR1094" s="88">
        <f>'Rekapitulace NN'!F42</f>
        <v>0</v>
      </c>
      <c r="AS1094" s="21" t="s">
        <v>1589</v>
      </c>
      <c r="AX1094" s="56">
        <f>AY1094+AZ1094</f>
        <v>0</v>
      </c>
      <c r="AY1094" s="56">
        <f>G1094*AQ1094</f>
        <v>0</v>
      </c>
      <c r="AZ1094" s="56">
        <f>G1094*AR1094</f>
        <v>0</v>
      </c>
      <c r="BA1094" s="21" t="s">
        <v>1929</v>
      </c>
      <c r="BB1094" s="21" t="s">
        <v>1641</v>
      </c>
      <c r="BC1094" s="7" t="s">
        <v>571</v>
      </c>
      <c r="BE1094" s="56">
        <f>AY1094+AZ1094</f>
        <v>0</v>
      </c>
      <c r="BF1094" s="56">
        <f>H1094/(100-BG1094)*100</f>
        <v>0</v>
      </c>
      <c r="BG1094" s="56">
        <v>0</v>
      </c>
      <c r="BH1094" s="56">
        <f>M1094</f>
        <v>0</v>
      </c>
      <c r="BJ1094" s="56">
        <f>G1094*AQ1094</f>
        <v>0</v>
      </c>
      <c r="BK1094" s="56">
        <f>G1094*AR1094</f>
        <v>0</v>
      </c>
      <c r="BL1094" s="56">
        <f>G1094*H1094</f>
        <v>0</v>
      </c>
      <c r="BM1094" s="56"/>
      <c r="BN1094" s="56"/>
    </row>
    <row r="1095" spans="1:66" ht="15" customHeight="1">
      <c r="A1095" s="10"/>
      <c r="B1095" s="41"/>
      <c r="C1095" s="41"/>
      <c r="D1095" s="106" t="s">
        <v>2297</v>
      </c>
      <c r="E1095" s="18" t="s">
        <v>1597</v>
      </c>
      <c r="F1095" s="41"/>
      <c r="G1095" s="9">
        <v>1</v>
      </c>
      <c r="H1095" s="41"/>
      <c r="I1095" s="41"/>
      <c r="J1095" s="41"/>
      <c r="K1095" s="41"/>
      <c r="L1095" s="41"/>
      <c r="M1095" s="41"/>
      <c r="N1095" s="85"/>
      <c r="P1095" s="592"/>
      <c r="Q1095" s="592"/>
      <c r="R1095" s="592"/>
      <c r="S1095" s="592"/>
      <c r="T1095" s="592"/>
      <c r="U1095" s="592"/>
      <c r="V1095" s="592"/>
      <c r="W1095" s="592"/>
      <c r="X1095" s="592"/>
    </row>
    <row r="1096" spans="1:66" ht="15" customHeight="1">
      <c r="A1096" s="67" t="s">
        <v>1597</v>
      </c>
      <c r="B1096" s="65" t="s">
        <v>714</v>
      </c>
      <c r="C1096" s="518" t="s">
        <v>1597</v>
      </c>
      <c r="D1096" s="708" t="s">
        <v>1535</v>
      </c>
      <c r="E1096" s="708"/>
      <c r="F1096" s="78" t="s">
        <v>2144</v>
      </c>
      <c r="G1096" s="78" t="s">
        <v>2144</v>
      </c>
      <c r="H1096" s="78" t="s">
        <v>2144</v>
      </c>
      <c r="I1096" s="11">
        <f>I1097+I1100+I1105+I1108+I1115+I1118+I1157+I1240+I1245+I1248+I1317+I1328+I1331+I1334+I1337</f>
        <v>0</v>
      </c>
      <c r="J1096" s="11">
        <f>J1097+J1100+J1105+J1108+J1115+J1118+J1157+J1240+J1245+J1248+J1317+J1328+J1331+J1334+J1337</f>
        <v>0</v>
      </c>
      <c r="K1096" s="524">
        <f>K1097+K1100+K1105+K1108+K1115+K1118+K1157+K1240+K1245+K1248+K1317+K1328+K1331+K1334+K1337</f>
        <v>0</v>
      </c>
      <c r="L1096" s="44" t="s">
        <v>1597</v>
      </c>
      <c r="M1096" s="11">
        <f>M1097+M1100+M1105+M1108+M1115+M1118+M1157+M1240+M1245+M1248+M1317+M1328+M1331+M1334+M1337</f>
        <v>129.62463810000003</v>
      </c>
      <c r="N1096" s="5" t="s">
        <v>1597</v>
      </c>
      <c r="P1096" s="592"/>
      <c r="Q1096" s="592"/>
      <c r="R1096" s="592"/>
      <c r="S1096" s="592"/>
      <c r="T1096" s="592"/>
      <c r="U1096" s="592"/>
      <c r="V1096" s="592">
        <f>K1096</f>
        <v>0</v>
      </c>
      <c r="W1096" s="592"/>
      <c r="X1096" s="592"/>
    </row>
    <row r="1097" spans="1:66" ht="15" customHeight="1">
      <c r="A1097" s="32" t="s">
        <v>1597</v>
      </c>
      <c r="B1097" s="26" t="s">
        <v>714</v>
      </c>
      <c r="C1097" s="518" t="s">
        <v>668</v>
      </c>
      <c r="D1097" s="709" t="s">
        <v>16</v>
      </c>
      <c r="E1097" s="709"/>
      <c r="F1097" s="46" t="s">
        <v>2144</v>
      </c>
      <c r="G1097" s="46" t="s">
        <v>2144</v>
      </c>
      <c r="H1097" s="46" t="s">
        <v>2144</v>
      </c>
      <c r="I1097" s="17">
        <f>SUM(I1098:I1098)</f>
        <v>0</v>
      </c>
      <c r="J1097" s="17">
        <f>SUM(J1098:J1098)</f>
        <v>0</v>
      </c>
      <c r="K1097" s="17">
        <f>SUM(K1098:K1098)</f>
        <v>0</v>
      </c>
      <c r="L1097" s="7" t="s">
        <v>1597</v>
      </c>
      <c r="M1097" s="17">
        <f>SUM(M1098:M1098)</f>
        <v>0</v>
      </c>
      <c r="N1097" s="20" t="s">
        <v>1597</v>
      </c>
      <c r="P1097" s="592"/>
      <c r="Q1097" s="592"/>
      <c r="R1097" s="592"/>
      <c r="S1097" s="592"/>
      <c r="T1097" s="592"/>
      <c r="U1097" s="592"/>
      <c r="V1097" s="592"/>
      <c r="W1097" s="592"/>
      <c r="X1097" s="592"/>
      <c r="AK1097" s="7" t="s">
        <v>714</v>
      </c>
      <c r="AU1097" s="17">
        <f>SUM(AL1098:AL1098)</f>
        <v>0</v>
      </c>
      <c r="AV1097" s="17">
        <f>SUM(AM1098:AM1098)</f>
        <v>0</v>
      </c>
      <c r="AW1097" s="17">
        <f>SUM(AN1098:AN1098)</f>
        <v>0</v>
      </c>
    </row>
    <row r="1098" spans="1:66" ht="15" customHeight="1">
      <c r="A1098" s="24" t="s">
        <v>126</v>
      </c>
      <c r="B1098" s="12" t="s">
        <v>714</v>
      </c>
      <c r="C1098" s="12" t="s">
        <v>2339</v>
      </c>
      <c r="D1098" s="630" t="s">
        <v>1208</v>
      </c>
      <c r="E1098" s="630"/>
      <c r="F1098" s="12" t="s">
        <v>2236</v>
      </c>
      <c r="G1098" s="56">
        <v>179</v>
      </c>
      <c r="H1098" s="625"/>
      <c r="I1098" s="56">
        <f>G1098*AQ1098</f>
        <v>0</v>
      </c>
      <c r="J1098" s="56">
        <f>G1098*AR1098</f>
        <v>0</v>
      </c>
      <c r="K1098" s="56">
        <f>G1098*H1098</f>
        <v>0</v>
      </c>
      <c r="L1098" s="56">
        <v>0</v>
      </c>
      <c r="M1098" s="56">
        <f>G1098*L1098</f>
        <v>0</v>
      </c>
      <c r="N1098" s="31" t="s">
        <v>1579</v>
      </c>
      <c r="P1098" s="592"/>
      <c r="Q1098" s="592"/>
      <c r="R1098" s="592"/>
      <c r="S1098" s="592"/>
      <c r="T1098" s="592"/>
      <c r="U1098" s="592"/>
      <c r="V1098" s="592"/>
      <c r="W1098" s="592"/>
      <c r="X1098" s="592"/>
      <c r="AB1098" s="56">
        <f>IF(AS1098="5",BL1098,0)</f>
        <v>0</v>
      </c>
      <c r="AD1098" s="56">
        <f>IF(AS1098="1",BJ1098,0)</f>
        <v>0</v>
      </c>
      <c r="AE1098" s="56">
        <f>IF(AS1098="1",BK1098,0)</f>
        <v>0</v>
      </c>
      <c r="AF1098" s="56">
        <f>IF(AS1098="7",BJ1098,0)</f>
        <v>0</v>
      </c>
      <c r="AG1098" s="56">
        <f>IF(AS1098="7",BK1098,0)</f>
        <v>0</v>
      </c>
      <c r="AH1098" s="56">
        <f>IF(AS1098="2",BJ1098,0)</f>
        <v>0</v>
      </c>
      <c r="AI1098" s="56">
        <f>IF(AS1098="2",BK1098,0)</f>
        <v>0</v>
      </c>
      <c r="AJ1098" s="56">
        <f>IF(AS1098="0",BL1098,0)</f>
        <v>0</v>
      </c>
      <c r="AK1098" s="7" t="s">
        <v>714</v>
      </c>
      <c r="AL1098" s="56">
        <f>IF(AP1098=0,K1098,0)</f>
        <v>0</v>
      </c>
      <c r="AM1098" s="56">
        <f>IF(AP1098=15,K1098,0)</f>
        <v>0</v>
      </c>
      <c r="AN1098" s="56">
        <f>IF(AP1098=21,K1098,0)</f>
        <v>0</v>
      </c>
      <c r="AP1098" s="56">
        <v>21</v>
      </c>
      <c r="AQ1098" s="88">
        <f>H1098*0</f>
        <v>0</v>
      </c>
      <c r="AR1098" s="88">
        <f>H1098*(1-0)</f>
        <v>0</v>
      </c>
      <c r="AS1098" s="21" t="s">
        <v>2297</v>
      </c>
      <c r="AX1098" s="56">
        <f>AY1098+AZ1098</f>
        <v>0</v>
      </c>
      <c r="AY1098" s="56">
        <f>G1098*AQ1098</f>
        <v>0</v>
      </c>
      <c r="AZ1098" s="56">
        <f>G1098*AR1098</f>
        <v>0</v>
      </c>
      <c r="BA1098" s="21" t="s">
        <v>2092</v>
      </c>
      <c r="BB1098" s="21" t="s">
        <v>1450</v>
      </c>
      <c r="BC1098" s="7" t="s">
        <v>976</v>
      </c>
      <c r="BE1098" s="56">
        <f>AY1098+AZ1098</f>
        <v>0</v>
      </c>
      <c r="BF1098" s="56">
        <f>H1098/(100-BG1098)*100</f>
        <v>0</v>
      </c>
      <c r="BG1098" s="56">
        <v>0</v>
      </c>
      <c r="BH1098" s="56">
        <f>M1098</f>
        <v>0</v>
      </c>
      <c r="BJ1098" s="56">
        <f>G1098*AQ1098</f>
        <v>0</v>
      </c>
      <c r="BK1098" s="56">
        <f>G1098*AR1098</f>
        <v>0</v>
      </c>
      <c r="BL1098" s="56">
        <f>G1098*H1098</f>
        <v>0</v>
      </c>
      <c r="BM1098" s="56"/>
      <c r="BN1098" s="56">
        <v>13</v>
      </c>
    </row>
    <row r="1099" spans="1:66" ht="15" customHeight="1">
      <c r="A1099" s="36"/>
      <c r="D1099" s="45" t="s">
        <v>2499</v>
      </c>
      <c r="E1099" s="104" t="s">
        <v>299</v>
      </c>
      <c r="G1099" s="13">
        <v>179.00000000000003</v>
      </c>
      <c r="N1099" s="19"/>
      <c r="P1099" s="592"/>
      <c r="Q1099" s="592"/>
      <c r="R1099" s="592"/>
      <c r="S1099" s="592"/>
      <c r="T1099" s="592"/>
      <c r="U1099" s="592"/>
      <c r="V1099" s="592"/>
      <c r="W1099" s="592"/>
      <c r="X1099" s="592"/>
    </row>
    <row r="1100" spans="1:66" ht="15" customHeight="1">
      <c r="A1100" s="32" t="s">
        <v>1597</v>
      </c>
      <c r="B1100" s="26" t="s">
        <v>714</v>
      </c>
      <c r="C1100" s="518" t="s">
        <v>908</v>
      </c>
      <c r="D1100" s="709" t="s">
        <v>2015</v>
      </c>
      <c r="E1100" s="709"/>
      <c r="F1100" s="46" t="s">
        <v>2144</v>
      </c>
      <c r="G1100" s="46" t="s">
        <v>2144</v>
      </c>
      <c r="H1100" s="46" t="s">
        <v>2144</v>
      </c>
      <c r="I1100" s="17">
        <f>SUM(I1101:I1103)</f>
        <v>0</v>
      </c>
      <c r="J1100" s="17">
        <f>SUM(J1101:J1103)</f>
        <v>0</v>
      </c>
      <c r="K1100" s="17">
        <f>SUM(K1101:K1103)</f>
        <v>0</v>
      </c>
      <c r="L1100" s="7" t="s">
        <v>1597</v>
      </c>
      <c r="M1100" s="17">
        <f>SUM(M1101:M1103)</f>
        <v>0.20196</v>
      </c>
      <c r="N1100" s="20" t="s">
        <v>1597</v>
      </c>
      <c r="P1100" s="592"/>
      <c r="Q1100" s="592"/>
      <c r="R1100" s="592"/>
      <c r="S1100" s="592"/>
      <c r="T1100" s="592"/>
      <c r="U1100" s="592"/>
      <c r="V1100" s="592"/>
      <c r="W1100" s="592"/>
      <c r="X1100" s="592"/>
      <c r="AK1100" s="7" t="s">
        <v>714</v>
      </c>
      <c r="AU1100" s="17">
        <f>SUM(AL1101:AL1103)</f>
        <v>0</v>
      </c>
      <c r="AV1100" s="17">
        <f>SUM(AM1101:AM1103)</f>
        <v>0</v>
      </c>
      <c r="AW1100" s="17">
        <f>SUM(AN1101:AN1103)</f>
        <v>0</v>
      </c>
    </row>
    <row r="1101" spans="1:66" ht="15" customHeight="1">
      <c r="A1101" s="24" t="s">
        <v>1325</v>
      </c>
      <c r="B1101" s="12" t="s">
        <v>714</v>
      </c>
      <c r="C1101" s="12" t="s">
        <v>2569</v>
      </c>
      <c r="D1101" s="630" t="s">
        <v>522</v>
      </c>
      <c r="E1101" s="630"/>
      <c r="F1101" s="12" t="s">
        <v>2274</v>
      </c>
      <c r="G1101" s="56">
        <v>204</v>
      </c>
      <c r="H1101" s="625"/>
      <c r="I1101" s="56">
        <f>G1101*AQ1101</f>
        <v>0</v>
      </c>
      <c r="J1101" s="56">
        <f>G1101*AR1101</f>
        <v>0</v>
      </c>
      <c r="K1101" s="56">
        <f>G1101*H1101</f>
        <v>0</v>
      </c>
      <c r="L1101" s="56">
        <v>9.8999999999999999E-4</v>
      </c>
      <c r="M1101" s="56">
        <f>G1101*L1101</f>
        <v>0.20196</v>
      </c>
      <c r="N1101" s="31" t="s">
        <v>1579</v>
      </c>
      <c r="P1101" s="592"/>
      <c r="Q1101" s="592"/>
      <c r="R1101" s="592"/>
      <c r="S1101" s="592"/>
      <c r="T1101" s="592"/>
      <c r="U1101" s="592"/>
      <c r="V1101" s="592"/>
      <c r="W1101" s="592"/>
      <c r="X1101" s="592"/>
      <c r="AB1101" s="56">
        <f>IF(AS1101="5",BL1101,0)</f>
        <v>0</v>
      </c>
      <c r="AD1101" s="56">
        <f>IF(AS1101="1",BJ1101,0)</f>
        <v>0</v>
      </c>
      <c r="AE1101" s="56">
        <f>IF(AS1101="1",BK1101,0)</f>
        <v>0</v>
      </c>
      <c r="AF1101" s="56">
        <f>IF(AS1101="7",BJ1101,0)</f>
        <v>0</v>
      </c>
      <c r="AG1101" s="56">
        <f>IF(AS1101="7",BK1101,0)</f>
        <v>0</v>
      </c>
      <c r="AH1101" s="56">
        <f>IF(AS1101="2",BJ1101,0)</f>
        <v>0</v>
      </c>
      <c r="AI1101" s="56">
        <f>IF(AS1101="2",BK1101,0)</f>
        <v>0</v>
      </c>
      <c r="AJ1101" s="56">
        <f>IF(AS1101="0",BL1101,0)</f>
        <v>0</v>
      </c>
      <c r="AK1101" s="7" t="s">
        <v>714</v>
      </c>
      <c r="AL1101" s="56">
        <f>IF(AP1101=0,K1101,0)</f>
        <v>0</v>
      </c>
      <c r="AM1101" s="56">
        <f>IF(AP1101=15,K1101,0)</f>
        <v>0</v>
      </c>
      <c r="AN1101" s="56">
        <f>IF(AP1101=21,K1101,0)</f>
        <v>0</v>
      </c>
      <c r="AP1101" s="56">
        <v>21</v>
      </c>
      <c r="AQ1101" s="88">
        <f>H1101*0.0932214765100671</f>
        <v>0</v>
      </c>
      <c r="AR1101" s="88">
        <f>H1101*(1-0.0932214765100671)</f>
        <v>0</v>
      </c>
      <c r="AS1101" s="21" t="s">
        <v>2297</v>
      </c>
      <c r="AX1101" s="56">
        <f>AY1101+AZ1101</f>
        <v>0</v>
      </c>
      <c r="AY1101" s="56">
        <f>G1101*AQ1101</f>
        <v>0</v>
      </c>
      <c r="AZ1101" s="56">
        <f>G1101*AR1101</f>
        <v>0</v>
      </c>
      <c r="BA1101" s="21" t="s">
        <v>1630</v>
      </c>
      <c r="BB1101" s="21" t="s">
        <v>1450</v>
      </c>
      <c r="BC1101" s="7" t="s">
        <v>976</v>
      </c>
      <c r="BE1101" s="56">
        <f>AY1101+AZ1101</f>
        <v>0</v>
      </c>
      <c r="BF1101" s="56">
        <f>H1101/(100-BG1101)*100</f>
        <v>0</v>
      </c>
      <c r="BG1101" s="56">
        <v>0</v>
      </c>
      <c r="BH1101" s="56">
        <f>M1101</f>
        <v>0.20196</v>
      </c>
      <c r="BJ1101" s="56">
        <f>G1101*AQ1101</f>
        <v>0</v>
      </c>
      <c r="BK1101" s="56">
        <f>G1101*AR1101</f>
        <v>0</v>
      </c>
      <c r="BL1101" s="56">
        <f>G1101*H1101</f>
        <v>0</v>
      </c>
      <c r="BM1101" s="56"/>
      <c r="BN1101" s="56">
        <v>15</v>
      </c>
    </row>
    <row r="1102" spans="1:66" ht="15" customHeight="1">
      <c r="A1102" s="36"/>
      <c r="D1102" s="45" t="s">
        <v>1963</v>
      </c>
      <c r="E1102" s="104" t="s">
        <v>1597</v>
      </c>
      <c r="G1102" s="13">
        <v>204.00000000000003</v>
      </c>
      <c r="N1102" s="19"/>
      <c r="P1102" s="592"/>
      <c r="Q1102" s="592"/>
      <c r="R1102" s="592"/>
      <c r="S1102" s="592"/>
      <c r="T1102" s="592"/>
      <c r="U1102" s="592"/>
      <c r="V1102" s="592"/>
      <c r="W1102" s="592"/>
      <c r="X1102" s="592"/>
    </row>
    <row r="1103" spans="1:66" ht="15" customHeight="1">
      <c r="A1103" s="24" t="s">
        <v>1193</v>
      </c>
      <c r="B1103" s="12" t="s">
        <v>714</v>
      </c>
      <c r="C1103" s="12" t="s">
        <v>1560</v>
      </c>
      <c r="D1103" s="630" t="s">
        <v>2239</v>
      </c>
      <c r="E1103" s="630"/>
      <c r="F1103" s="12" t="s">
        <v>2274</v>
      </c>
      <c r="G1103" s="56">
        <v>204</v>
      </c>
      <c r="H1103" s="625"/>
      <c r="I1103" s="56">
        <f>G1103*AQ1103</f>
        <v>0</v>
      </c>
      <c r="J1103" s="56">
        <f>G1103*AR1103</f>
        <v>0</v>
      </c>
      <c r="K1103" s="56">
        <f>G1103*H1103</f>
        <v>0</v>
      </c>
      <c r="L1103" s="56">
        <v>0</v>
      </c>
      <c r="M1103" s="56">
        <f>G1103*L1103</f>
        <v>0</v>
      </c>
      <c r="N1103" s="31" t="s">
        <v>1579</v>
      </c>
      <c r="P1103" s="592"/>
      <c r="Q1103" s="592"/>
      <c r="R1103" s="592"/>
      <c r="S1103" s="592"/>
      <c r="T1103" s="592"/>
      <c r="U1103" s="592"/>
      <c r="V1103" s="592"/>
      <c r="W1103" s="592"/>
      <c r="X1103" s="592"/>
      <c r="AB1103" s="56">
        <f>IF(AS1103="5",BL1103,0)</f>
        <v>0</v>
      </c>
      <c r="AD1103" s="56">
        <f>IF(AS1103="1",BJ1103,0)</f>
        <v>0</v>
      </c>
      <c r="AE1103" s="56">
        <f>IF(AS1103="1",BK1103,0)</f>
        <v>0</v>
      </c>
      <c r="AF1103" s="56">
        <f>IF(AS1103="7",BJ1103,0)</f>
        <v>0</v>
      </c>
      <c r="AG1103" s="56">
        <f>IF(AS1103="7",BK1103,0)</f>
        <v>0</v>
      </c>
      <c r="AH1103" s="56">
        <f>IF(AS1103="2",BJ1103,0)</f>
        <v>0</v>
      </c>
      <c r="AI1103" s="56">
        <f>IF(AS1103="2",BK1103,0)</f>
        <v>0</v>
      </c>
      <c r="AJ1103" s="56">
        <f>IF(AS1103="0",BL1103,0)</f>
        <v>0</v>
      </c>
      <c r="AK1103" s="7" t="s">
        <v>714</v>
      </c>
      <c r="AL1103" s="56">
        <f>IF(AP1103=0,K1103,0)</f>
        <v>0</v>
      </c>
      <c r="AM1103" s="56">
        <f>IF(AP1103=15,K1103,0)</f>
        <v>0</v>
      </c>
      <c r="AN1103" s="56">
        <f>IF(AP1103=21,K1103,0)</f>
        <v>0</v>
      </c>
      <c r="AP1103" s="56">
        <v>21</v>
      </c>
      <c r="AQ1103" s="88">
        <f>H1103*0</f>
        <v>0</v>
      </c>
      <c r="AR1103" s="88">
        <f>H1103*(1-0)</f>
        <v>0</v>
      </c>
      <c r="AS1103" s="21" t="s">
        <v>2297</v>
      </c>
      <c r="AX1103" s="56">
        <f>AY1103+AZ1103</f>
        <v>0</v>
      </c>
      <c r="AY1103" s="56">
        <f>G1103*AQ1103</f>
        <v>0</v>
      </c>
      <c r="AZ1103" s="56">
        <f>G1103*AR1103</f>
        <v>0</v>
      </c>
      <c r="BA1103" s="21" t="s">
        <v>1630</v>
      </c>
      <c r="BB1103" s="21" t="s">
        <v>1450</v>
      </c>
      <c r="BC1103" s="7" t="s">
        <v>976</v>
      </c>
      <c r="BE1103" s="56">
        <f>AY1103+AZ1103</f>
        <v>0</v>
      </c>
      <c r="BF1103" s="56">
        <f>H1103/(100-BG1103)*100</f>
        <v>0</v>
      </c>
      <c r="BG1103" s="56">
        <v>0</v>
      </c>
      <c r="BH1103" s="56">
        <f>M1103</f>
        <v>0</v>
      </c>
      <c r="BJ1103" s="56">
        <f>G1103*AQ1103</f>
        <v>0</v>
      </c>
      <c r="BK1103" s="56">
        <f>G1103*AR1103</f>
        <v>0</v>
      </c>
      <c r="BL1103" s="56">
        <f>G1103*H1103</f>
        <v>0</v>
      </c>
      <c r="BM1103" s="56"/>
      <c r="BN1103" s="56">
        <v>15</v>
      </c>
    </row>
    <row r="1104" spans="1:66" ht="15" customHeight="1">
      <c r="A1104" s="36"/>
      <c r="D1104" s="45" t="s">
        <v>1963</v>
      </c>
      <c r="E1104" s="104" t="s">
        <v>1597</v>
      </c>
      <c r="G1104" s="13">
        <v>204.00000000000003</v>
      </c>
      <c r="N1104" s="19"/>
      <c r="P1104" s="592"/>
      <c r="Q1104" s="592"/>
      <c r="R1104" s="592"/>
      <c r="S1104" s="592"/>
      <c r="T1104" s="592"/>
      <c r="U1104" s="592"/>
      <c r="V1104" s="592"/>
      <c r="W1104" s="592"/>
      <c r="X1104" s="592"/>
    </row>
    <row r="1105" spans="1:66" ht="15" customHeight="1">
      <c r="A1105" s="32" t="s">
        <v>1597</v>
      </c>
      <c r="B1105" s="26" t="s">
        <v>714</v>
      </c>
      <c r="C1105" s="518" t="s">
        <v>213</v>
      </c>
      <c r="D1105" s="709" t="s">
        <v>1935</v>
      </c>
      <c r="E1105" s="709"/>
      <c r="F1105" s="46" t="s">
        <v>2144</v>
      </c>
      <c r="G1105" s="46" t="s">
        <v>2144</v>
      </c>
      <c r="H1105" s="46" t="s">
        <v>2144</v>
      </c>
      <c r="I1105" s="17">
        <f>SUM(I1106:I1106)</f>
        <v>0</v>
      </c>
      <c r="J1105" s="17">
        <f>SUM(J1106:J1106)</f>
        <v>0</v>
      </c>
      <c r="K1105" s="17">
        <f>SUM(K1106:K1106)</f>
        <v>0</v>
      </c>
      <c r="L1105" s="7" t="s">
        <v>1597</v>
      </c>
      <c r="M1105" s="17">
        <f>SUM(M1106:M1106)</f>
        <v>0</v>
      </c>
      <c r="N1105" s="20" t="s">
        <v>1597</v>
      </c>
      <c r="P1105" s="592"/>
      <c r="Q1105" s="592"/>
      <c r="R1105" s="592"/>
      <c r="S1105" s="592"/>
      <c r="T1105" s="592"/>
      <c r="U1105" s="592"/>
      <c r="V1105" s="592"/>
      <c r="W1105" s="592"/>
      <c r="X1105" s="592"/>
      <c r="AK1105" s="7" t="s">
        <v>714</v>
      </c>
      <c r="AU1105" s="17">
        <f>SUM(AL1106:AL1106)</f>
        <v>0</v>
      </c>
      <c r="AV1105" s="17">
        <f>SUM(AM1106:AM1106)</f>
        <v>0</v>
      </c>
      <c r="AW1105" s="17">
        <f>SUM(AN1106:AN1106)</f>
        <v>0</v>
      </c>
    </row>
    <row r="1106" spans="1:66" ht="15" customHeight="1">
      <c r="A1106" s="24" t="s">
        <v>542</v>
      </c>
      <c r="B1106" s="12" t="s">
        <v>714</v>
      </c>
      <c r="C1106" s="12" t="s">
        <v>1988</v>
      </c>
      <c r="D1106" s="630" t="s">
        <v>1576</v>
      </c>
      <c r="E1106" s="630"/>
      <c r="F1106" s="12" t="s">
        <v>2236</v>
      </c>
      <c r="G1106" s="56">
        <v>70.38</v>
      </c>
      <c r="H1106" s="625"/>
      <c r="I1106" s="56">
        <f>G1106*AQ1106</f>
        <v>0</v>
      </c>
      <c r="J1106" s="56">
        <f>G1106*AR1106</f>
        <v>0</v>
      </c>
      <c r="K1106" s="56">
        <f>G1106*H1106</f>
        <v>0</v>
      </c>
      <c r="L1106" s="56">
        <v>0</v>
      </c>
      <c r="M1106" s="56">
        <f>G1106*L1106</f>
        <v>0</v>
      </c>
      <c r="N1106" s="31" t="s">
        <v>1579</v>
      </c>
      <c r="P1106" s="592"/>
      <c r="Q1106" s="592"/>
      <c r="R1106" s="592"/>
      <c r="S1106" s="592"/>
      <c r="T1106" s="592"/>
      <c r="U1106" s="592"/>
      <c r="V1106" s="592"/>
      <c r="W1106" s="592"/>
      <c r="X1106" s="592"/>
      <c r="AB1106" s="56">
        <f>IF(AS1106="5",BL1106,0)</f>
        <v>0</v>
      </c>
      <c r="AD1106" s="56">
        <f>IF(AS1106="1",BJ1106,0)</f>
        <v>0</v>
      </c>
      <c r="AE1106" s="56">
        <f>IF(AS1106="1",BK1106,0)</f>
        <v>0</v>
      </c>
      <c r="AF1106" s="56">
        <f>IF(AS1106="7",BJ1106,0)</f>
        <v>0</v>
      </c>
      <c r="AG1106" s="56">
        <f>IF(AS1106="7",BK1106,0)</f>
        <v>0</v>
      </c>
      <c r="AH1106" s="56">
        <f>IF(AS1106="2",BJ1106,0)</f>
        <v>0</v>
      </c>
      <c r="AI1106" s="56">
        <f>IF(AS1106="2",BK1106,0)</f>
        <v>0</v>
      </c>
      <c r="AJ1106" s="56">
        <f>IF(AS1106="0",BL1106,0)</f>
        <v>0</v>
      </c>
      <c r="AK1106" s="7" t="s">
        <v>714</v>
      </c>
      <c r="AL1106" s="56">
        <f>IF(AP1106=0,K1106,0)</f>
        <v>0</v>
      </c>
      <c r="AM1106" s="56">
        <f>IF(AP1106=15,K1106,0)</f>
        <v>0</v>
      </c>
      <c r="AN1106" s="56">
        <f>IF(AP1106=21,K1106,0)</f>
        <v>0</v>
      </c>
      <c r="AP1106" s="56">
        <v>21</v>
      </c>
      <c r="AQ1106" s="88">
        <f>H1106*0</f>
        <v>0</v>
      </c>
      <c r="AR1106" s="88">
        <f>H1106*(1-0)</f>
        <v>0</v>
      </c>
      <c r="AS1106" s="21" t="s">
        <v>2297</v>
      </c>
      <c r="AX1106" s="56">
        <f>AY1106+AZ1106</f>
        <v>0</v>
      </c>
      <c r="AY1106" s="56">
        <f>G1106*AQ1106</f>
        <v>0</v>
      </c>
      <c r="AZ1106" s="56">
        <f>G1106*AR1106</f>
        <v>0</v>
      </c>
      <c r="BA1106" s="21" t="s">
        <v>2150</v>
      </c>
      <c r="BB1106" s="21" t="s">
        <v>1450</v>
      </c>
      <c r="BC1106" s="7" t="s">
        <v>976</v>
      </c>
      <c r="BE1106" s="56">
        <f>AY1106+AZ1106</f>
        <v>0</v>
      </c>
      <c r="BF1106" s="56">
        <f>H1106/(100-BG1106)*100</f>
        <v>0</v>
      </c>
      <c r="BG1106" s="56">
        <v>0</v>
      </c>
      <c r="BH1106" s="56">
        <f>M1106</f>
        <v>0</v>
      </c>
      <c r="BJ1106" s="56">
        <f>G1106*AQ1106</f>
        <v>0</v>
      </c>
      <c r="BK1106" s="56">
        <f>G1106*AR1106</f>
        <v>0</v>
      </c>
      <c r="BL1106" s="56">
        <f>G1106*H1106</f>
        <v>0</v>
      </c>
      <c r="BM1106" s="56"/>
      <c r="BN1106" s="56">
        <v>16</v>
      </c>
    </row>
    <row r="1107" spans="1:66" ht="15" customHeight="1">
      <c r="A1107" s="36"/>
      <c r="D1107" s="45" t="s">
        <v>283</v>
      </c>
      <c r="E1107" s="104" t="s">
        <v>1597</v>
      </c>
      <c r="G1107" s="13">
        <v>70.38000000000001</v>
      </c>
      <c r="N1107" s="19"/>
      <c r="P1107" s="592"/>
      <c r="Q1107" s="592"/>
      <c r="R1107" s="592"/>
      <c r="S1107" s="592"/>
      <c r="T1107" s="592"/>
      <c r="U1107" s="592"/>
      <c r="V1107" s="592"/>
      <c r="W1107" s="592"/>
      <c r="X1107" s="592"/>
    </row>
    <row r="1108" spans="1:66" ht="15" customHeight="1">
      <c r="A1108" s="32" t="s">
        <v>1597</v>
      </c>
      <c r="B1108" s="26" t="s">
        <v>714</v>
      </c>
      <c r="C1108" s="518" t="s">
        <v>1605</v>
      </c>
      <c r="D1108" s="709" t="s">
        <v>300</v>
      </c>
      <c r="E1108" s="709"/>
      <c r="F1108" s="46" t="s">
        <v>2144</v>
      </c>
      <c r="G1108" s="46" t="s">
        <v>2144</v>
      </c>
      <c r="H1108" s="46" t="s">
        <v>2144</v>
      </c>
      <c r="I1108" s="17">
        <f>SUM(I1109:I1113)</f>
        <v>0</v>
      </c>
      <c r="J1108" s="17">
        <f>SUM(J1109:J1113)</f>
        <v>0</v>
      </c>
      <c r="K1108" s="17">
        <f>SUM(K1109:K1113)</f>
        <v>0</v>
      </c>
      <c r="L1108" s="7" t="s">
        <v>1597</v>
      </c>
      <c r="M1108" s="17">
        <f>SUM(M1109:M1113)</f>
        <v>71.144999999999996</v>
      </c>
      <c r="N1108" s="20" t="s">
        <v>1597</v>
      </c>
      <c r="P1108" s="592"/>
      <c r="Q1108" s="592"/>
      <c r="R1108" s="592"/>
      <c r="S1108" s="592"/>
      <c r="T1108" s="592"/>
      <c r="U1108" s="592"/>
      <c r="V1108" s="592"/>
      <c r="W1108" s="592"/>
      <c r="X1108" s="592"/>
      <c r="AK1108" s="7" t="s">
        <v>714</v>
      </c>
      <c r="AU1108" s="17">
        <f>SUM(AL1109:AL1113)</f>
        <v>0</v>
      </c>
      <c r="AV1108" s="17">
        <f>SUM(AM1109:AM1113)</f>
        <v>0</v>
      </c>
      <c r="AW1108" s="17">
        <f>SUM(AN1109:AN1113)</f>
        <v>0</v>
      </c>
    </row>
    <row r="1109" spans="1:66" ht="15" customHeight="1">
      <c r="A1109" s="24" t="s">
        <v>1381</v>
      </c>
      <c r="B1109" s="12" t="s">
        <v>714</v>
      </c>
      <c r="C1109" s="12" t="s">
        <v>2039</v>
      </c>
      <c r="D1109" s="630" t="s">
        <v>2323</v>
      </c>
      <c r="E1109" s="630"/>
      <c r="F1109" s="12" t="s">
        <v>2236</v>
      </c>
      <c r="G1109" s="56">
        <v>41.85</v>
      </c>
      <c r="H1109" s="625"/>
      <c r="I1109" s="56">
        <f>G1109*AQ1109</f>
        <v>0</v>
      </c>
      <c r="J1109" s="56">
        <f>G1109*AR1109</f>
        <v>0</v>
      </c>
      <c r="K1109" s="56">
        <f>G1109*H1109</f>
        <v>0</v>
      </c>
      <c r="L1109" s="56">
        <v>1.7</v>
      </c>
      <c r="M1109" s="56">
        <f>G1109*L1109</f>
        <v>71.144999999999996</v>
      </c>
      <c r="N1109" s="31" t="s">
        <v>1579</v>
      </c>
      <c r="P1109" s="592"/>
      <c r="Q1109" s="592"/>
      <c r="R1109" s="592"/>
      <c r="S1109" s="592"/>
      <c r="T1109" s="592"/>
      <c r="U1109" s="592"/>
      <c r="V1109" s="592"/>
      <c r="W1109" s="592"/>
      <c r="X1109" s="592"/>
      <c r="AB1109" s="56">
        <f>IF(AS1109="5",BL1109,0)</f>
        <v>0</v>
      </c>
      <c r="AD1109" s="56">
        <f>IF(AS1109="1",BJ1109,0)</f>
        <v>0</v>
      </c>
      <c r="AE1109" s="56">
        <f>IF(AS1109="1",BK1109,0)</f>
        <v>0</v>
      </c>
      <c r="AF1109" s="56">
        <f>IF(AS1109="7",BJ1109,0)</f>
        <v>0</v>
      </c>
      <c r="AG1109" s="56">
        <f>IF(AS1109="7",BK1109,0)</f>
        <v>0</v>
      </c>
      <c r="AH1109" s="56">
        <f>IF(AS1109="2",BJ1109,0)</f>
        <v>0</v>
      </c>
      <c r="AI1109" s="56">
        <f>IF(AS1109="2",BK1109,0)</f>
        <v>0</v>
      </c>
      <c r="AJ1109" s="56">
        <f>IF(AS1109="0",BL1109,0)</f>
        <v>0</v>
      </c>
      <c r="AK1109" s="7" t="s">
        <v>714</v>
      </c>
      <c r="AL1109" s="56">
        <f>IF(AP1109=0,K1109,0)</f>
        <v>0</v>
      </c>
      <c r="AM1109" s="56">
        <f>IF(AP1109=15,K1109,0)</f>
        <v>0</v>
      </c>
      <c r="AN1109" s="56">
        <f>IF(AP1109=21,K1109,0)</f>
        <v>0</v>
      </c>
      <c r="AP1109" s="56">
        <v>21</v>
      </c>
      <c r="AQ1109" s="88">
        <f>H1109*0.503380678201674</f>
        <v>0</v>
      </c>
      <c r="AR1109" s="88">
        <f>H1109*(1-0.503380678201674)</f>
        <v>0</v>
      </c>
      <c r="AS1109" s="21" t="s">
        <v>2297</v>
      </c>
      <c r="AX1109" s="56">
        <f>AY1109+AZ1109</f>
        <v>0</v>
      </c>
      <c r="AY1109" s="56">
        <f>G1109*AQ1109</f>
        <v>0</v>
      </c>
      <c r="AZ1109" s="56">
        <f>G1109*AR1109</f>
        <v>0</v>
      </c>
      <c r="BA1109" s="21" t="s">
        <v>470</v>
      </c>
      <c r="BB1109" s="21" t="s">
        <v>1450</v>
      </c>
      <c r="BC1109" s="7" t="s">
        <v>976</v>
      </c>
      <c r="BE1109" s="56">
        <f>AY1109+AZ1109</f>
        <v>0</v>
      </c>
      <c r="BF1109" s="56">
        <f>H1109/(100-BG1109)*100</f>
        <v>0</v>
      </c>
      <c r="BG1109" s="56">
        <v>0</v>
      </c>
      <c r="BH1109" s="56">
        <f>M1109</f>
        <v>71.144999999999996</v>
      </c>
      <c r="BJ1109" s="56">
        <f>G1109*AQ1109</f>
        <v>0</v>
      </c>
      <c r="BK1109" s="56">
        <f>G1109*AR1109</f>
        <v>0</v>
      </c>
      <c r="BL1109" s="56">
        <f>G1109*H1109</f>
        <v>0</v>
      </c>
      <c r="BM1109" s="56"/>
      <c r="BN1109" s="56">
        <v>17</v>
      </c>
    </row>
    <row r="1110" spans="1:66" ht="15" customHeight="1">
      <c r="A1110" s="36"/>
      <c r="D1110" s="45" t="s">
        <v>1545</v>
      </c>
      <c r="E1110" s="104" t="s">
        <v>1597</v>
      </c>
      <c r="G1110" s="13">
        <v>41.85</v>
      </c>
      <c r="N1110" s="19"/>
      <c r="P1110" s="592"/>
      <c r="Q1110" s="592"/>
      <c r="R1110" s="592"/>
      <c r="S1110" s="592"/>
      <c r="T1110" s="592"/>
      <c r="U1110" s="592"/>
      <c r="V1110" s="592"/>
      <c r="W1110" s="592"/>
      <c r="X1110" s="592"/>
    </row>
    <row r="1111" spans="1:66" ht="15" customHeight="1">
      <c r="A1111" s="24" t="s">
        <v>63</v>
      </c>
      <c r="B1111" s="12" t="s">
        <v>714</v>
      </c>
      <c r="C1111" s="12" t="s">
        <v>1170</v>
      </c>
      <c r="D1111" s="630" t="s">
        <v>457</v>
      </c>
      <c r="E1111" s="630"/>
      <c r="F1111" s="12" t="s">
        <v>2236</v>
      </c>
      <c r="G1111" s="56">
        <v>108.93</v>
      </c>
      <c r="H1111" s="625"/>
      <c r="I1111" s="56">
        <f>G1111*AQ1111</f>
        <v>0</v>
      </c>
      <c r="J1111" s="56">
        <f>G1111*AR1111</f>
        <v>0</v>
      </c>
      <c r="K1111" s="56">
        <f>G1111*H1111</f>
        <v>0</v>
      </c>
      <c r="L1111" s="56">
        <v>0</v>
      </c>
      <c r="M1111" s="56">
        <f>G1111*L1111</f>
        <v>0</v>
      </c>
      <c r="N1111" s="31" t="s">
        <v>1579</v>
      </c>
      <c r="P1111" s="592"/>
      <c r="Q1111" s="592"/>
      <c r="R1111" s="592"/>
      <c r="S1111" s="592"/>
      <c r="T1111" s="592"/>
      <c r="U1111" s="592"/>
      <c r="V1111" s="592"/>
      <c r="W1111" s="592"/>
      <c r="X1111" s="592"/>
      <c r="AB1111" s="56">
        <f>IF(AS1111="5",BL1111,0)</f>
        <v>0</v>
      </c>
      <c r="AD1111" s="56">
        <f>IF(AS1111="1",BJ1111,0)</f>
        <v>0</v>
      </c>
      <c r="AE1111" s="56">
        <f>IF(AS1111="1",BK1111,0)</f>
        <v>0</v>
      </c>
      <c r="AF1111" s="56">
        <f>IF(AS1111="7",BJ1111,0)</f>
        <v>0</v>
      </c>
      <c r="AG1111" s="56">
        <f>IF(AS1111="7",BK1111,0)</f>
        <v>0</v>
      </c>
      <c r="AH1111" s="56">
        <f>IF(AS1111="2",BJ1111,0)</f>
        <v>0</v>
      </c>
      <c r="AI1111" s="56">
        <f>IF(AS1111="2",BK1111,0)</f>
        <v>0</v>
      </c>
      <c r="AJ1111" s="56">
        <f>IF(AS1111="0",BL1111,0)</f>
        <v>0</v>
      </c>
      <c r="AK1111" s="7" t="s">
        <v>714</v>
      </c>
      <c r="AL1111" s="56">
        <f>IF(AP1111=0,K1111,0)</f>
        <v>0</v>
      </c>
      <c r="AM1111" s="56">
        <f>IF(AP1111=15,K1111,0)</f>
        <v>0</v>
      </c>
      <c r="AN1111" s="56">
        <f>IF(AP1111=21,K1111,0)</f>
        <v>0</v>
      </c>
      <c r="AP1111" s="56">
        <v>21</v>
      </c>
      <c r="AQ1111" s="88">
        <f>H1111*0</f>
        <v>0</v>
      </c>
      <c r="AR1111" s="88">
        <f>H1111*(1-0)</f>
        <v>0</v>
      </c>
      <c r="AS1111" s="21" t="s">
        <v>2297</v>
      </c>
      <c r="AX1111" s="56">
        <f>AY1111+AZ1111</f>
        <v>0</v>
      </c>
      <c r="AY1111" s="56">
        <f>G1111*AQ1111</f>
        <v>0</v>
      </c>
      <c r="AZ1111" s="56">
        <f>G1111*AR1111</f>
        <v>0</v>
      </c>
      <c r="BA1111" s="21" t="s">
        <v>470</v>
      </c>
      <c r="BB1111" s="21" t="s">
        <v>1450</v>
      </c>
      <c r="BC1111" s="7" t="s">
        <v>976</v>
      </c>
      <c r="BE1111" s="56">
        <f>AY1111+AZ1111</f>
        <v>0</v>
      </c>
      <c r="BF1111" s="56">
        <f>H1111/(100-BG1111)*100</f>
        <v>0</v>
      </c>
      <c r="BG1111" s="56">
        <v>0</v>
      </c>
      <c r="BH1111" s="56">
        <f>M1111</f>
        <v>0</v>
      </c>
      <c r="BJ1111" s="56">
        <f>G1111*AQ1111</f>
        <v>0</v>
      </c>
      <c r="BK1111" s="56">
        <f>G1111*AR1111</f>
        <v>0</v>
      </c>
      <c r="BL1111" s="56">
        <f>G1111*H1111</f>
        <v>0</v>
      </c>
      <c r="BM1111" s="56"/>
      <c r="BN1111" s="56">
        <v>17</v>
      </c>
    </row>
    <row r="1112" spans="1:66" ht="15" customHeight="1">
      <c r="A1112" s="36"/>
      <c r="D1112" s="45" t="s">
        <v>2400</v>
      </c>
      <c r="E1112" s="104" t="s">
        <v>1597</v>
      </c>
      <c r="G1112" s="13">
        <v>108.93</v>
      </c>
      <c r="N1112" s="19"/>
      <c r="P1112" s="592"/>
      <c r="Q1112" s="592"/>
      <c r="R1112" s="592"/>
      <c r="S1112" s="592"/>
      <c r="T1112" s="592"/>
      <c r="U1112" s="592"/>
      <c r="V1112" s="592"/>
      <c r="W1112" s="592"/>
      <c r="X1112" s="592"/>
    </row>
    <row r="1113" spans="1:66" ht="15" customHeight="1">
      <c r="A1113" s="24" t="s">
        <v>2573</v>
      </c>
      <c r="B1113" s="12" t="s">
        <v>714</v>
      </c>
      <c r="C1113" s="12" t="s">
        <v>1572</v>
      </c>
      <c r="D1113" s="630" t="s">
        <v>2520</v>
      </c>
      <c r="E1113" s="630"/>
      <c r="F1113" s="12" t="s">
        <v>2236</v>
      </c>
      <c r="G1113" s="56">
        <v>70.38</v>
      </c>
      <c r="H1113" s="625"/>
      <c r="I1113" s="56">
        <f>G1113*AQ1113</f>
        <v>0</v>
      </c>
      <c r="J1113" s="56">
        <f>G1113*AR1113</f>
        <v>0</v>
      </c>
      <c r="K1113" s="56">
        <f>G1113*H1113</f>
        <v>0</v>
      </c>
      <c r="L1113" s="56">
        <v>0</v>
      </c>
      <c r="M1113" s="56">
        <f>G1113*L1113</f>
        <v>0</v>
      </c>
      <c r="N1113" s="31" t="s">
        <v>1579</v>
      </c>
      <c r="P1113" s="592"/>
      <c r="Q1113" s="592"/>
      <c r="R1113" s="592"/>
      <c r="S1113" s="592"/>
      <c r="T1113" s="592"/>
      <c r="U1113" s="592"/>
      <c r="V1113" s="592"/>
      <c r="W1113" s="592"/>
      <c r="X1113" s="592"/>
      <c r="AB1113" s="56">
        <f>IF(AS1113="5",BL1113,0)</f>
        <v>0</v>
      </c>
      <c r="AD1113" s="56">
        <f>IF(AS1113="1",BJ1113,0)</f>
        <v>0</v>
      </c>
      <c r="AE1113" s="56">
        <f>IF(AS1113="1",BK1113,0)</f>
        <v>0</v>
      </c>
      <c r="AF1113" s="56">
        <f>IF(AS1113="7",BJ1113,0)</f>
        <v>0</v>
      </c>
      <c r="AG1113" s="56">
        <f>IF(AS1113="7",BK1113,0)</f>
        <v>0</v>
      </c>
      <c r="AH1113" s="56">
        <f>IF(AS1113="2",BJ1113,0)</f>
        <v>0</v>
      </c>
      <c r="AI1113" s="56">
        <f>IF(AS1113="2",BK1113,0)</f>
        <v>0</v>
      </c>
      <c r="AJ1113" s="56">
        <f>IF(AS1113="0",BL1113,0)</f>
        <v>0</v>
      </c>
      <c r="AK1113" s="7" t="s">
        <v>714</v>
      </c>
      <c r="AL1113" s="56">
        <f>IF(AP1113=0,K1113,0)</f>
        <v>0</v>
      </c>
      <c r="AM1113" s="56">
        <f>IF(AP1113=15,K1113,0)</f>
        <v>0</v>
      </c>
      <c r="AN1113" s="56">
        <f>IF(AP1113=21,K1113,0)</f>
        <v>0</v>
      </c>
      <c r="AP1113" s="56">
        <v>21</v>
      </c>
      <c r="AQ1113" s="88">
        <f>H1113*0</f>
        <v>0</v>
      </c>
      <c r="AR1113" s="88">
        <f>H1113*(1-0)</f>
        <v>0</v>
      </c>
      <c r="AS1113" s="21" t="s">
        <v>2297</v>
      </c>
      <c r="AX1113" s="56">
        <f>AY1113+AZ1113</f>
        <v>0</v>
      </c>
      <c r="AY1113" s="56">
        <f>G1113*AQ1113</f>
        <v>0</v>
      </c>
      <c r="AZ1113" s="56">
        <f>G1113*AR1113</f>
        <v>0</v>
      </c>
      <c r="BA1113" s="21" t="s">
        <v>470</v>
      </c>
      <c r="BB1113" s="21" t="s">
        <v>1450</v>
      </c>
      <c r="BC1113" s="7" t="s">
        <v>976</v>
      </c>
      <c r="BE1113" s="56">
        <f>AY1113+AZ1113</f>
        <v>0</v>
      </c>
      <c r="BF1113" s="56">
        <f>H1113/(100-BG1113)*100</f>
        <v>0</v>
      </c>
      <c r="BG1113" s="56">
        <v>0</v>
      </c>
      <c r="BH1113" s="56">
        <f>M1113</f>
        <v>0</v>
      </c>
      <c r="BJ1113" s="56">
        <f>G1113*AQ1113</f>
        <v>0</v>
      </c>
      <c r="BK1113" s="56">
        <f>G1113*AR1113</f>
        <v>0</v>
      </c>
      <c r="BL1113" s="56">
        <f>G1113*H1113</f>
        <v>0</v>
      </c>
      <c r="BM1113" s="56"/>
      <c r="BN1113" s="56">
        <v>17</v>
      </c>
    </row>
    <row r="1114" spans="1:66" ht="15" customHeight="1">
      <c r="A1114" s="36"/>
      <c r="D1114" s="45" t="s">
        <v>608</v>
      </c>
      <c r="E1114" s="104" t="s">
        <v>2201</v>
      </c>
      <c r="G1114" s="13">
        <v>70.38000000000001</v>
      </c>
      <c r="N1114" s="19"/>
      <c r="P1114" s="592"/>
      <c r="Q1114" s="592"/>
      <c r="R1114" s="592"/>
      <c r="S1114" s="592"/>
      <c r="T1114" s="592"/>
      <c r="U1114" s="592"/>
      <c r="V1114" s="592"/>
      <c r="W1114" s="592"/>
      <c r="X1114" s="592"/>
    </row>
    <row r="1115" spans="1:66" ht="15" customHeight="1">
      <c r="A1115" s="32" t="s">
        <v>1597</v>
      </c>
      <c r="B1115" s="26" t="s">
        <v>714</v>
      </c>
      <c r="C1115" s="518" t="s">
        <v>820</v>
      </c>
      <c r="D1115" s="709" t="s">
        <v>1795</v>
      </c>
      <c r="E1115" s="709"/>
      <c r="F1115" s="46" t="s">
        <v>2144</v>
      </c>
      <c r="G1115" s="46" t="s">
        <v>2144</v>
      </c>
      <c r="H1115" s="46" t="s">
        <v>2144</v>
      </c>
      <c r="I1115" s="17">
        <f>SUM(I1116:I1116)</f>
        <v>0</v>
      </c>
      <c r="J1115" s="17">
        <f>SUM(J1116:J1116)</f>
        <v>0</v>
      </c>
      <c r="K1115" s="17">
        <f>SUM(K1116:K1116)</f>
        <v>0</v>
      </c>
      <c r="L1115" s="7" t="s">
        <v>1597</v>
      </c>
      <c r="M1115" s="17">
        <f>SUM(M1116:M1116)</f>
        <v>53.943668100000004</v>
      </c>
      <c r="N1115" s="20" t="s">
        <v>1597</v>
      </c>
      <c r="P1115" s="592"/>
      <c r="Q1115" s="592"/>
      <c r="R1115" s="592"/>
      <c r="S1115" s="592"/>
      <c r="T1115" s="592"/>
      <c r="U1115" s="592"/>
      <c r="V1115" s="592"/>
      <c r="W1115" s="592"/>
      <c r="X1115" s="592"/>
      <c r="AK1115" s="7" t="s">
        <v>714</v>
      </c>
      <c r="AU1115" s="17">
        <f>SUM(AL1116:AL1116)</f>
        <v>0</v>
      </c>
      <c r="AV1115" s="17">
        <f>SUM(AM1116:AM1116)</f>
        <v>0</v>
      </c>
      <c r="AW1115" s="17">
        <f>SUM(AN1116:AN1116)</f>
        <v>0</v>
      </c>
    </row>
    <row r="1116" spans="1:66" ht="15" customHeight="1">
      <c r="A1116" s="24" t="s">
        <v>415</v>
      </c>
      <c r="B1116" s="12" t="s">
        <v>714</v>
      </c>
      <c r="C1116" s="12" t="s">
        <v>1644</v>
      </c>
      <c r="D1116" s="630" t="s">
        <v>677</v>
      </c>
      <c r="E1116" s="630"/>
      <c r="F1116" s="12" t="s">
        <v>2236</v>
      </c>
      <c r="G1116" s="56">
        <v>28.53</v>
      </c>
      <c r="H1116" s="625"/>
      <c r="I1116" s="56">
        <f>G1116*AQ1116</f>
        <v>0</v>
      </c>
      <c r="J1116" s="56">
        <f>G1116*AR1116</f>
        <v>0</v>
      </c>
      <c r="K1116" s="56">
        <f>G1116*H1116</f>
        <v>0</v>
      </c>
      <c r="L1116" s="56">
        <v>1.8907700000000001</v>
      </c>
      <c r="M1116" s="56">
        <f>G1116*L1116</f>
        <v>53.943668100000004</v>
      </c>
      <c r="N1116" s="31" t="s">
        <v>1579</v>
      </c>
      <c r="P1116" s="592"/>
      <c r="Q1116" s="592"/>
      <c r="R1116" s="592"/>
      <c r="S1116" s="592"/>
      <c r="T1116" s="592"/>
      <c r="U1116" s="592"/>
      <c r="V1116" s="592"/>
      <c r="W1116" s="592"/>
      <c r="X1116" s="592"/>
      <c r="AB1116" s="56">
        <f>IF(AS1116="5",BL1116,0)</f>
        <v>0</v>
      </c>
      <c r="AD1116" s="56">
        <f>IF(AS1116="1",BJ1116,0)</f>
        <v>0</v>
      </c>
      <c r="AE1116" s="56">
        <f>IF(AS1116="1",BK1116,0)</f>
        <v>0</v>
      </c>
      <c r="AF1116" s="56">
        <f>IF(AS1116="7",BJ1116,0)</f>
        <v>0</v>
      </c>
      <c r="AG1116" s="56">
        <f>IF(AS1116="7",BK1116,0)</f>
        <v>0</v>
      </c>
      <c r="AH1116" s="56">
        <f>IF(AS1116="2",BJ1116,0)</f>
        <v>0</v>
      </c>
      <c r="AI1116" s="56">
        <f>IF(AS1116="2",BK1116,0)</f>
        <v>0</v>
      </c>
      <c r="AJ1116" s="56">
        <f>IF(AS1116="0",BL1116,0)</f>
        <v>0</v>
      </c>
      <c r="AK1116" s="7" t="s">
        <v>714</v>
      </c>
      <c r="AL1116" s="56">
        <f>IF(AP1116=0,K1116,0)</f>
        <v>0</v>
      </c>
      <c r="AM1116" s="56">
        <f>IF(AP1116=15,K1116,0)</f>
        <v>0</v>
      </c>
      <c r="AN1116" s="56">
        <f>IF(AP1116=21,K1116,0)</f>
        <v>0</v>
      </c>
      <c r="AP1116" s="56">
        <v>21</v>
      </c>
      <c r="AQ1116" s="88">
        <f>H1116*0.480904558404558</f>
        <v>0</v>
      </c>
      <c r="AR1116" s="88">
        <f>H1116*(1-0.480904558404558)</f>
        <v>0</v>
      </c>
      <c r="AS1116" s="21" t="s">
        <v>2297</v>
      </c>
      <c r="AX1116" s="56">
        <f>AY1116+AZ1116</f>
        <v>0</v>
      </c>
      <c r="AY1116" s="56">
        <f>G1116*AQ1116</f>
        <v>0</v>
      </c>
      <c r="AZ1116" s="56">
        <f>G1116*AR1116</f>
        <v>0</v>
      </c>
      <c r="BA1116" s="21" t="s">
        <v>1130</v>
      </c>
      <c r="BB1116" s="21" t="s">
        <v>2394</v>
      </c>
      <c r="BC1116" s="7" t="s">
        <v>976</v>
      </c>
      <c r="BE1116" s="56">
        <f>AY1116+AZ1116</f>
        <v>0</v>
      </c>
      <c r="BF1116" s="56">
        <f>H1116/(100-BG1116)*100</f>
        <v>0</v>
      </c>
      <c r="BG1116" s="56">
        <v>0</v>
      </c>
      <c r="BH1116" s="56">
        <f>M1116</f>
        <v>53.943668100000004</v>
      </c>
      <c r="BJ1116" s="56">
        <f>G1116*AQ1116</f>
        <v>0</v>
      </c>
      <c r="BK1116" s="56">
        <f>G1116*AR1116</f>
        <v>0</v>
      </c>
      <c r="BL1116" s="56">
        <f>G1116*H1116</f>
        <v>0</v>
      </c>
      <c r="BM1116" s="56"/>
      <c r="BN1116" s="56">
        <v>45</v>
      </c>
    </row>
    <row r="1117" spans="1:66" ht="15" customHeight="1">
      <c r="A1117" s="36"/>
      <c r="D1117" s="45" t="s">
        <v>124</v>
      </c>
      <c r="E1117" s="104" t="s">
        <v>1290</v>
      </c>
      <c r="G1117" s="13">
        <v>28.53</v>
      </c>
      <c r="N1117" s="19"/>
      <c r="P1117" s="592"/>
      <c r="Q1117" s="592"/>
      <c r="R1117" s="592"/>
      <c r="S1117" s="592"/>
      <c r="T1117" s="592"/>
      <c r="U1117" s="592"/>
      <c r="V1117" s="592"/>
      <c r="W1117" s="592"/>
      <c r="X1117" s="592"/>
    </row>
    <row r="1118" spans="1:66" ht="15" customHeight="1">
      <c r="A1118" s="32" t="s">
        <v>1597</v>
      </c>
      <c r="B1118" s="26" t="s">
        <v>714</v>
      </c>
      <c r="C1118" s="518" t="s">
        <v>1476</v>
      </c>
      <c r="D1118" s="709" t="s">
        <v>2651</v>
      </c>
      <c r="E1118" s="709"/>
      <c r="F1118" s="46" t="s">
        <v>2144</v>
      </c>
      <c r="G1118" s="46" t="s">
        <v>2144</v>
      </c>
      <c r="H1118" s="46" t="s">
        <v>2144</v>
      </c>
      <c r="I1118" s="17">
        <f>SUM(I1119:I1155)</f>
        <v>0</v>
      </c>
      <c r="J1118" s="17">
        <f>SUM(J1119:J1155)</f>
        <v>0</v>
      </c>
      <c r="K1118" s="17">
        <f>SUM(K1119:K1155)</f>
        <v>0</v>
      </c>
      <c r="L1118" s="7" t="s">
        <v>1597</v>
      </c>
      <c r="M1118" s="17">
        <f>SUM(M1119:M1155)</f>
        <v>0.40777000000000002</v>
      </c>
      <c r="N1118" s="20" t="s">
        <v>1597</v>
      </c>
      <c r="P1118" s="592"/>
      <c r="Q1118" s="592"/>
      <c r="R1118" s="592"/>
      <c r="S1118" s="592"/>
      <c r="T1118" s="592"/>
      <c r="U1118" s="592"/>
      <c r="V1118" s="592"/>
      <c r="W1118" s="592"/>
      <c r="X1118" s="592"/>
      <c r="AK1118" s="7" t="s">
        <v>714</v>
      </c>
      <c r="AU1118" s="17">
        <f>SUM(AL1119:AL1155)</f>
        <v>0</v>
      </c>
      <c r="AV1118" s="17">
        <f>SUM(AM1119:AM1155)</f>
        <v>0</v>
      </c>
      <c r="AW1118" s="17">
        <f>SUM(AN1119:AN1155)</f>
        <v>0</v>
      </c>
    </row>
    <row r="1119" spans="1:66" ht="15" customHeight="1">
      <c r="A1119" s="24" t="s">
        <v>1370</v>
      </c>
      <c r="B1119" s="12" t="s">
        <v>714</v>
      </c>
      <c r="C1119" s="12" t="s">
        <v>1569</v>
      </c>
      <c r="D1119" s="630" t="s">
        <v>845</v>
      </c>
      <c r="E1119" s="630"/>
      <c r="F1119" s="12" t="s">
        <v>1923</v>
      </c>
      <c r="G1119" s="56">
        <v>47.5</v>
      </c>
      <c r="H1119" s="625"/>
      <c r="I1119" s="56">
        <f>G1119*AQ1119</f>
        <v>0</v>
      </c>
      <c r="J1119" s="56">
        <f>G1119*AR1119</f>
        <v>0</v>
      </c>
      <c r="K1119" s="56">
        <f>G1119*H1119</f>
        <v>0</v>
      </c>
      <c r="L1119" s="56">
        <v>1.4400000000000001E-3</v>
      </c>
      <c r="M1119" s="56">
        <f>G1119*L1119</f>
        <v>6.8400000000000002E-2</v>
      </c>
      <c r="N1119" s="31" t="s">
        <v>1579</v>
      </c>
      <c r="P1119" s="592"/>
      <c r="Q1119" s="592"/>
      <c r="R1119" s="592"/>
      <c r="S1119" s="592"/>
      <c r="T1119" s="592"/>
      <c r="U1119" s="592"/>
      <c r="V1119" s="592"/>
      <c r="W1119" s="592"/>
      <c r="X1119" s="592"/>
      <c r="AB1119" s="56">
        <f>IF(AS1119="5",BL1119,0)</f>
        <v>0</v>
      </c>
      <c r="AD1119" s="56">
        <f>IF(AS1119="1",BJ1119,0)</f>
        <v>0</v>
      </c>
      <c r="AE1119" s="56">
        <f>IF(AS1119="1",BK1119,0)</f>
        <v>0</v>
      </c>
      <c r="AF1119" s="56">
        <f>IF(AS1119="7",BJ1119,0)</f>
        <v>0</v>
      </c>
      <c r="AG1119" s="56">
        <f>IF(AS1119="7",BK1119,0)</f>
        <v>0</v>
      </c>
      <c r="AH1119" s="56">
        <f>IF(AS1119="2",BJ1119,0)</f>
        <v>0</v>
      </c>
      <c r="AI1119" s="56">
        <f>IF(AS1119="2",BK1119,0)</f>
        <v>0</v>
      </c>
      <c r="AJ1119" s="56">
        <f>IF(AS1119="0",BL1119,0)</f>
        <v>0</v>
      </c>
      <c r="AK1119" s="7" t="s">
        <v>714</v>
      </c>
      <c r="AL1119" s="56">
        <f>IF(AP1119=0,K1119,0)</f>
        <v>0</v>
      </c>
      <c r="AM1119" s="56">
        <f>IF(AP1119=15,K1119,0)</f>
        <v>0</v>
      </c>
      <c r="AN1119" s="56">
        <f>IF(AP1119=21,K1119,0)</f>
        <v>0</v>
      </c>
      <c r="AP1119" s="56">
        <v>21</v>
      </c>
      <c r="AQ1119" s="88">
        <f>H1119*0.491866977829638</f>
        <v>0</v>
      </c>
      <c r="AR1119" s="88">
        <f>H1119*(1-0.491866977829638)</f>
        <v>0</v>
      </c>
      <c r="AS1119" s="21" t="s">
        <v>2311</v>
      </c>
      <c r="AX1119" s="56">
        <f>AY1119+AZ1119</f>
        <v>0</v>
      </c>
      <c r="AY1119" s="56">
        <f>G1119*AQ1119</f>
        <v>0</v>
      </c>
      <c r="AZ1119" s="56">
        <f>G1119*AR1119</f>
        <v>0</v>
      </c>
      <c r="BA1119" s="21" t="s">
        <v>351</v>
      </c>
      <c r="BB1119" s="21" t="s">
        <v>1155</v>
      </c>
      <c r="BC1119" s="7" t="s">
        <v>976</v>
      </c>
      <c r="BE1119" s="56">
        <f>AY1119+AZ1119</f>
        <v>0</v>
      </c>
      <c r="BF1119" s="56">
        <f>H1119/(100-BG1119)*100</f>
        <v>0</v>
      </c>
      <c r="BG1119" s="56">
        <v>0</v>
      </c>
      <c r="BH1119" s="56">
        <f>M1119</f>
        <v>6.8400000000000002E-2</v>
      </c>
      <c r="BJ1119" s="56">
        <f>G1119*AQ1119</f>
        <v>0</v>
      </c>
      <c r="BK1119" s="56">
        <f>G1119*AR1119</f>
        <v>0</v>
      </c>
      <c r="BL1119" s="56">
        <f>G1119*H1119</f>
        <v>0</v>
      </c>
      <c r="BM1119" s="56"/>
      <c r="BN1119" s="56">
        <v>721</v>
      </c>
    </row>
    <row r="1120" spans="1:66" ht="15" customHeight="1">
      <c r="A1120" s="36"/>
      <c r="D1120" s="45" t="s">
        <v>2571</v>
      </c>
      <c r="E1120" s="104" t="s">
        <v>1597</v>
      </c>
      <c r="G1120" s="13">
        <v>47.500000000000007</v>
      </c>
      <c r="N1120" s="19"/>
      <c r="P1120" s="592"/>
      <c r="Q1120" s="592"/>
      <c r="R1120" s="592"/>
      <c r="S1120" s="592"/>
      <c r="T1120" s="592"/>
      <c r="U1120" s="592"/>
      <c r="V1120" s="592"/>
      <c r="W1120" s="592"/>
      <c r="X1120" s="592"/>
    </row>
    <row r="1121" spans="1:66" ht="15" customHeight="1">
      <c r="A1121" s="24" t="s">
        <v>2615</v>
      </c>
      <c r="B1121" s="12" t="s">
        <v>714</v>
      </c>
      <c r="C1121" s="12" t="s">
        <v>118</v>
      </c>
      <c r="D1121" s="630" t="s">
        <v>484</v>
      </c>
      <c r="E1121" s="630"/>
      <c r="F1121" s="12" t="s">
        <v>1923</v>
      </c>
      <c r="G1121" s="56">
        <v>32</v>
      </c>
      <c r="H1121" s="625"/>
      <c r="I1121" s="56">
        <f>G1121*AQ1121</f>
        <v>0</v>
      </c>
      <c r="J1121" s="56">
        <f>G1121*AR1121</f>
        <v>0</v>
      </c>
      <c r="K1121" s="56">
        <f>G1121*H1121</f>
        <v>0</v>
      </c>
      <c r="L1121" s="56">
        <v>1.8799999999999999E-3</v>
      </c>
      <c r="M1121" s="56">
        <f>G1121*L1121</f>
        <v>6.0159999999999998E-2</v>
      </c>
      <c r="N1121" s="31" t="s">
        <v>1579</v>
      </c>
      <c r="P1121" s="592"/>
      <c r="Q1121" s="592"/>
      <c r="R1121" s="592"/>
      <c r="S1121" s="592"/>
      <c r="T1121" s="592"/>
      <c r="U1121" s="592"/>
      <c r="V1121" s="592"/>
      <c r="W1121" s="592"/>
      <c r="X1121" s="592"/>
      <c r="AB1121" s="56">
        <f>IF(AS1121="5",BL1121,0)</f>
        <v>0</v>
      </c>
      <c r="AD1121" s="56">
        <f>IF(AS1121="1",BJ1121,0)</f>
        <v>0</v>
      </c>
      <c r="AE1121" s="56">
        <f>IF(AS1121="1",BK1121,0)</f>
        <v>0</v>
      </c>
      <c r="AF1121" s="56">
        <f>IF(AS1121="7",BJ1121,0)</f>
        <v>0</v>
      </c>
      <c r="AG1121" s="56">
        <f>IF(AS1121="7",BK1121,0)</f>
        <v>0</v>
      </c>
      <c r="AH1121" s="56">
        <f>IF(AS1121="2",BJ1121,0)</f>
        <v>0</v>
      </c>
      <c r="AI1121" s="56">
        <f>IF(AS1121="2",BK1121,0)</f>
        <v>0</v>
      </c>
      <c r="AJ1121" s="56">
        <f>IF(AS1121="0",BL1121,0)</f>
        <v>0</v>
      </c>
      <c r="AK1121" s="7" t="s">
        <v>714</v>
      </c>
      <c r="AL1121" s="56">
        <f>IF(AP1121=0,K1121,0)</f>
        <v>0</v>
      </c>
      <c r="AM1121" s="56">
        <f>IF(AP1121=15,K1121,0)</f>
        <v>0</v>
      </c>
      <c r="AN1121" s="56">
        <f>IF(AP1121=21,K1121,0)</f>
        <v>0</v>
      </c>
      <c r="AP1121" s="56">
        <v>21</v>
      </c>
      <c r="AQ1121" s="88">
        <f>H1121*0.717777057679844</f>
        <v>0</v>
      </c>
      <c r="AR1121" s="88">
        <f>H1121*(1-0.717777057679844)</f>
        <v>0</v>
      </c>
      <c r="AS1121" s="21" t="s">
        <v>2311</v>
      </c>
      <c r="AX1121" s="56">
        <f>AY1121+AZ1121</f>
        <v>0</v>
      </c>
      <c r="AY1121" s="56">
        <f>G1121*AQ1121</f>
        <v>0</v>
      </c>
      <c r="AZ1121" s="56">
        <f>G1121*AR1121</f>
        <v>0</v>
      </c>
      <c r="BA1121" s="21" t="s">
        <v>351</v>
      </c>
      <c r="BB1121" s="21" t="s">
        <v>1155</v>
      </c>
      <c r="BC1121" s="7" t="s">
        <v>976</v>
      </c>
      <c r="BE1121" s="56">
        <f>AY1121+AZ1121</f>
        <v>0</v>
      </c>
      <c r="BF1121" s="56">
        <f>H1121/(100-BG1121)*100</f>
        <v>0</v>
      </c>
      <c r="BG1121" s="56">
        <v>0</v>
      </c>
      <c r="BH1121" s="56">
        <f>M1121</f>
        <v>6.0159999999999998E-2</v>
      </c>
      <c r="BJ1121" s="56">
        <f>G1121*AQ1121</f>
        <v>0</v>
      </c>
      <c r="BK1121" s="56">
        <f>G1121*AR1121</f>
        <v>0</v>
      </c>
      <c r="BL1121" s="56">
        <f>G1121*H1121</f>
        <v>0</v>
      </c>
      <c r="BM1121" s="56"/>
      <c r="BN1121" s="56">
        <v>721</v>
      </c>
    </row>
    <row r="1122" spans="1:66" ht="15" customHeight="1">
      <c r="A1122" s="36"/>
      <c r="D1122" s="45" t="s">
        <v>1954</v>
      </c>
      <c r="E1122" s="104" t="s">
        <v>1597</v>
      </c>
      <c r="G1122" s="13">
        <v>32</v>
      </c>
      <c r="N1122" s="19"/>
      <c r="P1122" s="592"/>
      <c r="Q1122" s="592"/>
      <c r="R1122" s="592"/>
      <c r="S1122" s="592"/>
      <c r="T1122" s="592"/>
      <c r="U1122" s="592"/>
      <c r="V1122" s="592"/>
      <c r="W1122" s="592"/>
      <c r="X1122" s="592"/>
    </row>
    <row r="1123" spans="1:66" ht="15" customHeight="1">
      <c r="A1123" s="24" t="s">
        <v>1075</v>
      </c>
      <c r="B1123" s="12" t="s">
        <v>714</v>
      </c>
      <c r="C1123" s="12" t="s">
        <v>1497</v>
      </c>
      <c r="D1123" s="630" t="s">
        <v>2417</v>
      </c>
      <c r="E1123" s="630"/>
      <c r="F1123" s="12" t="s">
        <v>1923</v>
      </c>
      <c r="G1123" s="56">
        <v>14</v>
      </c>
      <c r="H1123" s="625"/>
      <c r="I1123" s="56">
        <f>G1123*AQ1123</f>
        <v>0</v>
      </c>
      <c r="J1123" s="56">
        <f>G1123*AR1123</f>
        <v>0</v>
      </c>
      <c r="K1123" s="56">
        <f>G1123*H1123</f>
        <v>0</v>
      </c>
      <c r="L1123" s="56">
        <v>2.7699999999999999E-3</v>
      </c>
      <c r="M1123" s="56">
        <f>G1123*L1123</f>
        <v>3.8779999999999995E-2</v>
      </c>
      <c r="N1123" s="31" t="s">
        <v>1579</v>
      </c>
      <c r="P1123" s="592"/>
      <c r="Q1123" s="592"/>
      <c r="R1123" s="592"/>
      <c r="S1123" s="592"/>
      <c r="T1123" s="592"/>
      <c r="U1123" s="592"/>
      <c r="V1123" s="592"/>
      <c r="W1123" s="592"/>
      <c r="X1123" s="592"/>
      <c r="AB1123" s="56">
        <f>IF(AS1123="5",BL1123,0)</f>
        <v>0</v>
      </c>
      <c r="AD1123" s="56">
        <f>IF(AS1123="1",BJ1123,0)</f>
        <v>0</v>
      </c>
      <c r="AE1123" s="56">
        <f>IF(AS1123="1",BK1123,0)</f>
        <v>0</v>
      </c>
      <c r="AF1123" s="56">
        <f>IF(AS1123="7",BJ1123,0)</f>
        <v>0</v>
      </c>
      <c r="AG1123" s="56">
        <f>IF(AS1123="7",BK1123,0)</f>
        <v>0</v>
      </c>
      <c r="AH1123" s="56">
        <f>IF(AS1123="2",BJ1123,0)</f>
        <v>0</v>
      </c>
      <c r="AI1123" s="56">
        <f>IF(AS1123="2",BK1123,0)</f>
        <v>0</v>
      </c>
      <c r="AJ1123" s="56">
        <f>IF(AS1123="0",BL1123,0)</f>
        <v>0</v>
      </c>
      <c r="AK1123" s="7" t="s">
        <v>714</v>
      </c>
      <c r="AL1123" s="56">
        <f>IF(AP1123=0,K1123,0)</f>
        <v>0</v>
      </c>
      <c r="AM1123" s="56">
        <f>IF(AP1123=15,K1123,0)</f>
        <v>0</v>
      </c>
      <c r="AN1123" s="56">
        <f>IF(AP1123=21,K1123,0)</f>
        <v>0</v>
      </c>
      <c r="AP1123" s="56">
        <v>21</v>
      </c>
      <c r="AQ1123" s="88">
        <f>H1123*0.821361447724059</f>
        <v>0</v>
      </c>
      <c r="AR1123" s="88">
        <f>H1123*(1-0.821361447724059)</f>
        <v>0</v>
      </c>
      <c r="AS1123" s="21" t="s">
        <v>2311</v>
      </c>
      <c r="AX1123" s="56">
        <f>AY1123+AZ1123</f>
        <v>0</v>
      </c>
      <c r="AY1123" s="56">
        <f>G1123*AQ1123</f>
        <v>0</v>
      </c>
      <c r="AZ1123" s="56">
        <f>G1123*AR1123</f>
        <v>0</v>
      </c>
      <c r="BA1123" s="21" t="s">
        <v>351</v>
      </c>
      <c r="BB1123" s="21" t="s">
        <v>1155</v>
      </c>
      <c r="BC1123" s="7" t="s">
        <v>976</v>
      </c>
      <c r="BE1123" s="56">
        <f>AY1123+AZ1123</f>
        <v>0</v>
      </c>
      <c r="BF1123" s="56">
        <f>H1123/(100-BG1123)*100</f>
        <v>0</v>
      </c>
      <c r="BG1123" s="56">
        <v>0</v>
      </c>
      <c r="BH1123" s="56">
        <f>M1123</f>
        <v>3.8779999999999995E-2</v>
      </c>
      <c r="BJ1123" s="56">
        <f>G1123*AQ1123</f>
        <v>0</v>
      </c>
      <c r="BK1123" s="56">
        <f>G1123*AR1123</f>
        <v>0</v>
      </c>
      <c r="BL1123" s="56">
        <f>G1123*H1123</f>
        <v>0</v>
      </c>
      <c r="BM1123" s="56"/>
      <c r="BN1123" s="56">
        <v>721</v>
      </c>
    </row>
    <row r="1124" spans="1:66" ht="15" customHeight="1">
      <c r="A1124" s="36"/>
      <c r="D1124" s="45" t="s">
        <v>1376</v>
      </c>
      <c r="E1124" s="104" t="s">
        <v>1597</v>
      </c>
      <c r="G1124" s="13">
        <v>14.000000000000002</v>
      </c>
      <c r="N1124" s="19"/>
      <c r="P1124" s="592"/>
      <c r="Q1124" s="592"/>
      <c r="R1124" s="592"/>
      <c r="S1124" s="592"/>
      <c r="T1124" s="592"/>
      <c r="U1124" s="592"/>
      <c r="V1124" s="592"/>
      <c r="W1124" s="592"/>
      <c r="X1124" s="592"/>
    </row>
    <row r="1125" spans="1:66" ht="15" customHeight="1">
      <c r="A1125" s="24" t="s">
        <v>1403</v>
      </c>
      <c r="B1125" s="12" t="s">
        <v>714</v>
      </c>
      <c r="C1125" s="12" t="s">
        <v>2644</v>
      </c>
      <c r="D1125" s="630" t="s">
        <v>2143</v>
      </c>
      <c r="E1125" s="630"/>
      <c r="F1125" s="12" t="s">
        <v>1923</v>
      </c>
      <c r="G1125" s="56">
        <v>38</v>
      </c>
      <c r="H1125" s="625"/>
      <c r="I1125" s="56">
        <f>G1125*AQ1125</f>
        <v>0</v>
      </c>
      <c r="J1125" s="56">
        <f>G1125*AR1125</f>
        <v>0</v>
      </c>
      <c r="K1125" s="56">
        <f>G1125*H1125</f>
        <v>0</v>
      </c>
      <c r="L1125" s="56">
        <v>2.5200000000000001E-3</v>
      </c>
      <c r="M1125" s="56">
        <f>G1125*L1125</f>
        <v>9.5759999999999998E-2</v>
      </c>
      <c r="N1125" s="31" t="s">
        <v>1579</v>
      </c>
      <c r="P1125" s="592"/>
      <c r="Q1125" s="592"/>
      <c r="R1125" s="592"/>
      <c r="S1125" s="592"/>
      <c r="T1125" s="592"/>
      <c r="U1125" s="592"/>
      <c r="V1125" s="592"/>
      <c r="W1125" s="592"/>
      <c r="X1125" s="592"/>
      <c r="AB1125" s="56">
        <f>IF(AS1125="5",BL1125,0)</f>
        <v>0</v>
      </c>
      <c r="AD1125" s="56">
        <f>IF(AS1125="1",BJ1125,0)</f>
        <v>0</v>
      </c>
      <c r="AE1125" s="56">
        <f>IF(AS1125="1",BK1125,0)</f>
        <v>0</v>
      </c>
      <c r="AF1125" s="56">
        <f>IF(AS1125="7",BJ1125,0)</f>
        <v>0</v>
      </c>
      <c r="AG1125" s="56">
        <f>IF(AS1125="7",BK1125,0)</f>
        <v>0</v>
      </c>
      <c r="AH1125" s="56">
        <f>IF(AS1125="2",BJ1125,0)</f>
        <v>0</v>
      </c>
      <c r="AI1125" s="56">
        <f>IF(AS1125="2",BK1125,0)</f>
        <v>0</v>
      </c>
      <c r="AJ1125" s="56">
        <f>IF(AS1125="0",BL1125,0)</f>
        <v>0</v>
      </c>
      <c r="AK1125" s="7" t="s">
        <v>714</v>
      </c>
      <c r="AL1125" s="56">
        <f>IF(AP1125=0,K1125,0)</f>
        <v>0</v>
      </c>
      <c r="AM1125" s="56">
        <f>IF(AP1125=15,K1125,0)</f>
        <v>0</v>
      </c>
      <c r="AN1125" s="56">
        <f>IF(AP1125=21,K1125,0)</f>
        <v>0</v>
      </c>
      <c r="AP1125" s="56">
        <v>21</v>
      </c>
      <c r="AQ1125" s="88">
        <f>H1125*0.578032945736434</f>
        <v>0</v>
      </c>
      <c r="AR1125" s="88">
        <f>H1125*(1-0.578032945736434)</f>
        <v>0</v>
      </c>
      <c r="AS1125" s="21" t="s">
        <v>2311</v>
      </c>
      <c r="AX1125" s="56">
        <f>AY1125+AZ1125</f>
        <v>0</v>
      </c>
      <c r="AY1125" s="56">
        <f>G1125*AQ1125</f>
        <v>0</v>
      </c>
      <c r="AZ1125" s="56">
        <f>G1125*AR1125</f>
        <v>0</v>
      </c>
      <c r="BA1125" s="21" t="s">
        <v>351</v>
      </c>
      <c r="BB1125" s="21" t="s">
        <v>1155</v>
      </c>
      <c r="BC1125" s="7" t="s">
        <v>976</v>
      </c>
      <c r="BE1125" s="56">
        <f>AY1125+AZ1125</f>
        <v>0</v>
      </c>
      <c r="BF1125" s="56">
        <f>H1125/(100-BG1125)*100</f>
        <v>0</v>
      </c>
      <c r="BG1125" s="56">
        <v>0</v>
      </c>
      <c r="BH1125" s="56">
        <f>M1125</f>
        <v>9.5759999999999998E-2</v>
      </c>
      <c r="BJ1125" s="56">
        <f>G1125*AQ1125</f>
        <v>0</v>
      </c>
      <c r="BK1125" s="56">
        <f>G1125*AR1125</f>
        <v>0</v>
      </c>
      <c r="BL1125" s="56">
        <f>G1125*H1125</f>
        <v>0</v>
      </c>
      <c r="BM1125" s="56"/>
      <c r="BN1125" s="56">
        <v>721</v>
      </c>
    </row>
    <row r="1126" spans="1:66" ht="15" customHeight="1">
      <c r="A1126" s="36"/>
      <c r="D1126" s="45" t="s">
        <v>1400</v>
      </c>
      <c r="E1126" s="104" t="s">
        <v>1597</v>
      </c>
      <c r="G1126" s="13">
        <v>38</v>
      </c>
      <c r="N1126" s="19"/>
      <c r="P1126" s="592"/>
      <c r="Q1126" s="592"/>
      <c r="R1126" s="592"/>
      <c r="S1126" s="592"/>
      <c r="T1126" s="592"/>
      <c r="U1126" s="592"/>
      <c r="V1126" s="592"/>
      <c r="W1126" s="592"/>
      <c r="X1126" s="592"/>
    </row>
    <row r="1127" spans="1:66" ht="15" customHeight="1">
      <c r="A1127" s="24" t="s">
        <v>483</v>
      </c>
      <c r="B1127" s="12" t="s">
        <v>714</v>
      </c>
      <c r="C1127" s="12" t="s">
        <v>1618</v>
      </c>
      <c r="D1127" s="630" t="s">
        <v>2507</v>
      </c>
      <c r="E1127" s="630"/>
      <c r="F1127" s="12" t="s">
        <v>1923</v>
      </c>
      <c r="G1127" s="56">
        <v>4</v>
      </c>
      <c r="H1127" s="625"/>
      <c r="I1127" s="56">
        <f>G1127*AQ1127</f>
        <v>0</v>
      </c>
      <c r="J1127" s="56">
        <f>G1127*AR1127</f>
        <v>0</v>
      </c>
      <c r="K1127" s="56">
        <f>G1127*H1127</f>
        <v>0</v>
      </c>
      <c r="L1127" s="56">
        <v>3.5699999999999998E-3</v>
      </c>
      <c r="M1127" s="56">
        <f>G1127*L1127</f>
        <v>1.4279999999999999E-2</v>
      </c>
      <c r="N1127" s="31" t="s">
        <v>1579</v>
      </c>
      <c r="P1127" s="592"/>
      <c r="Q1127" s="592"/>
      <c r="R1127" s="592"/>
      <c r="S1127" s="592"/>
      <c r="T1127" s="592"/>
      <c r="U1127" s="592"/>
      <c r="V1127" s="592"/>
      <c r="W1127" s="592"/>
      <c r="X1127" s="592"/>
      <c r="AB1127" s="56">
        <f>IF(AS1127="5",BL1127,0)</f>
        <v>0</v>
      </c>
      <c r="AD1127" s="56">
        <f>IF(AS1127="1",BJ1127,0)</f>
        <v>0</v>
      </c>
      <c r="AE1127" s="56">
        <f>IF(AS1127="1",BK1127,0)</f>
        <v>0</v>
      </c>
      <c r="AF1127" s="56">
        <f>IF(AS1127="7",BJ1127,0)</f>
        <v>0</v>
      </c>
      <c r="AG1127" s="56">
        <f>IF(AS1127="7",BK1127,0)</f>
        <v>0</v>
      </c>
      <c r="AH1127" s="56">
        <f>IF(AS1127="2",BJ1127,0)</f>
        <v>0</v>
      </c>
      <c r="AI1127" s="56">
        <f>IF(AS1127="2",BK1127,0)</f>
        <v>0</v>
      </c>
      <c r="AJ1127" s="56">
        <f>IF(AS1127="0",BL1127,0)</f>
        <v>0</v>
      </c>
      <c r="AK1127" s="7" t="s">
        <v>714</v>
      </c>
      <c r="AL1127" s="56">
        <f>IF(AP1127=0,K1127,0)</f>
        <v>0</v>
      </c>
      <c r="AM1127" s="56">
        <f>IF(AP1127=15,K1127,0)</f>
        <v>0</v>
      </c>
      <c r="AN1127" s="56">
        <f>IF(AP1127=21,K1127,0)</f>
        <v>0</v>
      </c>
      <c r="AP1127" s="56">
        <v>21</v>
      </c>
      <c r="AQ1127" s="88">
        <f>H1127*0.715672215838406</f>
        <v>0</v>
      </c>
      <c r="AR1127" s="88">
        <f>H1127*(1-0.715672215838406)</f>
        <v>0</v>
      </c>
      <c r="AS1127" s="21" t="s">
        <v>2311</v>
      </c>
      <c r="AX1127" s="56">
        <f>AY1127+AZ1127</f>
        <v>0</v>
      </c>
      <c r="AY1127" s="56">
        <f>G1127*AQ1127</f>
        <v>0</v>
      </c>
      <c r="AZ1127" s="56">
        <f>G1127*AR1127</f>
        <v>0</v>
      </c>
      <c r="BA1127" s="21" t="s">
        <v>351</v>
      </c>
      <c r="BB1127" s="21" t="s">
        <v>1155</v>
      </c>
      <c r="BC1127" s="7" t="s">
        <v>976</v>
      </c>
      <c r="BE1127" s="56">
        <f>AY1127+AZ1127</f>
        <v>0</v>
      </c>
      <c r="BF1127" s="56">
        <f>H1127/(100-BG1127)*100</f>
        <v>0</v>
      </c>
      <c r="BG1127" s="56">
        <v>0</v>
      </c>
      <c r="BH1127" s="56">
        <f>M1127</f>
        <v>1.4279999999999999E-2</v>
      </c>
      <c r="BJ1127" s="56">
        <f>G1127*AQ1127</f>
        <v>0</v>
      </c>
      <c r="BK1127" s="56">
        <f>G1127*AR1127</f>
        <v>0</v>
      </c>
      <c r="BL1127" s="56">
        <f>G1127*H1127</f>
        <v>0</v>
      </c>
      <c r="BM1127" s="56"/>
      <c r="BN1127" s="56">
        <v>721</v>
      </c>
    </row>
    <row r="1128" spans="1:66" ht="15" customHeight="1">
      <c r="A1128" s="36"/>
      <c r="D1128" s="45" t="s">
        <v>258</v>
      </c>
      <c r="E1128" s="104" t="s">
        <v>1597</v>
      </c>
      <c r="G1128" s="13">
        <v>4</v>
      </c>
      <c r="N1128" s="19"/>
      <c r="P1128" s="592"/>
      <c r="Q1128" s="592"/>
      <c r="R1128" s="592"/>
      <c r="S1128" s="592"/>
      <c r="T1128" s="592"/>
      <c r="U1128" s="592"/>
      <c r="V1128" s="592"/>
      <c r="W1128" s="592"/>
      <c r="X1128" s="592"/>
    </row>
    <row r="1129" spans="1:66" ht="15" customHeight="1">
      <c r="A1129" s="24" t="s">
        <v>2607</v>
      </c>
      <c r="B1129" s="12" t="s">
        <v>714</v>
      </c>
      <c r="C1129" s="12" t="s">
        <v>223</v>
      </c>
      <c r="D1129" s="630" t="s">
        <v>1419</v>
      </c>
      <c r="E1129" s="630"/>
      <c r="F1129" s="12" t="s">
        <v>1923</v>
      </c>
      <c r="G1129" s="56">
        <v>30</v>
      </c>
      <c r="H1129" s="625"/>
      <c r="I1129" s="56">
        <f>G1129*AQ1129</f>
        <v>0</v>
      </c>
      <c r="J1129" s="56">
        <f>G1129*AR1129</f>
        <v>0</v>
      </c>
      <c r="K1129" s="56">
        <f>G1129*H1129</f>
        <v>0</v>
      </c>
      <c r="L1129" s="56">
        <v>7.7999999999999999E-4</v>
      </c>
      <c r="M1129" s="56">
        <f>G1129*L1129</f>
        <v>2.3400000000000001E-2</v>
      </c>
      <c r="N1129" s="31" t="s">
        <v>1579</v>
      </c>
      <c r="P1129" s="592"/>
      <c r="Q1129" s="592"/>
      <c r="R1129" s="592"/>
      <c r="S1129" s="592"/>
      <c r="T1129" s="592"/>
      <c r="U1129" s="592"/>
      <c r="V1129" s="592"/>
      <c r="W1129" s="592"/>
      <c r="X1129" s="592"/>
      <c r="AB1129" s="56">
        <f>IF(AS1129="5",BL1129,0)</f>
        <v>0</v>
      </c>
      <c r="AD1129" s="56">
        <f>IF(AS1129="1",BJ1129,0)</f>
        <v>0</v>
      </c>
      <c r="AE1129" s="56">
        <f>IF(AS1129="1",BK1129,0)</f>
        <v>0</v>
      </c>
      <c r="AF1129" s="56">
        <f>IF(AS1129="7",BJ1129,0)</f>
        <v>0</v>
      </c>
      <c r="AG1129" s="56">
        <f>IF(AS1129="7",BK1129,0)</f>
        <v>0</v>
      </c>
      <c r="AH1129" s="56">
        <f>IF(AS1129="2",BJ1129,0)</f>
        <v>0</v>
      </c>
      <c r="AI1129" s="56">
        <f>IF(AS1129="2",BK1129,0)</f>
        <v>0</v>
      </c>
      <c r="AJ1129" s="56">
        <f>IF(AS1129="0",BL1129,0)</f>
        <v>0</v>
      </c>
      <c r="AK1129" s="7" t="s">
        <v>714</v>
      </c>
      <c r="AL1129" s="56">
        <f>IF(AP1129=0,K1129,0)</f>
        <v>0</v>
      </c>
      <c r="AM1129" s="56">
        <f>IF(AP1129=15,K1129,0)</f>
        <v>0</v>
      </c>
      <c r="AN1129" s="56">
        <f>IF(AP1129=21,K1129,0)</f>
        <v>0</v>
      </c>
      <c r="AP1129" s="56">
        <v>21</v>
      </c>
      <c r="AQ1129" s="88">
        <f>H1129*0.396720867208672</f>
        <v>0</v>
      </c>
      <c r="AR1129" s="88">
        <f>H1129*(1-0.396720867208672)</f>
        <v>0</v>
      </c>
      <c r="AS1129" s="21" t="s">
        <v>2311</v>
      </c>
      <c r="AX1129" s="56">
        <f>AY1129+AZ1129</f>
        <v>0</v>
      </c>
      <c r="AY1129" s="56">
        <f>G1129*AQ1129</f>
        <v>0</v>
      </c>
      <c r="AZ1129" s="56">
        <f>G1129*AR1129</f>
        <v>0</v>
      </c>
      <c r="BA1129" s="21" t="s">
        <v>351</v>
      </c>
      <c r="BB1129" s="21" t="s">
        <v>1155</v>
      </c>
      <c r="BC1129" s="7" t="s">
        <v>976</v>
      </c>
      <c r="BE1129" s="56">
        <f>AY1129+AZ1129</f>
        <v>0</v>
      </c>
      <c r="BF1129" s="56">
        <f>H1129/(100-BG1129)*100</f>
        <v>0</v>
      </c>
      <c r="BG1129" s="56">
        <v>0</v>
      </c>
      <c r="BH1129" s="56">
        <f>M1129</f>
        <v>2.3400000000000001E-2</v>
      </c>
      <c r="BJ1129" s="56">
        <f>G1129*AQ1129</f>
        <v>0</v>
      </c>
      <c r="BK1129" s="56">
        <f>G1129*AR1129</f>
        <v>0</v>
      </c>
      <c r="BL1129" s="56">
        <f>G1129*H1129</f>
        <v>0</v>
      </c>
      <c r="BM1129" s="56"/>
      <c r="BN1129" s="56">
        <v>721</v>
      </c>
    </row>
    <row r="1130" spans="1:66" ht="15" customHeight="1">
      <c r="A1130" s="36"/>
      <c r="D1130" s="45" t="s">
        <v>1485</v>
      </c>
      <c r="E1130" s="104" t="s">
        <v>1597</v>
      </c>
      <c r="G1130" s="13">
        <v>30.000000000000004</v>
      </c>
      <c r="N1130" s="19"/>
      <c r="P1130" s="592"/>
      <c r="Q1130" s="592"/>
      <c r="R1130" s="592"/>
      <c r="S1130" s="592"/>
      <c r="T1130" s="592"/>
      <c r="U1130" s="592"/>
      <c r="V1130" s="592"/>
      <c r="W1130" s="592"/>
      <c r="X1130" s="592"/>
    </row>
    <row r="1131" spans="1:66" ht="15" customHeight="1">
      <c r="A1131" s="24" t="s">
        <v>1504</v>
      </c>
      <c r="B1131" s="12" t="s">
        <v>714</v>
      </c>
      <c r="C1131" s="12" t="s">
        <v>760</v>
      </c>
      <c r="D1131" s="630" t="s">
        <v>135</v>
      </c>
      <c r="E1131" s="630"/>
      <c r="F1131" s="12" t="s">
        <v>1923</v>
      </c>
      <c r="G1131" s="56">
        <v>19</v>
      </c>
      <c r="H1131" s="625"/>
      <c r="I1131" s="56">
        <f>G1131*AQ1131</f>
        <v>0</v>
      </c>
      <c r="J1131" s="56">
        <f>G1131*AR1131</f>
        <v>0</v>
      </c>
      <c r="K1131" s="56">
        <f>G1131*H1131</f>
        <v>0</v>
      </c>
      <c r="L1131" s="56">
        <v>1.31E-3</v>
      </c>
      <c r="M1131" s="56">
        <f>G1131*L1131</f>
        <v>2.4889999999999999E-2</v>
      </c>
      <c r="N1131" s="31" t="s">
        <v>1579</v>
      </c>
      <c r="P1131" s="592"/>
      <c r="Q1131" s="592"/>
      <c r="R1131" s="592"/>
      <c r="S1131" s="592"/>
      <c r="T1131" s="592"/>
      <c r="U1131" s="592"/>
      <c r="V1131" s="592"/>
      <c r="W1131" s="592"/>
      <c r="X1131" s="592"/>
      <c r="AB1131" s="56">
        <f>IF(AS1131="5",BL1131,0)</f>
        <v>0</v>
      </c>
      <c r="AD1131" s="56">
        <f>IF(AS1131="1",BJ1131,0)</f>
        <v>0</v>
      </c>
      <c r="AE1131" s="56">
        <f>IF(AS1131="1",BK1131,0)</f>
        <v>0</v>
      </c>
      <c r="AF1131" s="56">
        <f>IF(AS1131="7",BJ1131,0)</f>
        <v>0</v>
      </c>
      <c r="AG1131" s="56">
        <f>IF(AS1131="7",BK1131,0)</f>
        <v>0</v>
      </c>
      <c r="AH1131" s="56">
        <f>IF(AS1131="2",BJ1131,0)</f>
        <v>0</v>
      </c>
      <c r="AI1131" s="56">
        <f>IF(AS1131="2",BK1131,0)</f>
        <v>0</v>
      </c>
      <c r="AJ1131" s="56">
        <f>IF(AS1131="0",BL1131,0)</f>
        <v>0</v>
      </c>
      <c r="AK1131" s="7" t="s">
        <v>714</v>
      </c>
      <c r="AL1131" s="56">
        <f>IF(AP1131=0,K1131,0)</f>
        <v>0</v>
      </c>
      <c r="AM1131" s="56">
        <f>IF(AP1131=15,K1131,0)</f>
        <v>0</v>
      </c>
      <c r="AN1131" s="56">
        <f>IF(AP1131=21,K1131,0)</f>
        <v>0</v>
      </c>
      <c r="AP1131" s="56">
        <v>21</v>
      </c>
      <c r="AQ1131" s="88">
        <f>H1131*0.486055918672376</f>
        <v>0</v>
      </c>
      <c r="AR1131" s="88">
        <f>H1131*(1-0.486055918672376)</f>
        <v>0</v>
      </c>
      <c r="AS1131" s="21" t="s">
        <v>2311</v>
      </c>
      <c r="AX1131" s="56">
        <f>AY1131+AZ1131</f>
        <v>0</v>
      </c>
      <c r="AY1131" s="56">
        <f>G1131*AQ1131</f>
        <v>0</v>
      </c>
      <c r="AZ1131" s="56">
        <f>G1131*AR1131</f>
        <v>0</v>
      </c>
      <c r="BA1131" s="21" t="s">
        <v>351</v>
      </c>
      <c r="BB1131" s="21" t="s">
        <v>1155</v>
      </c>
      <c r="BC1131" s="7" t="s">
        <v>976</v>
      </c>
      <c r="BE1131" s="56">
        <f>AY1131+AZ1131</f>
        <v>0</v>
      </c>
      <c r="BF1131" s="56">
        <f>H1131/(100-BG1131)*100</f>
        <v>0</v>
      </c>
      <c r="BG1131" s="56">
        <v>0</v>
      </c>
      <c r="BH1131" s="56">
        <f>M1131</f>
        <v>2.4889999999999999E-2</v>
      </c>
      <c r="BJ1131" s="56">
        <f>G1131*AQ1131</f>
        <v>0</v>
      </c>
      <c r="BK1131" s="56">
        <f>G1131*AR1131</f>
        <v>0</v>
      </c>
      <c r="BL1131" s="56">
        <f>G1131*H1131</f>
        <v>0</v>
      </c>
      <c r="BM1131" s="56"/>
      <c r="BN1131" s="56">
        <v>721</v>
      </c>
    </row>
    <row r="1132" spans="1:66" ht="15" customHeight="1">
      <c r="A1132" s="36"/>
      <c r="D1132" s="45" t="s">
        <v>1466</v>
      </c>
      <c r="E1132" s="104" t="s">
        <v>1597</v>
      </c>
      <c r="G1132" s="13">
        <v>19</v>
      </c>
      <c r="N1132" s="19"/>
      <c r="P1132" s="592"/>
      <c r="Q1132" s="592"/>
      <c r="R1132" s="592"/>
      <c r="S1132" s="592"/>
      <c r="T1132" s="592"/>
      <c r="U1132" s="592"/>
      <c r="V1132" s="592"/>
      <c r="W1132" s="592"/>
      <c r="X1132" s="592"/>
    </row>
    <row r="1133" spans="1:66" ht="15" customHeight="1">
      <c r="A1133" s="24" t="s">
        <v>1868</v>
      </c>
      <c r="B1133" s="12" t="s">
        <v>714</v>
      </c>
      <c r="C1133" s="12" t="s">
        <v>310</v>
      </c>
      <c r="D1133" s="630" t="s">
        <v>1516</v>
      </c>
      <c r="E1133" s="630"/>
      <c r="F1133" s="12" t="s">
        <v>1923</v>
      </c>
      <c r="G1133" s="56">
        <v>32</v>
      </c>
      <c r="H1133" s="625"/>
      <c r="I1133" s="56">
        <f>G1133*AQ1133</f>
        <v>0</v>
      </c>
      <c r="J1133" s="56">
        <f>G1133*AR1133</f>
        <v>0</v>
      </c>
      <c r="K1133" s="56">
        <f>G1133*H1133</f>
        <v>0</v>
      </c>
      <c r="L1133" s="56">
        <v>3.8000000000000002E-4</v>
      </c>
      <c r="M1133" s="56">
        <f>G1133*L1133</f>
        <v>1.2160000000000001E-2</v>
      </c>
      <c r="N1133" s="31" t="s">
        <v>1579</v>
      </c>
      <c r="P1133" s="592"/>
      <c r="Q1133" s="592"/>
      <c r="R1133" s="592"/>
      <c r="S1133" s="592"/>
      <c r="T1133" s="592"/>
      <c r="U1133" s="592"/>
      <c r="V1133" s="592"/>
      <c r="W1133" s="592"/>
      <c r="X1133" s="592"/>
      <c r="AB1133" s="56">
        <f>IF(AS1133="5",BL1133,0)</f>
        <v>0</v>
      </c>
      <c r="AD1133" s="56">
        <f>IF(AS1133="1",BJ1133,0)</f>
        <v>0</v>
      </c>
      <c r="AE1133" s="56">
        <f>IF(AS1133="1",BK1133,0)</f>
        <v>0</v>
      </c>
      <c r="AF1133" s="56">
        <f>IF(AS1133="7",BJ1133,0)</f>
        <v>0</v>
      </c>
      <c r="AG1133" s="56">
        <f>IF(AS1133="7",BK1133,0)</f>
        <v>0</v>
      </c>
      <c r="AH1133" s="56">
        <f>IF(AS1133="2",BJ1133,0)</f>
        <v>0</v>
      </c>
      <c r="AI1133" s="56">
        <f>IF(AS1133="2",BK1133,0)</f>
        <v>0</v>
      </c>
      <c r="AJ1133" s="56">
        <f>IF(AS1133="0",BL1133,0)</f>
        <v>0</v>
      </c>
      <c r="AK1133" s="7" t="s">
        <v>714</v>
      </c>
      <c r="AL1133" s="56">
        <f>IF(AP1133=0,K1133,0)</f>
        <v>0</v>
      </c>
      <c r="AM1133" s="56">
        <f>IF(AP1133=15,K1133,0)</f>
        <v>0</v>
      </c>
      <c r="AN1133" s="56">
        <f>IF(AP1133=21,K1133,0)</f>
        <v>0</v>
      </c>
      <c r="AP1133" s="56">
        <v>21</v>
      </c>
      <c r="AQ1133" s="88">
        <f>H1133*0.39933105754974</f>
        <v>0</v>
      </c>
      <c r="AR1133" s="88">
        <f>H1133*(1-0.39933105754974)</f>
        <v>0</v>
      </c>
      <c r="AS1133" s="21" t="s">
        <v>2311</v>
      </c>
      <c r="AX1133" s="56">
        <f>AY1133+AZ1133</f>
        <v>0</v>
      </c>
      <c r="AY1133" s="56">
        <f>G1133*AQ1133</f>
        <v>0</v>
      </c>
      <c r="AZ1133" s="56">
        <f>G1133*AR1133</f>
        <v>0</v>
      </c>
      <c r="BA1133" s="21" t="s">
        <v>351</v>
      </c>
      <c r="BB1133" s="21" t="s">
        <v>1155</v>
      </c>
      <c r="BC1133" s="7" t="s">
        <v>976</v>
      </c>
      <c r="BE1133" s="56">
        <f>AY1133+AZ1133</f>
        <v>0</v>
      </c>
      <c r="BF1133" s="56">
        <f>H1133/(100-BG1133)*100</f>
        <v>0</v>
      </c>
      <c r="BG1133" s="56">
        <v>0</v>
      </c>
      <c r="BH1133" s="56">
        <f>M1133</f>
        <v>1.2160000000000001E-2</v>
      </c>
      <c r="BJ1133" s="56">
        <f>G1133*AQ1133</f>
        <v>0</v>
      </c>
      <c r="BK1133" s="56">
        <f>G1133*AR1133</f>
        <v>0</v>
      </c>
      <c r="BL1133" s="56">
        <f>G1133*H1133</f>
        <v>0</v>
      </c>
      <c r="BM1133" s="56"/>
      <c r="BN1133" s="56">
        <v>721</v>
      </c>
    </row>
    <row r="1134" spans="1:66" ht="15" customHeight="1">
      <c r="A1134" s="36"/>
      <c r="D1134" s="45" t="s">
        <v>1954</v>
      </c>
      <c r="E1134" s="104" t="s">
        <v>1597</v>
      </c>
      <c r="G1134" s="13">
        <v>32</v>
      </c>
      <c r="N1134" s="19"/>
      <c r="P1134" s="592"/>
      <c r="Q1134" s="592"/>
      <c r="R1134" s="592"/>
      <c r="S1134" s="592"/>
      <c r="T1134" s="592"/>
      <c r="U1134" s="592"/>
      <c r="V1134" s="592"/>
      <c r="W1134" s="592"/>
      <c r="X1134" s="592"/>
    </row>
    <row r="1135" spans="1:66" ht="15" customHeight="1">
      <c r="A1135" s="24" t="s">
        <v>801</v>
      </c>
      <c r="B1135" s="12" t="s">
        <v>714</v>
      </c>
      <c r="C1135" s="12" t="s">
        <v>944</v>
      </c>
      <c r="D1135" s="630" t="s">
        <v>1879</v>
      </c>
      <c r="E1135" s="630"/>
      <c r="F1135" s="12" t="s">
        <v>1923</v>
      </c>
      <c r="G1135" s="56">
        <v>39</v>
      </c>
      <c r="H1135" s="625"/>
      <c r="I1135" s="56">
        <f>G1135*AQ1135</f>
        <v>0</v>
      </c>
      <c r="J1135" s="56">
        <f>G1135*AR1135</f>
        <v>0</v>
      </c>
      <c r="K1135" s="56">
        <f>G1135*H1135</f>
        <v>0</v>
      </c>
      <c r="L1135" s="56">
        <v>4.6999999999999999E-4</v>
      </c>
      <c r="M1135" s="56">
        <f>G1135*L1135</f>
        <v>1.8329999999999999E-2</v>
      </c>
      <c r="N1135" s="31" t="s">
        <v>1579</v>
      </c>
      <c r="P1135" s="592"/>
      <c r="Q1135" s="592"/>
      <c r="R1135" s="592"/>
      <c r="S1135" s="592"/>
      <c r="T1135" s="592"/>
      <c r="U1135" s="592"/>
      <c r="V1135" s="592"/>
      <c r="W1135" s="592"/>
      <c r="X1135" s="592"/>
      <c r="AB1135" s="56">
        <f>IF(AS1135="5",BL1135,0)</f>
        <v>0</v>
      </c>
      <c r="AD1135" s="56">
        <f>IF(AS1135="1",BJ1135,0)</f>
        <v>0</v>
      </c>
      <c r="AE1135" s="56">
        <f>IF(AS1135="1",BK1135,0)</f>
        <v>0</v>
      </c>
      <c r="AF1135" s="56">
        <f>IF(AS1135="7",BJ1135,0)</f>
        <v>0</v>
      </c>
      <c r="AG1135" s="56">
        <f>IF(AS1135="7",BK1135,0)</f>
        <v>0</v>
      </c>
      <c r="AH1135" s="56">
        <f>IF(AS1135="2",BJ1135,0)</f>
        <v>0</v>
      </c>
      <c r="AI1135" s="56">
        <f>IF(AS1135="2",BK1135,0)</f>
        <v>0</v>
      </c>
      <c r="AJ1135" s="56">
        <f>IF(AS1135="0",BL1135,0)</f>
        <v>0</v>
      </c>
      <c r="AK1135" s="7" t="s">
        <v>714</v>
      </c>
      <c r="AL1135" s="56">
        <f>IF(AP1135=0,K1135,0)</f>
        <v>0</v>
      </c>
      <c r="AM1135" s="56">
        <f>IF(AP1135=15,K1135,0)</f>
        <v>0</v>
      </c>
      <c r="AN1135" s="56">
        <f>IF(AP1135=21,K1135,0)</f>
        <v>0</v>
      </c>
      <c r="AP1135" s="56">
        <v>21</v>
      </c>
      <c r="AQ1135" s="88">
        <f>H1135*0.398750730791717</f>
        <v>0</v>
      </c>
      <c r="AR1135" s="88">
        <f>H1135*(1-0.398750730791717)</f>
        <v>0</v>
      </c>
      <c r="AS1135" s="21" t="s">
        <v>2311</v>
      </c>
      <c r="AX1135" s="56">
        <f>AY1135+AZ1135</f>
        <v>0</v>
      </c>
      <c r="AY1135" s="56">
        <f>G1135*AQ1135</f>
        <v>0</v>
      </c>
      <c r="AZ1135" s="56">
        <f>G1135*AR1135</f>
        <v>0</v>
      </c>
      <c r="BA1135" s="21" t="s">
        <v>351</v>
      </c>
      <c r="BB1135" s="21" t="s">
        <v>1155</v>
      </c>
      <c r="BC1135" s="7" t="s">
        <v>976</v>
      </c>
      <c r="BE1135" s="56">
        <f>AY1135+AZ1135</f>
        <v>0</v>
      </c>
      <c r="BF1135" s="56">
        <f>H1135/(100-BG1135)*100</f>
        <v>0</v>
      </c>
      <c r="BG1135" s="56">
        <v>0</v>
      </c>
      <c r="BH1135" s="56">
        <f>M1135</f>
        <v>1.8329999999999999E-2</v>
      </c>
      <c r="BJ1135" s="56">
        <f>G1135*AQ1135</f>
        <v>0</v>
      </c>
      <c r="BK1135" s="56">
        <f>G1135*AR1135</f>
        <v>0</v>
      </c>
      <c r="BL1135" s="56">
        <f>G1135*H1135</f>
        <v>0</v>
      </c>
      <c r="BM1135" s="56"/>
      <c r="BN1135" s="56">
        <v>721</v>
      </c>
    </row>
    <row r="1136" spans="1:66" ht="15" customHeight="1">
      <c r="A1136" s="36"/>
      <c r="D1136" s="45" t="s">
        <v>1483</v>
      </c>
      <c r="E1136" s="104" t="s">
        <v>1597</v>
      </c>
      <c r="G1136" s="13">
        <v>39</v>
      </c>
      <c r="N1136" s="19"/>
      <c r="P1136" s="592"/>
      <c r="Q1136" s="592"/>
      <c r="R1136" s="592"/>
      <c r="S1136" s="592"/>
      <c r="T1136" s="592"/>
      <c r="U1136" s="592"/>
      <c r="V1136" s="592"/>
      <c r="W1136" s="592"/>
      <c r="X1136" s="592"/>
    </row>
    <row r="1137" spans="1:66" ht="15" customHeight="1">
      <c r="A1137" s="24" t="s">
        <v>796</v>
      </c>
      <c r="B1137" s="12" t="s">
        <v>714</v>
      </c>
      <c r="C1137" s="12" t="s">
        <v>1012</v>
      </c>
      <c r="D1137" s="630" t="s">
        <v>2331</v>
      </c>
      <c r="E1137" s="630"/>
      <c r="F1137" s="12" t="s">
        <v>1923</v>
      </c>
      <c r="G1137" s="56">
        <v>30</v>
      </c>
      <c r="H1137" s="625"/>
      <c r="I1137" s="56">
        <f>G1137*AQ1137</f>
        <v>0</v>
      </c>
      <c r="J1137" s="56">
        <f>G1137*AR1137</f>
        <v>0</v>
      </c>
      <c r="K1137" s="56">
        <f>G1137*H1137</f>
        <v>0</v>
      </c>
      <c r="L1137" s="56">
        <v>1.5200000000000001E-3</v>
      </c>
      <c r="M1137" s="56">
        <f>G1137*L1137</f>
        <v>4.5600000000000002E-2</v>
      </c>
      <c r="N1137" s="31" t="s">
        <v>1579</v>
      </c>
      <c r="P1137" s="592"/>
      <c r="Q1137" s="592"/>
      <c r="R1137" s="592"/>
      <c r="S1137" s="592"/>
      <c r="T1137" s="592"/>
      <c r="U1137" s="592"/>
      <c r="V1137" s="592"/>
      <c r="W1137" s="592"/>
      <c r="X1137" s="592"/>
      <c r="AB1137" s="56">
        <f>IF(AS1137="5",BL1137,0)</f>
        <v>0</v>
      </c>
      <c r="AD1137" s="56">
        <f>IF(AS1137="1",BJ1137,0)</f>
        <v>0</v>
      </c>
      <c r="AE1137" s="56">
        <f>IF(AS1137="1",BK1137,0)</f>
        <v>0</v>
      </c>
      <c r="AF1137" s="56">
        <f>IF(AS1137="7",BJ1137,0)</f>
        <v>0</v>
      </c>
      <c r="AG1137" s="56">
        <f>IF(AS1137="7",BK1137,0)</f>
        <v>0</v>
      </c>
      <c r="AH1137" s="56">
        <f>IF(AS1137="2",BJ1137,0)</f>
        <v>0</v>
      </c>
      <c r="AI1137" s="56">
        <f>IF(AS1137="2",BK1137,0)</f>
        <v>0</v>
      </c>
      <c r="AJ1137" s="56">
        <f>IF(AS1137="0",BL1137,0)</f>
        <v>0</v>
      </c>
      <c r="AK1137" s="7" t="s">
        <v>714</v>
      </c>
      <c r="AL1137" s="56">
        <f>IF(AP1137=0,K1137,0)</f>
        <v>0</v>
      </c>
      <c r="AM1137" s="56">
        <f>IF(AP1137=15,K1137,0)</f>
        <v>0</v>
      </c>
      <c r="AN1137" s="56">
        <f>IF(AP1137=21,K1137,0)</f>
        <v>0</v>
      </c>
      <c r="AP1137" s="56">
        <v>21</v>
      </c>
      <c r="AQ1137" s="88">
        <f>H1137*0.380087378640777</f>
        <v>0</v>
      </c>
      <c r="AR1137" s="88">
        <f>H1137*(1-0.380087378640777)</f>
        <v>0</v>
      </c>
      <c r="AS1137" s="21" t="s">
        <v>2311</v>
      </c>
      <c r="AX1137" s="56">
        <f>AY1137+AZ1137</f>
        <v>0</v>
      </c>
      <c r="AY1137" s="56">
        <f>G1137*AQ1137</f>
        <v>0</v>
      </c>
      <c r="AZ1137" s="56">
        <f>G1137*AR1137</f>
        <v>0</v>
      </c>
      <c r="BA1137" s="21" t="s">
        <v>351</v>
      </c>
      <c r="BB1137" s="21" t="s">
        <v>1155</v>
      </c>
      <c r="BC1137" s="7" t="s">
        <v>976</v>
      </c>
      <c r="BE1137" s="56">
        <f>AY1137+AZ1137</f>
        <v>0</v>
      </c>
      <c r="BF1137" s="56">
        <f>H1137/(100-BG1137)*100</f>
        <v>0</v>
      </c>
      <c r="BG1137" s="56">
        <v>0</v>
      </c>
      <c r="BH1137" s="56">
        <f>M1137</f>
        <v>4.5600000000000002E-2</v>
      </c>
      <c r="BJ1137" s="56">
        <f>G1137*AQ1137</f>
        <v>0</v>
      </c>
      <c r="BK1137" s="56">
        <f>G1137*AR1137</f>
        <v>0</v>
      </c>
      <c r="BL1137" s="56">
        <f>G1137*H1137</f>
        <v>0</v>
      </c>
      <c r="BM1137" s="56"/>
      <c r="BN1137" s="56">
        <v>721</v>
      </c>
    </row>
    <row r="1138" spans="1:66" ht="15" customHeight="1">
      <c r="A1138" s="36"/>
      <c r="D1138" s="45" t="s">
        <v>1485</v>
      </c>
      <c r="E1138" s="104" t="s">
        <v>1597</v>
      </c>
      <c r="G1138" s="13">
        <v>30.000000000000004</v>
      </c>
      <c r="N1138" s="19"/>
      <c r="P1138" s="592"/>
      <c r="Q1138" s="592"/>
      <c r="R1138" s="592"/>
      <c r="S1138" s="592"/>
      <c r="T1138" s="592"/>
      <c r="U1138" s="592"/>
      <c r="V1138" s="592"/>
      <c r="W1138" s="592"/>
      <c r="X1138" s="592"/>
    </row>
    <row r="1139" spans="1:66" ht="15" customHeight="1">
      <c r="A1139" s="24" t="s">
        <v>236</v>
      </c>
      <c r="B1139" s="12" t="s">
        <v>714</v>
      </c>
      <c r="C1139" s="12" t="s">
        <v>971</v>
      </c>
      <c r="D1139" s="630" t="s">
        <v>2523</v>
      </c>
      <c r="E1139" s="630"/>
      <c r="F1139" s="12" t="s">
        <v>564</v>
      </c>
      <c r="G1139" s="56">
        <v>10</v>
      </c>
      <c r="H1139" s="625"/>
      <c r="I1139" s="56">
        <f>G1139*AQ1139</f>
        <v>0</v>
      </c>
      <c r="J1139" s="56">
        <f>G1139*AR1139</f>
        <v>0</v>
      </c>
      <c r="K1139" s="56">
        <f>G1139*H1139</f>
        <v>0</v>
      </c>
      <c r="L1139" s="56">
        <v>0</v>
      </c>
      <c r="M1139" s="56">
        <f>G1139*L1139</f>
        <v>0</v>
      </c>
      <c r="N1139" s="31" t="s">
        <v>1579</v>
      </c>
      <c r="P1139" s="592"/>
      <c r="Q1139" s="592"/>
      <c r="R1139" s="592"/>
      <c r="S1139" s="592"/>
      <c r="T1139" s="592"/>
      <c r="U1139" s="592"/>
      <c r="V1139" s="592"/>
      <c r="W1139" s="592"/>
      <c r="X1139" s="592"/>
      <c r="AB1139" s="56">
        <f>IF(AS1139="5",BL1139,0)</f>
        <v>0</v>
      </c>
      <c r="AD1139" s="56">
        <f>IF(AS1139="1",BJ1139,0)</f>
        <v>0</v>
      </c>
      <c r="AE1139" s="56">
        <f>IF(AS1139="1",BK1139,0)</f>
        <v>0</v>
      </c>
      <c r="AF1139" s="56">
        <f>IF(AS1139="7",BJ1139,0)</f>
        <v>0</v>
      </c>
      <c r="AG1139" s="56">
        <f>IF(AS1139="7",BK1139,0)</f>
        <v>0</v>
      </c>
      <c r="AH1139" s="56">
        <f>IF(AS1139="2",BJ1139,0)</f>
        <v>0</v>
      </c>
      <c r="AI1139" s="56">
        <f>IF(AS1139="2",BK1139,0)</f>
        <v>0</v>
      </c>
      <c r="AJ1139" s="56">
        <f>IF(AS1139="0",BL1139,0)</f>
        <v>0</v>
      </c>
      <c r="AK1139" s="7" t="s">
        <v>714</v>
      </c>
      <c r="AL1139" s="56">
        <f>IF(AP1139=0,K1139,0)</f>
        <v>0</v>
      </c>
      <c r="AM1139" s="56">
        <f>IF(AP1139=15,K1139,0)</f>
        <v>0</v>
      </c>
      <c r="AN1139" s="56">
        <f>IF(AP1139=21,K1139,0)</f>
        <v>0</v>
      </c>
      <c r="AP1139" s="56">
        <v>21</v>
      </c>
      <c r="AQ1139" s="88">
        <f>H1139*0</f>
        <v>0</v>
      </c>
      <c r="AR1139" s="88">
        <f>H1139*(1-0)</f>
        <v>0</v>
      </c>
      <c r="AS1139" s="21" t="s">
        <v>2311</v>
      </c>
      <c r="AX1139" s="56">
        <f>AY1139+AZ1139</f>
        <v>0</v>
      </c>
      <c r="AY1139" s="56">
        <f>G1139*AQ1139</f>
        <v>0</v>
      </c>
      <c r="AZ1139" s="56">
        <f>G1139*AR1139</f>
        <v>0</v>
      </c>
      <c r="BA1139" s="21" t="s">
        <v>351</v>
      </c>
      <c r="BB1139" s="21" t="s">
        <v>1155</v>
      </c>
      <c r="BC1139" s="7" t="s">
        <v>976</v>
      </c>
      <c r="BE1139" s="56">
        <f>AY1139+AZ1139</f>
        <v>0</v>
      </c>
      <c r="BF1139" s="56">
        <f>H1139/(100-BG1139)*100</f>
        <v>0</v>
      </c>
      <c r="BG1139" s="56">
        <v>0</v>
      </c>
      <c r="BH1139" s="56">
        <f>M1139</f>
        <v>0</v>
      </c>
      <c r="BJ1139" s="56">
        <f>G1139*AQ1139</f>
        <v>0</v>
      </c>
      <c r="BK1139" s="56">
        <f>G1139*AR1139</f>
        <v>0</v>
      </c>
      <c r="BL1139" s="56">
        <f>G1139*H1139</f>
        <v>0</v>
      </c>
      <c r="BM1139" s="56"/>
      <c r="BN1139" s="56">
        <v>721</v>
      </c>
    </row>
    <row r="1140" spans="1:66" ht="15" customHeight="1">
      <c r="A1140" s="36"/>
      <c r="D1140" s="45" t="s">
        <v>1346</v>
      </c>
      <c r="E1140" s="104" t="s">
        <v>1597</v>
      </c>
      <c r="G1140" s="13">
        <v>10</v>
      </c>
      <c r="N1140" s="19"/>
      <c r="P1140" s="592"/>
      <c r="Q1140" s="592"/>
      <c r="R1140" s="592"/>
      <c r="S1140" s="592"/>
      <c r="T1140" s="592"/>
      <c r="U1140" s="592"/>
      <c r="V1140" s="592"/>
      <c r="W1140" s="592"/>
      <c r="X1140" s="592"/>
    </row>
    <row r="1141" spans="1:66" ht="15" customHeight="1">
      <c r="A1141" s="24" t="s">
        <v>376</v>
      </c>
      <c r="B1141" s="12" t="s">
        <v>714</v>
      </c>
      <c r="C1141" s="12" t="s">
        <v>121</v>
      </c>
      <c r="D1141" s="630" t="s">
        <v>1371</v>
      </c>
      <c r="E1141" s="630"/>
      <c r="F1141" s="12" t="s">
        <v>564</v>
      </c>
      <c r="G1141" s="56">
        <v>12</v>
      </c>
      <c r="H1141" s="625"/>
      <c r="I1141" s="56">
        <f>G1141*AQ1141</f>
        <v>0</v>
      </c>
      <c r="J1141" s="56">
        <f>G1141*AR1141</f>
        <v>0</v>
      </c>
      <c r="K1141" s="56">
        <f>G1141*H1141</f>
        <v>0</v>
      </c>
      <c r="L1141" s="56">
        <v>0</v>
      </c>
      <c r="M1141" s="56">
        <f>G1141*L1141</f>
        <v>0</v>
      </c>
      <c r="N1141" s="31" t="s">
        <v>1579</v>
      </c>
      <c r="P1141" s="592"/>
      <c r="Q1141" s="592"/>
      <c r="R1141" s="592"/>
      <c r="S1141" s="592"/>
      <c r="T1141" s="592"/>
      <c r="U1141" s="592"/>
      <c r="V1141" s="592"/>
      <c r="W1141" s="592"/>
      <c r="X1141" s="592"/>
      <c r="AB1141" s="56">
        <f>IF(AS1141="5",BL1141,0)</f>
        <v>0</v>
      </c>
      <c r="AD1141" s="56">
        <f>IF(AS1141="1",BJ1141,0)</f>
        <v>0</v>
      </c>
      <c r="AE1141" s="56">
        <f>IF(AS1141="1",BK1141,0)</f>
        <v>0</v>
      </c>
      <c r="AF1141" s="56">
        <f>IF(AS1141="7",BJ1141,0)</f>
        <v>0</v>
      </c>
      <c r="AG1141" s="56">
        <f>IF(AS1141="7",BK1141,0)</f>
        <v>0</v>
      </c>
      <c r="AH1141" s="56">
        <f>IF(AS1141="2",BJ1141,0)</f>
        <v>0</v>
      </c>
      <c r="AI1141" s="56">
        <f>IF(AS1141="2",BK1141,0)</f>
        <v>0</v>
      </c>
      <c r="AJ1141" s="56">
        <f>IF(AS1141="0",BL1141,0)</f>
        <v>0</v>
      </c>
      <c r="AK1141" s="7" t="s">
        <v>714</v>
      </c>
      <c r="AL1141" s="56">
        <f>IF(AP1141=0,K1141,0)</f>
        <v>0</v>
      </c>
      <c r="AM1141" s="56">
        <f>IF(AP1141=15,K1141,0)</f>
        <v>0</v>
      </c>
      <c r="AN1141" s="56">
        <f>IF(AP1141=21,K1141,0)</f>
        <v>0</v>
      </c>
      <c r="AP1141" s="56">
        <v>21</v>
      </c>
      <c r="AQ1141" s="88">
        <f>H1141*0</f>
        <v>0</v>
      </c>
      <c r="AR1141" s="88">
        <f>H1141*(1-0)</f>
        <v>0</v>
      </c>
      <c r="AS1141" s="21" t="s">
        <v>2311</v>
      </c>
      <c r="AX1141" s="56">
        <f>AY1141+AZ1141</f>
        <v>0</v>
      </c>
      <c r="AY1141" s="56">
        <f>G1141*AQ1141</f>
        <v>0</v>
      </c>
      <c r="AZ1141" s="56">
        <f>G1141*AR1141</f>
        <v>0</v>
      </c>
      <c r="BA1141" s="21" t="s">
        <v>351</v>
      </c>
      <c r="BB1141" s="21" t="s">
        <v>1155</v>
      </c>
      <c r="BC1141" s="7" t="s">
        <v>976</v>
      </c>
      <c r="BE1141" s="56">
        <f>AY1141+AZ1141</f>
        <v>0</v>
      </c>
      <c r="BF1141" s="56">
        <f>H1141/(100-BG1141)*100</f>
        <v>0</v>
      </c>
      <c r="BG1141" s="56">
        <v>0</v>
      </c>
      <c r="BH1141" s="56">
        <f>M1141</f>
        <v>0</v>
      </c>
      <c r="BJ1141" s="56">
        <f>G1141*AQ1141</f>
        <v>0</v>
      </c>
      <c r="BK1141" s="56">
        <f>G1141*AR1141</f>
        <v>0</v>
      </c>
      <c r="BL1141" s="56">
        <f>G1141*H1141</f>
        <v>0</v>
      </c>
      <c r="BM1141" s="56"/>
      <c r="BN1141" s="56">
        <v>721</v>
      </c>
    </row>
    <row r="1142" spans="1:66" ht="15" customHeight="1">
      <c r="A1142" s="36"/>
      <c r="D1142" s="45" t="s">
        <v>1697</v>
      </c>
      <c r="E1142" s="104" t="s">
        <v>1597</v>
      </c>
      <c r="G1142" s="13">
        <v>12.000000000000002</v>
      </c>
      <c r="N1142" s="19"/>
      <c r="P1142" s="592"/>
      <c r="Q1142" s="592"/>
      <c r="R1142" s="592"/>
      <c r="S1142" s="592"/>
      <c r="T1142" s="592"/>
      <c r="U1142" s="592"/>
      <c r="V1142" s="592"/>
      <c r="W1142" s="592"/>
      <c r="X1142" s="592"/>
    </row>
    <row r="1143" spans="1:66" ht="15" customHeight="1">
      <c r="A1143" s="24" t="s">
        <v>7</v>
      </c>
      <c r="B1143" s="12" t="s">
        <v>714</v>
      </c>
      <c r="C1143" s="12" t="s">
        <v>561</v>
      </c>
      <c r="D1143" s="630" t="s">
        <v>129</v>
      </c>
      <c r="E1143" s="630"/>
      <c r="F1143" s="12" t="s">
        <v>564</v>
      </c>
      <c r="G1143" s="56">
        <v>13</v>
      </c>
      <c r="H1143" s="625"/>
      <c r="I1143" s="56">
        <f>G1143*AQ1143</f>
        <v>0</v>
      </c>
      <c r="J1143" s="56">
        <f>G1143*AR1143</f>
        <v>0</v>
      </c>
      <c r="K1143" s="56">
        <f>G1143*H1143</f>
        <v>0</v>
      </c>
      <c r="L1143" s="56">
        <v>0</v>
      </c>
      <c r="M1143" s="56">
        <f>G1143*L1143</f>
        <v>0</v>
      </c>
      <c r="N1143" s="31" t="s">
        <v>1579</v>
      </c>
      <c r="P1143" s="592"/>
      <c r="Q1143" s="592"/>
      <c r="R1143" s="592"/>
      <c r="S1143" s="592"/>
      <c r="T1143" s="592"/>
      <c r="U1143" s="592"/>
      <c r="V1143" s="592"/>
      <c r="W1143" s="592"/>
      <c r="X1143" s="592"/>
      <c r="AB1143" s="56">
        <f>IF(AS1143="5",BL1143,0)</f>
        <v>0</v>
      </c>
      <c r="AD1143" s="56">
        <f>IF(AS1143="1",BJ1143,0)</f>
        <v>0</v>
      </c>
      <c r="AE1143" s="56">
        <f>IF(AS1143="1",BK1143,0)</f>
        <v>0</v>
      </c>
      <c r="AF1143" s="56">
        <f>IF(AS1143="7",BJ1143,0)</f>
        <v>0</v>
      </c>
      <c r="AG1143" s="56">
        <f>IF(AS1143="7",BK1143,0)</f>
        <v>0</v>
      </c>
      <c r="AH1143" s="56">
        <f>IF(AS1143="2",BJ1143,0)</f>
        <v>0</v>
      </c>
      <c r="AI1143" s="56">
        <f>IF(AS1143="2",BK1143,0)</f>
        <v>0</v>
      </c>
      <c r="AJ1143" s="56">
        <f>IF(AS1143="0",BL1143,0)</f>
        <v>0</v>
      </c>
      <c r="AK1143" s="7" t="s">
        <v>714</v>
      </c>
      <c r="AL1143" s="56">
        <f>IF(AP1143=0,K1143,0)</f>
        <v>0</v>
      </c>
      <c r="AM1143" s="56">
        <f>IF(AP1143=15,K1143,0)</f>
        <v>0</v>
      </c>
      <c r="AN1143" s="56">
        <f>IF(AP1143=21,K1143,0)</f>
        <v>0</v>
      </c>
      <c r="AP1143" s="56">
        <v>21</v>
      </c>
      <c r="AQ1143" s="88">
        <f>H1143*0</f>
        <v>0</v>
      </c>
      <c r="AR1143" s="88">
        <f>H1143*(1-0)</f>
        <v>0</v>
      </c>
      <c r="AS1143" s="21" t="s">
        <v>2311</v>
      </c>
      <c r="AX1143" s="56">
        <f>AY1143+AZ1143</f>
        <v>0</v>
      </c>
      <c r="AY1143" s="56">
        <f>G1143*AQ1143</f>
        <v>0</v>
      </c>
      <c r="AZ1143" s="56">
        <f>G1143*AR1143</f>
        <v>0</v>
      </c>
      <c r="BA1143" s="21" t="s">
        <v>351</v>
      </c>
      <c r="BB1143" s="21" t="s">
        <v>1155</v>
      </c>
      <c r="BC1143" s="7" t="s">
        <v>976</v>
      </c>
      <c r="BE1143" s="56">
        <f>AY1143+AZ1143</f>
        <v>0</v>
      </c>
      <c r="BF1143" s="56">
        <f>H1143/(100-BG1143)*100</f>
        <v>0</v>
      </c>
      <c r="BG1143" s="56">
        <v>0</v>
      </c>
      <c r="BH1143" s="56">
        <f>M1143</f>
        <v>0</v>
      </c>
      <c r="BJ1143" s="56">
        <f>G1143*AQ1143</f>
        <v>0</v>
      </c>
      <c r="BK1143" s="56">
        <f>G1143*AR1143</f>
        <v>0</v>
      </c>
      <c r="BL1143" s="56">
        <f>G1143*H1143</f>
        <v>0</v>
      </c>
      <c r="BM1143" s="56"/>
      <c r="BN1143" s="56">
        <v>721</v>
      </c>
    </row>
    <row r="1144" spans="1:66" ht="15" customHeight="1">
      <c r="A1144" s="36"/>
      <c r="D1144" s="45" t="s">
        <v>668</v>
      </c>
      <c r="E1144" s="104" t="s">
        <v>1597</v>
      </c>
      <c r="G1144" s="13">
        <v>13.000000000000002</v>
      </c>
      <c r="N1144" s="19"/>
      <c r="P1144" s="592"/>
      <c r="Q1144" s="592"/>
      <c r="R1144" s="592"/>
      <c r="S1144" s="592"/>
      <c r="T1144" s="592"/>
      <c r="U1144" s="592"/>
      <c r="V1144" s="592"/>
      <c r="W1144" s="592"/>
      <c r="X1144" s="592"/>
    </row>
    <row r="1145" spans="1:66" ht="15" customHeight="1">
      <c r="A1145" s="24" t="s">
        <v>492</v>
      </c>
      <c r="B1145" s="12" t="s">
        <v>714</v>
      </c>
      <c r="C1145" s="12" t="s">
        <v>1415</v>
      </c>
      <c r="D1145" s="630" t="s">
        <v>482</v>
      </c>
      <c r="E1145" s="630"/>
      <c r="F1145" s="12" t="s">
        <v>564</v>
      </c>
      <c r="G1145" s="56">
        <v>1</v>
      </c>
      <c r="H1145" s="625"/>
      <c r="I1145" s="56">
        <f>G1145*AQ1145</f>
        <v>0</v>
      </c>
      <c r="J1145" s="56">
        <f>G1145*AR1145</f>
        <v>0</v>
      </c>
      <c r="K1145" s="56">
        <f>G1145*H1145</f>
        <v>0</v>
      </c>
      <c r="L1145" s="56">
        <v>5.5999999999999995E-4</v>
      </c>
      <c r="M1145" s="56">
        <f>G1145*L1145</f>
        <v>5.5999999999999995E-4</v>
      </c>
      <c r="N1145" s="31" t="s">
        <v>1579</v>
      </c>
      <c r="P1145" s="592"/>
      <c r="Q1145" s="592"/>
      <c r="R1145" s="592"/>
      <c r="S1145" s="592"/>
      <c r="T1145" s="592"/>
      <c r="U1145" s="592"/>
      <c r="V1145" s="592"/>
      <c r="W1145" s="592"/>
      <c r="X1145" s="592"/>
      <c r="AB1145" s="56">
        <f>IF(AS1145="5",BL1145,0)</f>
        <v>0</v>
      </c>
      <c r="AD1145" s="56">
        <f>IF(AS1145="1",BJ1145,0)</f>
        <v>0</v>
      </c>
      <c r="AE1145" s="56">
        <f>IF(AS1145="1",BK1145,0)</f>
        <v>0</v>
      </c>
      <c r="AF1145" s="56">
        <f>IF(AS1145="7",BJ1145,0)</f>
        <v>0</v>
      </c>
      <c r="AG1145" s="56">
        <f>IF(AS1145="7",BK1145,0)</f>
        <v>0</v>
      </c>
      <c r="AH1145" s="56">
        <f>IF(AS1145="2",BJ1145,0)</f>
        <v>0</v>
      </c>
      <c r="AI1145" s="56">
        <f>IF(AS1145="2",BK1145,0)</f>
        <v>0</v>
      </c>
      <c r="AJ1145" s="56">
        <f>IF(AS1145="0",BL1145,0)</f>
        <v>0</v>
      </c>
      <c r="AK1145" s="7" t="s">
        <v>714</v>
      </c>
      <c r="AL1145" s="56">
        <f>IF(AP1145=0,K1145,0)</f>
        <v>0</v>
      </c>
      <c r="AM1145" s="56">
        <f>IF(AP1145=15,K1145,0)</f>
        <v>0</v>
      </c>
      <c r="AN1145" s="56">
        <f>IF(AP1145=21,K1145,0)</f>
        <v>0</v>
      </c>
      <c r="AP1145" s="56">
        <v>21</v>
      </c>
      <c r="AQ1145" s="88">
        <f>H1145*0.92278523505799</f>
        <v>0</v>
      </c>
      <c r="AR1145" s="88">
        <f>H1145*(1-0.92278523505799)</f>
        <v>0</v>
      </c>
      <c r="AS1145" s="21" t="s">
        <v>2311</v>
      </c>
      <c r="AX1145" s="56">
        <f>AY1145+AZ1145</f>
        <v>0</v>
      </c>
      <c r="AY1145" s="56">
        <f>G1145*AQ1145</f>
        <v>0</v>
      </c>
      <c r="AZ1145" s="56">
        <f>G1145*AR1145</f>
        <v>0</v>
      </c>
      <c r="BA1145" s="21" t="s">
        <v>351</v>
      </c>
      <c r="BB1145" s="21" t="s">
        <v>1155</v>
      </c>
      <c r="BC1145" s="7" t="s">
        <v>976</v>
      </c>
      <c r="BE1145" s="56">
        <f>AY1145+AZ1145</f>
        <v>0</v>
      </c>
      <c r="BF1145" s="56">
        <f>H1145/(100-BG1145)*100</f>
        <v>0</v>
      </c>
      <c r="BG1145" s="56">
        <v>0</v>
      </c>
      <c r="BH1145" s="56">
        <f>M1145</f>
        <v>5.5999999999999995E-4</v>
      </c>
      <c r="BJ1145" s="56">
        <f>G1145*AQ1145</f>
        <v>0</v>
      </c>
      <c r="BK1145" s="56">
        <f>G1145*AR1145</f>
        <v>0</v>
      </c>
      <c r="BL1145" s="56">
        <f>G1145*H1145</f>
        <v>0</v>
      </c>
      <c r="BM1145" s="56"/>
      <c r="BN1145" s="56">
        <v>721</v>
      </c>
    </row>
    <row r="1146" spans="1:66" ht="15" customHeight="1">
      <c r="A1146" s="36"/>
      <c r="D1146" s="45" t="s">
        <v>2297</v>
      </c>
      <c r="E1146" s="104" t="s">
        <v>1597</v>
      </c>
      <c r="G1146" s="13">
        <v>1</v>
      </c>
      <c r="N1146" s="19"/>
      <c r="P1146" s="592"/>
      <c r="Q1146" s="592"/>
      <c r="R1146" s="592"/>
      <c r="S1146" s="592"/>
      <c r="T1146" s="592"/>
      <c r="U1146" s="592"/>
      <c r="V1146" s="592"/>
      <c r="W1146" s="592"/>
      <c r="X1146" s="592"/>
    </row>
    <row r="1147" spans="1:66" ht="15" customHeight="1">
      <c r="A1147" s="24" t="s">
        <v>2162</v>
      </c>
      <c r="B1147" s="12" t="s">
        <v>714</v>
      </c>
      <c r="C1147" s="12" t="s">
        <v>834</v>
      </c>
      <c r="D1147" s="630" t="s">
        <v>1465</v>
      </c>
      <c r="E1147" s="630"/>
      <c r="F1147" s="12" t="s">
        <v>564</v>
      </c>
      <c r="G1147" s="56">
        <v>6</v>
      </c>
      <c r="H1147" s="625"/>
      <c r="I1147" s="56">
        <f>G1147*AQ1147</f>
        <v>0</v>
      </c>
      <c r="J1147" s="56">
        <f>G1147*AR1147</f>
        <v>0</v>
      </c>
      <c r="K1147" s="56">
        <f>G1147*H1147</f>
        <v>0</v>
      </c>
      <c r="L1147" s="56">
        <v>8.0000000000000007E-5</v>
      </c>
      <c r="M1147" s="56">
        <f>G1147*L1147</f>
        <v>4.8000000000000007E-4</v>
      </c>
      <c r="N1147" s="31" t="s">
        <v>1579</v>
      </c>
      <c r="P1147" s="592"/>
      <c r="Q1147" s="592"/>
      <c r="R1147" s="592"/>
      <c r="S1147" s="592"/>
      <c r="T1147" s="592"/>
      <c r="U1147" s="592"/>
      <c r="V1147" s="592"/>
      <c r="W1147" s="592"/>
      <c r="X1147" s="592"/>
      <c r="AB1147" s="56">
        <f>IF(AS1147="5",BL1147,0)</f>
        <v>0</v>
      </c>
      <c r="AD1147" s="56">
        <f>IF(AS1147="1",BJ1147,0)</f>
        <v>0</v>
      </c>
      <c r="AE1147" s="56">
        <f>IF(AS1147="1",BK1147,0)</f>
        <v>0</v>
      </c>
      <c r="AF1147" s="56">
        <f>IF(AS1147="7",BJ1147,0)</f>
        <v>0</v>
      </c>
      <c r="AG1147" s="56">
        <f>IF(AS1147="7",BK1147,0)</f>
        <v>0</v>
      </c>
      <c r="AH1147" s="56">
        <f>IF(AS1147="2",BJ1147,0)</f>
        <v>0</v>
      </c>
      <c r="AI1147" s="56">
        <f>IF(AS1147="2",BK1147,0)</f>
        <v>0</v>
      </c>
      <c r="AJ1147" s="56">
        <f>IF(AS1147="0",BL1147,0)</f>
        <v>0</v>
      </c>
      <c r="AK1147" s="7" t="s">
        <v>714</v>
      </c>
      <c r="AL1147" s="56">
        <f>IF(AP1147=0,K1147,0)</f>
        <v>0</v>
      </c>
      <c r="AM1147" s="56">
        <f>IF(AP1147=15,K1147,0)</f>
        <v>0</v>
      </c>
      <c r="AN1147" s="56">
        <f>IF(AP1147=21,K1147,0)</f>
        <v>0</v>
      </c>
      <c r="AP1147" s="56">
        <v>21</v>
      </c>
      <c r="AQ1147" s="88">
        <f>H1147*0.887156862745098</f>
        <v>0</v>
      </c>
      <c r="AR1147" s="88">
        <f>H1147*(1-0.887156862745098)</f>
        <v>0</v>
      </c>
      <c r="AS1147" s="21" t="s">
        <v>2311</v>
      </c>
      <c r="AX1147" s="56">
        <f>AY1147+AZ1147</f>
        <v>0</v>
      </c>
      <c r="AY1147" s="56">
        <f>G1147*AQ1147</f>
        <v>0</v>
      </c>
      <c r="AZ1147" s="56">
        <f>G1147*AR1147</f>
        <v>0</v>
      </c>
      <c r="BA1147" s="21" t="s">
        <v>351</v>
      </c>
      <c r="BB1147" s="21" t="s">
        <v>1155</v>
      </c>
      <c r="BC1147" s="7" t="s">
        <v>976</v>
      </c>
      <c r="BE1147" s="56">
        <f>AY1147+AZ1147</f>
        <v>0</v>
      </c>
      <c r="BF1147" s="56">
        <f>H1147/(100-BG1147)*100</f>
        <v>0</v>
      </c>
      <c r="BG1147" s="56">
        <v>0</v>
      </c>
      <c r="BH1147" s="56">
        <f>M1147</f>
        <v>4.8000000000000007E-4</v>
      </c>
      <c r="BJ1147" s="56">
        <f>G1147*AQ1147</f>
        <v>0</v>
      </c>
      <c r="BK1147" s="56">
        <f>G1147*AR1147</f>
        <v>0</v>
      </c>
      <c r="BL1147" s="56">
        <f>G1147*H1147</f>
        <v>0</v>
      </c>
      <c r="BM1147" s="56"/>
      <c r="BN1147" s="56">
        <v>721</v>
      </c>
    </row>
    <row r="1148" spans="1:66" ht="15" customHeight="1">
      <c r="A1148" s="36"/>
      <c r="D1148" s="45" t="s">
        <v>390</v>
      </c>
      <c r="E1148" s="104" t="s">
        <v>1597</v>
      </c>
      <c r="G1148" s="13">
        <v>6.0000000000000009</v>
      </c>
      <c r="N1148" s="19"/>
      <c r="P1148" s="592"/>
      <c r="Q1148" s="592"/>
      <c r="R1148" s="592"/>
      <c r="S1148" s="592"/>
      <c r="T1148" s="592"/>
      <c r="U1148" s="592"/>
      <c r="V1148" s="592"/>
      <c r="W1148" s="592"/>
      <c r="X1148" s="592"/>
    </row>
    <row r="1149" spans="1:66" ht="15" customHeight="1">
      <c r="A1149" s="24" t="s">
        <v>1394</v>
      </c>
      <c r="B1149" s="12" t="s">
        <v>714</v>
      </c>
      <c r="C1149" s="12" t="s">
        <v>478</v>
      </c>
      <c r="D1149" s="630" t="s">
        <v>133</v>
      </c>
      <c r="E1149" s="630"/>
      <c r="F1149" s="12" t="s">
        <v>564</v>
      </c>
      <c r="G1149" s="56">
        <v>7</v>
      </c>
      <c r="H1149" s="625"/>
      <c r="I1149" s="56">
        <f>G1149*AQ1149</f>
        <v>0</v>
      </c>
      <c r="J1149" s="56">
        <f>G1149*AR1149</f>
        <v>0</v>
      </c>
      <c r="K1149" s="56">
        <f>G1149*H1149</f>
        <v>0</v>
      </c>
      <c r="L1149" s="56">
        <v>5.0000000000000001E-4</v>
      </c>
      <c r="M1149" s="56">
        <f>G1149*L1149</f>
        <v>3.5000000000000001E-3</v>
      </c>
      <c r="N1149" s="31" t="s">
        <v>1579</v>
      </c>
      <c r="P1149" s="592"/>
      <c r="Q1149" s="592"/>
      <c r="R1149" s="592"/>
      <c r="S1149" s="592"/>
      <c r="T1149" s="592"/>
      <c r="U1149" s="592"/>
      <c r="V1149" s="592"/>
      <c r="W1149" s="592"/>
      <c r="X1149" s="592"/>
      <c r="AB1149" s="56">
        <f>IF(AS1149="5",BL1149,0)</f>
        <v>0</v>
      </c>
      <c r="AD1149" s="56">
        <f>IF(AS1149="1",BJ1149,0)</f>
        <v>0</v>
      </c>
      <c r="AE1149" s="56">
        <f>IF(AS1149="1",BK1149,0)</f>
        <v>0</v>
      </c>
      <c r="AF1149" s="56">
        <f>IF(AS1149="7",BJ1149,0)</f>
        <v>0</v>
      </c>
      <c r="AG1149" s="56">
        <f>IF(AS1149="7",BK1149,0)</f>
        <v>0</v>
      </c>
      <c r="AH1149" s="56">
        <f>IF(AS1149="2",BJ1149,0)</f>
        <v>0</v>
      </c>
      <c r="AI1149" s="56">
        <f>IF(AS1149="2",BK1149,0)</f>
        <v>0</v>
      </c>
      <c r="AJ1149" s="56">
        <f>IF(AS1149="0",BL1149,0)</f>
        <v>0</v>
      </c>
      <c r="AK1149" s="7" t="s">
        <v>714</v>
      </c>
      <c r="AL1149" s="56">
        <f>IF(AP1149=0,K1149,0)</f>
        <v>0</v>
      </c>
      <c r="AM1149" s="56">
        <f>IF(AP1149=15,K1149,0)</f>
        <v>0</v>
      </c>
      <c r="AN1149" s="56">
        <f>IF(AP1149=21,K1149,0)</f>
        <v>0</v>
      </c>
      <c r="AP1149" s="56">
        <v>21</v>
      </c>
      <c r="AQ1149" s="88">
        <f>H1149*0.941349845201238</f>
        <v>0</v>
      </c>
      <c r="AR1149" s="88">
        <f>H1149*(1-0.941349845201238)</f>
        <v>0</v>
      </c>
      <c r="AS1149" s="21" t="s">
        <v>2311</v>
      </c>
      <c r="AX1149" s="56">
        <f>AY1149+AZ1149</f>
        <v>0</v>
      </c>
      <c r="AY1149" s="56">
        <f>G1149*AQ1149</f>
        <v>0</v>
      </c>
      <c r="AZ1149" s="56">
        <f>G1149*AR1149</f>
        <v>0</v>
      </c>
      <c r="BA1149" s="21" t="s">
        <v>351</v>
      </c>
      <c r="BB1149" s="21" t="s">
        <v>1155</v>
      </c>
      <c r="BC1149" s="7" t="s">
        <v>976</v>
      </c>
      <c r="BE1149" s="56">
        <f>AY1149+AZ1149</f>
        <v>0</v>
      </c>
      <c r="BF1149" s="56">
        <f>H1149/(100-BG1149)*100</f>
        <v>0</v>
      </c>
      <c r="BG1149" s="56">
        <v>0</v>
      </c>
      <c r="BH1149" s="56">
        <f>M1149</f>
        <v>3.5000000000000001E-3</v>
      </c>
      <c r="BJ1149" s="56">
        <f>G1149*AQ1149</f>
        <v>0</v>
      </c>
      <c r="BK1149" s="56">
        <f>G1149*AR1149</f>
        <v>0</v>
      </c>
      <c r="BL1149" s="56">
        <f>G1149*H1149</f>
        <v>0</v>
      </c>
      <c r="BM1149" s="56"/>
      <c r="BN1149" s="56">
        <v>721</v>
      </c>
    </row>
    <row r="1150" spans="1:66" ht="15" customHeight="1">
      <c r="A1150" s="36"/>
      <c r="D1150" s="45" t="s">
        <v>2311</v>
      </c>
      <c r="E1150" s="104" t="s">
        <v>1597</v>
      </c>
      <c r="G1150" s="13">
        <v>7.0000000000000009</v>
      </c>
      <c r="N1150" s="19"/>
      <c r="P1150" s="592"/>
      <c r="Q1150" s="592"/>
      <c r="R1150" s="592"/>
      <c r="S1150" s="592"/>
      <c r="T1150" s="592"/>
      <c r="U1150" s="592"/>
      <c r="V1150" s="592"/>
      <c r="W1150" s="592"/>
      <c r="X1150" s="592"/>
    </row>
    <row r="1151" spans="1:66" ht="15" customHeight="1">
      <c r="A1151" s="24" t="s">
        <v>2536</v>
      </c>
      <c r="B1151" s="12" t="s">
        <v>714</v>
      </c>
      <c r="C1151" s="12" t="s">
        <v>1270</v>
      </c>
      <c r="D1151" s="630" t="s">
        <v>2496</v>
      </c>
      <c r="E1151" s="630"/>
      <c r="F1151" s="12" t="s">
        <v>564</v>
      </c>
      <c r="G1151" s="56">
        <v>3</v>
      </c>
      <c r="H1151" s="625"/>
      <c r="I1151" s="56">
        <f>G1151*AQ1151</f>
        <v>0</v>
      </c>
      <c r="J1151" s="56">
        <f>G1151*AR1151</f>
        <v>0</v>
      </c>
      <c r="K1151" s="56">
        <f>G1151*H1151</f>
        <v>0</v>
      </c>
      <c r="L1151" s="56">
        <v>4.8999999999999998E-4</v>
      </c>
      <c r="M1151" s="56">
        <f>G1151*L1151</f>
        <v>1.47E-3</v>
      </c>
      <c r="N1151" s="31" t="s">
        <v>1579</v>
      </c>
      <c r="P1151" s="592"/>
      <c r="Q1151" s="592"/>
      <c r="R1151" s="592"/>
      <c r="S1151" s="592"/>
      <c r="T1151" s="592"/>
      <c r="U1151" s="592"/>
      <c r="V1151" s="592"/>
      <c r="W1151" s="592"/>
      <c r="X1151" s="592"/>
      <c r="AB1151" s="56">
        <f>IF(AS1151="5",BL1151,0)</f>
        <v>0</v>
      </c>
      <c r="AD1151" s="56">
        <f>IF(AS1151="1",BJ1151,0)</f>
        <v>0</v>
      </c>
      <c r="AE1151" s="56">
        <f>IF(AS1151="1",BK1151,0)</f>
        <v>0</v>
      </c>
      <c r="AF1151" s="56">
        <f>IF(AS1151="7",BJ1151,0)</f>
        <v>0</v>
      </c>
      <c r="AG1151" s="56">
        <f>IF(AS1151="7",BK1151,0)</f>
        <v>0</v>
      </c>
      <c r="AH1151" s="56">
        <f>IF(AS1151="2",BJ1151,0)</f>
        <v>0</v>
      </c>
      <c r="AI1151" s="56">
        <f>IF(AS1151="2",BK1151,0)</f>
        <v>0</v>
      </c>
      <c r="AJ1151" s="56">
        <f>IF(AS1151="0",BL1151,0)</f>
        <v>0</v>
      </c>
      <c r="AK1151" s="7" t="s">
        <v>714</v>
      </c>
      <c r="AL1151" s="56">
        <f>IF(AP1151=0,K1151,0)</f>
        <v>0</v>
      </c>
      <c r="AM1151" s="56">
        <f>IF(AP1151=15,K1151,0)</f>
        <v>0</v>
      </c>
      <c r="AN1151" s="56">
        <f>IF(AP1151=21,K1151,0)</f>
        <v>0</v>
      </c>
      <c r="AP1151" s="56">
        <v>21</v>
      </c>
      <c r="AQ1151" s="88">
        <f>H1151*0.960708987641771</f>
        <v>0</v>
      </c>
      <c r="AR1151" s="88">
        <f>H1151*(1-0.960708987641771)</f>
        <v>0</v>
      </c>
      <c r="AS1151" s="21" t="s">
        <v>2311</v>
      </c>
      <c r="AX1151" s="56">
        <f>AY1151+AZ1151</f>
        <v>0</v>
      </c>
      <c r="AY1151" s="56">
        <f>G1151*AQ1151</f>
        <v>0</v>
      </c>
      <c r="AZ1151" s="56">
        <f>G1151*AR1151</f>
        <v>0</v>
      </c>
      <c r="BA1151" s="21" t="s">
        <v>351</v>
      </c>
      <c r="BB1151" s="21" t="s">
        <v>1155</v>
      </c>
      <c r="BC1151" s="7" t="s">
        <v>976</v>
      </c>
      <c r="BE1151" s="56">
        <f>AY1151+AZ1151</f>
        <v>0</v>
      </c>
      <c r="BF1151" s="56">
        <f>H1151/(100-BG1151)*100</f>
        <v>0</v>
      </c>
      <c r="BG1151" s="56">
        <v>0</v>
      </c>
      <c r="BH1151" s="56">
        <f>M1151</f>
        <v>1.47E-3</v>
      </c>
      <c r="BJ1151" s="56">
        <f>G1151*AQ1151</f>
        <v>0</v>
      </c>
      <c r="BK1151" s="56">
        <f>G1151*AR1151</f>
        <v>0</v>
      </c>
      <c r="BL1151" s="56">
        <f>G1151*H1151</f>
        <v>0</v>
      </c>
      <c r="BM1151" s="56"/>
      <c r="BN1151" s="56">
        <v>721</v>
      </c>
    </row>
    <row r="1152" spans="1:66" ht="15" customHeight="1">
      <c r="A1152" s="36"/>
      <c r="D1152" s="45" t="s">
        <v>2007</v>
      </c>
      <c r="E1152" s="104" t="s">
        <v>1597</v>
      </c>
      <c r="G1152" s="13">
        <v>3.0000000000000004</v>
      </c>
      <c r="N1152" s="19"/>
      <c r="P1152" s="592"/>
      <c r="Q1152" s="592"/>
      <c r="R1152" s="592"/>
      <c r="S1152" s="592"/>
      <c r="T1152" s="592"/>
      <c r="U1152" s="592"/>
      <c r="V1152" s="592"/>
      <c r="W1152" s="592"/>
      <c r="X1152" s="592"/>
    </row>
    <row r="1153" spans="1:66" ht="15" customHeight="1">
      <c r="A1153" s="24" t="s">
        <v>1192</v>
      </c>
      <c r="B1153" s="12" t="s">
        <v>714</v>
      </c>
      <c r="C1153" s="12" t="s">
        <v>1956</v>
      </c>
      <c r="D1153" s="630" t="s">
        <v>1910</v>
      </c>
      <c r="E1153" s="630"/>
      <c r="F1153" s="12" t="s">
        <v>1923</v>
      </c>
      <c r="G1153" s="56">
        <v>268</v>
      </c>
      <c r="H1153" s="625"/>
      <c r="I1153" s="56">
        <f>G1153*AQ1153</f>
        <v>0</v>
      </c>
      <c r="J1153" s="56">
        <f>G1153*AR1153</f>
        <v>0</v>
      </c>
      <c r="K1153" s="56">
        <f>G1153*H1153</f>
        <v>0</v>
      </c>
      <c r="L1153" s="56">
        <v>0</v>
      </c>
      <c r="M1153" s="56">
        <f>G1153*L1153</f>
        <v>0</v>
      </c>
      <c r="N1153" s="31" t="s">
        <v>1579</v>
      </c>
      <c r="P1153" s="592"/>
      <c r="Q1153" s="592"/>
      <c r="R1153" s="592"/>
      <c r="S1153" s="592"/>
      <c r="T1153" s="592"/>
      <c r="U1153" s="592"/>
      <c r="V1153" s="592"/>
      <c r="W1153" s="592"/>
      <c r="X1153" s="592"/>
      <c r="AB1153" s="56">
        <f>IF(AS1153="5",BL1153,0)</f>
        <v>0</v>
      </c>
      <c r="AD1153" s="56">
        <f>IF(AS1153="1",BJ1153,0)</f>
        <v>0</v>
      </c>
      <c r="AE1153" s="56">
        <f>IF(AS1153="1",BK1153,0)</f>
        <v>0</v>
      </c>
      <c r="AF1153" s="56">
        <f>IF(AS1153="7",BJ1153,0)</f>
        <v>0</v>
      </c>
      <c r="AG1153" s="56">
        <f>IF(AS1153="7",BK1153,0)</f>
        <v>0</v>
      </c>
      <c r="AH1153" s="56">
        <f>IF(AS1153="2",BJ1153,0)</f>
        <v>0</v>
      </c>
      <c r="AI1153" s="56">
        <f>IF(AS1153="2",BK1153,0)</f>
        <v>0</v>
      </c>
      <c r="AJ1153" s="56">
        <f>IF(AS1153="0",BL1153,0)</f>
        <v>0</v>
      </c>
      <c r="AK1153" s="7" t="s">
        <v>714</v>
      </c>
      <c r="AL1153" s="56">
        <f>IF(AP1153=0,K1153,0)</f>
        <v>0</v>
      </c>
      <c r="AM1153" s="56">
        <f>IF(AP1153=15,K1153,0)</f>
        <v>0</v>
      </c>
      <c r="AN1153" s="56">
        <f>IF(AP1153=21,K1153,0)</f>
        <v>0</v>
      </c>
      <c r="AP1153" s="56">
        <v>21</v>
      </c>
      <c r="AQ1153" s="88">
        <f>H1153*0.0275092936802974</f>
        <v>0</v>
      </c>
      <c r="AR1153" s="88">
        <f>H1153*(1-0.0275092936802974)</f>
        <v>0</v>
      </c>
      <c r="AS1153" s="21" t="s">
        <v>2311</v>
      </c>
      <c r="AX1153" s="56">
        <f>AY1153+AZ1153</f>
        <v>0</v>
      </c>
      <c r="AY1153" s="56">
        <f>G1153*AQ1153</f>
        <v>0</v>
      </c>
      <c r="AZ1153" s="56">
        <f>G1153*AR1153</f>
        <v>0</v>
      </c>
      <c r="BA1153" s="21" t="s">
        <v>351</v>
      </c>
      <c r="BB1153" s="21" t="s">
        <v>1155</v>
      </c>
      <c r="BC1153" s="7" t="s">
        <v>976</v>
      </c>
      <c r="BE1153" s="56">
        <f>AY1153+AZ1153</f>
        <v>0</v>
      </c>
      <c r="BF1153" s="56">
        <f>H1153/(100-BG1153)*100</f>
        <v>0</v>
      </c>
      <c r="BG1153" s="56">
        <v>0</v>
      </c>
      <c r="BH1153" s="56">
        <f>M1153</f>
        <v>0</v>
      </c>
      <c r="BJ1153" s="56">
        <f>G1153*AQ1153</f>
        <v>0</v>
      </c>
      <c r="BK1153" s="56">
        <f>G1153*AR1153</f>
        <v>0</v>
      </c>
      <c r="BL1153" s="56">
        <f>G1153*H1153</f>
        <v>0</v>
      </c>
      <c r="BM1153" s="56"/>
      <c r="BN1153" s="56">
        <v>721</v>
      </c>
    </row>
    <row r="1154" spans="1:66" ht="15" customHeight="1">
      <c r="A1154" s="36"/>
      <c r="D1154" s="45" t="s">
        <v>334</v>
      </c>
      <c r="E1154" s="104" t="s">
        <v>1597</v>
      </c>
      <c r="G1154" s="13">
        <v>268</v>
      </c>
      <c r="N1154" s="19"/>
      <c r="P1154" s="592"/>
      <c r="Q1154" s="592"/>
      <c r="R1154" s="592"/>
      <c r="S1154" s="592"/>
      <c r="T1154" s="592"/>
      <c r="U1154" s="592"/>
      <c r="V1154" s="592"/>
      <c r="W1154" s="592"/>
      <c r="X1154" s="592"/>
    </row>
    <row r="1155" spans="1:66" ht="15" customHeight="1">
      <c r="A1155" s="24" t="s">
        <v>1649</v>
      </c>
      <c r="B1155" s="12" t="s">
        <v>714</v>
      </c>
      <c r="C1155" s="12" t="s">
        <v>151</v>
      </c>
      <c r="D1155" s="630" t="s">
        <v>370</v>
      </c>
      <c r="E1155" s="630"/>
      <c r="F1155" s="12" t="s">
        <v>1923</v>
      </c>
      <c r="G1155" s="56">
        <v>18</v>
      </c>
      <c r="H1155" s="625"/>
      <c r="I1155" s="56">
        <f>G1155*AQ1155</f>
        <v>0</v>
      </c>
      <c r="J1155" s="56">
        <f>G1155*AR1155</f>
        <v>0</v>
      </c>
      <c r="K1155" s="56">
        <f>G1155*H1155</f>
        <v>0</v>
      </c>
      <c r="L1155" s="56">
        <v>0</v>
      </c>
      <c r="M1155" s="56">
        <f>G1155*L1155</f>
        <v>0</v>
      </c>
      <c r="N1155" s="31" t="s">
        <v>1579</v>
      </c>
      <c r="P1155" s="592"/>
      <c r="Q1155" s="592"/>
      <c r="R1155" s="592"/>
      <c r="S1155" s="592"/>
      <c r="T1155" s="592"/>
      <c r="U1155" s="592"/>
      <c r="V1155" s="592"/>
      <c r="W1155" s="592"/>
      <c r="X1155" s="592"/>
      <c r="AB1155" s="56">
        <f>IF(AS1155="5",BL1155,0)</f>
        <v>0</v>
      </c>
      <c r="AD1155" s="56">
        <f>IF(AS1155="1",BJ1155,0)</f>
        <v>0</v>
      </c>
      <c r="AE1155" s="56">
        <f>IF(AS1155="1",BK1155,0)</f>
        <v>0</v>
      </c>
      <c r="AF1155" s="56">
        <f>IF(AS1155="7",BJ1155,0)</f>
        <v>0</v>
      </c>
      <c r="AG1155" s="56">
        <f>IF(AS1155="7",BK1155,0)</f>
        <v>0</v>
      </c>
      <c r="AH1155" s="56">
        <f>IF(AS1155="2",BJ1155,0)</f>
        <v>0</v>
      </c>
      <c r="AI1155" s="56">
        <f>IF(AS1155="2",BK1155,0)</f>
        <v>0</v>
      </c>
      <c r="AJ1155" s="56">
        <f>IF(AS1155="0",BL1155,0)</f>
        <v>0</v>
      </c>
      <c r="AK1155" s="7" t="s">
        <v>714</v>
      </c>
      <c r="AL1155" s="56">
        <f>IF(AP1155=0,K1155,0)</f>
        <v>0</v>
      </c>
      <c r="AM1155" s="56">
        <f>IF(AP1155=15,K1155,0)</f>
        <v>0</v>
      </c>
      <c r="AN1155" s="56">
        <f>IF(AP1155=21,K1155,0)</f>
        <v>0</v>
      </c>
      <c r="AP1155" s="56">
        <v>21</v>
      </c>
      <c r="AQ1155" s="88">
        <f>H1155*0.0837606837606838</f>
        <v>0</v>
      </c>
      <c r="AR1155" s="88">
        <f>H1155*(1-0.0837606837606838)</f>
        <v>0</v>
      </c>
      <c r="AS1155" s="21" t="s">
        <v>2311</v>
      </c>
      <c r="AX1155" s="56">
        <f>AY1155+AZ1155</f>
        <v>0</v>
      </c>
      <c r="AY1155" s="56">
        <f>G1155*AQ1155</f>
        <v>0</v>
      </c>
      <c r="AZ1155" s="56">
        <f>G1155*AR1155</f>
        <v>0</v>
      </c>
      <c r="BA1155" s="21" t="s">
        <v>351</v>
      </c>
      <c r="BB1155" s="21" t="s">
        <v>1155</v>
      </c>
      <c r="BC1155" s="7" t="s">
        <v>976</v>
      </c>
      <c r="BE1155" s="56">
        <f>AY1155+AZ1155</f>
        <v>0</v>
      </c>
      <c r="BF1155" s="56">
        <f>H1155/(100-BG1155)*100</f>
        <v>0</v>
      </c>
      <c r="BG1155" s="56">
        <v>0</v>
      </c>
      <c r="BH1155" s="56">
        <f>M1155</f>
        <v>0</v>
      </c>
      <c r="BJ1155" s="56">
        <f>G1155*AQ1155</f>
        <v>0</v>
      </c>
      <c r="BK1155" s="56">
        <f>G1155*AR1155</f>
        <v>0</v>
      </c>
      <c r="BL1155" s="56">
        <f>G1155*H1155</f>
        <v>0</v>
      </c>
      <c r="BM1155" s="56"/>
      <c r="BN1155" s="56">
        <v>721</v>
      </c>
    </row>
    <row r="1156" spans="1:66" ht="15" customHeight="1">
      <c r="A1156" s="36"/>
      <c r="D1156" s="45" t="s">
        <v>1846</v>
      </c>
      <c r="E1156" s="104" t="s">
        <v>1597</v>
      </c>
      <c r="G1156" s="13">
        <v>18</v>
      </c>
      <c r="N1156" s="19"/>
      <c r="P1156" s="592"/>
      <c r="Q1156" s="592"/>
      <c r="R1156" s="592"/>
      <c r="S1156" s="592"/>
      <c r="T1156" s="592"/>
      <c r="U1156" s="592"/>
      <c r="V1156" s="592"/>
      <c r="W1156" s="592"/>
      <c r="X1156" s="592"/>
    </row>
    <row r="1157" spans="1:66" ht="15" customHeight="1">
      <c r="A1157" s="32" t="s">
        <v>1597</v>
      </c>
      <c r="B1157" s="26" t="s">
        <v>714</v>
      </c>
      <c r="C1157" s="518" t="s">
        <v>2093</v>
      </c>
      <c r="D1157" s="709" t="s">
        <v>1425</v>
      </c>
      <c r="E1157" s="709"/>
      <c r="F1157" s="46" t="s">
        <v>2144</v>
      </c>
      <c r="G1157" s="46" t="s">
        <v>2144</v>
      </c>
      <c r="H1157" s="46" t="s">
        <v>2144</v>
      </c>
      <c r="I1157" s="17">
        <f>SUM(I1158:I1238)</f>
        <v>0</v>
      </c>
      <c r="J1157" s="17">
        <f>SUM(J1158:J1238)</f>
        <v>0</v>
      </c>
      <c r="K1157" s="17">
        <f>SUM(K1158:K1238)</f>
        <v>0</v>
      </c>
      <c r="L1157" s="7" t="s">
        <v>1597</v>
      </c>
      <c r="M1157" s="17">
        <f>SUM(M1158:M1238)</f>
        <v>2.7290099999999997</v>
      </c>
      <c r="N1157" s="20" t="s">
        <v>1597</v>
      </c>
      <c r="P1157" s="592"/>
      <c r="Q1157" s="592"/>
      <c r="R1157" s="592"/>
      <c r="S1157" s="592"/>
      <c r="T1157" s="592"/>
      <c r="U1157" s="592"/>
      <c r="V1157" s="592"/>
      <c r="W1157" s="592"/>
      <c r="X1157" s="592"/>
      <c r="AK1157" s="7" t="s">
        <v>714</v>
      </c>
      <c r="AU1157" s="17">
        <f>SUM(AL1158:AL1238)</f>
        <v>0</v>
      </c>
      <c r="AV1157" s="17">
        <f>SUM(AM1158:AM1238)</f>
        <v>0</v>
      </c>
      <c r="AW1157" s="17">
        <f>SUM(AN1158:AN1238)</f>
        <v>0</v>
      </c>
    </row>
    <row r="1158" spans="1:66" ht="15" customHeight="1">
      <c r="A1158" s="24" t="s">
        <v>220</v>
      </c>
      <c r="B1158" s="12" t="s">
        <v>714</v>
      </c>
      <c r="C1158" s="12" t="s">
        <v>2602</v>
      </c>
      <c r="D1158" s="630" t="s">
        <v>154</v>
      </c>
      <c r="E1158" s="630"/>
      <c r="F1158" s="12" t="s">
        <v>1923</v>
      </c>
      <c r="G1158" s="56">
        <v>15</v>
      </c>
      <c r="H1158" s="625"/>
      <c r="I1158" s="56">
        <f>G1158*AQ1158</f>
        <v>0</v>
      </c>
      <c r="J1158" s="56">
        <f>G1158*AR1158</f>
        <v>0</v>
      </c>
      <c r="K1158" s="56">
        <f>G1158*H1158</f>
        <v>0</v>
      </c>
      <c r="L1158" s="56">
        <v>1.387E-2</v>
      </c>
      <c r="M1158" s="56">
        <f>G1158*L1158</f>
        <v>0.20805000000000001</v>
      </c>
      <c r="N1158" s="31" t="s">
        <v>1579</v>
      </c>
      <c r="P1158" s="592"/>
      <c r="Q1158" s="592"/>
      <c r="R1158" s="592"/>
      <c r="S1158" s="592"/>
      <c r="T1158" s="592"/>
      <c r="U1158" s="592"/>
      <c r="V1158" s="592"/>
      <c r="W1158" s="592"/>
      <c r="X1158" s="592"/>
      <c r="AB1158" s="56">
        <f>IF(AS1158="5",BL1158,0)</f>
        <v>0</v>
      </c>
      <c r="AD1158" s="56">
        <f>IF(AS1158="1",BJ1158,0)</f>
        <v>0</v>
      </c>
      <c r="AE1158" s="56">
        <f>IF(AS1158="1",BK1158,0)</f>
        <v>0</v>
      </c>
      <c r="AF1158" s="56">
        <f>IF(AS1158="7",BJ1158,0)</f>
        <v>0</v>
      </c>
      <c r="AG1158" s="56">
        <f>IF(AS1158="7",BK1158,0)</f>
        <v>0</v>
      </c>
      <c r="AH1158" s="56">
        <f>IF(AS1158="2",BJ1158,0)</f>
        <v>0</v>
      </c>
      <c r="AI1158" s="56">
        <f>IF(AS1158="2",BK1158,0)</f>
        <v>0</v>
      </c>
      <c r="AJ1158" s="56">
        <f>IF(AS1158="0",BL1158,0)</f>
        <v>0</v>
      </c>
      <c r="AK1158" s="7" t="s">
        <v>714</v>
      </c>
      <c r="AL1158" s="56">
        <f>IF(AP1158=0,K1158,0)</f>
        <v>0</v>
      </c>
      <c r="AM1158" s="56">
        <f>IF(AP1158=15,K1158,0)</f>
        <v>0</v>
      </c>
      <c r="AN1158" s="56">
        <f>IF(AP1158=21,K1158,0)</f>
        <v>0</v>
      </c>
      <c r="AP1158" s="56">
        <v>21</v>
      </c>
      <c r="AQ1158" s="88">
        <f>H1158*0.486</f>
        <v>0</v>
      </c>
      <c r="AR1158" s="88">
        <f>H1158*(1-0.486)</f>
        <v>0</v>
      </c>
      <c r="AS1158" s="21" t="s">
        <v>2311</v>
      </c>
      <c r="AX1158" s="56">
        <f>AY1158+AZ1158</f>
        <v>0</v>
      </c>
      <c r="AY1158" s="56">
        <f>G1158*AQ1158</f>
        <v>0</v>
      </c>
      <c r="AZ1158" s="56">
        <f>G1158*AR1158</f>
        <v>0</v>
      </c>
      <c r="BA1158" s="21" t="s">
        <v>1464</v>
      </c>
      <c r="BB1158" s="21" t="s">
        <v>1155</v>
      </c>
      <c r="BC1158" s="7" t="s">
        <v>976</v>
      </c>
      <c r="BE1158" s="56">
        <f>AY1158+AZ1158</f>
        <v>0</v>
      </c>
      <c r="BF1158" s="56">
        <f>H1158/(100-BG1158)*100</f>
        <v>0</v>
      </c>
      <c r="BG1158" s="56">
        <v>0</v>
      </c>
      <c r="BH1158" s="56">
        <f>M1158</f>
        <v>0.20805000000000001</v>
      </c>
      <c r="BJ1158" s="56">
        <f>G1158*AQ1158</f>
        <v>0</v>
      </c>
      <c r="BK1158" s="56">
        <f>G1158*AR1158</f>
        <v>0</v>
      </c>
      <c r="BL1158" s="56">
        <f>G1158*H1158</f>
        <v>0</v>
      </c>
      <c r="BM1158" s="56"/>
      <c r="BN1158" s="56">
        <v>722</v>
      </c>
    </row>
    <row r="1159" spans="1:66" ht="15" customHeight="1">
      <c r="A1159" s="36"/>
      <c r="D1159" s="45" t="s">
        <v>908</v>
      </c>
      <c r="E1159" s="104" t="s">
        <v>565</v>
      </c>
      <c r="G1159" s="13">
        <v>15.000000000000002</v>
      </c>
      <c r="N1159" s="19"/>
      <c r="P1159" s="592"/>
      <c r="Q1159" s="592"/>
      <c r="R1159" s="592"/>
      <c r="S1159" s="592"/>
      <c r="T1159" s="592"/>
      <c r="U1159" s="592"/>
      <c r="V1159" s="592"/>
      <c r="W1159" s="592"/>
      <c r="X1159" s="592"/>
    </row>
    <row r="1160" spans="1:66" ht="15" customHeight="1">
      <c r="A1160" s="24" t="s">
        <v>2495</v>
      </c>
      <c r="B1160" s="12" t="s">
        <v>714</v>
      </c>
      <c r="C1160" s="12" t="s">
        <v>1651</v>
      </c>
      <c r="D1160" s="630" t="s">
        <v>590</v>
      </c>
      <c r="E1160" s="630"/>
      <c r="F1160" s="12" t="s">
        <v>1923</v>
      </c>
      <c r="G1160" s="56">
        <v>1</v>
      </c>
      <c r="H1160" s="625"/>
      <c r="I1160" s="56">
        <f>G1160*AQ1160</f>
        <v>0</v>
      </c>
      <c r="J1160" s="56">
        <f>G1160*AR1160</f>
        <v>0</v>
      </c>
      <c r="K1160" s="56">
        <f>G1160*H1160</f>
        <v>0</v>
      </c>
      <c r="L1160" s="56">
        <v>1.5900000000000001E-2</v>
      </c>
      <c r="M1160" s="56">
        <f>G1160*L1160</f>
        <v>1.5900000000000001E-2</v>
      </c>
      <c r="N1160" s="31" t="s">
        <v>1579</v>
      </c>
      <c r="P1160" s="592"/>
      <c r="Q1160" s="592"/>
      <c r="R1160" s="592"/>
      <c r="S1160" s="592"/>
      <c r="T1160" s="592"/>
      <c r="U1160" s="592"/>
      <c r="V1160" s="592"/>
      <c r="W1160" s="592"/>
      <c r="X1160" s="592"/>
      <c r="AB1160" s="56">
        <f>IF(AS1160="5",BL1160,0)</f>
        <v>0</v>
      </c>
      <c r="AD1160" s="56">
        <f>IF(AS1160="1",BJ1160,0)</f>
        <v>0</v>
      </c>
      <c r="AE1160" s="56">
        <f>IF(AS1160="1",BK1160,0)</f>
        <v>0</v>
      </c>
      <c r="AF1160" s="56">
        <f>IF(AS1160="7",BJ1160,0)</f>
        <v>0</v>
      </c>
      <c r="AG1160" s="56">
        <f>IF(AS1160="7",BK1160,0)</f>
        <v>0</v>
      </c>
      <c r="AH1160" s="56">
        <f>IF(AS1160="2",BJ1160,0)</f>
        <v>0</v>
      </c>
      <c r="AI1160" s="56">
        <f>IF(AS1160="2",BK1160,0)</f>
        <v>0</v>
      </c>
      <c r="AJ1160" s="56">
        <f>IF(AS1160="0",BL1160,0)</f>
        <v>0</v>
      </c>
      <c r="AK1160" s="7" t="s">
        <v>714</v>
      </c>
      <c r="AL1160" s="56">
        <f>IF(AP1160=0,K1160,0)</f>
        <v>0</v>
      </c>
      <c r="AM1160" s="56">
        <f>IF(AP1160=15,K1160,0)</f>
        <v>0</v>
      </c>
      <c r="AN1160" s="56">
        <f>IF(AP1160=21,K1160,0)</f>
        <v>0</v>
      </c>
      <c r="AP1160" s="56">
        <v>21</v>
      </c>
      <c r="AQ1160" s="88">
        <f>H1160*0.425118406010126</f>
        <v>0</v>
      </c>
      <c r="AR1160" s="88">
        <f>H1160*(1-0.425118406010126)</f>
        <v>0</v>
      </c>
      <c r="AS1160" s="21" t="s">
        <v>2311</v>
      </c>
      <c r="AX1160" s="56">
        <f>AY1160+AZ1160</f>
        <v>0</v>
      </c>
      <c r="AY1160" s="56">
        <f>G1160*AQ1160</f>
        <v>0</v>
      </c>
      <c r="AZ1160" s="56">
        <f>G1160*AR1160</f>
        <v>0</v>
      </c>
      <c r="BA1160" s="21" t="s">
        <v>1464</v>
      </c>
      <c r="BB1160" s="21" t="s">
        <v>1155</v>
      </c>
      <c r="BC1160" s="7" t="s">
        <v>976</v>
      </c>
      <c r="BE1160" s="56">
        <f>AY1160+AZ1160</f>
        <v>0</v>
      </c>
      <c r="BF1160" s="56">
        <f>H1160/(100-BG1160)*100</f>
        <v>0</v>
      </c>
      <c r="BG1160" s="56">
        <v>0</v>
      </c>
      <c r="BH1160" s="56">
        <f>M1160</f>
        <v>1.5900000000000001E-2</v>
      </c>
      <c r="BJ1160" s="56">
        <f>G1160*AQ1160</f>
        <v>0</v>
      </c>
      <c r="BK1160" s="56">
        <f>G1160*AR1160</f>
        <v>0</v>
      </c>
      <c r="BL1160" s="56">
        <f>G1160*H1160</f>
        <v>0</v>
      </c>
      <c r="BM1160" s="56"/>
      <c r="BN1160" s="56">
        <v>722</v>
      </c>
    </row>
    <row r="1161" spans="1:66" ht="15" customHeight="1">
      <c r="A1161" s="36"/>
      <c r="D1161" s="45" t="s">
        <v>2297</v>
      </c>
      <c r="E1161" s="104" t="s">
        <v>565</v>
      </c>
      <c r="G1161" s="13">
        <v>1</v>
      </c>
      <c r="N1161" s="19"/>
      <c r="P1161" s="592"/>
      <c r="Q1161" s="592"/>
      <c r="R1161" s="592"/>
      <c r="S1161" s="592"/>
      <c r="T1161" s="592"/>
      <c r="U1161" s="592"/>
      <c r="V1161" s="592"/>
      <c r="W1161" s="592"/>
      <c r="X1161" s="592"/>
    </row>
    <row r="1162" spans="1:66" ht="15" customHeight="1">
      <c r="A1162" s="24" t="s">
        <v>153</v>
      </c>
      <c r="B1162" s="12" t="s">
        <v>714</v>
      </c>
      <c r="C1162" s="12" t="s">
        <v>1893</v>
      </c>
      <c r="D1162" s="630" t="s">
        <v>257</v>
      </c>
      <c r="E1162" s="630"/>
      <c r="F1162" s="12" t="s">
        <v>1923</v>
      </c>
      <c r="G1162" s="56">
        <v>70</v>
      </c>
      <c r="H1162" s="625"/>
      <c r="I1162" s="56">
        <f>G1162*AQ1162</f>
        <v>0</v>
      </c>
      <c r="J1162" s="56">
        <f>G1162*AR1162</f>
        <v>0</v>
      </c>
      <c r="K1162" s="56">
        <f>G1162*H1162</f>
        <v>0</v>
      </c>
      <c r="L1162" s="56">
        <v>3.9899999999999996E-3</v>
      </c>
      <c r="M1162" s="56">
        <f>G1162*L1162</f>
        <v>0.27929999999999999</v>
      </c>
      <c r="N1162" s="31" t="s">
        <v>1579</v>
      </c>
      <c r="P1162" s="592"/>
      <c r="Q1162" s="592"/>
      <c r="R1162" s="592"/>
      <c r="S1162" s="592"/>
      <c r="T1162" s="592"/>
      <c r="U1162" s="592"/>
      <c r="V1162" s="592"/>
      <c r="W1162" s="592"/>
      <c r="X1162" s="592"/>
      <c r="AB1162" s="56">
        <f>IF(AS1162="5",BL1162,0)</f>
        <v>0</v>
      </c>
      <c r="AD1162" s="56">
        <f>IF(AS1162="1",BJ1162,0)</f>
        <v>0</v>
      </c>
      <c r="AE1162" s="56">
        <f>IF(AS1162="1",BK1162,0)</f>
        <v>0</v>
      </c>
      <c r="AF1162" s="56">
        <f>IF(AS1162="7",BJ1162,0)</f>
        <v>0</v>
      </c>
      <c r="AG1162" s="56">
        <f>IF(AS1162="7",BK1162,0)</f>
        <v>0</v>
      </c>
      <c r="AH1162" s="56">
        <f>IF(AS1162="2",BJ1162,0)</f>
        <v>0</v>
      </c>
      <c r="AI1162" s="56">
        <f>IF(AS1162="2",BK1162,0)</f>
        <v>0</v>
      </c>
      <c r="AJ1162" s="56">
        <f>IF(AS1162="0",BL1162,0)</f>
        <v>0</v>
      </c>
      <c r="AK1162" s="7" t="s">
        <v>714</v>
      </c>
      <c r="AL1162" s="56">
        <f>IF(AP1162=0,K1162,0)</f>
        <v>0</v>
      </c>
      <c r="AM1162" s="56">
        <f>IF(AP1162=15,K1162,0)</f>
        <v>0</v>
      </c>
      <c r="AN1162" s="56">
        <f>IF(AP1162=21,K1162,0)</f>
        <v>0</v>
      </c>
      <c r="AP1162" s="56">
        <v>21</v>
      </c>
      <c r="AQ1162" s="88">
        <f>H1162*0.272118067325493</f>
        <v>0</v>
      </c>
      <c r="AR1162" s="88">
        <f>H1162*(1-0.272118067325493)</f>
        <v>0</v>
      </c>
      <c r="AS1162" s="21" t="s">
        <v>2311</v>
      </c>
      <c r="AX1162" s="56">
        <f>AY1162+AZ1162</f>
        <v>0</v>
      </c>
      <c r="AY1162" s="56">
        <f>G1162*AQ1162</f>
        <v>0</v>
      </c>
      <c r="AZ1162" s="56">
        <f>G1162*AR1162</f>
        <v>0</v>
      </c>
      <c r="BA1162" s="21" t="s">
        <v>1464</v>
      </c>
      <c r="BB1162" s="21" t="s">
        <v>1155</v>
      </c>
      <c r="BC1162" s="7" t="s">
        <v>976</v>
      </c>
      <c r="BE1162" s="56">
        <f>AY1162+AZ1162</f>
        <v>0</v>
      </c>
      <c r="BF1162" s="56">
        <f>H1162/(100-BG1162)*100</f>
        <v>0</v>
      </c>
      <c r="BG1162" s="56">
        <v>0</v>
      </c>
      <c r="BH1162" s="56">
        <f>M1162</f>
        <v>0.27929999999999999</v>
      </c>
      <c r="BJ1162" s="56">
        <f>G1162*AQ1162</f>
        <v>0</v>
      </c>
      <c r="BK1162" s="56">
        <f>G1162*AR1162</f>
        <v>0</v>
      </c>
      <c r="BL1162" s="56">
        <f>G1162*H1162</f>
        <v>0</v>
      </c>
      <c r="BM1162" s="56"/>
      <c r="BN1162" s="56">
        <v>722</v>
      </c>
    </row>
    <row r="1163" spans="1:66" ht="15" customHeight="1">
      <c r="A1163" s="36"/>
      <c r="D1163" s="45" t="s">
        <v>1825</v>
      </c>
      <c r="E1163" s="104" t="s">
        <v>1597</v>
      </c>
      <c r="G1163" s="13">
        <v>70</v>
      </c>
      <c r="N1163" s="19"/>
      <c r="P1163" s="592"/>
      <c r="Q1163" s="592"/>
      <c r="R1163" s="592"/>
      <c r="S1163" s="592"/>
      <c r="T1163" s="592"/>
      <c r="U1163" s="592"/>
      <c r="V1163" s="592"/>
      <c r="W1163" s="592"/>
      <c r="X1163" s="592"/>
    </row>
    <row r="1164" spans="1:66" ht="15" customHeight="1">
      <c r="A1164" s="24" t="s">
        <v>2322</v>
      </c>
      <c r="B1164" s="12" t="s">
        <v>714</v>
      </c>
      <c r="C1164" s="12" t="s">
        <v>303</v>
      </c>
      <c r="D1164" s="630" t="s">
        <v>2493</v>
      </c>
      <c r="E1164" s="630"/>
      <c r="F1164" s="12" t="s">
        <v>1923</v>
      </c>
      <c r="G1164" s="56">
        <v>130</v>
      </c>
      <c r="H1164" s="625"/>
      <c r="I1164" s="56">
        <f>G1164*AQ1164</f>
        <v>0</v>
      </c>
      <c r="J1164" s="56">
        <f>G1164*AR1164</f>
        <v>0</v>
      </c>
      <c r="K1164" s="56">
        <f>G1164*H1164</f>
        <v>0</v>
      </c>
      <c r="L1164" s="56">
        <v>5.1799999999999997E-3</v>
      </c>
      <c r="M1164" s="56">
        <f>G1164*L1164</f>
        <v>0.6734</v>
      </c>
      <c r="N1164" s="31" t="s">
        <v>1579</v>
      </c>
      <c r="P1164" s="592"/>
      <c r="Q1164" s="592"/>
      <c r="R1164" s="592"/>
      <c r="S1164" s="592"/>
      <c r="T1164" s="592"/>
      <c r="U1164" s="592"/>
      <c r="V1164" s="592"/>
      <c r="W1164" s="592"/>
      <c r="X1164" s="592"/>
      <c r="AB1164" s="56">
        <f>IF(AS1164="5",BL1164,0)</f>
        <v>0</v>
      </c>
      <c r="AD1164" s="56">
        <f>IF(AS1164="1",BJ1164,0)</f>
        <v>0</v>
      </c>
      <c r="AE1164" s="56">
        <f>IF(AS1164="1",BK1164,0)</f>
        <v>0</v>
      </c>
      <c r="AF1164" s="56">
        <f>IF(AS1164="7",BJ1164,0)</f>
        <v>0</v>
      </c>
      <c r="AG1164" s="56">
        <f>IF(AS1164="7",BK1164,0)</f>
        <v>0</v>
      </c>
      <c r="AH1164" s="56">
        <f>IF(AS1164="2",BJ1164,0)</f>
        <v>0</v>
      </c>
      <c r="AI1164" s="56">
        <f>IF(AS1164="2",BK1164,0)</f>
        <v>0</v>
      </c>
      <c r="AJ1164" s="56">
        <f>IF(AS1164="0",BL1164,0)</f>
        <v>0</v>
      </c>
      <c r="AK1164" s="7" t="s">
        <v>714</v>
      </c>
      <c r="AL1164" s="56">
        <f>IF(AP1164=0,K1164,0)</f>
        <v>0</v>
      </c>
      <c r="AM1164" s="56">
        <f>IF(AP1164=15,K1164,0)</f>
        <v>0</v>
      </c>
      <c r="AN1164" s="56">
        <f>IF(AP1164=21,K1164,0)</f>
        <v>0</v>
      </c>
      <c r="AP1164" s="56">
        <v>21</v>
      </c>
      <c r="AQ1164" s="88">
        <f>H1164*0.304796922488364</f>
        <v>0</v>
      </c>
      <c r="AR1164" s="88">
        <f>H1164*(1-0.304796922488364)</f>
        <v>0</v>
      </c>
      <c r="AS1164" s="21" t="s">
        <v>2311</v>
      </c>
      <c r="AX1164" s="56">
        <f>AY1164+AZ1164</f>
        <v>0</v>
      </c>
      <c r="AY1164" s="56">
        <f>G1164*AQ1164</f>
        <v>0</v>
      </c>
      <c r="AZ1164" s="56">
        <f>G1164*AR1164</f>
        <v>0</v>
      </c>
      <c r="BA1164" s="21" t="s">
        <v>1464</v>
      </c>
      <c r="BB1164" s="21" t="s">
        <v>1155</v>
      </c>
      <c r="BC1164" s="7" t="s">
        <v>976</v>
      </c>
      <c r="BE1164" s="56">
        <f>AY1164+AZ1164</f>
        <v>0</v>
      </c>
      <c r="BF1164" s="56">
        <f>H1164/(100-BG1164)*100</f>
        <v>0</v>
      </c>
      <c r="BG1164" s="56">
        <v>0</v>
      </c>
      <c r="BH1164" s="56">
        <f>M1164</f>
        <v>0.6734</v>
      </c>
      <c r="BJ1164" s="56">
        <f>G1164*AQ1164</f>
        <v>0</v>
      </c>
      <c r="BK1164" s="56">
        <f>G1164*AR1164</f>
        <v>0</v>
      </c>
      <c r="BL1164" s="56">
        <f>G1164*H1164</f>
        <v>0</v>
      </c>
      <c r="BM1164" s="56"/>
      <c r="BN1164" s="56">
        <v>722</v>
      </c>
    </row>
    <row r="1165" spans="1:66" ht="15" customHeight="1">
      <c r="A1165" s="36"/>
      <c r="D1165" s="45" t="s">
        <v>612</v>
      </c>
      <c r="E1165" s="104" t="s">
        <v>1597</v>
      </c>
      <c r="G1165" s="13">
        <v>130</v>
      </c>
      <c r="N1165" s="19"/>
      <c r="P1165" s="592"/>
      <c r="Q1165" s="592"/>
      <c r="R1165" s="592"/>
      <c r="S1165" s="592"/>
      <c r="T1165" s="592"/>
      <c r="U1165" s="592"/>
      <c r="V1165" s="592"/>
      <c r="W1165" s="592"/>
      <c r="X1165" s="592"/>
    </row>
    <row r="1166" spans="1:66" ht="15" customHeight="1">
      <c r="A1166" s="24" t="s">
        <v>776</v>
      </c>
      <c r="B1166" s="12" t="s">
        <v>714</v>
      </c>
      <c r="C1166" s="12" t="s">
        <v>1689</v>
      </c>
      <c r="D1166" s="630" t="s">
        <v>2265</v>
      </c>
      <c r="E1166" s="630"/>
      <c r="F1166" s="12" t="s">
        <v>1923</v>
      </c>
      <c r="G1166" s="56">
        <v>18</v>
      </c>
      <c r="H1166" s="625"/>
      <c r="I1166" s="56">
        <f>G1166*AQ1166</f>
        <v>0</v>
      </c>
      <c r="J1166" s="56">
        <f>G1166*AR1166</f>
        <v>0</v>
      </c>
      <c r="K1166" s="56">
        <f>G1166*H1166</f>
        <v>0</v>
      </c>
      <c r="L1166" s="56">
        <v>5.3499999999999997E-3</v>
      </c>
      <c r="M1166" s="56">
        <f>G1166*L1166</f>
        <v>9.6299999999999997E-2</v>
      </c>
      <c r="N1166" s="31" t="s">
        <v>1579</v>
      </c>
      <c r="P1166" s="592"/>
      <c r="Q1166" s="592"/>
      <c r="R1166" s="592"/>
      <c r="S1166" s="592"/>
      <c r="T1166" s="592"/>
      <c r="U1166" s="592"/>
      <c r="V1166" s="592"/>
      <c r="W1166" s="592"/>
      <c r="X1166" s="592"/>
      <c r="AB1166" s="56">
        <f>IF(AS1166="5",BL1166,0)</f>
        <v>0</v>
      </c>
      <c r="AD1166" s="56">
        <f>IF(AS1166="1",BJ1166,0)</f>
        <v>0</v>
      </c>
      <c r="AE1166" s="56">
        <f>IF(AS1166="1",BK1166,0)</f>
        <v>0</v>
      </c>
      <c r="AF1166" s="56">
        <f>IF(AS1166="7",BJ1166,0)</f>
        <v>0</v>
      </c>
      <c r="AG1166" s="56">
        <f>IF(AS1166="7",BK1166,0)</f>
        <v>0</v>
      </c>
      <c r="AH1166" s="56">
        <f>IF(AS1166="2",BJ1166,0)</f>
        <v>0</v>
      </c>
      <c r="AI1166" s="56">
        <f>IF(AS1166="2",BK1166,0)</f>
        <v>0</v>
      </c>
      <c r="AJ1166" s="56">
        <f>IF(AS1166="0",BL1166,0)</f>
        <v>0</v>
      </c>
      <c r="AK1166" s="7" t="s">
        <v>714</v>
      </c>
      <c r="AL1166" s="56">
        <f>IF(AP1166=0,K1166,0)</f>
        <v>0</v>
      </c>
      <c r="AM1166" s="56">
        <f>IF(AP1166=15,K1166,0)</f>
        <v>0</v>
      </c>
      <c r="AN1166" s="56">
        <f>IF(AP1166=21,K1166,0)</f>
        <v>0</v>
      </c>
      <c r="AP1166" s="56">
        <v>21</v>
      </c>
      <c r="AQ1166" s="88">
        <f>H1166*0.396170713810345</f>
        <v>0</v>
      </c>
      <c r="AR1166" s="88">
        <f>H1166*(1-0.396170713810345)</f>
        <v>0</v>
      </c>
      <c r="AS1166" s="21" t="s">
        <v>2311</v>
      </c>
      <c r="AX1166" s="56">
        <f>AY1166+AZ1166</f>
        <v>0</v>
      </c>
      <c r="AY1166" s="56">
        <f>G1166*AQ1166</f>
        <v>0</v>
      </c>
      <c r="AZ1166" s="56">
        <f>G1166*AR1166</f>
        <v>0</v>
      </c>
      <c r="BA1166" s="21" t="s">
        <v>1464</v>
      </c>
      <c r="BB1166" s="21" t="s">
        <v>1155</v>
      </c>
      <c r="BC1166" s="7" t="s">
        <v>976</v>
      </c>
      <c r="BE1166" s="56">
        <f>AY1166+AZ1166</f>
        <v>0</v>
      </c>
      <c r="BF1166" s="56">
        <f>H1166/(100-BG1166)*100</f>
        <v>0</v>
      </c>
      <c r="BG1166" s="56">
        <v>0</v>
      </c>
      <c r="BH1166" s="56">
        <f>M1166</f>
        <v>9.6299999999999997E-2</v>
      </c>
      <c r="BJ1166" s="56">
        <f>G1166*AQ1166</f>
        <v>0</v>
      </c>
      <c r="BK1166" s="56">
        <f>G1166*AR1166</f>
        <v>0</v>
      </c>
      <c r="BL1166" s="56">
        <f>G1166*H1166</f>
        <v>0</v>
      </c>
      <c r="BM1166" s="56"/>
      <c r="BN1166" s="56">
        <v>722</v>
      </c>
    </row>
    <row r="1167" spans="1:66" ht="15" customHeight="1">
      <c r="A1167" s="36"/>
      <c r="D1167" s="45" t="s">
        <v>1846</v>
      </c>
      <c r="E1167" s="104" t="s">
        <v>1597</v>
      </c>
      <c r="G1167" s="13">
        <v>18</v>
      </c>
      <c r="N1167" s="19"/>
      <c r="P1167" s="592"/>
      <c r="Q1167" s="592"/>
      <c r="R1167" s="592"/>
      <c r="S1167" s="592"/>
      <c r="T1167" s="592"/>
      <c r="U1167" s="592"/>
      <c r="V1167" s="592"/>
      <c r="W1167" s="592"/>
      <c r="X1167" s="592"/>
    </row>
    <row r="1168" spans="1:66" ht="15" customHeight="1">
      <c r="A1168" s="24" t="s">
        <v>320</v>
      </c>
      <c r="B1168" s="12" t="s">
        <v>714</v>
      </c>
      <c r="C1168" s="12" t="s">
        <v>115</v>
      </c>
      <c r="D1168" s="630" t="s">
        <v>1355</v>
      </c>
      <c r="E1168" s="630"/>
      <c r="F1168" s="12" t="s">
        <v>1923</v>
      </c>
      <c r="G1168" s="56">
        <v>16</v>
      </c>
      <c r="H1168" s="625"/>
      <c r="I1168" s="56">
        <f>G1168*AQ1168</f>
        <v>0</v>
      </c>
      <c r="J1168" s="56">
        <f>G1168*AR1168</f>
        <v>0</v>
      </c>
      <c r="K1168" s="56">
        <f>G1168*H1168</f>
        <v>0</v>
      </c>
      <c r="L1168" s="56">
        <v>5.6299999999999996E-3</v>
      </c>
      <c r="M1168" s="56">
        <f>G1168*L1168</f>
        <v>9.0079999999999993E-2</v>
      </c>
      <c r="N1168" s="31" t="s">
        <v>1579</v>
      </c>
      <c r="P1168" s="592"/>
      <c r="Q1168" s="592"/>
      <c r="R1168" s="592"/>
      <c r="S1168" s="592"/>
      <c r="T1168" s="592"/>
      <c r="U1168" s="592"/>
      <c r="V1168" s="592"/>
      <c r="W1168" s="592"/>
      <c r="X1168" s="592"/>
      <c r="AB1168" s="56">
        <f>IF(AS1168="5",BL1168,0)</f>
        <v>0</v>
      </c>
      <c r="AD1168" s="56">
        <f>IF(AS1168="1",BJ1168,0)</f>
        <v>0</v>
      </c>
      <c r="AE1168" s="56">
        <f>IF(AS1168="1",BK1168,0)</f>
        <v>0</v>
      </c>
      <c r="AF1168" s="56">
        <f>IF(AS1168="7",BJ1168,0)</f>
        <v>0</v>
      </c>
      <c r="AG1168" s="56">
        <f>IF(AS1168="7",BK1168,0)</f>
        <v>0</v>
      </c>
      <c r="AH1168" s="56">
        <f>IF(AS1168="2",BJ1168,0)</f>
        <v>0</v>
      </c>
      <c r="AI1168" s="56">
        <f>IF(AS1168="2",BK1168,0)</f>
        <v>0</v>
      </c>
      <c r="AJ1168" s="56">
        <f>IF(AS1168="0",BL1168,0)</f>
        <v>0</v>
      </c>
      <c r="AK1168" s="7" t="s">
        <v>714</v>
      </c>
      <c r="AL1168" s="56">
        <f>IF(AP1168=0,K1168,0)</f>
        <v>0</v>
      </c>
      <c r="AM1168" s="56">
        <f>IF(AP1168=15,K1168,0)</f>
        <v>0</v>
      </c>
      <c r="AN1168" s="56">
        <f>IF(AP1168=21,K1168,0)</f>
        <v>0</v>
      </c>
      <c r="AP1168" s="56">
        <v>21</v>
      </c>
      <c r="AQ1168" s="88">
        <f>H1168*0.519552599758162</f>
        <v>0</v>
      </c>
      <c r="AR1168" s="88">
        <f>H1168*(1-0.519552599758162)</f>
        <v>0</v>
      </c>
      <c r="AS1168" s="21" t="s">
        <v>2311</v>
      </c>
      <c r="AX1168" s="56">
        <f>AY1168+AZ1168</f>
        <v>0</v>
      </c>
      <c r="AY1168" s="56">
        <f>G1168*AQ1168</f>
        <v>0</v>
      </c>
      <c r="AZ1168" s="56">
        <f>G1168*AR1168</f>
        <v>0</v>
      </c>
      <c r="BA1168" s="21" t="s">
        <v>1464</v>
      </c>
      <c r="BB1168" s="21" t="s">
        <v>1155</v>
      </c>
      <c r="BC1168" s="7" t="s">
        <v>976</v>
      </c>
      <c r="BE1168" s="56">
        <f>AY1168+AZ1168</f>
        <v>0</v>
      </c>
      <c r="BF1168" s="56">
        <f>H1168/(100-BG1168)*100</f>
        <v>0</v>
      </c>
      <c r="BG1168" s="56">
        <v>0</v>
      </c>
      <c r="BH1168" s="56">
        <f>M1168</f>
        <v>9.0079999999999993E-2</v>
      </c>
      <c r="BJ1168" s="56">
        <f>G1168*AQ1168</f>
        <v>0</v>
      </c>
      <c r="BK1168" s="56">
        <f>G1168*AR1168</f>
        <v>0</v>
      </c>
      <c r="BL1168" s="56">
        <f>G1168*H1168</f>
        <v>0</v>
      </c>
      <c r="BM1168" s="56"/>
      <c r="BN1168" s="56">
        <v>722</v>
      </c>
    </row>
    <row r="1169" spans="1:66" ht="15" customHeight="1">
      <c r="A1169" s="36"/>
      <c r="D1169" s="45" t="s">
        <v>213</v>
      </c>
      <c r="E1169" s="104" t="s">
        <v>1597</v>
      </c>
      <c r="G1169" s="13">
        <v>16</v>
      </c>
      <c r="N1169" s="19"/>
      <c r="P1169" s="592"/>
      <c r="Q1169" s="592"/>
      <c r="R1169" s="592"/>
      <c r="S1169" s="592"/>
      <c r="T1169" s="592"/>
      <c r="U1169" s="592"/>
      <c r="V1169" s="592"/>
      <c r="W1169" s="592"/>
      <c r="X1169" s="592"/>
    </row>
    <row r="1170" spans="1:66" ht="15" customHeight="1">
      <c r="A1170" s="24" t="s">
        <v>2348</v>
      </c>
      <c r="B1170" s="12" t="s">
        <v>714</v>
      </c>
      <c r="C1170" s="12" t="s">
        <v>2552</v>
      </c>
      <c r="D1170" s="630" t="s">
        <v>2398</v>
      </c>
      <c r="E1170" s="630"/>
      <c r="F1170" s="12" t="s">
        <v>1923</v>
      </c>
      <c r="G1170" s="56">
        <v>25</v>
      </c>
      <c r="H1170" s="625"/>
      <c r="I1170" s="56">
        <f>G1170*AQ1170</f>
        <v>0</v>
      </c>
      <c r="J1170" s="56">
        <f>G1170*AR1170</f>
        <v>0</v>
      </c>
      <c r="K1170" s="56">
        <f>G1170*H1170</f>
        <v>0</v>
      </c>
      <c r="L1170" s="56">
        <v>5.94E-3</v>
      </c>
      <c r="M1170" s="56">
        <f>G1170*L1170</f>
        <v>0.14849999999999999</v>
      </c>
      <c r="N1170" s="31" t="s">
        <v>1579</v>
      </c>
      <c r="P1170" s="592"/>
      <c r="Q1170" s="592"/>
      <c r="R1170" s="592"/>
      <c r="S1170" s="592"/>
      <c r="T1170" s="592"/>
      <c r="U1170" s="592"/>
      <c r="V1170" s="592"/>
      <c r="W1170" s="592"/>
      <c r="X1170" s="592"/>
      <c r="AB1170" s="56">
        <f>IF(AS1170="5",BL1170,0)</f>
        <v>0</v>
      </c>
      <c r="AD1170" s="56">
        <f>IF(AS1170="1",BJ1170,0)</f>
        <v>0</v>
      </c>
      <c r="AE1170" s="56">
        <f>IF(AS1170="1",BK1170,0)</f>
        <v>0</v>
      </c>
      <c r="AF1170" s="56">
        <f>IF(AS1170="7",BJ1170,0)</f>
        <v>0</v>
      </c>
      <c r="AG1170" s="56">
        <f>IF(AS1170="7",BK1170,0)</f>
        <v>0</v>
      </c>
      <c r="AH1170" s="56">
        <f>IF(AS1170="2",BJ1170,0)</f>
        <v>0</v>
      </c>
      <c r="AI1170" s="56">
        <f>IF(AS1170="2",BK1170,0)</f>
        <v>0</v>
      </c>
      <c r="AJ1170" s="56">
        <f>IF(AS1170="0",BL1170,0)</f>
        <v>0</v>
      </c>
      <c r="AK1170" s="7" t="s">
        <v>714</v>
      </c>
      <c r="AL1170" s="56">
        <f>IF(AP1170=0,K1170,0)</f>
        <v>0</v>
      </c>
      <c r="AM1170" s="56">
        <f>IF(AP1170=15,K1170,0)</f>
        <v>0</v>
      </c>
      <c r="AN1170" s="56">
        <f>IF(AP1170=21,K1170,0)</f>
        <v>0</v>
      </c>
      <c r="AP1170" s="56">
        <v>21</v>
      </c>
      <c r="AQ1170" s="88">
        <f>H1170*0.488076923076923</f>
        <v>0</v>
      </c>
      <c r="AR1170" s="88">
        <f>H1170*(1-0.488076923076923)</f>
        <v>0</v>
      </c>
      <c r="AS1170" s="21" t="s">
        <v>2311</v>
      </c>
      <c r="AX1170" s="56">
        <f>AY1170+AZ1170</f>
        <v>0</v>
      </c>
      <c r="AY1170" s="56">
        <f>G1170*AQ1170</f>
        <v>0</v>
      </c>
      <c r="AZ1170" s="56">
        <f>G1170*AR1170</f>
        <v>0</v>
      </c>
      <c r="BA1170" s="21" t="s">
        <v>1464</v>
      </c>
      <c r="BB1170" s="21" t="s">
        <v>1155</v>
      </c>
      <c r="BC1170" s="7" t="s">
        <v>976</v>
      </c>
      <c r="BE1170" s="56">
        <f>AY1170+AZ1170</f>
        <v>0</v>
      </c>
      <c r="BF1170" s="56">
        <f>H1170/(100-BG1170)*100</f>
        <v>0</v>
      </c>
      <c r="BG1170" s="56">
        <v>0</v>
      </c>
      <c r="BH1170" s="56">
        <f>M1170</f>
        <v>0.14849999999999999</v>
      </c>
      <c r="BJ1170" s="56">
        <f>G1170*AQ1170</f>
        <v>0</v>
      </c>
      <c r="BK1170" s="56">
        <f>G1170*AR1170</f>
        <v>0</v>
      </c>
      <c r="BL1170" s="56">
        <f>G1170*H1170</f>
        <v>0</v>
      </c>
      <c r="BM1170" s="56"/>
      <c r="BN1170" s="56">
        <v>722</v>
      </c>
    </row>
    <row r="1171" spans="1:66" ht="15" customHeight="1">
      <c r="A1171" s="36"/>
      <c r="D1171" s="45" t="s">
        <v>562</v>
      </c>
      <c r="E1171" s="104" t="s">
        <v>1597</v>
      </c>
      <c r="G1171" s="13">
        <v>25.000000000000004</v>
      </c>
      <c r="N1171" s="19"/>
      <c r="P1171" s="592"/>
      <c r="Q1171" s="592"/>
      <c r="R1171" s="592"/>
      <c r="S1171" s="592"/>
      <c r="T1171" s="592"/>
      <c r="U1171" s="592"/>
      <c r="V1171" s="592"/>
      <c r="W1171" s="592"/>
      <c r="X1171" s="592"/>
    </row>
    <row r="1172" spans="1:66" ht="15" customHeight="1">
      <c r="A1172" s="24" t="s">
        <v>1546</v>
      </c>
      <c r="B1172" s="12" t="s">
        <v>714</v>
      </c>
      <c r="C1172" s="12" t="s">
        <v>2246</v>
      </c>
      <c r="D1172" s="630" t="s">
        <v>1765</v>
      </c>
      <c r="E1172" s="630"/>
      <c r="F1172" s="12" t="s">
        <v>1923</v>
      </c>
      <c r="G1172" s="56">
        <v>13</v>
      </c>
      <c r="H1172" s="625"/>
      <c r="I1172" s="56">
        <f>G1172*AQ1172</f>
        <v>0</v>
      </c>
      <c r="J1172" s="56">
        <f>G1172*AR1172</f>
        <v>0</v>
      </c>
      <c r="K1172" s="56">
        <f>G1172*H1172</f>
        <v>0</v>
      </c>
      <c r="L1172" s="56">
        <v>4.0099999999999997E-3</v>
      </c>
      <c r="M1172" s="56">
        <f>G1172*L1172</f>
        <v>5.2129999999999996E-2</v>
      </c>
      <c r="N1172" s="31" t="s">
        <v>1579</v>
      </c>
      <c r="P1172" s="592"/>
      <c r="Q1172" s="592"/>
      <c r="R1172" s="592"/>
      <c r="S1172" s="592"/>
      <c r="T1172" s="592"/>
      <c r="U1172" s="592"/>
      <c r="V1172" s="592"/>
      <c r="W1172" s="592"/>
      <c r="X1172" s="592"/>
      <c r="AB1172" s="56">
        <f>IF(AS1172="5",BL1172,0)</f>
        <v>0</v>
      </c>
      <c r="AD1172" s="56">
        <f>IF(AS1172="1",BJ1172,0)</f>
        <v>0</v>
      </c>
      <c r="AE1172" s="56">
        <f>IF(AS1172="1",BK1172,0)</f>
        <v>0</v>
      </c>
      <c r="AF1172" s="56">
        <f>IF(AS1172="7",BJ1172,0)</f>
        <v>0</v>
      </c>
      <c r="AG1172" s="56">
        <f>IF(AS1172="7",BK1172,0)</f>
        <v>0</v>
      </c>
      <c r="AH1172" s="56">
        <f>IF(AS1172="2",BJ1172,0)</f>
        <v>0</v>
      </c>
      <c r="AI1172" s="56">
        <f>IF(AS1172="2",BK1172,0)</f>
        <v>0</v>
      </c>
      <c r="AJ1172" s="56">
        <f>IF(AS1172="0",BL1172,0)</f>
        <v>0</v>
      </c>
      <c r="AK1172" s="7" t="s">
        <v>714</v>
      </c>
      <c r="AL1172" s="56">
        <f>IF(AP1172=0,K1172,0)</f>
        <v>0</v>
      </c>
      <c r="AM1172" s="56">
        <f>IF(AP1172=15,K1172,0)</f>
        <v>0</v>
      </c>
      <c r="AN1172" s="56">
        <f>IF(AP1172=21,K1172,0)</f>
        <v>0</v>
      </c>
      <c r="AP1172" s="56">
        <v>21</v>
      </c>
      <c r="AQ1172" s="88">
        <f>H1172*0.28976361924633</f>
        <v>0</v>
      </c>
      <c r="AR1172" s="88">
        <f>H1172*(1-0.28976361924633)</f>
        <v>0</v>
      </c>
      <c r="AS1172" s="21" t="s">
        <v>2311</v>
      </c>
      <c r="AX1172" s="56">
        <f>AY1172+AZ1172</f>
        <v>0</v>
      </c>
      <c r="AY1172" s="56">
        <f>G1172*AQ1172</f>
        <v>0</v>
      </c>
      <c r="AZ1172" s="56">
        <f>G1172*AR1172</f>
        <v>0</v>
      </c>
      <c r="BA1172" s="21" t="s">
        <v>1464</v>
      </c>
      <c r="BB1172" s="21" t="s">
        <v>1155</v>
      </c>
      <c r="BC1172" s="7" t="s">
        <v>976</v>
      </c>
      <c r="BE1172" s="56">
        <f>AY1172+AZ1172</f>
        <v>0</v>
      </c>
      <c r="BF1172" s="56">
        <f>H1172/(100-BG1172)*100</f>
        <v>0</v>
      </c>
      <c r="BG1172" s="56">
        <v>0</v>
      </c>
      <c r="BH1172" s="56">
        <f>M1172</f>
        <v>5.2129999999999996E-2</v>
      </c>
      <c r="BJ1172" s="56">
        <f>G1172*AQ1172</f>
        <v>0</v>
      </c>
      <c r="BK1172" s="56">
        <f>G1172*AR1172</f>
        <v>0</v>
      </c>
      <c r="BL1172" s="56">
        <f>G1172*H1172</f>
        <v>0</v>
      </c>
      <c r="BM1172" s="56"/>
      <c r="BN1172" s="56">
        <v>722</v>
      </c>
    </row>
    <row r="1173" spans="1:66" ht="15" customHeight="1">
      <c r="A1173" s="36"/>
      <c r="D1173" s="45" t="s">
        <v>668</v>
      </c>
      <c r="E1173" s="104" t="s">
        <v>1597</v>
      </c>
      <c r="G1173" s="13">
        <v>13.000000000000002</v>
      </c>
      <c r="N1173" s="19"/>
      <c r="P1173" s="592"/>
      <c r="Q1173" s="592"/>
      <c r="R1173" s="592"/>
      <c r="S1173" s="592"/>
      <c r="T1173" s="592"/>
      <c r="U1173" s="592"/>
      <c r="V1173" s="592"/>
      <c r="W1173" s="592"/>
      <c r="X1173" s="592"/>
    </row>
    <row r="1174" spans="1:66" ht="15" customHeight="1">
      <c r="A1174" s="24" t="s">
        <v>1360</v>
      </c>
      <c r="B1174" s="12" t="s">
        <v>714</v>
      </c>
      <c r="C1174" s="12" t="s">
        <v>1486</v>
      </c>
      <c r="D1174" s="630" t="s">
        <v>1344</v>
      </c>
      <c r="E1174" s="630"/>
      <c r="F1174" s="12" t="s">
        <v>1923</v>
      </c>
      <c r="G1174" s="56">
        <v>165</v>
      </c>
      <c r="H1174" s="625"/>
      <c r="I1174" s="56">
        <f>G1174*AQ1174</f>
        <v>0</v>
      </c>
      <c r="J1174" s="56">
        <f>G1174*AR1174</f>
        <v>0</v>
      </c>
      <c r="K1174" s="56">
        <f>G1174*H1174</f>
        <v>0</v>
      </c>
      <c r="L1174" s="56">
        <v>5.2199999999999998E-3</v>
      </c>
      <c r="M1174" s="56">
        <f>G1174*L1174</f>
        <v>0.86129999999999995</v>
      </c>
      <c r="N1174" s="31" t="s">
        <v>1579</v>
      </c>
      <c r="P1174" s="592"/>
      <c r="Q1174" s="592"/>
      <c r="R1174" s="592"/>
      <c r="S1174" s="592"/>
      <c r="T1174" s="592"/>
      <c r="U1174" s="592"/>
      <c r="V1174" s="592"/>
      <c r="W1174" s="592"/>
      <c r="X1174" s="592"/>
      <c r="AB1174" s="56">
        <f>IF(AS1174="5",BL1174,0)</f>
        <v>0</v>
      </c>
      <c r="AD1174" s="56">
        <f>IF(AS1174="1",BJ1174,0)</f>
        <v>0</v>
      </c>
      <c r="AE1174" s="56">
        <f>IF(AS1174="1",BK1174,0)</f>
        <v>0</v>
      </c>
      <c r="AF1174" s="56">
        <f>IF(AS1174="7",BJ1174,0)</f>
        <v>0</v>
      </c>
      <c r="AG1174" s="56">
        <f>IF(AS1174="7",BK1174,0)</f>
        <v>0</v>
      </c>
      <c r="AH1174" s="56">
        <f>IF(AS1174="2",BJ1174,0)</f>
        <v>0</v>
      </c>
      <c r="AI1174" s="56">
        <f>IF(AS1174="2",BK1174,0)</f>
        <v>0</v>
      </c>
      <c r="AJ1174" s="56">
        <f>IF(AS1174="0",BL1174,0)</f>
        <v>0</v>
      </c>
      <c r="AK1174" s="7" t="s">
        <v>714</v>
      </c>
      <c r="AL1174" s="56">
        <f>IF(AP1174=0,K1174,0)</f>
        <v>0</v>
      </c>
      <c r="AM1174" s="56">
        <f>IF(AP1174=15,K1174,0)</f>
        <v>0</v>
      </c>
      <c r="AN1174" s="56">
        <f>IF(AP1174=21,K1174,0)</f>
        <v>0</v>
      </c>
      <c r="AP1174" s="56">
        <v>21</v>
      </c>
      <c r="AQ1174" s="88">
        <f>H1174*0.325277084064312</f>
        <v>0</v>
      </c>
      <c r="AR1174" s="88">
        <f>H1174*(1-0.325277084064312)</f>
        <v>0</v>
      </c>
      <c r="AS1174" s="21" t="s">
        <v>2311</v>
      </c>
      <c r="AX1174" s="56">
        <f>AY1174+AZ1174</f>
        <v>0</v>
      </c>
      <c r="AY1174" s="56">
        <f>G1174*AQ1174</f>
        <v>0</v>
      </c>
      <c r="AZ1174" s="56">
        <f>G1174*AR1174</f>
        <v>0</v>
      </c>
      <c r="BA1174" s="21" t="s">
        <v>1464</v>
      </c>
      <c r="BB1174" s="21" t="s">
        <v>1155</v>
      </c>
      <c r="BC1174" s="7" t="s">
        <v>976</v>
      </c>
      <c r="BE1174" s="56">
        <f>AY1174+AZ1174</f>
        <v>0</v>
      </c>
      <c r="BF1174" s="56">
        <f>H1174/(100-BG1174)*100</f>
        <v>0</v>
      </c>
      <c r="BG1174" s="56">
        <v>0</v>
      </c>
      <c r="BH1174" s="56">
        <f>M1174</f>
        <v>0.86129999999999995</v>
      </c>
      <c r="BJ1174" s="56">
        <f>G1174*AQ1174</f>
        <v>0</v>
      </c>
      <c r="BK1174" s="56">
        <f>G1174*AR1174</f>
        <v>0</v>
      </c>
      <c r="BL1174" s="56">
        <f>G1174*H1174</f>
        <v>0</v>
      </c>
      <c r="BM1174" s="56"/>
      <c r="BN1174" s="56">
        <v>722</v>
      </c>
    </row>
    <row r="1175" spans="1:66" ht="15" customHeight="1">
      <c r="A1175" s="36"/>
      <c r="D1175" s="45" t="s">
        <v>11</v>
      </c>
      <c r="E1175" s="104" t="s">
        <v>1597</v>
      </c>
      <c r="G1175" s="13">
        <v>165</v>
      </c>
      <c r="N1175" s="19"/>
      <c r="P1175" s="592"/>
      <c r="Q1175" s="592"/>
      <c r="R1175" s="592"/>
      <c r="S1175" s="592"/>
      <c r="T1175" s="592"/>
      <c r="U1175" s="592"/>
      <c r="V1175" s="592"/>
      <c r="W1175" s="592"/>
      <c r="X1175" s="592"/>
    </row>
    <row r="1176" spans="1:66" ht="15" customHeight="1">
      <c r="A1176" s="24" t="s">
        <v>1317</v>
      </c>
      <c r="B1176" s="12" t="s">
        <v>714</v>
      </c>
      <c r="C1176" s="12" t="s">
        <v>841</v>
      </c>
      <c r="D1176" s="630" t="s">
        <v>1749</v>
      </c>
      <c r="E1176" s="630"/>
      <c r="F1176" s="12" t="s">
        <v>1923</v>
      </c>
      <c r="G1176" s="56">
        <v>20</v>
      </c>
      <c r="H1176" s="625"/>
      <c r="I1176" s="56">
        <f>G1176*AQ1176</f>
        <v>0</v>
      </c>
      <c r="J1176" s="56">
        <f>G1176*AR1176</f>
        <v>0</v>
      </c>
      <c r="K1176" s="56">
        <f>G1176*H1176</f>
        <v>0</v>
      </c>
      <c r="L1176" s="56">
        <v>5.4099999999999999E-3</v>
      </c>
      <c r="M1176" s="56">
        <f>G1176*L1176</f>
        <v>0.10819999999999999</v>
      </c>
      <c r="N1176" s="31" t="s">
        <v>1579</v>
      </c>
      <c r="P1176" s="592"/>
      <c r="Q1176" s="592"/>
      <c r="R1176" s="592"/>
      <c r="S1176" s="592"/>
      <c r="T1176" s="592"/>
      <c r="U1176" s="592"/>
      <c r="V1176" s="592"/>
      <c r="W1176" s="592"/>
      <c r="X1176" s="592"/>
      <c r="AB1176" s="56">
        <f>IF(AS1176="5",BL1176,0)</f>
        <v>0</v>
      </c>
      <c r="AD1176" s="56">
        <f>IF(AS1176="1",BJ1176,0)</f>
        <v>0</v>
      </c>
      <c r="AE1176" s="56">
        <f>IF(AS1176="1",BK1176,0)</f>
        <v>0</v>
      </c>
      <c r="AF1176" s="56">
        <f>IF(AS1176="7",BJ1176,0)</f>
        <v>0</v>
      </c>
      <c r="AG1176" s="56">
        <f>IF(AS1176="7",BK1176,0)</f>
        <v>0</v>
      </c>
      <c r="AH1176" s="56">
        <f>IF(AS1176="2",BJ1176,0)</f>
        <v>0</v>
      </c>
      <c r="AI1176" s="56">
        <f>IF(AS1176="2",BK1176,0)</f>
        <v>0</v>
      </c>
      <c r="AJ1176" s="56">
        <f>IF(AS1176="0",BL1176,0)</f>
        <v>0</v>
      </c>
      <c r="AK1176" s="7" t="s">
        <v>714</v>
      </c>
      <c r="AL1176" s="56">
        <f>IF(AP1176=0,K1176,0)</f>
        <v>0</v>
      </c>
      <c r="AM1176" s="56">
        <f>IF(AP1176=15,K1176,0)</f>
        <v>0</v>
      </c>
      <c r="AN1176" s="56">
        <f>IF(AP1176=21,K1176,0)</f>
        <v>0</v>
      </c>
      <c r="AP1176" s="56">
        <v>21</v>
      </c>
      <c r="AQ1176" s="88">
        <f>H1176*0.416098744245144</f>
        <v>0</v>
      </c>
      <c r="AR1176" s="88">
        <f>H1176*(1-0.416098744245144)</f>
        <v>0</v>
      </c>
      <c r="AS1176" s="21" t="s">
        <v>2311</v>
      </c>
      <c r="AX1176" s="56">
        <f>AY1176+AZ1176</f>
        <v>0</v>
      </c>
      <c r="AY1176" s="56">
        <f>G1176*AQ1176</f>
        <v>0</v>
      </c>
      <c r="AZ1176" s="56">
        <f>G1176*AR1176</f>
        <v>0</v>
      </c>
      <c r="BA1176" s="21" t="s">
        <v>1464</v>
      </c>
      <c r="BB1176" s="21" t="s">
        <v>1155</v>
      </c>
      <c r="BC1176" s="7" t="s">
        <v>976</v>
      </c>
      <c r="BE1176" s="56">
        <f>AY1176+AZ1176</f>
        <v>0</v>
      </c>
      <c r="BF1176" s="56">
        <f>H1176/(100-BG1176)*100</f>
        <v>0</v>
      </c>
      <c r="BG1176" s="56">
        <v>0</v>
      </c>
      <c r="BH1176" s="56">
        <f>M1176</f>
        <v>0.10819999999999999</v>
      </c>
      <c r="BJ1176" s="56">
        <f>G1176*AQ1176</f>
        <v>0</v>
      </c>
      <c r="BK1176" s="56">
        <f>G1176*AR1176</f>
        <v>0</v>
      </c>
      <c r="BL1176" s="56">
        <f>G1176*H1176</f>
        <v>0</v>
      </c>
      <c r="BM1176" s="56"/>
      <c r="BN1176" s="56">
        <v>722</v>
      </c>
    </row>
    <row r="1177" spans="1:66" ht="15" customHeight="1">
      <c r="A1177" s="36"/>
      <c r="D1177" s="45" t="s">
        <v>109</v>
      </c>
      <c r="E1177" s="104" t="s">
        <v>1597</v>
      </c>
      <c r="G1177" s="13">
        <v>20</v>
      </c>
      <c r="N1177" s="19"/>
      <c r="P1177" s="592"/>
      <c r="Q1177" s="592"/>
      <c r="R1177" s="592"/>
      <c r="S1177" s="592"/>
      <c r="T1177" s="592"/>
      <c r="U1177" s="592"/>
      <c r="V1177" s="592"/>
      <c r="W1177" s="592"/>
      <c r="X1177" s="592"/>
    </row>
    <row r="1178" spans="1:66" ht="15" customHeight="1">
      <c r="A1178" s="24" t="s">
        <v>253</v>
      </c>
      <c r="B1178" s="12" t="s">
        <v>714</v>
      </c>
      <c r="C1178" s="12" t="s">
        <v>2326</v>
      </c>
      <c r="D1178" s="630" t="s">
        <v>414</v>
      </c>
      <c r="E1178" s="630"/>
      <c r="F1178" s="12" t="s">
        <v>1923</v>
      </c>
      <c r="G1178" s="56">
        <v>2</v>
      </c>
      <c r="H1178" s="625"/>
      <c r="I1178" s="56">
        <f>G1178*AQ1178</f>
        <v>0</v>
      </c>
      <c r="J1178" s="56">
        <f>G1178*AR1178</f>
        <v>0</v>
      </c>
      <c r="K1178" s="56">
        <f>G1178*H1178</f>
        <v>0</v>
      </c>
      <c r="L1178" s="56">
        <v>5.7299999999999999E-3</v>
      </c>
      <c r="M1178" s="56">
        <f>G1178*L1178</f>
        <v>1.146E-2</v>
      </c>
      <c r="N1178" s="31" t="s">
        <v>1579</v>
      </c>
      <c r="P1178" s="592"/>
      <c r="Q1178" s="592"/>
      <c r="R1178" s="592"/>
      <c r="S1178" s="592"/>
      <c r="T1178" s="592"/>
      <c r="U1178" s="592"/>
      <c r="V1178" s="592"/>
      <c r="W1178" s="592"/>
      <c r="X1178" s="592"/>
      <c r="AB1178" s="56">
        <f>IF(AS1178="5",BL1178,0)</f>
        <v>0</v>
      </c>
      <c r="AD1178" s="56">
        <f>IF(AS1178="1",BJ1178,0)</f>
        <v>0</v>
      </c>
      <c r="AE1178" s="56">
        <f>IF(AS1178="1",BK1178,0)</f>
        <v>0</v>
      </c>
      <c r="AF1178" s="56">
        <f>IF(AS1178="7",BJ1178,0)</f>
        <v>0</v>
      </c>
      <c r="AG1178" s="56">
        <f>IF(AS1178="7",BK1178,0)</f>
        <v>0</v>
      </c>
      <c r="AH1178" s="56">
        <f>IF(AS1178="2",BJ1178,0)</f>
        <v>0</v>
      </c>
      <c r="AI1178" s="56">
        <f>IF(AS1178="2",BK1178,0)</f>
        <v>0</v>
      </c>
      <c r="AJ1178" s="56">
        <f>IF(AS1178="0",BL1178,0)</f>
        <v>0</v>
      </c>
      <c r="AK1178" s="7" t="s">
        <v>714</v>
      </c>
      <c r="AL1178" s="56">
        <f>IF(AP1178=0,K1178,0)</f>
        <v>0</v>
      </c>
      <c r="AM1178" s="56">
        <f>IF(AP1178=15,K1178,0)</f>
        <v>0</v>
      </c>
      <c r="AN1178" s="56">
        <f>IF(AP1178=21,K1178,0)</f>
        <v>0</v>
      </c>
      <c r="AP1178" s="56">
        <v>21</v>
      </c>
      <c r="AQ1178" s="88">
        <f>H1178*0.537450523864959</f>
        <v>0</v>
      </c>
      <c r="AR1178" s="88">
        <f>H1178*(1-0.537450523864959)</f>
        <v>0</v>
      </c>
      <c r="AS1178" s="21" t="s">
        <v>2311</v>
      </c>
      <c r="AX1178" s="56">
        <f>AY1178+AZ1178</f>
        <v>0</v>
      </c>
      <c r="AY1178" s="56">
        <f>G1178*AQ1178</f>
        <v>0</v>
      </c>
      <c r="AZ1178" s="56">
        <f>G1178*AR1178</f>
        <v>0</v>
      </c>
      <c r="BA1178" s="21" t="s">
        <v>1464</v>
      </c>
      <c r="BB1178" s="21" t="s">
        <v>1155</v>
      </c>
      <c r="BC1178" s="7" t="s">
        <v>976</v>
      </c>
      <c r="BE1178" s="56">
        <f>AY1178+AZ1178</f>
        <v>0</v>
      </c>
      <c r="BF1178" s="56">
        <f>H1178/(100-BG1178)*100</f>
        <v>0</v>
      </c>
      <c r="BG1178" s="56">
        <v>0</v>
      </c>
      <c r="BH1178" s="56">
        <f>M1178</f>
        <v>1.146E-2</v>
      </c>
      <c r="BJ1178" s="56">
        <f>G1178*AQ1178</f>
        <v>0</v>
      </c>
      <c r="BK1178" s="56">
        <f>G1178*AR1178</f>
        <v>0</v>
      </c>
      <c r="BL1178" s="56">
        <f>G1178*H1178</f>
        <v>0</v>
      </c>
      <c r="BM1178" s="56"/>
      <c r="BN1178" s="56">
        <v>722</v>
      </c>
    </row>
    <row r="1179" spans="1:66" ht="15" customHeight="1">
      <c r="A1179" s="36"/>
      <c r="D1179" s="45" t="s">
        <v>1589</v>
      </c>
      <c r="E1179" s="104" t="s">
        <v>1597</v>
      </c>
      <c r="G1179" s="13">
        <v>2</v>
      </c>
      <c r="N1179" s="19"/>
      <c r="P1179" s="592"/>
      <c r="Q1179" s="592"/>
      <c r="R1179" s="592"/>
      <c r="S1179" s="592"/>
      <c r="T1179" s="592"/>
      <c r="U1179" s="592"/>
      <c r="V1179" s="592"/>
      <c r="W1179" s="592"/>
      <c r="X1179" s="592"/>
    </row>
    <row r="1180" spans="1:66" ht="15" customHeight="1">
      <c r="A1180" s="24" t="s">
        <v>2617</v>
      </c>
      <c r="B1180" s="12" t="s">
        <v>714</v>
      </c>
      <c r="C1180" s="12" t="s">
        <v>469</v>
      </c>
      <c r="D1180" s="630" t="s">
        <v>3629</v>
      </c>
      <c r="E1180" s="630"/>
      <c r="F1180" s="12" t="s">
        <v>1923</v>
      </c>
      <c r="G1180" s="56">
        <v>70</v>
      </c>
      <c r="H1180" s="625"/>
      <c r="I1180" s="56">
        <f>G1180*AQ1180</f>
        <v>0</v>
      </c>
      <c r="J1180" s="56">
        <f>G1180*AR1180</f>
        <v>0</v>
      </c>
      <c r="K1180" s="56">
        <f>G1180*H1180</f>
        <v>0</v>
      </c>
      <c r="L1180" s="56">
        <v>2.0000000000000002E-5</v>
      </c>
      <c r="M1180" s="56">
        <f>G1180*L1180</f>
        <v>1.4000000000000002E-3</v>
      </c>
      <c r="N1180" s="31" t="s">
        <v>1579</v>
      </c>
      <c r="P1180" s="592"/>
      <c r="Q1180" s="592"/>
      <c r="R1180" s="592"/>
      <c r="S1180" s="592"/>
      <c r="T1180" s="592"/>
      <c r="U1180" s="592"/>
      <c r="V1180" s="592"/>
      <c r="W1180" s="592"/>
      <c r="X1180" s="592"/>
      <c r="AB1180" s="56">
        <f>IF(AS1180="5",BL1180,0)</f>
        <v>0</v>
      </c>
      <c r="AD1180" s="56">
        <f>IF(AS1180="1",BJ1180,0)</f>
        <v>0</v>
      </c>
      <c r="AE1180" s="56">
        <f>IF(AS1180="1",BK1180,0)</f>
        <v>0</v>
      </c>
      <c r="AF1180" s="56">
        <f>IF(AS1180="7",BJ1180,0)</f>
        <v>0</v>
      </c>
      <c r="AG1180" s="56">
        <f>IF(AS1180="7",BK1180,0)</f>
        <v>0</v>
      </c>
      <c r="AH1180" s="56">
        <f>IF(AS1180="2",BJ1180,0)</f>
        <v>0</v>
      </c>
      <c r="AI1180" s="56">
        <f>IF(AS1180="2",BK1180,0)</f>
        <v>0</v>
      </c>
      <c r="AJ1180" s="56">
        <f>IF(AS1180="0",BL1180,0)</f>
        <v>0</v>
      </c>
      <c r="AK1180" s="7" t="s">
        <v>714</v>
      </c>
      <c r="AL1180" s="56">
        <f>IF(AP1180=0,K1180,0)</f>
        <v>0</v>
      </c>
      <c r="AM1180" s="56">
        <f>IF(AP1180=15,K1180,0)</f>
        <v>0</v>
      </c>
      <c r="AN1180" s="56">
        <f>IF(AP1180=21,K1180,0)</f>
        <v>0</v>
      </c>
      <c r="AP1180" s="56">
        <v>21</v>
      </c>
      <c r="AQ1180" s="88">
        <f>H1180*0.18894472361809</f>
        <v>0</v>
      </c>
      <c r="AR1180" s="88">
        <f>H1180*(1-0.18894472361809)</f>
        <v>0</v>
      </c>
      <c r="AS1180" s="21" t="s">
        <v>2311</v>
      </c>
      <c r="AX1180" s="56">
        <f>AY1180+AZ1180</f>
        <v>0</v>
      </c>
      <c r="AY1180" s="56">
        <f>G1180*AQ1180</f>
        <v>0</v>
      </c>
      <c r="AZ1180" s="56">
        <f>G1180*AR1180</f>
        <v>0</v>
      </c>
      <c r="BA1180" s="21" t="s">
        <v>1464</v>
      </c>
      <c r="BB1180" s="21" t="s">
        <v>1155</v>
      </c>
      <c r="BC1180" s="7" t="s">
        <v>976</v>
      </c>
      <c r="BE1180" s="56">
        <f>AY1180+AZ1180</f>
        <v>0</v>
      </c>
      <c r="BF1180" s="56">
        <f>H1180/(100-BG1180)*100</f>
        <v>0</v>
      </c>
      <c r="BG1180" s="56">
        <v>0</v>
      </c>
      <c r="BH1180" s="56">
        <f>M1180</f>
        <v>1.4000000000000002E-3</v>
      </c>
      <c r="BJ1180" s="56">
        <f>G1180*AQ1180</f>
        <v>0</v>
      </c>
      <c r="BK1180" s="56">
        <f>G1180*AR1180</f>
        <v>0</v>
      </c>
      <c r="BL1180" s="56">
        <f>G1180*H1180</f>
        <v>0</v>
      </c>
      <c r="BM1180" s="56"/>
      <c r="BN1180" s="56">
        <v>722</v>
      </c>
    </row>
    <row r="1181" spans="1:66" ht="15" customHeight="1">
      <c r="A1181" s="36"/>
      <c r="D1181" s="45" t="s">
        <v>1825</v>
      </c>
      <c r="E1181" s="104" t="s">
        <v>1597</v>
      </c>
      <c r="G1181" s="13">
        <v>70</v>
      </c>
      <c r="N1181" s="19"/>
      <c r="P1181" s="592"/>
      <c r="Q1181" s="592"/>
      <c r="R1181" s="592"/>
      <c r="S1181" s="592"/>
      <c r="T1181" s="592"/>
      <c r="U1181" s="592"/>
      <c r="V1181" s="592"/>
      <c r="W1181" s="592"/>
      <c r="X1181" s="592"/>
    </row>
    <row r="1182" spans="1:66" ht="15" customHeight="1">
      <c r="A1182" s="24" t="s">
        <v>1740</v>
      </c>
      <c r="B1182" s="12" t="s">
        <v>714</v>
      </c>
      <c r="C1182" s="12" t="s">
        <v>2154</v>
      </c>
      <c r="D1182" s="630" t="s">
        <v>3630</v>
      </c>
      <c r="E1182" s="630"/>
      <c r="F1182" s="12" t="s">
        <v>1923</v>
      </c>
      <c r="G1182" s="56">
        <v>18</v>
      </c>
      <c r="H1182" s="625"/>
      <c r="I1182" s="56">
        <f>G1182*AQ1182</f>
        <v>0</v>
      </c>
      <c r="J1182" s="56">
        <f>G1182*AR1182</f>
        <v>0</v>
      </c>
      <c r="K1182" s="56">
        <f>G1182*H1182</f>
        <v>0</v>
      </c>
      <c r="L1182" s="56">
        <v>5.0000000000000002E-5</v>
      </c>
      <c r="M1182" s="56">
        <f>G1182*L1182</f>
        <v>9.0000000000000008E-4</v>
      </c>
      <c r="N1182" s="31" t="s">
        <v>1579</v>
      </c>
      <c r="P1182" s="592"/>
      <c r="Q1182" s="592"/>
      <c r="R1182" s="592"/>
      <c r="S1182" s="592"/>
      <c r="T1182" s="592"/>
      <c r="U1182" s="592"/>
      <c r="V1182" s="592"/>
      <c r="W1182" s="592"/>
      <c r="X1182" s="592"/>
      <c r="AB1182" s="56">
        <f>IF(AS1182="5",BL1182,0)</f>
        <v>0</v>
      </c>
      <c r="AD1182" s="56">
        <f>IF(AS1182="1",BJ1182,0)</f>
        <v>0</v>
      </c>
      <c r="AE1182" s="56">
        <f>IF(AS1182="1",BK1182,0)</f>
        <v>0</v>
      </c>
      <c r="AF1182" s="56">
        <f>IF(AS1182="7",BJ1182,0)</f>
        <v>0</v>
      </c>
      <c r="AG1182" s="56">
        <f>IF(AS1182="7",BK1182,0)</f>
        <v>0</v>
      </c>
      <c r="AH1182" s="56">
        <f>IF(AS1182="2",BJ1182,0)</f>
        <v>0</v>
      </c>
      <c r="AI1182" s="56">
        <f>IF(AS1182="2",BK1182,0)</f>
        <v>0</v>
      </c>
      <c r="AJ1182" s="56">
        <f>IF(AS1182="0",BL1182,0)</f>
        <v>0</v>
      </c>
      <c r="AK1182" s="7" t="s">
        <v>714</v>
      </c>
      <c r="AL1182" s="56">
        <f>IF(AP1182=0,K1182,0)</f>
        <v>0</v>
      </c>
      <c r="AM1182" s="56">
        <f>IF(AP1182=15,K1182,0)</f>
        <v>0</v>
      </c>
      <c r="AN1182" s="56">
        <f>IF(AP1182=21,K1182,0)</f>
        <v>0</v>
      </c>
      <c r="AP1182" s="56">
        <v>21</v>
      </c>
      <c r="AQ1182" s="88">
        <f>H1182*0.218151815181518</f>
        <v>0</v>
      </c>
      <c r="AR1182" s="88">
        <f>H1182*(1-0.218151815181518)</f>
        <v>0</v>
      </c>
      <c r="AS1182" s="21" t="s">
        <v>2311</v>
      </c>
      <c r="AX1182" s="56">
        <f>AY1182+AZ1182</f>
        <v>0</v>
      </c>
      <c r="AY1182" s="56">
        <f>G1182*AQ1182</f>
        <v>0</v>
      </c>
      <c r="AZ1182" s="56">
        <f>G1182*AR1182</f>
        <v>0</v>
      </c>
      <c r="BA1182" s="21" t="s">
        <v>1464</v>
      </c>
      <c r="BB1182" s="21" t="s">
        <v>1155</v>
      </c>
      <c r="BC1182" s="7" t="s">
        <v>976</v>
      </c>
      <c r="BE1182" s="56">
        <f>AY1182+AZ1182</f>
        <v>0</v>
      </c>
      <c r="BF1182" s="56">
        <f>H1182/(100-BG1182)*100</f>
        <v>0</v>
      </c>
      <c r="BG1182" s="56">
        <v>0</v>
      </c>
      <c r="BH1182" s="56">
        <f>M1182</f>
        <v>9.0000000000000008E-4</v>
      </c>
      <c r="BJ1182" s="56">
        <f>G1182*AQ1182</f>
        <v>0</v>
      </c>
      <c r="BK1182" s="56">
        <f>G1182*AR1182</f>
        <v>0</v>
      </c>
      <c r="BL1182" s="56">
        <f>G1182*H1182</f>
        <v>0</v>
      </c>
      <c r="BM1182" s="56"/>
      <c r="BN1182" s="56">
        <v>722</v>
      </c>
    </row>
    <row r="1183" spans="1:66" ht="15" customHeight="1">
      <c r="A1183" s="36"/>
      <c r="D1183" s="45" t="s">
        <v>1846</v>
      </c>
      <c r="E1183" s="104" t="s">
        <v>1597</v>
      </c>
      <c r="G1183" s="13">
        <v>18</v>
      </c>
      <c r="N1183" s="19"/>
      <c r="P1183" s="592"/>
      <c r="Q1183" s="592"/>
      <c r="R1183" s="592"/>
      <c r="S1183" s="592"/>
      <c r="T1183" s="592"/>
      <c r="U1183" s="592"/>
      <c r="V1183" s="592"/>
      <c r="W1183" s="592"/>
      <c r="X1183" s="592"/>
    </row>
    <row r="1184" spans="1:66" ht="15" customHeight="1">
      <c r="A1184" s="24" t="s">
        <v>1696</v>
      </c>
      <c r="B1184" s="12" t="s">
        <v>714</v>
      </c>
      <c r="C1184" s="12" t="s">
        <v>1150</v>
      </c>
      <c r="D1184" s="630" t="s">
        <v>3631</v>
      </c>
      <c r="E1184" s="630"/>
      <c r="F1184" s="12" t="s">
        <v>1923</v>
      </c>
      <c r="G1184" s="56">
        <v>130</v>
      </c>
      <c r="H1184" s="625"/>
      <c r="I1184" s="56">
        <f>G1184*AQ1184</f>
        <v>0</v>
      </c>
      <c r="J1184" s="56">
        <f>G1184*AR1184</f>
        <v>0</v>
      </c>
      <c r="K1184" s="56">
        <f>G1184*H1184</f>
        <v>0</v>
      </c>
      <c r="L1184" s="56">
        <v>6.0000000000000002E-5</v>
      </c>
      <c r="M1184" s="56">
        <f>G1184*L1184</f>
        <v>7.8000000000000005E-3</v>
      </c>
      <c r="N1184" s="31" t="s">
        <v>1579</v>
      </c>
      <c r="P1184" s="592"/>
      <c r="Q1184" s="592"/>
      <c r="R1184" s="592"/>
      <c r="S1184" s="592"/>
      <c r="T1184" s="592"/>
      <c r="U1184" s="592"/>
      <c r="V1184" s="592"/>
      <c r="W1184" s="592"/>
      <c r="X1184" s="592"/>
      <c r="AB1184" s="56">
        <f>IF(AS1184="5",BL1184,0)</f>
        <v>0</v>
      </c>
      <c r="AD1184" s="56">
        <f>IF(AS1184="1",BJ1184,0)</f>
        <v>0</v>
      </c>
      <c r="AE1184" s="56">
        <f>IF(AS1184="1",BK1184,0)</f>
        <v>0</v>
      </c>
      <c r="AF1184" s="56">
        <f>IF(AS1184="7",BJ1184,0)</f>
        <v>0</v>
      </c>
      <c r="AG1184" s="56">
        <f>IF(AS1184="7",BK1184,0)</f>
        <v>0</v>
      </c>
      <c r="AH1184" s="56">
        <f>IF(AS1184="2",BJ1184,0)</f>
        <v>0</v>
      </c>
      <c r="AI1184" s="56">
        <f>IF(AS1184="2",BK1184,0)</f>
        <v>0</v>
      </c>
      <c r="AJ1184" s="56">
        <f>IF(AS1184="0",BL1184,0)</f>
        <v>0</v>
      </c>
      <c r="AK1184" s="7" t="s">
        <v>714</v>
      </c>
      <c r="AL1184" s="56">
        <f>IF(AP1184=0,K1184,0)</f>
        <v>0</v>
      </c>
      <c r="AM1184" s="56">
        <f>IF(AP1184=15,K1184,0)</f>
        <v>0</v>
      </c>
      <c r="AN1184" s="56">
        <f>IF(AP1184=21,K1184,0)</f>
        <v>0</v>
      </c>
      <c r="AP1184" s="56">
        <v>21</v>
      </c>
      <c r="AQ1184" s="88">
        <f>H1184*0.212698412698413</f>
        <v>0</v>
      </c>
      <c r="AR1184" s="88">
        <f>H1184*(1-0.212698412698413)</f>
        <v>0</v>
      </c>
      <c r="AS1184" s="21" t="s">
        <v>2311</v>
      </c>
      <c r="AX1184" s="56">
        <f>AY1184+AZ1184</f>
        <v>0</v>
      </c>
      <c r="AY1184" s="56">
        <f>G1184*AQ1184</f>
        <v>0</v>
      </c>
      <c r="AZ1184" s="56">
        <f>G1184*AR1184</f>
        <v>0</v>
      </c>
      <c r="BA1184" s="21" t="s">
        <v>1464</v>
      </c>
      <c r="BB1184" s="21" t="s">
        <v>1155</v>
      </c>
      <c r="BC1184" s="7" t="s">
        <v>976</v>
      </c>
      <c r="BE1184" s="56">
        <f>AY1184+AZ1184</f>
        <v>0</v>
      </c>
      <c r="BF1184" s="56">
        <f>H1184/(100-BG1184)*100</f>
        <v>0</v>
      </c>
      <c r="BG1184" s="56">
        <v>0</v>
      </c>
      <c r="BH1184" s="56">
        <f>M1184</f>
        <v>7.8000000000000005E-3</v>
      </c>
      <c r="BJ1184" s="56">
        <f>G1184*AQ1184</f>
        <v>0</v>
      </c>
      <c r="BK1184" s="56">
        <f>G1184*AR1184</f>
        <v>0</v>
      </c>
      <c r="BL1184" s="56">
        <f>G1184*H1184</f>
        <v>0</v>
      </c>
      <c r="BM1184" s="56"/>
      <c r="BN1184" s="56">
        <v>722</v>
      </c>
    </row>
    <row r="1185" spans="1:66" ht="15" customHeight="1">
      <c r="A1185" s="36"/>
      <c r="D1185" s="45" t="s">
        <v>612</v>
      </c>
      <c r="E1185" s="104" t="s">
        <v>1597</v>
      </c>
      <c r="G1185" s="13">
        <v>130</v>
      </c>
      <c r="N1185" s="19"/>
      <c r="P1185" s="592"/>
      <c r="Q1185" s="592"/>
      <c r="R1185" s="592"/>
      <c r="S1185" s="592"/>
      <c r="T1185" s="592"/>
      <c r="U1185" s="592"/>
      <c r="V1185" s="592"/>
      <c r="W1185" s="592"/>
      <c r="X1185" s="592"/>
    </row>
    <row r="1186" spans="1:66" ht="15" customHeight="1">
      <c r="A1186" s="24" t="s">
        <v>2305</v>
      </c>
      <c r="B1186" s="12" t="s">
        <v>714</v>
      </c>
      <c r="C1186" s="12" t="s">
        <v>2464</v>
      </c>
      <c r="D1186" s="630" t="s">
        <v>3632</v>
      </c>
      <c r="E1186" s="630"/>
      <c r="F1186" s="12" t="s">
        <v>1923</v>
      </c>
      <c r="G1186" s="56">
        <v>16</v>
      </c>
      <c r="H1186" s="625"/>
      <c r="I1186" s="56">
        <f>G1186*AQ1186</f>
        <v>0</v>
      </c>
      <c r="J1186" s="56">
        <f>G1186*AR1186</f>
        <v>0</v>
      </c>
      <c r="K1186" s="56">
        <f>G1186*H1186</f>
        <v>0</v>
      </c>
      <c r="L1186" s="56">
        <v>6.0000000000000002E-5</v>
      </c>
      <c r="M1186" s="56">
        <f>G1186*L1186</f>
        <v>9.6000000000000002E-4</v>
      </c>
      <c r="N1186" s="31" t="s">
        <v>1579</v>
      </c>
      <c r="P1186" s="592"/>
      <c r="Q1186" s="592"/>
      <c r="R1186" s="592"/>
      <c r="S1186" s="592"/>
      <c r="T1186" s="592"/>
      <c r="U1186" s="592"/>
      <c r="V1186" s="592"/>
      <c r="W1186" s="592"/>
      <c r="X1186" s="592"/>
      <c r="AB1186" s="56">
        <f>IF(AS1186="5",BL1186,0)</f>
        <v>0</v>
      </c>
      <c r="AD1186" s="56">
        <f>IF(AS1186="1",BJ1186,0)</f>
        <v>0</v>
      </c>
      <c r="AE1186" s="56">
        <f>IF(AS1186="1",BK1186,0)</f>
        <v>0</v>
      </c>
      <c r="AF1186" s="56">
        <f>IF(AS1186="7",BJ1186,0)</f>
        <v>0</v>
      </c>
      <c r="AG1186" s="56">
        <f>IF(AS1186="7",BK1186,0)</f>
        <v>0</v>
      </c>
      <c r="AH1186" s="56">
        <f>IF(AS1186="2",BJ1186,0)</f>
        <v>0</v>
      </c>
      <c r="AI1186" s="56">
        <f>IF(AS1186="2",BK1186,0)</f>
        <v>0</v>
      </c>
      <c r="AJ1186" s="56">
        <f>IF(AS1186="0",BL1186,0)</f>
        <v>0</v>
      </c>
      <c r="AK1186" s="7" t="s">
        <v>714</v>
      </c>
      <c r="AL1186" s="56">
        <f>IF(AP1186=0,K1186,0)</f>
        <v>0</v>
      </c>
      <c r="AM1186" s="56">
        <f>IF(AP1186=15,K1186,0)</f>
        <v>0</v>
      </c>
      <c r="AN1186" s="56">
        <f>IF(AP1186=21,K1186,0)</f>
        <v>0</v>
      </c>
      <c r="AP1186" s="56">
        <v>21</v>
      </c>
      <c r="AQ1186" s="88">
        <f>H1186*0.276880733944954</f>
        <v>0</v>
      </c>
      <c r="AR1186" s="88">
        <f>H1186*(1-0.276880733944954)</f>
        <v>0</v>
      </c>
      <c r="AS1186" s="21" t="s">
        <v>2311</v>
      </c>
      <c r="AX1186" s="56">
        <f>AY1186+AZ1186</f>
        <v>0</v>
      </c>
      <c r="AY1186" s="56">
        <f>G1186*AQ1186</f>
        <v>0</v>
      </c>
      <c r="AZ1186" s="56">
        <f>G1186*AR1186</f>
        <v>0</v>
      </c>
      <c r="BA1186" s="21" t="s">
        <v>1464</v>
      </c>
      <c r="BB1186" s="21" t="s">
        <v>1155</v>
      </c>
      <c r="BC1186" s="7" t="s">
        <v>976</v>
      </c>
      <c r="BE1186" s="56">
        <f>AY1186+AZ1186</f>
        <v>0</v>
      </c>
      <c r="BF1186" s="56">
        <f>H1186/(100-BG1186)*100</f>
        <v>0</v>
      </c>
      <c r="BG1186" s="56">
        <v>0</v>
      </c>
      <c r="BH1186" s="56">
        <f>M1186</f>
        <v>9.6000000000000002E-4</v>
      </c>
      <c r="BJ1186" s="56">
        <f>G1186*AQ1186</f>
        <v>0</v>
      </c>
      <c r="BK1186" s="56">
        <f>G1186*AR1186</f>
        <v>0</v>
      </c>
      <c r="BL1186" s="56">
        <f>G1186*H1186</f>
        <v>0</v>
      </c>
      <c r="BM1186" s="56"/>
      <c r="BN1186" s="56">
        <v>722</v>
      </c>
    </row>
    <row r="1187" spans="1:66" ht="15" customHeight="1">
      <c r="A1187" s="36"/>
      <c r="D1187" s="45" t="s">
        <v>213</v>
      </c>
      <c r="E1187" s="104" t="s">
        <v>1597</v>
      </c>
      <c r="G1187" s="13">
        <v>16</v>
      </c>
      <c r="N1187" s="19"/>
      <c r="P1187" s="592"/>
      <c r="Q1187" s="592"/>
      <c r="R1187" s="592"/>
      <c r="S1187" s="592"/>
      <c r="T1187" s="592"/>
      <c r="U1187" s="592"/>
      <c r="V1187" s="592"/>
      <c r="W1187" s="592"/>
      <c r="X1187" s="592"/>
    </row>
    <row r="1188" spans="1:66" ht="15" customHeight="1">
      <c r="A1188" s="24" t="s">
        <v>270</v>
      </c>
      <c r="B1188" s="12" t="s">
        <v>714</v>
      </c>
      <c r="C1188" s="12" t="s">
        <v>2464</v>
      </c>
      <c r="D1188" s="630" t="s">
        <v>3633</v>
      </c>
      <c r="E1188" s="630"/>
      <c r="F1188" s="12" t="s">
        <v>1923</v>
      </c>
      <c r="G1188" s="56">
        <v>25</v>
      </c>
      <c r="H1188" s="625"/>
      <c r="I1188" s="56">
        <f>G1188*AQ1188</f>
        <v>0</v>
      </c>
      <c r="J1188" s="56">
        <f>G1188*AR1188</f>
        <v>0</v>
      </c>
      <c r="K1188" s="56">
        <f>G1188*H1188</f>
        <v>0</v>
      </c>
      <c r="L1188" s="56">
        <v>6.0000000000000002E-5</v>
      </c>
      <c r="M1188" s="56">
        <f>G1188*L1188</f>
        <v>1.5E-3</v>
      </c>
      <c r="N1188" s="31" t="s">
        <v>1579</v>
      </c>
      <c r="P1188" s="592"/>
      <c r="Q1188" s="592"/>
      <c r="R1188" s="592"/>
      <c r="S1188" s="592"/>
      <c r="T1188" s="592"/>
      <c r="U1188" s="592"/>
      <c r="V1188" s="592"/>
      <c r="W1188" s="592"/>
      <c r="X1188" s="592"/>
      <c r="AB1188" s="56">
        <f>IF(AS1188="5",BL1188,0)</f>
        <v>0</v>
      </c>
      <c r="AD1188" s="56">
        <f>IF(AS1188="1",BJ1188,0)</f>
        <v>0</v>
      </c>
      <c r="AE1188" s="56">
        <f>IF(AS1188="1",BK1188,0)</f>
        <v>0</v>
      </c>
      <c r="AF1188" s="56">
        <f>IF(AS1188="7",BJ1188,0)</f>
        <v>0</v>
      </c>
      <c r="AG1188" s="56">
        <f>IF(AS1188="7",BK1188,0)</f>
        <v>0</v>
      </c>
      <c r="AH1188" s="56">
        <f>IF(AS1188="2",BJ1188,0)</f>
        <v>0</v>
      </c>
      <c r="AI1188" s="56">
        <f>IF(AS1188="2",BK1188,0)</f>
        <v>0</v>
      </c>
      <c r="AJ1188" s="56">
        <f>IF(AS1188="0",BL1188,0)</f>
        <v>0</v>
      </c>
      <c r="AK1188" s="7" t="s">
        <v>714</v>
      </c>
      <c r="AL1188" s="56">
        <f>IF(AP1188=0,K1188,0)</f>
        <v>0</v>
      </c>
      <c r="AM1188" s="56">
        <f>IF(AP1188=15,K1188,0)</f>
        <v>0</v>
      </c>
      <c r="AN1188" s="56">
        <f>IF(AP1188=21,K1188,0)</f>
        <v>0</v>
      </c>
      <c r="AP1188" s="56">
        <v>21</v>
      </c>
      <c r="AQ1188" s="88">
        <f>H1188*0.276880733944954</f>
        <v>0</v>
      </c>
      <c r="AR1188" s="88">
        <f>H1188*(1-0.276880733944954)</f>
        <v>0</v>
      </c>
      <c r="AS1188" s="21" t="s">
        <v>2311</v>
      </c>
      <c r="AX1188" s="56">
        <f>AY1188+AZ1188</f>
        <v>0</v>
      </c>
      <c r="AY1188" s="56">
        <f>G1188*AQ1188</f>
        <v>0</v>
      </c>
      <c r="AZ1188" s="56">
        <f>G1188*AR1188</f>
        <v>0</v>
      </c>
      <c r="BA1188" s="21" t="s">
        <v>1464</v>
      </c>
      <c r="BB1188" s="21" t="s">
        <v>1155</v>
      </c>
      <c r="BC1188" s="7" t="s">
        <v>976</v>
      </c>
      <c r="BE1188" s="56">
        <f>AY1188+AZ1188</f>
        <v>0</v>
      </c>
      <c r="BF1188" s="56">
        <f>H1188/(100-BG1188)*100</f>
        <v>0</v>
      </c>
      <c r="BG1188" s="56">
        <v>0</v>
      </c>
      <c r="BH1188" s="56">
        <f>M1188</f>
        <v>1.5E-3</v>
      </c>
      <c r="BJ1188" s="56">
        <f>G1188*AQ1188</f>
        <v>0</v>
      </c>
      <c r="BK1188" s="56">
        <f>G1188*AR1188</f>
        <v>0</v>
      </c>
      <c r="BL1188" s="56">
        <f>G1188*H1188</f>
        <v>0</v>
      </c>
      <c r="BM1188" s="56"/>
      <c r="BN1188" s="56">
        <v>722</v>
      </c>
    </row>
    <row r="1189" spans="1:66" ht="15" customHeight="1">
      <c r="A1189" s="36"/>
      <c r="D1189" s="45" t="s">
        <v>562</v>
      </c>
      <c r="E1189" s="104" t="s">
        <v>1597</v>
      </c>
      <c r="G1189" s="13">
        <v>25.000000000000004</v>
      </c>
      <c r="N1189" s="19"/>
      <c r="P1189" s="592"/>
      <c r="Q1189" s="592"/>
      <c r="R1189" s="592"/>
      <c r="S1189" s="592"/>
      <c r="T1189" s="592"/>
      <c r="U1189" s="592"/>
      <c r="V1189" s="592"/>
      <c r="W1189" s="592"/>
      <c r="X1189" s="592"/>
    </row>
    <row r="1190" spans="1:66" ht="15" customHeight="1">
      <c r="A1190" s="24" t="s">
        <v>1308</v>
      </c>
      <c r="B1190" s="12" t="s">
        <v>714</v>
      </c>
      <c r="C1190" s="12" t="s">
        <v>609</v>
      </c>
      <c r="D1190" s="630" t="s">
        <v>3634</v>
      </c>
      <c r="E1190" s="630"/>
      <c r="F1190" s="12" t="s">
        <v>1923</v>
      </c>
      <c r="G1190" s="56">
        <v>13</v>
      </c>
      <c r="H1190" s="625"/>
      <c r="I1190" s="56">
        <f>G1190*AQ1190</f>
        <v>0</v>
      </c>
      <c r="J1190" s="56">
        <f>G1190*AR1190</f>
        <v>0</v>
      </c>
      <c r="K1190" s="56">
        <f>G1190*H1190</f>
        <v>0</v>
      </c>
      <c r="L1190" s="56">
        <v>5.0000000000000002E-5</v>
      </c>
      <c r="M1190" s="56">
        <f>G1190*L1190</f>
        <v>6.5000000000000008E-4</v>
      </c>
      <c r="N1190" s="31" t="s">
        <v>1579</v>
      </c>
      <c r="P1190" s="592"/>
      <c r="Q1190" s="592"/>
      <c r="R1190" s="592"/>
      <c r="S1190" s="592"/>
      <c r="T1190" s="592"/>
      <c r="U1190" s="592"/>
      <c r="V1190" s="592"/>
      <c r="W1190" s="592"/>
      <c r="X1190" s="592"/>
      <c r="AB1190" s="56">
        <f>IF(AS1190="5",BL1190,0)</f>
        <v>0</v>
      </c>
      <c r="AD1190" s="56">
        <f>IF(AS1190="1",BJ1190,0)</f>
        <v>0</v>
      </c>
      <c r="AE1190" s="56">
        <f>IF(AS1190="1",BK1190,0)</f>
        <v>0</v>
      </c>
      <c r="AF1190" s="56">
        <f>IF(AS1190="7",BJ1190,0)</f>
        <v>0</v>
      </c>
      <c r="AG1190" s="56">
        <f>IF(AS1190="7",BK1190,0)</f>
        <v>0</v>
      </c>
      <c r="AH1190" s="56">
        <f>IF(AS1190="2",BJ1190,0)</f>
        <v>0</v>
      </c>
      <c r="AI1190" s="56">
        <f>IF(AS1190="2",BK1190,0)</f>
        <v>0</v>
      </c>
      <c r="AJ1190" s="56">
        <f>IF(AS1190="0",BL1190,0)</f>
        <v>0</v>
      </c>
      <c r="AK1190" s="7" t="s">
        <v>714</v>
      </c>
      <c r="AL1190" s="56">
        <f>IF(AP1190=0,K1190,0)</f>
        <v>0</v>
      </c>
      <c r="AM1190" s="56">
        <f>IF(AP1190=15,K1190,0)</f>
        <v>0</v>
      </c>
      <c r="AN1190" s="56">
        <f>IF(AP1190=21,K1190,0)</f>
        <v>0</v>
      </c>
      <c r="AP1190" s="56">
        <v>21</v>
      </c>
      <c r="AQ1190" s="88">
        <f>H1190*0.408532110091743</f>
        <v>0</v>
      </c>
      <c r="AR1190" s="88">
        <f>H1190*(1-0.408532110091743)</f>
        <v>0</v>
      </c>
      <c r="AS1190" s="21" t="s">
        <v>2311</v>
      </c>
      <c r="AX1190" s="56">
        <f>AY1190+AZ1190</f>
        <v>0</v>
      </c>
      <c r="AY1190" s="56">
        <f>G1190*AQ1190</f>
        <v>0</v>
      </c>
      <c r="AZ1190" s="56">
        <f>G1190*AR1190</f>
        <v>0</v>
      </c>
      <c r="BA1190" s="21" t="s">
        <v>1464</v>
      </c>
      <c r="BB1190" s="21" t="s">
        <v>1155</v>
      </c>
      <c r="BC1190" s="7" t="s">
        <v>976</v>
      </c>
      <c r="BE1190" s="56">
        <f>AY1190+AZ1190</f>
        <v>0</v>
      </c>
      <c r="BF1190" s="56">
        <f>H1190/(100-BG1190)*100</f>
        <v>0</v>
      </c>
      <c r="BG1190" s="56">
        <v>0</v>
      </c>
      <c r="BH1190" s="56">
        <f>M1190</f>
        <v>6.5000000000000008E-4</v>
      </c>
      <c r="BJ1190" s="56">
        <f>G1190*AQ1190</f>
        <v>0</v>
      </c>
      <c r="BK1190" s="56">
        <f>G1190*AR1190</f>
        <v>0</v>
      </c>
      <c r="BL1190" s="56">
        <f>G1190*H1190</f>
        <v>0</v>
      </c>
      <c r="BM1190" s="56"/>
      <c r="BN1190" s="56">
        <v>722</v>
      </c>
    </row>
    <row r="1191" spans="1:66" ht="15" customHeight="1">
      <c r="A1191" s="36"/>
      <c r="D1191" s="45" t="s">
        <v>668</v>
      </c>
      <c r="E1191" s="104" t="s">
        <v>1597</v>
      </c>
      <c r="G1191" s="13">
        <v>13.000000000000002</v>
      </c>
      <c r="N1191" s="19"/>
      <c r="P1191" s="592"/>
      <c r="Q1191" s="592"/>
      <c r="R1191" s="592"/>
      <c r="S1191" s="592"/>
      <c r="T1191" s="592"/>
      <c r="U1191" s="592"/>
      <c r="V1191" s="592"/>
      <c r="W1191" s="592"/>
      <c r="X1191" s="592"/>
    </row>
    <row r="1192" spans="1:66" ht="15" customHeight="1">
      <c r="A1192" s="24" t="s">
        <v>1727</v>
      </c>
      <c r="B1192" s="12" t="s">
        <v>714</v>
      </c>
      <c r="C1192" s="12" t="s">
        <v>962</v>
      </c>
      <c r="D1192" s="630" t="s">
        <v>3635</v>
      </c>
      <c r="E1192" s="630"/>
      <c r="F1192" s="12" t="s">
        <v>1923</v>
      </c>
      <c r="G1192" s="56">
        <v>165</v>
      </c>
      <c r="H1192" s="625"/>
      <c r="I1192" s="56">
        <f>G1192*AQ1192</f>
        <v>0</v>
      </c>
      <c r="J1192" s="56">
        <f>G1192*AR1192</f>
        <v>0</v>
      </c>
      <c r="K1192" s="56">
        <f>G1192*H1192</f>
        <v>0</v>
      </c>
      <c r="L1192" s="56">
        <v>6.9999999999999994E-5</v>
      </c>
      <c r="M1192" s="56">
        <f>G1192*L1192</f>
        <v>1.155E-2</v>
      </c>
      <c r="N1192" s="31" t="s">
        <v>1579</v>
      </c>
      <c r="P1192" s="592"/>
      <c r="Q1192" s="592"/>
      <c r="R1192" s="592"/>
      <c r="S1192" s="592"/>
      <c r="T1192" s="592"/>
      <c r="U1192" s="592"/>
      <c r="V1192" s="592"/>
      <c r="W1192" s="592"/>
      <c r="X1192" s="592"/>
      <c r="AB1192" s="56">
        <f>IF(AS1192="5",BL1192,0)</f>
        <v>0</v>
      </c>
      <c r="AD1192" s="56">
        <f>IF(AS1192="1",BJ1192,0)</f>
        <v>0</v>
      </c>
      <c r="AE1192" s="56">
        <f>IF(AS1192="1",BK1192,0)</f>
        <v>0</v>
      </c>
      <c r="AF1192" s="56">
        <f>IF(AS1192="7",BJ1192,0)</f>
        <v>0</v>
      </c>
      <c r="AG1192" s="56">
        <f>IF(AS1192="7",BK1192,0)</f>
        <v>0</v>
      </c>
      <c r="AH1192" s="56">
        <f>IF(AS1192="2",BJ1192,0)</f>
        <v>0</v>
      </c>
      <c r="AI1192" s="56">
        <f>IF(AS1192="2",BK1192,0)</f>
        <v>0</v>
      </c>
      <c r="AJ1192" s="56">
        <f>IF(AS1192="0",BL1192,0)</f>
        <v>0</v>
      </c>
      <c r="AK1192" s="7" t="s">
        <v>714</v>
      </c>
      <c r="AL1192" s="56">
        <f>IF(AP1192=0,K1192,0)</f>
        <v>0</v>
      </c>
      <c r="AM1192" s="56">
        <f>IF(AP1192=15,K1192,0)</f>
        <v>0</v>
      </c>
      <c r="AN1192" s="56">
        <f>IF(AP1192=21,K1192,0)</f>
        <v>0</v>
      </c>
      <c r="AP1192" s="56">
        <v>21</v>
      </c>
      <c r="AQ1192" s="88">
        <f>H1192*0.436943231441048</f>
        <v>0</v>
      </c>
      <c r="AR1192" s="88">
        <f>H1192*(1-0.436943231441048)</f>
        <v>0</v>
      </c>
      <c r="AS1192" s="21" t="s">
        <v>2311</v>
      </c>
      <c r="AX1192" s="56">
        <f>AY1192+AZ1192</f>
        <v>0</v>
      </c>
      <c r="AY1192" s="56">
        <f>G1192*AQ1192</f>
        <v>0</v>
      </c>
      <c r="AZ1192" s="56">
        <f>G1192*AR1192</f>
        <v>0</v>
      </c>
      <c r="BA1192" s="21" t="s">
        <v>1464</v>
      </c>
      <c r="BB1192" s="21" t="s">
        <v>1155</v>
      </c>
      <c r="BC1192" s="7" t="s">
        <v>976</v>
      </c>
      <c r="BE1192" s="56">
        <f>AY1192+AZ1192</f>
        <v>0</v>
      </c>
      <c r="BF1192" s="56">
        <f>H1192/(100-BG1192)*100</f>
        <v>0</v>
      </c>
      <c r="BG1192" s="56">
        <v>0</v>
      </c>
      <c r="BH1192" s="56">
        <f>M1192</f>
        <v>1.155E-2</v>
      </c>
      <c r="BJ1192" s="56">
        <f>G1192*AQ1192</f>
        <v>0</v>
      </c>
      <c r="BK1192" s="56">
        <f>G1192*AR1192</f>
        <v>0</v>
      </c>
      <c r="BL1192" s="56">
        <f>G1192*H1192</f>
        <v>0</v>
      </c>
      <c r="BM1192" s="56"/>
      <c r="BN1192" s="56">
        <v>722</v>
      </c>
    </row>
    <row r="1193" spans="1:66" ht="15" customHeight="1">
      <c r="A1193" s="36"/>
      <c r="D1193" s="45" t="s">
        <v>11</v>
      </c>
      <c r="E1193" s="104" t="s">
        <v>1597</v>
      </c>
      <c r="G1193" s="13">
        <v>165</v>
      </c>
      <c r="N1193" s="19"/>
      <c r="P1193" s="592"/>
      <c r="Q1193" s="592"/>
      <c r="R1193" s="592"/>
      <c r="S1193" s="592"/>
      <c r="T1193" s="592"/>
      <c r="U1193" s="592"/>
      <c r="V1193" s="592"/>
      <c r="W1193" s="592"/>
      <c r="X1193" s="592"/>
    </row>
    <row r="1194" spans="1:66" ht="15" customHeight="1">
      <c r="A1194" s="24" t="s">
        <v>2586</v>
      </c>
      <c r="B1194" s="12" t="s">
        <v>714</v>
      </c>
      <c r="C1194" s="12" t="s">
        <v>25</v>
      </c>
      <c r="D1194" s="630" t="s">
        <v>3636</v>
      </c>
      <c r="E1194" s="630"/>
      <c r="F1194" s="12" t="s">
        <v>1923</v>
      </c>
      <c r="G1194" s="56">
        <v>20</v>
      </c>
      <c r="H1194" s="625"/>
      <c r="I1194" s="56">
        <f>G1194*AQ1194</f>
        <v>0</v>
      </c>
      <c r="J1194" s="56">
        <f>G1194*AR1194</f>
        <v>0</v>
      </c>
      <c r="K1194" s="56">
        <f>G1194*H1194</f>
        <v>0</v>
      </c>
      <c r="L1194" s="56">
        <v>6.9999999999999994E-5</v>
      </c>
      <c r="M1194" s="56">
        <f>G1194*L1194</f>
        <v>1.3999999999999998E-3</v>
      </c>
      <c r="N1194" s="31" t="s">
        <v>1579</v>
      </c>
      <c r="P1194" s="592"/>
      <c r="Q1194" s="592"/>
      <c r="R1194" s="592"/>
      <c r="S1194" s="592"/>
      <c r="T1194" s="592"/>
      <c r="U1194" s="592"/>
      <c r="V1194" s="592"/>
      <c r="W1194" s="592"/>
      <c r="X1194" s="592"/>
      <c r="AB1194" s="56">
        <f>IF(AS1194="5",BL1194,0)</f>
        <v>0</v>
      </c>
      <c r="AD1194" s="56">
        <f>IF(AS1194="1",BJ1194,0)</f>
        <v>0</v>
      </c>
      <c r="AE1194" s="56">
        <f>IF(AS1194="1",BK1194,0)</f>
        <v>0</v>
      </c>
      <c r="AF1194" s="56">
        <f>IF(AS1194="7",BJ1194,0)</f>
        <v>0</v>
      </c>
      <c r="AG1194" s="56">
        <f>IF(AS1194="7",BK1194,0)</f>
        <v>0</v>
      </c>
      <c r="AH1194" s="56">
        <f>IF(AS1194="2",BJ1194,0)</f>
        <v>0</v>
      </c>
      <c r="AI1194" s="56">
        <f>IF(AS1194="2",BK1194,0)</f>
        <v>0</v>
      </c>
      <c r="AJ1194" s="56">
        <f>IF(AS1194="0",BL1194,0)</f>
        <v>0</v>
      </c>
      <c r="AK1194" s="7" t="s">
        <v>714</v>
      </c>
      <c r="AL1194" s="56">
        <f>IF(AP1194=0,K1194,0)</f>
        <v>0</v>
      </c>
      <c r="AM1194" s="56">
        <f>IF(AP1194=15,K1194,0)</f>
        <v>0</v>
      </c>
      <c r="AN1194" s="56">
        <f>IF(AP1194=21,K1194,0)</f>
        <v>0</v>
      </c>
      <c r="AP1194" s="56">
        <v>21</v>
      </c>
      <c r="AQ1194" s="88">
        <f>H1194*0.443294117647059</f>
        <v>0</v>
      </c>
      <c r="AR1194" s="88">
        <f>H1194*(1-0.443294117647059)</f>
        <v>0</v>
      </c>
      <c r="AS1194" s="21" t="s">
        <v>2311</v>
      </c>
      <c r="AX1194" s="56">
        <f>AY1194+AZ1194</f>
        <v>0</v>
      </c>
      <c r="AY1194" s="56">
        <f>G1194*AQ1194</f>
        <v>0</v>
      </c>
      <c r="AZ1194" s="56">
        <f>G1194*AR1194</f>
        <v>0</v>
      </c>
      <c r="BA1194" s="21" t="s">
        <v>1464</v>
      </c>
      <c r="BB1194" s="21" t="s">
        <v>1155</v>
      </c>
      <c r="BC1194" s="7" t="s">
        <v>976</v>
      </c>
      <c r="BE1194" s="56">
        <f>AY1194+AZ1194</f>
        <v>0</v>
      </c>
      <c r="BF1194" s="56">
        <f>H1194/(100-BG1194)*100</f>
        <v>0</v>
      </c>
      <c r="BG1194" s="56">
        <v>0</v>
      </c>
      <c r="BH1194" s="56">
        <f>M1194</f>
        <v>1.3999999999999998E-3</v>
      </c>
      <c r="BJ1194" s="56">
        <f>G1194*AQ1194</f>
        <v>0</v>
      </c>
      <c r="BK1194" s="56">
        <f>G1194*AR1194</f>
        <v>0</v>
      </c>
      <c r="BL1194" s="56">
        <f>G1194*H1194</f>
        <v>0</v>
      </c>
      <c r="BM1194" s="56"/>
      <c r="BN1194" s="56">
        <v>722</v>
      </c>
    </row>
    <row r="1195" spans="1:66" ht="15" customHeight="1">
      <c r="A1195" s="36"/>
      <c r="D1195" s="45" t="s">
        <v>109</v>
      </c>
      <c r="E1195" s="104" t="s">
        <v>1597</v>
      </c>
      <c r="G1195" s="13">
        <v>20</v>
      </c>
      <c r="N1195" s="19"/>
      <c r="P1195" s="592"/>
      <c r="Q1195" s="592"/>
      <c r="R1195" s="592"/>
      <c r="S1195" s="592"/>
      <c r="T1195" s="592"/>
      <c r="U1195" s="592"/>
      <c r="V1195" s="592"/>
      <c r="W1195" s="592"/>
      <c r="X1195" s="592"/>
    </row>
    <row r="1196" spans="1:66" ht="15" customHeight="1">
      <c r="A1196" s="24" t="s">
        <v>2363</v>
      </c>
      <c r="B1196" s="12" t="s">
        <v>714</v>
      </c>
      <c r="C1196" s="12" t="s">
        <v>1279</v>
      </c>
      <c r="D1196" s="630" t="s">
        <v>3637</v>
      </c>
      <c r="E1196" s="630"/>
      <c r="F1196" s="12" t="s">
        <v>1923</v>
      </c>
      <c r="G1196" s="56">
        <v>2</v>
      </c>
      <c r="H1196" s="625"/>
      <c r="I1196" s="56">
        <f>G1196*AQ1196</f>
        <v>0</v>
      </c>
      <c r="J1196" s="56">
        <f>G1196*AR1196</f>
        <v>0</v>
      </c>
      <c r="K1196" s="56">
        <f>G1196*H1196</f>
        <v>0</v>
      </c>
      <c r="L1196" s="56">
        <v>1.2E-4</v>
      </c>
      <c r="M1196" s="56">
        <f>G1196*L1196</f>
        <v>2.4000000000000001E-4</v>
      </c>
      <c r="N1196" s="31" t="s">
        <v>1579</v>
      </c>
      <c r="P1196" s="592"/>
      <c r="Q1196" s="592"/>
      <c r="R1196" s="592"/>
      <c r="S1196" s="592"/>
      <c r="T1196" s="592"/>
      <c r="U1196" s="592"/>
      <c r="V1196" s="592"/>
      <c r="W1196" s="592"/>
      <c r="X1196" s="592"/>
      <c r="AB1196" s="56">
        <f>IF(AS1196="5",BL1196,0)</f>
        <v>0</v>
      </c>
      <c r="AD1196" s="56">
        <f>IF(AS1196="1",BJ1196,0)</f>
        <v>0</v>
      </c>
      <c r="AE1196" s="56">
        <f>IF(AS1196="1",BK1196,0)</f>
        <v>0</v>
      </c>
      <c r="AF1196" s="56">
        <f>IF(AS1196="7",BJ1196,0)</f>
        <v>0</v>
      </c>
      <c r="AG1196" s="56">
        <f>IF(AS1196="7",BK1196,0)</f>
        <v>0</v>
      </c>
      <c r="AH1196" s="56">
        <f>IF(AS1196="2",BJ1196,0)</f>
        <v>0</v>
      </c>
      <c r="AI1196" s="56">
        <f>IF(AS1196="2",BK1196,0)</f>
        <v>0</v>
      </c>
      <c r="AJ1196" s="56">
        <f>IF(AS1196="0",BL1196,0)</f>
        <v>0</v>
      </c>
      <c r="AK1196" s="7" t="s">
        <v>714</v>
      </c>
      <c r="AL1196" s="56">
        <f>IF(AP1196=0,K1196,0)</f>
        <v>0</v>
      </c>
      <c r="AM1196" s="56">
        <f>IF(AP1196=15,K1196,0)</f>
        <v>0</v>
      </c>
      <c r="AN1196" s="56">
        <f>IF(AP1196=21,K1196,0)</f>
        <v>0</v>
      </c>
      <c r="AP1196" s="56">
        <v>21</v>
      </c>
      <c r="AQ1196" s="88">
        <f>H1196*0.447394366197183</f>
        <v>0</v>
      </c>
      <c r="AR1196" s="88">
        <f>H1196*(1-0.447394366197183)</f>
        <v>0</v>
      </c>
      <c r="AS1196" s="21" t="s">
        <v>2311</v>
      </c>
      <c r="AX1196" s="56">
        <f>AY1196+AZ1196</f>
        <v>0</v>
      </c>
      <c r="AY1196" s="56">
        <f>G1196*AQ1196</f>
        <v>0</v>
      </c>
      <c r="AZ1196" s="56">
        <f>G1196*AR1196</f>
        <v>0</v>
      </c>
      <c r="BA1196" s="21" t="s">
        <v>1464</v>
      </c>
      <c r="BB1196" s="21" t="s">
        <v>1155</v>
      </c>
      <c r="BC1196" s="7" t="s">
        <v>976</v>
      </c>
      <c r="BE1196" s="56">
        <f>AY1196+AZ1196</f>
        <v>0</v>
      </c>
      <c r="BF1196" s="56">
        <f>H1196/(100-BG1196)*100</f>
        <v>0</v>
      </c>
      <c r="BG1196" s="56">
        <v>0</v>
      </c>
      <c r="BH1196" s="56">
        <f>M1196</f>
        <v>2.4000000000000001E-4</v>
      </c>
      <c r="BJ1196" s="56">
        <f>G1196*AQ1196</f>
        <v>0</v>
      </c>
      <c r="BK1196" s="56">
        <f>G1196*AR1196</f>
        <v>0</v>
      </c>
      <c r="BL1196" s="56">
        <f>G1196*H1196</f>
        <v>0</v>
      </c>
      <c r="BM1196" s="56"/>
      <c r="BN1196" s="56">
        <v>722</v>
      </c>
    </row>
    <row r="1197" spans="1:66" ht="15" customHeight="1">
      <c r="A1197" s="36"/>
      <c r="D1197" s="45" t="s">
        <v>1589</v>
      </c>
      <c r="E1197" s="104" t="s">
        <v>1597</v>
      </c>
      <c r="G1197" s="13">
        <v>2</v>
      </c>
      <c r="N1197" s="19"/>
      <c r="P1197" s="592"/>
      <c r="Q1197" s="592"/>
      <c r="R1197" s="592"/>
      <c r="S1197" s="592"/>
      <c r="T1197" s="592"/>
      <c r="U1197" s="592"/>
      <c r="V1197" s="592"/>
      <c r="W1197" s="592"/>
      <c r="X1197" s="592"/>
    </row>
    <row r="1198" spans="1:66" ht="15" customHeight="1">
      <c r="A1198" s="24" t="s">
        <v>1131</v>
      </c>
      <c r="B1198" s="12" t="s">
        <v>714</v>
      </c>
      <c r="C1198" s="12" t="s">
        <v>1557</v>
      </c>
      <c r="D1198" s="630" t="s">
        <v>346</v>
      </c>
      <c r="E1198" s="630"/>
      <c r="F1198" s="12" t="s">
        <v>564</v>
      </c>
      <c r="G1198" s="56">
        <v>6</v>
      </c>
      <c r="H1198" s="625"/>
      <c r="I1198" s="56">
        <f>G1198*AQ1198</f>
        <v>0</v>
      </c>
      <c r="J1198" s="56">
        <f>G1198*AR1198</f>
        <v>0</v>
      </c>
      <c r="K1198" s="56">
        <f>G1198*H1198</f>
        <v>0</v>
      </c>
      <c r="L1198" s="56">
        <v>0</v>
      </c>
      <c r="M1198" s="56">
        <f>G1198*L1198</f>
        <v>0</v>
      </c>
      <c r="N1198" s="31" t="s">
        <v>1579</v>
      </c>
      <c r="P1198" s="592"/>
      <c r="Q1198" s="592"/>
      <c r="R1198" s="592"/>
      <c r="S1198" s="592"/>
      <c r="T1198" s="592"/>
      <c r="U1198" s="592"/>
      <c r="V1198" s="592"/>
      <c r="W1198" s="592"/>
      <c r="X1198" s="592"/>
      <c r="AB1198" s="56">
        <f>IF(AS1198="5",BL1198,0)</f>
        <v>0</v>
      </c>
      <c r="AD1198" s="56">
        <f>IF(AS1198="1",BJ1198,0)</f>
        <v>0</v>
      </c>
      <c r="AE1198" s="56">
        <f>IF(AS1198="1",BK1198,0)</f>
        <v>0</v>
      </c>
      <c r="AF1198" s="56">
        <f>IF(AS1198="7",BJ1198,0)</f>
        <v>0</v>
      </c>
      <c r="AG1198" s="56">
        <f>IF(AS1198="7",BK1198,0)</f>
        <v>0</v>
      </c>
      <c r="AH1198" s="56">
        <f>IF(AS1198="2",BJ1198,0)</f>
        <v>0</v>
      </c>
      <c r="AI1198" s="56">
        <f>IF(AS1198="2",BK1198,0)</f>
        <v>0</v>
      </c>
      <c r="AJ1198" s="56">
        <f>IF(AS1198="0",BL1198,0)</f>
        <v>0</v>
      </c>
      <c r="AK1198" s="7" t="s">
        <v>714</v>
      </c>
      <c r="AL1198" s="56">
        <f>IF(AP1198=0,K1198,0)</f>
        <v>0</v>
      </c>
      <c r="AM1198" s="56">
        <f>IF(AP1198=15,K1198,0)</f>
        <v>0</v>
      </c>
      <c r="AN1198" s="56">
        <f>IF(AP1198=21,K1198,0)</f>
        <v>0</v>
      </c>
      <c r="AP1198" s="56">
        <v>21</v>
      </c>
      <c r="AQ1198" s="88">
        <f>H1198*0</f>
        <v>0</v>
      </c>
      <c r="AR1198" s="88">
        <f>H1198*(1-0)</f>
        <v>0</v>
      </c>
      <c r="AS1198" s="21" t="s">
        <v>2311</v>
      </c>
      <c r="AX1198" s="56">
        <f>AY1198+AZ1198</f>
        <v>0</v>
      </c>
      <c r="AY1198" s="56">
        <f>G1198*AQ1198</f>
        <v>0</v>
      </c>
      <c r="AZ1198" s="56">
        <f>G1198*AR1198</f>
        <v>0</v>
      </c>
      <c r="BA1198" s="21" t="s">
        <v>1464</v>
      </c>
      <c r="BB1198" s="21" t="s">
        <v>1155</v>
      </c>
      <c r="BC1198" s="7" t="s">
        <v>976</v>
      </c>
      <c r="BE1198" s="56">
        <f>AY1198+AZ1198</f>
        <v>0</v>
      </c>
      <c r="BF1198" s="56">
        <f>H1198/(100-BG1198)*100</f>
        <v>0</v>
      </c>
      <c r="BG1198" s="56">
        <v>0</v>
      </c>
      <c r="BH1198" s="56">
        <f>M1198</f>
        <v>0</v>
      </c>
      <c r="BJ1198" s="56">
        <f>G1198*AQ1198</f>
        <v>0</v>
      </c>
      <c r="BK1198" s="56">
        <f>G1198*AR1198</f>
        <v>0</v>
      </c>
      <c r="BL1198" s="56">
        <f>G1198*H1198</f>
        <v>0</v>
      </c>
      <c r="BM1198" s="56"/>
      <c r="BN1198" s="56">
        <v>722</v>
      </c>
    </row>
    <row r="1199" spans="1:66" ht="15" customHeight="1">
      <c r="A1199" s="36"/>
      <c r="D1199" s="45" t="s">
        <v>390</v>
      </c>
      <c r="E1199" s="104" t="s">
        <v>1597</v>
      </c>
      <c r="G1199" s="13">
        <v>6.0000000000000009</v>
      </c>
      <c r="N1199" s="19"/>
      <c r="P1199" s="592"/>
      <c r="Q1199" s="592"/>
      <c r="R1199" s="592"/>
      <c r="S1199" s="592"/>
      <c r="T1199" s="592"/>
      <c r="U1199" s="592"/>
      <c r="V1199" s="592"/>
      <c r="W1199" s="592"/>
      <c r="X1199" s="592"/>
    </row>
    <row r="1200" spans="1:66" ht="15" customHeight="1">
      <c r="A1200" s="24" t="s">
        <v>2652</v>
      </c>
      <c r="B1200" s="12" t="s">
        <v>714</v>
      </c>
      <c r="C1200" s="12" t="s">
        <v>1097</v>
      </c>
      <c r="D1200" s="630" t="s">
        <v>2655</v>
      </c>
      <c r="E1200" s="630"/>
      <c r="F1200" s="12" t="s">
        <v>564</v>
      </c>
      <c r="G1200" s="56">
        <v>5</v>
      </c>
      <c r="H1200" s="625"/>
      <c r="I1200" s="56">
        <f>G1200*AQ1200</f>
        <v>0</v>
      </c>
      <c r="J1200" s="56">
        <f>G1200*AR1200</f>
        <v>0</v>
      </c>
      <c r="K1200" s="56">
        <f>G1200*H1200</f>
        <v>0</v>
      </c>
      <c r="L1200" s="56">
        <v>8.8999999999999995E-4</v>
      </c>
      <c r="M1200" s="56">
        <f>G1200*L1200</f>
        <v>4.45E-3</v>
      </c>
      <c r="N1200" s="31" t="s">
        <v>1579</v>
      </c>
      <c r="P1200" s="592"/>
      <c r="Q1200" s="592"/>
      <c r="R1200" s="592"/>
      <c r="S1200" s="592"/>
      <c r="T1200" s="592"/>
      <c r="U1200" s="592"/>
      <c r="V1200" s="592"/>
      <c r="W1200" s="592"/>
      <c r="X1200" s="592"/>
      <c r="AB1200" s="56">
        <f>IF(AS1200="5",BL1200,0)</f>
        <v>0</v>
      </c>
      <c r="AD1200" s="56">
        <f>IF(AS1200="1",BJ1200,0)</f>
        <v>0</v>
      </c>
      <c r="AE1200" s="56">
        <f>IF(AS1200="1",BK1200,0)</f>
        <v>0</v>
      </c>
      <c r="AF1200" s="56">
        <f>IF(AS1200="7",BJ1200,0)</f>
        <v>0</v>
      </c>
      <c r="AG1200" s="56">
        <f>IF(AS1200="7",BK1200,0)</f>
        <v>0</v>
      </c>
      <c r="AH1200" s="56">
        <f>IF(AS1200="2",BJ1200,0)</f>
        <v>0</v>
      </c>
      <c r="AI1200" s="56">
        <f>IF(AS1200="2",BK1200,0)</f>
        <v>0</v>
      </c>
      <c r="AJ1200" s="56">
        <f>IF(AS1200="0",BL1200,0)</f>
        <v>0</v>
      </c>
      <c r="AK1200" s="7" t="s">
        <v>714</v>
      </c>
      <c r="AL1200" s="56">
        <f>IF(AP1200=0,K1200,0)</f>
        <v>0</v>
      </c>
      <c r="AM1200" s="56">
        <f>IF(AP1200=15,K1200,0)</f>
        <v>0</v>
      </c>
      <c r="AN1200" s="56">
        <f>IF(AP1200=21,K1200,0)</f>
        <v>0</v>
      </c>
      <c r="AP1200" s="56">
        <v>21</v>
      </c>
      <c r="AQ1200" s="88">
        <f>H1200*0.863030869971936</f>
        <v>0</v>
      </c>
      <c r="AR1200" s="88">
        <f>H1200*(1-0.863030869971936)</f>
        <v>0</v>
      </c>
      <c r="AS1200" s="21" t="s">
        <v>2311</v>
      </c>
      <c r="AX1200" s="56">
        <f>AY1200+AZ1200</f>
        <v>0</v>
      </c>
      <c r="AY1200" s="56">
        <f>G1200*AQ1200</f>
        <v>0</v>
      </c>
      <c r="AZ1200" s="56">
        <f>G1200*AR1200</f>
        <v>0</v>
      </c>
      <c r="BA1200" s="21" t="s">
        <v>1464</v>
      </c>
      <c r="BB1200" s="21" t="s">
        <v>1155</v>
      </c>
      <c r="BC1200" s="7" t="s">
        <v>976</v>
      </c>
      <c r="BE1200" s="56">
        <f>AY1200+AZ1200</f>
        <v>0</v>
      </c>
      <c r="BF1200" s="56">
        <f>H1200/(100-BG1200)*100</f>
        <v>0</v>
      </c>
      <c r="BG1200" s="56">
        <v>0</v>
      </c>
      <c r="BH1200" s="56">
        <f>M1200</f>
        <v>4.45E-3</v>
      </c>
      <c r="BJ1200" s="56">
        <f>G1200*AQ1200</f>
        <v>0</v>
      </c>
      <c r="BK1200" s="56">
        <f>G1200*AR1200</f>
        <v>0</v>
      </c>
      <c r="BL1200" s="56">
        <f>G1200*H1200</f>
        <v>0</v>
      </c>
      <c r="BM1200" s="56"/>
      <c r="BN1200" s="56">
        <v>722</v>
      </c>
    </row>
    <row r="1201" spans="1:66" ht="15" customHeight="1">
      <c r="A1201" s="36"/>
      <c r="D1201" s="45" t="s">
        <v>1227</v>
      </c>
      <c r="E1201" s="104" t="s">
        <v>1597</v>
      </c>
      <c r="G1201" s="13">
        <v>5</v>
      </c>
      <c r="N1201" s="19"/>
      <c r="P1201" s="592"/>
      <c r="Q1201" s="592"/>
      <c r="R1201" s="592"/>
      <c r="S1201" s="592"/>
      <c r="T1201" s="592"/>
      <c r="U1201" s="592"/>
      <c r="V1201" s="592"/>
      <c r="W1201" s="592"/>
      <c r="X1201" s="592"/>
    </row>
    <row r="1202" spans="1:66" ht="15" customHeight="1">
      <c r="A1202" s="24" t="s">
        <v>2308</v>
      </c>
      <c r="B1202" s="12" t="s">
        <v>714</v>
      </c>
      <c r="C1202" s="12" t="s">
        <v>35</v>
      </c>
      <c r="D1202" s="630" t="s">
        <v>2656</v>
      </c>
      <c r="E1202" s="630"/>
      <c r="F1202" s="12" t="s">
        <v>564</v>
      </c>
      <c r="G1202" s="56">
        <v>2</v>
      </c>
      <c r="H1202" s="625"/>
      <c r="I1202" s="56">
        <f>G1202*AQ1202</f>
        <v>0</v>
      </c>
      <c r="J1202" s="56">
        <f>G1202*AR1202</f>
        <v>0</v>
      </c>
      <c r="K1202" s="56">
        <f>G1202*H1202</f>
        <v>0</v>
      </c>
      <c r="L1202" s="56">
        <v>4.8000000000000001E-4</v>
      </c>
      <c r="M1202" s="56">
        <f>G1202*L1202</f>
        <v>9.6000000000000002E-4</v>
      </c>
      <c r="N1202" s="31" t="s">
        <v>1579</v>
      </c>
      <c r="P1202" s="592"/>
      <c r="Q1202" s="592"/>
      <c r="R1202" s="592"/>
      <c r="S1202" s="592"/>
      <c r="T1202" s="592"/>
      <c r="U1202" s="592"/>
      <c r="V1202" s="592"/>
      <c r="W1202" s="592"/>
      <c r="X1202" s="592"/>
      <c r="AB1202" s="56">
        <f>IF(AS1202="5",BL1202,0)</f>
        <v>0</v>
      </c>
      <c r="AD1202" s="56">
        <f>IF(AS1202="1",BJ1202,0)</f>
        <v>0</v>
      </c>
      <c r="AE1202" s="56">
        <f>IF(AS1202="1",BK1202,0)</f>
        <v>0</v>
      </c>
      <c r="AF1202" s="56">
        <f>IF(AS1202="7",BJ1202,0)</f>
        <v>0</v>
      </c>
      <c r="AG1202" s="56">
        <f>IF(AS1202="7",BK1202,0)</f>
        <v>0</v>
      </c>
      <c r="AH1202" s="56">
        <f>IF(AS1202="2",BJ1202,0)</f>
        <v>0</v>
      </c>
      <c r="AI1202" s="56">
        <f>IF(AS1202="2",BK1202,0)</f>
        <v>0</v>
      </c>
      <c r="AJ1202" s="56">
        <f>IF(AS1202="0",BL1202,0)</f>
        <v>0</v>
      </c>
      <c r="AK1202" s="7" t="s">
        <v>714</v>
      </c>
      <c r="AL1202" s="56">
        <f>IF(AP1202=0,K1202,0)</f>
        <v>0</v>
      </c>
      <c r="AM1202" s="56">
        <f>IF(AP1202=15,K1202,0)</f>
        <v>0</v>
      </c>
      <c r="AN1202" s="56">
        <f>IF(AP1202=21,K1202,0)</f>
        <v>0</v>
      </c>
      <c r="AP1202" s="56">
        <v>21</v>
      </c>
      <c r="AQ1202" s="88">
        <f>H1202*0.823218884120172</f>
        <v>0</v>
      </c>
      <c r="AR1202" s="88">
        <f>H1202*(1-0.823218884120172)</f>
        <v>0</v>
      </c>
      <c r="AS1202" s="21" t="s">
        <v>2311</v>
      </c>
      <c r="AX1202" s="56">
        <f>AY1202+AZ1202</f>
        <v>0</v>
      </c>
      <c r="AY1202" s="56">
        <f>G1202*AQ1202</f>
        <v>0</v>
      </c>
      <c r="AZ1202" s="56">
        <f>G1202*AR1202</f>
        <v>0</v>
      </c>
      <c r="BA1202" s="21" t="s">
        <v>1464</v>
      </c>
      <c r="BB1202" s="21" t="s">
        <v>1155</v>
      </c>
      <c r="BC1202" s="7" t="s">
        <v>976</v>
      </c>
      <c r="BE1202" s="56">
        <f>AY1202+AZ1202</f>
        <v>0</v>
      </c>
      <c r="BF1202" s="56">
        <f>H1202/(100-BG1202)*100</f>
        <v>0</v>
      </c>
      <c r="BG1202" s="56">
        <v>0</v>
      </c>
      <c r="BH1202" s="56">
        <f>M1202</f>
        <v>9.6000000000000002E-4</v>
      </c>
      <c r="BJ1202" s="56">
        <f>G1202*AQ1202</f>
        <v>0</v>
      </c>
      <c r="BK1202" s="56">
        <f>G1202*AR1202</f>
        <v>0</v>
      </c>
      <c r="BL1202" s="56">
        <f>G1202*H1202</f>
        <v>0</v>
      </c>
      <c r="BM1202" s="56"/>
      <c r="BN1202" s="56">
        <v>722</v>
      </c>
    </row>
    <row r="1203" spans="1:66" ht="15" customHeight="1">
      <c r="A1203" s="36"/>
      <c r="D1203" s="45" t="s">
        <v>1589</v>
      </c>
      <c r="E1203" s="104" t="s">
        <v>1597</v>
      </c>
      <c r="G1203" s="13">
        <v>2</v>
      </c>
      <c r="N1203" s="19"/>
      <c r="P1203" s="592"/>
      <c r="Q1203" s="592"/>
      <c r="R1203" s="592"/>
      <c r="S1203" s="592"/>
      <c r="T1203" s="592"/>
      <c r="U1203" s="592"/>
      <c r="V1203" s="592"/>
      <c r="W1203" s="592"/>
      <c r="X1203" s="592"/>
    </row>
    <row r="1204" spans="1:66" ht="15" customHeight="1">
      <c r="A1204" s="24" t="s">
        <v>28</v>
      </c>
      <c r="B1204" s="12" t="s">
        <v>714</v>
      </c>
      <c r="C1204" s="12" t="s">
        <v>1162</v>
      </c>
      <c r="D1204" s="630" t="s">
        <v>2657</v>
      </c>
      <c r="E1204" s="630"/>
      <c r="F1204" s="12" t="s">
        <v>564</v>
      </c>
      <c r="G1204" s="56">
        <v>2</v>
      </c>
      <c r="H1204" s="625"/>
      <c r="I1204" s="56">
        <f>G1204*AQ1204</f>
        <v>0</v>
      </c>
      <c r="J1204" s="56">
        <f>G1204*AR1204</f>
        <v>0</v>
      </c>
      <c r="K1204" s="56">
        <f>G1204*H1204</f>
        <v>0</v>
      </c>
      <c r="L1204" s="56">
        <v>1.0399999999999999E-3</v>
      </c>
      <c r="M1204" s="56">
        <f>G1204*L1204</f>
        <v>2.0799999999999998E-3</v>
      </c>
      <c r="N1204" s="31" t="s">
        <v>1579</v>
      </c>
      <c r="P1204" s="592"/>
      <c r="Q1204" s="592"/>
      <c r="R1204" s="592"/>
      <c r="S1204" s="592"/>
      <c r="T1204" s="592"/>
      <c r="U1204" s="592"/>
      <c r="V1204" s="592"/>
      <c r="W1204" s="592"/>
      <c r="X1204" s="592"/>
      <c r="AB1204" s="56">
        <f>IF(AS1204="5",BL1204,0)</f>
        <v>0</v>
      </c>
      <c r="AD1204" s="56">
        <f>IF(AS1204="1",BJ1204,0)</f>
        <v>0</v>
      </c>
      <c r="AE1204" s="56">
        <f>IF(AS1204="1",BK1204,0)</f>
        <v>0</v>
      </c>
      <c r="AF1204" s="56">
        <f>IF(AS1204="7",BJ1204,0)</f>
        <v>0</v>
      </c>
      <c r="AG1204" s="56">
        <f>IF(AS1204="7",BK1204,0)</f>
        <v>0</v>
      </c>
      <c r="AH1204" s="56">
        <f>IF(AS1204="2",BJ1204,0)</f>
        <v>0</v>
      </c>
      <c r="AI1204" s="56">
        <f>IF(AS1204="2",BK1204,0)</f>
        <v>0</v>
      </c>
      <c r="AJ1204" s="56">
        <f>IF(AS1204="0",BL1204,0)</f>
        <v>0</v>
      </c>
      <c r="AK1204" s="7" t="s">
        <v>714</v>
      </c>
      <c r="AL1204" s="56">
        <f>IF(AP1204=0,K1204,0)</f>
        <v>0</v>
      </c>
      <c r="AM1204" s="56">
        <f>IF(AP1204=15,K1204,0)</f>
        <v>0</v>
      </c>
      <c r="AN1204" s="56">
        <f>IF(AP1204=21,K1204,0)</f>
        <v>0</v>
      </c>
      <c r="AP1204" s="56">
        <v>21</v>
      </c>
      <c r="AQ1204" s="88">
        <f>H1204*0.863326180257511</f>
        <v>0</v>
      </c>
      <c r="AR1204" s="88">
        <f>H1204*(1-0.863326180257511)</f>
        <v>0</v>
      </c>
      <c r="AS1204" s="21" t="s">
        <v>2311</v>
      </c>
      <c r="AX1204" s="56">
        <f>AY1204+AZ1204</f>
        <v>0</v>
      </c>
      <c r="AY1204" s="56">
        <f>G1204*AQ1204</f>
        <v>0</v>
      </c>
      <c r="AZ1204" s="56">
        <f>G1204*AR1204</f>
        <v>0</v>
      </c>
      <c r="BA1204" s="21" t="s">
        <v>1464</v>
      </c>
      <c r="BB1204" s="21" t="s">
        <v>1155</v>
      </c>
      <c r="BC1204" s="7" t="s">
        <v>976</v>
      </c>
      <c r="BE1204" s="56">
        <f>AY1204+AZ1204</f>
        <v>0</v>
      </c>
      <c r="BF1204" s="56">
        <f>H1204/(100-BG1204)*100</f>
        <v>0</v>
      </c>
      <c r="BG1204" s="56">
        <v>0</v>
      </c>
      <c r="BH1204" s="56">
        <f>M1204</f>
        <v>2.0799999999999998E-3</v>
      </c>
      <c r="BJ1204" s="56">
        <f>G1204*AQ1204</f>
        <v>0</v>
      </c>
      <c r="BK1204" s="56">
        <f>G1204*AR1204</f>
        <v>0</v>
      </c>
      <c r="BL1204" s="56">
        <f>G1204*H1204</f>
        <v>0</v>
      </c>
      <c r="BM1204" s="56"/>
      <c r="BN1204" s="56">
        <v>722</v>
      </c>
    </row>
    <row r="1205" spans="1:66" ht="15" customHeight="1">
      <c r="A1205" s="36"/>
      <c r="D1205" s="45" t="s">
        <v>1589</v>
      </c>
      <c r="E1205" s="104" t="s">
        <v>1597</v>
      </c>
      <c r="G1205" s="13">
        <v>2</v>
      </c>
      <c r="N1205" s="19"/>
      <c r="P1205" s="592"/>
      <c r="Q1205" s="592"/>
      <c r="R1205" s="592"/>
      <c r="S1205" s="592"/>
      <c r="T1205" s="592"/>
      <c r="U1205" s="592"/>
      <c r="V1205" s="592"/>
      <c r="W1205" s="592"/>
      <c r="X1205" s="592"/>
    </row>
    <row r="1206" spans="1:66" ht="15" customHeight="1">
      <c r="A1206" s="24" t="s">
        <v>2575</v>
      </c>
      <c r="B1206" s="12" t="s">
        <v>714</v>
      </c>
      <c r="C1206" s="12" t="s">
        <v>1716</v>
      </c>
      <c r="D1206" s="630" t="s">
        <v>2658</v>
      </c>
      <c r="E1206" s="630"/>
      <c r="F1206" s="12" t="s">
        <v>564</v>
      </c>
      <c r="G1206" s="56">
        <v>1</v>
      </c>
      <c r="H1206" s="625"/>
      <c r="I1206" s="56">
        <f>G1206*AQ1206</f>
        <v>0</v>
      </c>
      <c r="J1206" s="56">
        <f>G1206*AR1206</f>
        <v>0</v>
      </c>
      <c r="K1206" s="56">
        <f>G1206*H1206</f>
        <v>0</v>
      </c>
      <c r="L1206" s="56">
        <v>2.0000000000000001E-4</v>
      </c>
      <c r="M1206" s="56">
        <f>G1206*L1206</f>
        <v>2.0000000000000001E-4</v>
      </c>
      <c r="N1206" s="31" t="s">
        <v>1579</v>
      </c>
      <c r="P1206" s="592"/>
      <c r="Q1206" s="592"/>
      <c r="R1206" s="592"/>
      <c r="S1206" s="592"/>
      <c r="T1206" s="592"/>
      <c r="U1206" s="592"/>
      <c r="V1206" s="592"/>
      <c r="W1206" s="592"/>
      <c r="X1206" s="592"/>
      <c r="AB1206" s="56">
        <f>IF(AS1206="5",BL1206,0)</f>
        <v>0</v>
      </c>
      <c r="AD1206" s="56">
        <f>IF(AS1206="1",BJ1206,0)</f>
        <v>0</v>
      </c>
      <c r="AE1206" s="56">
        <f>IF(AS1206="1",BK1206,0)</f>
        <v>0</v>
      </c>
      <c r="AF1206" s="56">
        <f>IF(AS1206="7",BJ1206,0)</f>
        <v>0</v>
      </c>
      <c r="AG1206" s="56">
        <f>IF(AS1206="7",BK1206,0)</f>
        <v>0</v>
      </c>
      <c r="AH1206" s="56">
        <f>IF(AS1206="2",BJ1206,0)</f>
        <v>0</v>
      </c>
      <c r="AI1206" s="56">
        <f>IF(AS1206="2",BK1206,0)</f>
        <v>0</v>
      </c>
      <c r="AJ1206" s="56">
        <f>IF(AS1206="0",BL1206,0)</f>
        <v>0</v>
      </c>
      <c r="AK1206" s="7" t="s">
        <v>714</v>
      </c>
      <c r="AL1206" s="56">
        <f>IF(AP1206=0,K1206,0)</f>
        <v>0</v>
      </c>
      <c r="AM1206" s="56">
        <f>IF(AP1206=15,K1206,0)</f>
        <v>0</v>
      </c>
      <c r="AN1206" s="56">
        <f>IF(AP1206=21,K1206,0)</f>
        <v>0</v>
      </c>
      <c r="AP1206" s="56">
        <v>21</v>
      </c>
      <c r="AQ1206" s="88">
        <f>H1206*0.937873303167421</f>
        <v>0</v>
      </c>
      <c r="AR1206" s="88">
        <f>H1206*(1-0.937873303167421)</f>
        <v>0</v>
      </c>
      <c r="AS1206" s="21" t="s">
        <v>2311</v>
      </c>
      <c r="AX1206" s="56">
        <f>AY1206+AZ1206</f>
        <v>0</v>
      </c>
      <c r="AY1206" s="56">
        <f>G1206*AQ1206</f>
        <v>0</v>
      </c>
      <c r="AZ1206" s="56">
        <f>G1206*AR1206</f>
        <v>0</v>
      </c>
      <c r="BA1206" s="21" t="s">
        <v>1464</v>
      </c>
      <c r="BB1206" s="21" t="s">
        <v>1155</v>
      </c>
      <c r="BC1206" s="7" t="s">
        <v>976</v>
      </c>
      <c r="BE1206" s="56">
        <f>AY1206+AZ1206</f>
        <v>0</v>
      </c>
      <c r="BF1206" s="56">
        <f>H1206/(100-BG1206)*100</f>
        <v>0</v>
      </c>
      <c r="BG1206" s="56">
        <v>0</v>
      </c>
      <c r="BH1206" s="56">
        <f>M1206</f>
        <v>2.0000000000000001E-4</v>
      </c>
      <c r="BJ1206" s="56">
        <f>G1206*AQ1206</f>
        <v>0</v>
      </c>
      <c r="BK1206" s="56">
        <f>G1206*AR1206</f>
        <v>0</v>
      </c>
      <c r="BL1206" s="56">
        <f>G1206*H1206</f>
        <v>0</v>
      </c>
      <c r="BM1206" s="56"/>
      <c r="BN1206" s="56">
        <v>722</v>
      </c>
    </row>
    <row r="1207" spans="1:66" ht="15" customHeight="1">
      <c r="A1207" s="36"/>
      <c r="D1207" s="45" t="s">
        <v>2297</v>
      </c>
      <c r="E1207" s="104" t="s">
        <v>1597</v>
      </c>
      <c r="G1207" s="13">
        <v>1</v>
      </c>
      <c r="N1207" s="19"/>
      <c r="P1207" s="592"/>
      <c r="Q1207" s="592"/>
      <c r="R1207" s="592"/>
      <c r="S1207" s="592"/>
      <c r="T1207" s="592"/>
      <c r="U1207" s="592"/>
      <c r="V1207" s="592"/>
      <c r="W1207" s="592"/>
      <c r="X1207" s="592"/>
    </row>
    <row r="1208" spans="1:66" ht="15" customHeight="1">
      <c r="A1208" s="24" t="s">
        <v>1607</v>
      </c>
      <c r="B1208" s="12" t="s">
        <v>714</v>
      </c>
      <c r="C1208" s="12" t="s">
        <v>1341</v>
      </c>
      <c r="D1208" s="630" t="s">
        <v>2659</v>
      </c>
      <c r="E1208" s="630"/>
      <c r="F1208" s="12" t="s">
        <v>564</v>
      </c>
      <c r="G1208" s="56">
        <v>1</v>
      </c>
      <c r="H1208" s="625"/>
      <c r="I1208" s="56">
        <f>G1208*AQ1208</f>
        <v>0</v>
      </c>
      <c r="J1208" s="56">
        <f>G1208*AR1208</f>
        <v>0</v>
      </c>
      <c r="K1208" s="56">
        <f>G1208*H1208</f>
        <v>0</v>
      </c>
      <c r="L1208" s="56">
        <v>6.8000000000000005E-4</v>
      </c>
      <c r="M1208" s="56">
        <f>G1208*L1208</f>
        <v>6.8000000000000005E-4</v>
      </c>
      <c r="N1208" s="31" t="s">
        <v>1579</v>
      </c>
      <c r="P1208" s="592"/>
      <c r="Q1208" s="592"/>
      <c r="R1208" s="592"/>
      <c r="S1208" s="592"/>
      <c r="T1208" s="592"/>
      <c r="U1208" s="592"/>
      <c r="V1208" s="592"/>
      <c r="W1208" s="592"/>
      <c r="X1208" s="592"/>
      <c r="AB1208" s="56">
        <f>IF(AS1208="5",BL1208,0)</f>
        <v>0</v>
      </c>
      <c r="AD1208" s="56">
        <f>IF(AS1208="1",BJ1208,0)</f>
        <v>0</v>
      </c>
      <c r="AE1208" s="56">
        <f>IF(AS1208="1",BK1208,0)</f>
        <v>0</v>
      </c>
      <c r="AF1208" s="56">
        <f>IF(AS1208="7",BJ1208,0)</f>
        <v>0</v>
      </c>
      <c r="AG1208" s="56">
        <f>IF(AS1208="7",BK1208,0)</f>
        <v>0</v>
      </c>
      <c r="AH1208" s="56">
        <f>IF(AS1208="2",BJ1208,0)</f>
        <v>0</v>
      </c>
      <c r="AI1208" s="56">
        <f>IF(AS1208="2",BK1208,0)</f>
        <v>0</v>
      </c>
      <c r="AJ1208" s="56">
        <f>IF(AS1208="0",BL1208,0)</f>
        <v>0</v>
      </c>
      <c r="AK1208" s="7" t="s">
        <v>714</v>
      </c>
      <c r="AL1208" s="56">
        <f>IF(AP1208=0,K1208,0)</f>
        <v>0</v>
      </c>
      <c r="AM1208" s="56">
        <f>IF(AP1208=15,K1208,0)</f>
        <v>0</v>
      </c>
      <c r="AN1208" s="56">
        <f>IF(AP1208=21,K1208,0)</f>
        <v>0</v>
      </c>
      <c r="AP1208" s="56">
        <v>21</v>
      </c>
      <c r="AQ1208" s="88">
        <f>H1208*0.864681303116147</f>
        <v>0</v>
      </c>
      <c r="AR1208" s="88">
        <f>H1208*(1-0.864681303116147)</f>
        <v>0</v>
      </c>
      <c r="AS1208" s="21" t="s">
        <v>2311</v>
      </c>
      <c r="AX1208" s="56">
        <f>AY1208+AZ1208</f>
        <v>0</v>
      </c>
      <c r="AY1208" s="56">
        <f>G1208*AQ1208</f>
        <v>0</v>
      </c>
      <c r="AZ1208" s="56">
        <f>G1208*AR1208</f>
        <v>0</v>
      </c>
      <c r="BA1208" s="21" t="s">
        <v>1464</v>
      </c>
      <c r="BB1208" s="21" t="s">
        <v>1155</v>
      </c>
      <c r="BC1208" s="7" t="s">
        <v>976</v>
      </c>
      <c r="BE1208" s="56">
        <f>AY1208+AZ1208</f>
        <v>0</v>
      </c>
      <c r="BF1208" s="56">
        <f>H1208/(100-BG1208)*100</f>
        <v>0</v>
      </c>
      <c r="BG1208" s="56">
        <v>0</v>
      </c>
      <c r="BH1208" s="56">
        <f>M1208</f>
        <v>6.8000000000000005E-4</v>
      </c>
      <c r="BJ1208" s="56">
        <f>G1208*AQ1208</f>
        <v>0</v>
      </c>
      <c r="BK1208" s="56">
        <f>G1208*AR1208</f>
        <v>0</v>
      </c>
      <c r="BL1208" s="56">
        <f>G1208*H1208</f>
        <v>0</v>
      </c>
      <c r="BM1208" s="56"/>
      <c r="BN1208" s="56">
        <v>722</v>
      </c>
    </row>
    <row r="1209" spans="1:66" ht="15" customHeight="1">
      <c r="A1209" s="36"/>
      <c r="D1209" s="45" t="s">
        <v>2297</v>
      </c>
      <c r="E1209" s="104" t="s">
        <v>1597</v>
      </c>
      <c r="G1209" s="13">
        <v>1</v>
      </c>
      <c r="N1209" s="19"/>
      <c r="P1209" s="592"/>
      <c r="Q1209" s="592"/>
      <c r="R1209" s="592"/>
      <c r="S1209" s="592"/>
      <c r="T1209" s="592"/>
      <c r="U1209" s="592"/>
      <c r="V1209" s="592"/>
      <c r="W1209" s="592"/>
      <c r="X1209" s="592"/>
    </row>
    <row r="1210" spans="1:66" ht="15" customHeight="1">
      <c r="A1210" s="24" t="s">
        <v>2351</v>
      </c>
      <c r="B1210" s="12" t="s">
        <v>714</v>
      </c>
      <c r="C1210" s="12" t="s">
        <v>71</v>
      </c>
      <c r="D1210" s="630" t="s">
        <v>2660</v>
      </c>
      <c r="E1210" s="630"/>
      <c r="F1210" s="12" t="s">
        <v>564</v>
      </c>
      <c r="G1210" s="56">
        <v>1</v>
      </c>
      <c r="H1210" s="625"/>
      <c r="I1210" s="56">
        <f>G1210*AQ1210</f>
        <v>0</v>
      </c>
      <c r="J1210" s="56">
        <f>G1210*AR1210</f>
        <v>0</v>
      </c>
      <c r="K1210" s="56">
        <f>G1210*H1210</f>
        <v>0</v>
      </c>
      <c r="L1210" s="56">
        <v>5.6999999999999998E-4</v>
      </c>
      <c r="M1210" s="56">
        <f>G1210*L1210</f>
        <v>5.6999999999999998E-4</v>
      </c>
      <c r="N1210" s="31" t="s">
        <v>1579</v>
      </c>
      <c r="P1210" s="592"/>
      <c r="Q1210" s="592"/>
      <c r="R1210" s="592"/>
      <c r="S1210" s="592"/>
      <c r="T1210" s="592"/>
      <c r="U1210" s="592"/>
      <c r="V1210" s="592"/>
      <c r="W1210" s="592"/>
      <c r="X1210" s="592"/>
      <c r="AB1210" s="56">
        <f>IF(AS1210="5",BL1210,0)</f>
        <v>0</v>
      </c>
      <c r="AD1210" s="56">
        <f>IF(AS1210="1",BJ1210,0)</f>
        <v>0</v>
      </c>
      <c r="AE1210" s="56">
        <f>IF(AS1210="1",BK1210,0)</f>
        <v>0</v>
      </c>
      <c r="AF1210" s="56">
        <f>IF(AS1210="7",BJ1210,0)</f>
        <v>0</v>
      </c>
      <c r="AG1210" s="56">
        <f>IF(AS1210="7",BK1210,0)</f>
        <v>0</v>
      </c>
      <c r="AH1210" s="56">
        <f>IF(AS1210="2",BJ1210,0)</f>
        <v>0</v>
      </c>
      <c r="AI1210" s="56">
        <f>IF(AS1210="2",BK1210,0)</f>
        <v>0</v>
      </c>
      <c r="AJ1210" s="56">
        <f>IF(AS1210="0",BL1210,0)</f>
        <v>0</v>
      </c>
      <c r="AK1210" s="7" t="s">
        <v>714</v>
      </c>
      <c r="AL1210" s="56">
        <f>IF(AP1210=0,K1210,0)</f>
        <v>0</v>
      </c>
      <c r="AM1210" s="56">
        <f>IF(AP1210=15,K1210,0)</f>
        <v>0</v>
      </c>
      <c r="AN1210" s="56">
        <f>IF(AP1210=21,K1210,0)</f>
        <v>0</v>
      </c>
      <c r="AP1210" s="56">
        <v>21</v>
      </c>
      <c r="AQ1210" s="88">
        <f>H1210*0.857309468822171</f>
        <v>0</v>
      </c>
      <c r="AR1210" s="88">
        <f>H1210*(1-0.857309468822171)</f>
        <v>0</v>
      </c>
      <c r="AS1210" s="21" t="s">
        <v>2311</v>
      </c>
      <c r="AX1210" s="56">
        <f>AY1210+AZ1210</f>
        <v>0</v>
      </c>
      <c r="AY1210" s="56">
        <f>G1210*AQ1210</f>
        <v>0</v>
      </c>
      <c r="AZ1210" s="56">
        <f>G1210*AR1210</f>
        <v>0</v>
      </c>
      <c r="BA1210" s="21" t="s">
        <v>1464</v>
      </c>
      <c r="BB1210" s="21" t="s">
        <v>1155</v>
      </c>
      <c r="BC1210" s="7" t="s">
        <v>976</v>
      </c>
      <c r="BE1210" s="56">
        <f>AY1210+AZ1210</f>
        <v>0</v>
      </c>
      <c r="BF1210" s="56">
        <f>H1210/(100-BG1210)*100</f>
        <v>0</v>
      </c>
      <c r="BG1210" s="56">
        <v>0</v>
      </c>
      <c r="BH1210" s="56">
        <f>M1210</f>
        <v>5.6999999999999998E-4</v>
      </c>
      <c r="BJ1210" s="56">
        <f>G1210*AQ1210</f>
        <v>0</v>
      </c>
      <c r="BK1210" s="56">
        <f>G1210*AR1210</f>
        <v>0</v>
      </c>
      <c r="BL1210" s="56">
        <f>G1210*H1210</f>
        <v>0</v>
      </c>
      <c r="BM1210" s="56"/>
      <c r="BN1210" s="56">
        <v>722</v>
      </c>
    </row>
    <row r="1211" spans="1:66" ht="15" customHeight="1">
      <c r="A1211" s="36"/>
      <c r="D1211" s="45" t="s">
        <v>2297</v>
      </c>
      <c r="E1211" s="104" t="s">
        <v>1597</v>
      </c>
      <c r="G1211" s="13">
        <v>1</v>
      </c>
      <c r="N1211" s="19"/>
      <c r="P1211" s="592"/>
      <c r="Q1211" s="592"/>
      <c r="R1211" s="592"/>
      <c r="S1211" s="592"/>
      <c r="T1211" s="592"/>
      <c r="U1211" s="592"/>
      <c r="V1211" s="592"/>
      <c r="W1211" s="592"/>
      <c r="X1211" s="592"/>
    </row>
    <row r="1212" spans="1:66" ht="15" customHeight="1">
      <c r="A1212" s="24" t="s">
        <v>1970</v>
      </c>
      <c r="B1212" s="12" t="s">
        <v>714</v>
      </c>
      <c r="C1212" s="12" t="s">
        <v>1548</v>
      </c>
      <c r="D1212" s="630" t="s">
        <v>2661</v>
      </c>
      <c r="E1212" s="630"/>
      <c r="F1212" s="12" t="s">
        <v>564</v>
      </c>
      <c r="G1212" s="56">
        <v>1</v>
      </c>
      <c r="H1212" s="625"/>
      <c r="I1212" s="56">
        <f>G1212*AQ1212</f>
        <v>0</v>
      </c>
      <c r="J1212" s="56">
        <f>G1212*AR1212</f>
        <v>0</v>
      </c>
      <c r="K1212" s="56">
        <f>G1212*H1212</f>
        <v>0</v>
      </c>
      <c r="L1212" s="56">
        <v>8.0000000000000004E-4</v>
      </c>
      <c r="M1212" s="56">
        <f>G1212*L1212</f>
        <v>8.0000000000000004E-4</v>
      </c>
      <c r="N1212" s="31" t="s">
        <v>1579</v>
      </c>
      <c r="P1212" s="592"/>
      <c r="Q1212" s="592"/>
      <c r="R1212" s="592"/>
      <c r="S1212" s="592"/>
      <c r="T1212" s="592"/>
      <c r="U1212" s="592"/>
      <c r="V1212" s="592"/>
      <c r="W1212" s="592"/>
      <c r="X1212" s="592"/>
      <c r="AB1212" s="56">
        <f>IF(AS1212="5",BL1212,0)</f>
        <v>0</v>
      </c>
      <c r="AD1212" s="56">
        <f>IF(AS1212="1",BJ1212,0)</f>
        <v>0</v>
      </c>
      <c r="AE1212" s="56">
        <f>IF(AS1212="1",BK1212,0)</f>
        <v>0</v>
      </c>
      <c r="AF1212" s="56">
        <f>IF(AS1212="7",BJ1212,0)</f>
        <v>0</v>
      </c>
      <c r="AG1212" s="56">
        <f>IF(AS1212="7",BK1212,0)</f>
        <v>0</v>
      </c>
      <c r="AH1212" s="56">
        <f>IF(AS1212="2",BJ1212,0)</f>
        <v>0</v>
      </c>
      <c r="AI1212" s="56">
        <f>IF(AS1212="2",BK1212,0)</f>
        <v>0</v>
      </c>
      <c r="AJ1212" s="56">
        <f>IF(AS1212="0",BL1212,0)</f>
        <v>0</v>
      </c>
      <c r="AK1212" s="7" t="s">
        <v>714</v>
      </c>
      <c r="AL1212" s="56">
        <f>IF(AP1212=0,K1212,0)</f>
        <v>0</v>
      </c>
      <c r="AM1212" s="56">
        <f>IF(AP1212=15,K1212,0)</f>
        <v>0</v>
      </c>
      <c r="AN1212" s="56">
        <f>IF(AP1212=21,K1212,0)</f>
        <v>0</v>
      </c>
      <c r="AP1212" s="56">
        <v>21</v>
      </c>
      <c r="AQ1212" s="88">
        <f>H1212*0.876750841750842</f>
        <v>0</v>
      </c>
      <c r="AR1212" s="88">
        <f>H1212*(1-0.876750841750842)</f>
        <v>0</v>
      </c>
      <c r="AS1212" s="21" t="s">
        <v>2311</v>
      </c>
      <c r="AX1212" s="56">
        <f>AY1212+AZ1212</f>
        <v>0</v>
      </c>
      <c r="AY1212" s="56">
        <f>G1212*AQ1212</f>
        <v>0</v>
      </c>
      <c r="AZ1212" s="56">
        <f>G1212*AR1212</f>
        <v>0</v>
      </c>
      <c r="BA1212" s="21" t="s">
        <v>1464</v>
      </c>
      <c r="BB1212" s="21" t="s">
        <v>1155</v>
      </c>
      <c r="BC1212" s="7" t="s">
        <v>976</v>
      </c>
      <c r="BE1212" s="56">
        <f>AY1212+AZ1212</f>
        <v>0</v>
      </c>
      <c r="BF1212" s="56">
        <f>H1212/(100-BG1212)*100</f>
        <v>0</v>
      </c>
      <c r="BG1212" s="56">
        <v>0</v>
      </c>
      <c r="BH1212" s="56">
        <f>M1212</f>
        <v>8.0000000000000004E-4</v>
      </c>
      <c r="BJ1212" s="56">
        <f>G1212*AQ1212</f>
        <v>0</v>
      </c>
      <c r="BK1212" s="56">
        <f>G1212*AR1212</f>
        <v>0</v>
      </c>
      <c r="BL1212" s="56">
        <f>G1212*H1212</f>
        <v>0</v>
      </c>
      <c r="BM1212" s="56"/>
      <c r="BN1212" s="56">
        <v>722</v>
      </c>
    </row>
    <row r="1213" spans="1:66" ht="15" customHeight="1">
      <c r="A1213" s="36"/>
      <c r="D1213" s="45" t="s">
        <v>2297</v>
      </c>
      <c r="E1213" s="104" t="s">
        <v>1597</v>
      </c>
      <c r="G1213" s="13">
        <v>1</v>
      </c>
      <c r="N1213" s="19"/>
      <c r="P1213" s="592"/>
      <c r="Q1213" s="592"/>
      <c r="R1213" s="592"/>
      <c r="S1213" s="592"/>
      <c r="T1213" s="592"/>
      <c r="U1213" s="592"/>
      <c r="V1213" s="592"/>
      <c r="W1213" s="592"/>
      <c r="X1213" s="592"/>
    </row>
    <row r="1214" spans="1:66" ht="15" customHeight="1">
      <c r="A1214" s="24" t="s">
        <v>2505</v>
      </c>
      <c r="B1214" s="12" t="s">
        <v>714</v>
      </c>
      <c r="C1214" s="12" t="s">
        <v>2026</v>
      </c>
      <c r="D1214" s="630" t="s">
        <v>2662</v>
      </c>
      <c r="E1214" s="630"/>
      <c r="F1214" s="12" t="s">
        <v>564</v>
      </c>
      <c r="G1214" s="56">
        <v>2</v>
      </c>
      <c r="H1214" s="625"/>
      <c r="I1214" s="56">
        <f>G1214*AQ1214</f>
        <v>0</v>
      </c>
      <c r="J1214" s="56">
        <f>G1214*AR1214</f>
        <v>0</v>
      </c>
      <c r="K1214" s="56">
        <f>G1214*H1214</f>
        <v>0</v>
      </c>
      <c r="L1214" s="56">
        <v>1.8000000000000001E-4</v>
      </c>
      <c r="M1214" s="56">
        <f>G1214*L1214</f>
        <v>3.6000000000000002E-4</v>
      </c>
      <c r="N1214" s="31" t="s">
        <v>1579</v>
      </c>
      <c r="P1214" s="592"/>
      <c r="Q1214" s="592"/>
      <c r="R1214" s="592"/>
      <c r="S1214" s="592"/>
      <c r="T1214" s="592"/>
      <c r="U1214" s="592"/>
      <c r="V1214" s="592"/>
      <c r="W1214" s="592"/>
      <c r="X1214" s="592"/>
      <c r="AB1214" s="56">
        <f>IF(AS1214="5",BL1214,0)</f>
        <v>0</v>
      </c>
      <c r="AD1214" s="56">
        <f>IF(AS1214="1",BJ1214,0)</f>
        <v>0</v>
      </c>
      <c r="AE1214" s="56">
        <f>IF(AS1214="1",BK1214,0)</f>
        <v>0</v>
      </c>
      <c r="AF1214" s="56">
        <f>IF(AS1214="7",BJ1214,0)</f>
        <v>0</v>
      </c>
      <c r="AG1214" s="56">
        <f>IF(AS1214="7",BK1214,0)</f>
        <v>0</v>
      </c>
      <c r="AH1214" s="56">
        <f>IF(AS1214="2",BJ1214,0)</f>
        <v>0</v>
      </c>
      <c r="AI1214" s="56">
        <f>IF(AS1214="2",BK1214,0)</f>
        <v>0</v>
      </c>
      <c r="AJ1214" s="56">
        <f>IF(AS1214="0",BL1214,0)</f>
        <v>0</v>
      </c>
      <c r="AK1214" s="7" t="s">
        <v>714</v>
      </c>
      <c r="AL1214" s="56">
        <f>IF(AP1214=0,K1214,0)</f>
        <v>0</v>
      </c>
      <c r="AM1214" s="56">
        <f>IF(AP1214=15,K1214,0)</f>
        <v>0</v>
      </c>
      <c r="AN1214" s="56">
        <f>IF(AP1214=21,K1214,0)</f>
        <v>0</v>
      </c>
      <c r="AP1214" s="56">
        <v>21</v>
      </c>
      <c r="AQ1214" s="88">
        <f>H1214*0.493246268656716</f>
        <v>0</v>
      </c>
      <c r="AR1214" s="88">
        <f>H1214*(1-0.493246268656716)</f>
        <v>0</v>
      </c>
      <c r="AS1214" s="21" t="s">
        <v>2311</v>
      </c>
      <c r="AX1214" s="56">
        <f>AY1214+AZ1214</f>
        <v>0</v>
      </c>
      <c r="AY1214" s="56">
        <f>G1214*AQ1214</f>
        <v>0</v>
      </c>
      <c r="AZ1214" s="56">
        <f>G1214*AR1214</f>
        <v>0</v>
      </c>
      <c r="BA1214" s="21" t="s">
        <v>1464</v>
      </c>
      <c r="BB1214" s="21" t="s">
        <v>1155</v>
      </c>
      <c r="BC1214" s="7" t="s">
        <v>976</v>
      </c>
      <c r="BE1214" s="56">
        <f>AY1214+AZ1214</f>
        <v>0</v>
      </c>
      <c r="BF1214" s="56">
        <f>H1214/(100-BG1214)*100</f>
        <v>0</v>
      </c>
      <c r="BG1214" s="56">
        <v>0</v>
      </c>
      <c r="BH1214" s="56">
        <f>M1214</f>
        <v>3.6000000000000002E-4</v>
      </c>
      <c r="BJ1214" s="56">
        <f>G1214*AQ1214</f>
        <v>0</v>
      </c>
      <c r="BK1214" s="56">
        <f>G1214*AR1214</f>
        <v>0</v>
      </c>
      <c r="BL1214" s="56">
        <f>G1214*H1214</f>
        <v>0</v>
      </c>
      <c r="BM1214" s="56"/>
      <c r="BN1214" s="56">
        <v>722</v>
      </c>
    </row>
    <row r="1215" spans="1:66" ht="15" customHeight="1">
      <c r="A1215" s="36"/>
      <c r="D1215" s="45" t="s">
        <v>1589</v>
      </c>
      <c r="E1215" s="104" t="s">
        <v>1597</v>
      </c>
      <c r="G1215" s="13">
        <v>2</v>
      </c>
      <c r="N1215" s="19"/>
      <c r="P1215" s="592"/>
      <c r="Q1215" s="592"/>
      <c r="R1215" s="592"/>
      <c r="S1215" s="592"/>
      <c r="T1215" s="592"/>
      <c r="U1215" s="592"/>
      <c r="V1215" s="592"/>
      <c r="W1215" s="592"/>
      <c r="X1215" s="592"/>
    </row>
    <row r="1216" spans="1:66" ht="15" customHeight="1">
      <c r="A1216" s="24" t="s">
        <v>998</v>
      </c>
      <c r="B1216" s="12" t="s">
        <v>714</v>
      </c>
      <c r="C1216" s="12" t="s">
        <v>1123</v>
      </c>
      <c r="D1216" s="630" t="s">
        <v>1103</v>
      </c>
      <c r="E1216" s="630"/>
      <c r="F1216" s="12" t="s">
        <v>82</v>
      </c>
      <c r="G1216" s="56">
        <v>4</v>
      </c>
      <c r="H1216" s="625"/>
      <c r="I1216" s="56">
        <f>G1216*AQ1216</f>
        <v>0</v>
      </c>
      <c r="J1216" s="56">
        <f>G1216*AR1216</f>
        <v>0</v>
      </c>
      <c r="K1216" s="56">
        <f>G1216*H1216</f>
        <v>0</v>
      </c>
      <c r="L1216" s="56">
        <v>1.48E-3</v>
      </c>
      <c r="M1216" s="56">
        <f>G1216*L1216</f>
        <v>5.9199999999999999E-3</v>
      </c>
      <c r="N1216" s="31" t="s">
        <v>1579</v>
      </c>
      <c r="P1216" s="592"/>
      <c r="Q1216" s="592"/>
      <c r="R1216" s="592"/>
      <c r="S1216" s="592"/>
      <c r="T1216" s="592"/>
      <c r="U1216" s="592"/>
      <c r="V1216" s="592"/>
      <c r="W1216" s="592"/>
      <c r="X1216" s="592"/>
      <c r="AB1216" s="56">
        <f>IF(AS1216="5",BL1216,0)</f>
        <v>0</v>
      </c>
      <c r="AD1216" s="56">
        <f>IF(AS1216="1",BJ1216,0)</f>
        <v>0</v>
      </c>
      <c r="AE1216" s="56">
        <f>IF(AS1216="1",BK1216,0)</f>
        <v>0</v>
      </c>
      <c r="AF1216" s="56">
        <f>IF(AS1216="7",BJ1216,0)</f>
        <v>0</v>
      </c>
      <c r="AG1216" s="56">
        <f>IF(AS1216="7",BK1216,0)</f>
        <v>0</v>
      </c>
      <c r="AH1216" s="56">
        <f>IF(AS1216="2",BJ1216,0)</f>
        <v>0</v>
      </c>
      <c r="AI1216" s="56">
        <f>IF(AS1216="2",BK1216,0)</f>
        <v>0</v>
      </c>
      <c r="AJ1216" s="56">
        <f>IF(AS1216="0",BL1216,0)</f>
        <v>0</v>
      </c>
      <c r="AK1216" s="7" t="s">
        <v>714</v>
      </c>
      <c r="AL1216" s="56">
        <f>IF(AP1216=0,K1216,0)</f>
        <v>0</v>
      </c>
      <c r="AM1216" s="56">
        <f>IF(AP1216=15,K1216,0)</f>
        <v>0</v>
      </c>
      <c r="AN1216" s="56">
        <f>IF(AP1216=21,K1216,0)</f>
        <v>0</v>
      </c>
      <c r="AP1216" s="56">
        <v>21</v>
      </c>
      <c r="AQ1216" s="88">
        <f>H1216*0.50875705670411</f>
        <v>0</v>
      </c>
      <c r="AR1216" s="88">
        <f>H1216*(1-0.50875705670411)</f>
        <v>0</v>
      </c>
      <c r="AS1216" s="21" t="s">
        <v>2311</v>
      </c>
      <c r="AX1216" s="56">
        <f>AY1216+AZ1216</f>
        <v>0</v>
      </c>
      <c r="AY1216" s="56">
        <f>G1216*AQ1216</f>
        <v>0</v>
      </c>
      <c r="AZ1216" s="56">
        <f>G1216*AR1216</f>
        <v>0</v>
      </c>
      <c r="BA1216" s="21" t="s">
        <v>1464</v>
      </c>
      <c r="BB1216" s="21" t="s">
        <v>1155</v>
      </c>
      <c r="BC1216" s="7" t="s">
        <v>976</v>
      </c>
      <c r="BE1216" s="56">
        <f>AY1216+AZ1216</f>
        <v>0</v>
      </c>
      <c r="BF1216" s="56">
        <f>H1216/(100-BG1216)*100</f>
        <v>0</v>
      </c>
      <c r="BG1216" s="56">
        <v>0</v>
      </c>
      <c r="BH1216" s="56">
        <f>M1216</f>
        <v>5.9199999999999999E-3</v>
      </c>
      <c r="BJ1216" s="56">
        <f>G1216*AQ1216</f>
        <v>0</v>
      </c>
      <c r="BK1216" s="56">
        <f>G1216*AR1216</f>
        <v>0</v>
      </c>
      <c r="BL1216" s="56">
        <f>G1216*H1216</f>
        <v>0</v>
      </c>
      <c r="BM1216" s="56"/>
      <c r="BN1216" s="56">
        <v>722</v>
      </c>
    </row>
    <row r="1217" spans="1:66" ht="15" customHeight="1">
      <c r="A1217" s="36"/>
      <c r="D1217" s="45" t="s">
        <v>258</v>
      </c>
      <c r="E1217" s="104" t="s">
        <v>1597</v>
      </c>
      <c r="G1217" s="13">
        <v>4</v>
      </c>
      <c r="N1217" s="19"/>
      <c r="P1217" s="592"/>
      <c r="Q1217" s="592"/>
      <c r="R1217" s="592"/>
      <c r="S1217" s="592"/>
      <c r="T1217" s="592"/>
      <c r="U1217" s="592"/>
      <c r="V1217" s="592"/>
      <c r="W1217" s="592"/>
      <c r="X1217" s="592"/>
    </row>
    <row r="1218" spans="1:66" ht="15" customHeight="1">
      <c r="A1218" s="24" t="s">
        <v>1098</v>
      </c>
      <c r="B1218" s="12" t="s">
        <v>714</v>
      </c>
      <c r="C1218" s="12" t="s">
        <v>31</v>
      </c>
      <c r="D1218" s="630" t="s">
        <v>13</v>
      </c>
      <c r="E1218" s="630"/>
      <c r="F1218" s="12" t="s">
        <v>564</v>
      </c>
      <c r="G1218" s="56">
        <v>2</v>
      </c>
      <c r="H1218" s="625"/>
      <c r="I1218" s="56">
        <f>G1218*AQ1218</f>
        <v>0</v>
      </c>
      <c r="J1218" s="56">
        <f>G1218*AR1218</f>
        <v>0</v>
      </c>
      <c r="K1218" s="56">
        <f>G1218*H1218</f>
        <v>0</v>
      </c>
      <c r="L1218" s="56">
        <v>6.3000000000000003E-4</v>
      </c>
      <c r="M1218" s="56">
        <f>G1218*L1218</f>
        <v>1.2600000000000001E-3</v>
      </c>
      <c r="N1218" s="31" t="s">
        <v>1579</v>
      </c>
      <c r="P1218" s="592"/>
      <c r="Q1218" s="592"/>
      <c r="R1218" s="592"/>
      <c r="S1218" s="592"/>
      <c r="T1218" s="592"/>
      <c r="U1218" s="592"/>
      <c r="V1218" s="592"/>
      <c r="W1218" s="592"/>
      <c r="X1218" s="592"/>
      <c r="AB1218" s="56">
        <f>IF(AS1218="5",BL1218,0)</f>
        <v>0</v>
      </c>
      <c r="AD1218" s="56">
        <f>IF(AS1218="1",BJ1218,0)</f>
        <v>0</v>
      </c>
      <c r="AE1218" s="56">
        <f>IF(AS1218="1",BK1218,0)</f>
        <v>0</v>
      </c>
      <c r="AF1218" s="56">
        <f>IF(AS1218="7",BJ1218,0)</f>
        <v>0</v>
      </c>
      <c r="AG1218" s="56">
        <f>IF(AS1218="7",BK1218,0)</f>
        <v>0</v>
      </c>
      <c r="AH1218" s="56">
        <f>IF(AS1218="2",BJ1218,0)</f>
        <v>0</v>
      </c>
      <c r="AI1218" s="56">
        <f>IF(AS1218="2",BK1218,0)</f>
        <v>0</v>
      </c>
      <c r="AJ1218" s="56">
        <f>IF(AS1218="0",BL1218,0)</f>
        <v>0</v>
      </c>
      <c r="AK1218" s="7" t="s">
        <v>714</v>
      </c>
      <c r="AL1218" s="56">
        <f>IF(AP1218=0,K1218,0)</f>
        <v>0</v>
      </c>
      <c r="AM1218" s="56">
        <f>IF(AP1218=15,K1218,0)</f>
        <v>0</v>
      </c>
      <c r="AN1218" s="56">
        <f>IF(AP1218=21,K1218,0)</f>
        <v>0</v>
      </c>
      <c r="AP1218" s="56">
        <v>21</v>
      </c>
      <c r="AQ1218" s="88">
        <f>H1218*0.501359223300971</f>
        <v>0</v>
      </c>
      <c r="AR1218" s="88">
        <f>H1218*(1-0.501359223300971)</f>
        <v>0</v>
      </c>
      <c r="AS1218" s="21" t="s">
        <v>2311</v>
      </c>
      <c r="AX1218" s="56">
        <f>AY1218+AZ1218</f>
        <v>0</v>
      </c>
      <c r="AY1218" s="56">
        <f>G1218*AQ1218</f>
        <v>0</v>
      </c>
      <c r="AZ1218" s="56">
        <f>G1218*AR1218</f>
        <v>0</v>
      </c>
      <c r="BA1218" s="21" t="s">
        <v>1464</v>
      </c>
      <c r="BB1218" s="21" t="s">
        <v>1155</v>
      </c>
      <c r="BC1218" s="7" t="s">
        <v>976</v>
      </c>
      <c r="BE1218" s="56">
        <f>AY1218+AZ1218</f>
        <v>0</v>
      </c>
      <c r="BF1218" s="56">
        <f>H1218/(100-BG1218)*100</f>
        <v>0</v>
      </c>
      <c r="BG1218" s="56">
        <v>0</v>
      </c>
      <c r="BH1218" s="56">
        <f>M1218</f>
        <v>1.2600000000000001E-3</v>
      </c>
      <c r="BJ1218" s="56">
        <f>G1218*AQ1218</f>
        <v>0</v>
      </c>
      <c r="BK1218" s="56">
        <f>G1218*AR1218</f>
        <v>0</v>
      </c>
      <c r="BL1218" s="56">
        <f>G1218*H1218</f>
        <v>0</v>
      </c>
      <c r="BM1218" s="56"/>
      <c r="BN1218" s="56">
        <v>722</v>
      </c>
    </row>
    <row r="1219" spans="1:66" ht="15" customHeight="1">
      <c r="A1219" s="36"/>
      <c r="D1219" s="45" t="s">
        <v>1589</v>
      </c>
      <c r="E1219" s="104" t="s">
        <v>1597</v>
      </c>
      <c r="G1219" s="13">
        <v>2</v>
      </c>
      <c r="N1219" s="19"/>
      <c r="P1219" s="592"/>
      <c r="Q1219" s="592"/>
      <c r="R1219" s="592"/>
      <c r="S1219" s="592"/>
      <c r="T1219" s="592"/>
      <c r="U1219" s="592"/>
      <c r="V1219" s="592"/>
      <c r="W1219" s="592"/>
      <c r="X1219" s="592"/>
    </row>
    <row r="1220" spans="1:66" ht="15" customHeight="1">
      <c r="A1220" s="24" t="s">
        <v>2310</v>
      </c>
      <c r="B1220" s="12" t="s">
        <v>714</v>
      </c>
      <c r="C1220" s="12" t="s">
        <v>2437</v>
      </c>
      <c r="D1220" s="630" t="s">
        <v>2626</v>
      </c>
      <c r="E1220" s="630"/>
      <c r="F1220" s="12" t="s">
        <v>564</v>
      </c>
      <c r="G1220" s="56">
        <v>0</v>
      </c>
      <c r="H1220" s="625"/>
      <c r="I1220" s="56">
        <f>G1220*AQ1220</f>
        <v>0</v>
      </c>
      <c r="J1220" s="56">
        <f>G1220*AR1220</f>
        <v>0</v>
      </c>
      <c r="K1220" s="56">
        <f>G1220*H1220</f>
        <v>0</v>
      </c>
      <c r="L1220" s="56">
        <v>0</v>
      </c>
      <c r="M1220" s="56">
        <f>G1220*L1220</f>
        <v>0</v>
      </c>
      <c r="N1220" s="31" t="s">
        <v>1579</v>
      </c>
      <c r="P1220" s="592"/>
      <c r="Q1220" s="592"/>
      <c r="R1220" s="592"/>
      <c r="S1220" s="592"/>
      <c r="T1220" s="592"/>
      <c r="U1220" s="592"/>
      <c r="V1220" s="592"/>
      <c r="W1220" s="592"/>
      <c r="X1220" s="592"/>
      <c r="AB1220" s="56">
        <f>IF(AS1220="5",BL1220,0)</f>
        <v>0</v>
      </c>
      <c r="AD1220" s="56">
        <f>IF(AS1220="1",BJ1220,0)</f>
        <v>0</v>
      </c>
      <c r="AE1220" s="56">
        <f>IF(AS1220="1",BK1220,0)</f>
        <v>0</v>
      </c>
      <c r="AF1220" s="56">
        <f>IF(AS1220="7",BJ1220,0)</f>
        <v>0</v>
      </c>
      <c r="AG1220" s="56">
        <f>IF(AS1220="7",BK1220,0)</f>
        <v>0</v>
      </c>
      <c r="AH1220" s="56">
        <f>IF(AS1220="2",BJ1220,0)</f>
        <v>0</v>
      </c>
      <c r="AI1220" s="56">
        <f>IF(AS1220="2",BK1220,0)</f>
        <v>0</v>
      </c>
      <c r="AJ1220" s="56">
        <f>IF(AS1220="0",BL1220,0)</f>
        <v>0</v>
      </c>
      <c r="AK1220" s="7" t="s">
        <v>714</v>
      </c>
      <c r="AL1220" s="56">
        <f>IF(AP1220=0,K1220,0)</f>
        <v>0</v>
      </c>
      <c r="AM1220" s="56">
        <f>IF(AP1220=15,K1220,0)</f>
        <v>0</v>
      </c>
      <c r="AN1220" s="56">
        <f>IF(AP1220=21,K1220,0)</f>
        <v>0</v>
      </c>
      <c r="AP1220" s="56">
        <v>21</v>
      </c>
      <c r="AQ1220" s="88">
        <f>H1220*0</f>
        <v>0</v>
      </c>
      <c r="AR1220" s="88">
        <f>H1220*(1-0)</f>
        <v>0</v>
      </c>
      <c r="AS1220" s="21" t="s">
        <v>2311</v>
      </c>
      <c r="AX1220" s="56">
        <f>AY1220+AZ1220</f>
        <v>0</v>
      </c>
      <c r="AY1220" s="56">
        <f>G1220*AQ1220</f>
        <v>0</v>
      </c>
      <c r="AZ1220" s="56">
        <f>G1220*AR1220</f>
        <v>0</v>
      </c>
      <c r="BA1220" s="21" t="s">
        <v>1464</v>
      </c>
      <c r="BB1220" s="21" t="s">
        <v>1155</v>
      </c>
      <c r="BC1220" s="7" t="s">
        <v>976</v>
      </c>
      <c r="BE1220" s="56">
        <f>AY1220+AZ1220</f>
        <v>0</v>
      </c>
      <c r="BF1220" s="56">
        <f>H1220/(100-BG1220)*100</f>
        <v>0</v>
      </c>
      <c r="BG1220" s="56">
        <v>0</v>
      </c>
      <c r="BH1220" s="56">
        <f>M1220</f>
        <v>0</v>
      </c>
      <c r="BJ1220" s="56">
        <f>G1220*AQ1220</f>
        <v>0</v>
      </c>
      <c r="BK1220" s="56">
        <f>G1220*AR1220</f>
        <v>0</v>
      </c>
      <c r="BL1220" s="56">
        <f>G1220*H1220</f>
        <v>0</v>
      </c>
      <c r="BM1220" s="56"/>
      <c r="BN1220" s="56">
        <v>722</v>
      </c>
    </row>
    <row r="1221" spans="1:66" ht="15" customHeight="1">
      <c r="A1221" s="8" t="s">
        <v>2628</v>
      </c>
      <c r="B1221" s="75" t="s">
        <v>714</v>
      </c>
      <c r="C1221" s="75" t="s">
        <v>2482</v>
      </c>
      <c r="D1221" s="710" t="s">
        <v>1157</v>
      </c>
      <c r="E1221" s="710"/>
      <c r="F1221" s="75" t="s">
        <v>564</v>
      </c>
      <c r="G1221" s="80">
        <v>5</v>
      </c>
      <c r="H1221" s="626"/>
      <c r="I1221" s="80">
        <f>G1221*AQ1221</f>
        <v>0</v>
      </c>
      <c r="J1221" s="80">
        <f>G1221*AR1221</f>
        <v>0</v>
      </c>
      <c r="K1221" s="80">
        <f>G1221*H1221</f>
        <v>0</v>
      </c>
      <c r="L1221" s="80">
        <v>5.9000000000000003E-4</v>
      </c>
      <c r="M1221" s="80">
        <f>G1221*L1221</f>
        <v>2.9500000000000004E-3</v>
      </c>
      <c r="N1221" s="38" t="s">
        <v>1579</v>
      </c>
      <c r="P1221" s="592"/>
      <c r="Q1221" s="592"/>
      <c r="R1221" s="592"/>
      <c r="S1221" s="592"/>
      <c r="T1221" s="592"/>
      <c r="U1221" s="592"/>
      <c r="V1221" s="592"/>
      <c r="W1221" s="592"/>
      <c r="X1221" s="592"/>
      <c r="AB1221" s="56">
        <f>IF(AS1221="5",BL1221,0)</f>
        <v>0</v>
      </c>
      <c r="AD1221" s="56">
        <f>IF(AS1221="1",BJ1221,0)</f>
        <v>0</v>
      </c>
      <c r="AE1221" s="56">
        <f>IF(AS1221="1",BK1221,0)</f>
        <v>0</v>
      </c>
      <c r="AF1221" s="56">
        <f>IF(AS1221="7",BJ1221,0)</f>
        <v>0</v>
      </c>
      <c r="AG1221" s="56">
        <f>IF(AS1221="7",BK1221,0)</f>
        <v>0</v>
      </c>
      <c r="AH1221" s="56">
        <f>IF(AS1221="2",BJ1221,0)</f>
        <v>0</v>
      </c>
      <c r="AI1221" s="56">
        <f>IF(AS1221="2",BK1221,0)</f>
        <v>0</v>
      </c>
      <c r="AJ1221" s="56">
        <f>IF(AS1221="0",BL1221,0)</f>
        <v>0</v>
      </c>
      <c r="AK1221" s="7" t="s">
        <v>714</v>
      </c>
      <c r="AL1221" s="80">
        <f>IF(AP1221=0,K1221,0)</f>
        <v>0</v>
      </c>
      <c r="AM1221" s="80">
        <f>IF(AP1221=15,K1221,0)</f>
        <v>0</v>
      </c>
      <c r="AN1221" s="80">
        <f>IF(AP1221=21,K1221,0)</f>
        <v>0</v>
      </c>
      <c r="AP1221" s="56">
        <v>21</v>
      </c>
      <c r="AQ1221" s="88">
        <f>H1221*1</f>
        <v>0</v>
      </c>
      <c r="AR1221" s="88">
        <f>H1221*(1-1)</f>
        <v>0</v>
      </c>
      <c r="AS1221" s="64" t="s">
        <v>2311</v>
      </c>
      <c r="AX1221" s="56">
        <f>AY1221+AZ1221</f>
        <v>0</v>
      </c>
      <c r="AY1221" s="56">
        <f>G1221*AQ1221</f>
        <v>0</v>
      </c>
      <c r="AZ1221" s="56">
        <f>G1221*AR1221</f>
        <v>0</v>
      </c>
      <c r="BA1221" s="21" t="s">
        <v>1464</v>
      </c>
      <c r="BB1221" s="21" t="s">
        <v>1155</v>
      </c>
      <c r="BC1221" s="7" t="s">
        <v>976</v>
      </c>
      <c r="BE1221" s="56">
        <f>AY1221+AZ1221</f>
        <v>0</v>
      </c>
      <c r="BF1221" s="56">
        <f>H1221/(100-BG1221)*100</f>
        <v>0</v>
      </c>
      <c r="BG1221" s="56">
        <v>0</v>
      </c>
      <c r="BH1221" s="56">
        <f>M1221</f>
        <v>2.9500000000000004E-3</v>
      </c>
      <c r="BJ1221" s="80">
        <f>G1221*AQ1221</f>
        <v>0</v>
      </c>
      <c r="BK1221" s="80">
        <f>G1221*AR1221</f>
        <v>0</v>
      </c>
      <c r="BL1221" s="80">
        <f>G1221*H1221</f>
        <v>0</v>
      </c>
      <c r="BM1221" s="80"/>
      <c r="BN1221" s="56">
        <v>722</v>
      </c>
    </row>
    <row r="1222" spans="1:66" ht="15" customHeight="1">
      <c r="A1222" s="36"/>
      <c r="D1222" s="45" t="s">
        <v>1227</v>
      </c>
      <c r="E1222" s="104" t="s">
        <v>1597</v>
      </c>
      <c r="G1222" s="13">
        <v>5</v>
      </c>
      <c r="N1222" s="19"/>
      <c r="P1222" s="592"/>
      <c r="Q1222" s="592"/>
      <c r="R1222" s="592"/>
      <c r="S1222" s="592"/>
      <c r="T1222" s="592"/>
      <c r="U1222" s="592"/>
      <c r="V1222" s="592"/>
      <c r="W1222" s="592"/>
      <c r="X1222" s="592"/>
    </row>
    <row r="1223" spans="1:66" ht="15" customHeight="1">
      <c r="A1223" s="24" t="s">
        <v>2225</v>
      </c>
      <c r="B1223" s="12" t="s">
        <v>714</v>
      </c>
      <c r="C1223" s="12" t="s">
        <v>1341</v>
      </c>
      <c r="D1223" s="630" t="s">
        <v>369</v>
      </c>
      <c r="E1223" s="630"/>
      <c r="F1223" s="12" t="s">
        <v>564</v>
      </c>
      <c r="G1223" s="56">
        <v>2</v>
      </c>
      <c r="H1223" s="625"/>
      <c r="I1223" s="56">
        <f>G1223*AQ1223</f>
        <v>0</v>
      </c>
      <c r="J1223" s="56">
        <f>G1223*AR1223</f>
        <v>0</v>
      </c>
      <c r="K1223" s="56">
        <f>G1223*H1223</f>
        <v>0</v>
      </c>
      <c r="L1223" s="56">
        <v>6.8000000000000005E-4</v>
      </c>
      <c r="M1223" s="56">
        <f>G1223*L1223</f>
        <v>1.3600000000000001E-3</v>
      </c>
      <c r="N1223" s="31" t="s">
        <v>1579</v>
      </c>
      <c r="P1223" s="592"/>
      <c r="Q1223" s="592"/>
      <c r="R1223" s="592"/>
      <c r="S1223" s="592"/>
      <c r="T1223" s="592"/>
      <c r="U1223" s="592"/>
      <c r="V1223" s="592"/>
      <c r="W1223" s="592"/>
      <c r="X1223" s="592"/>
      <c r="AB1223" s="56">
        <f>IF(AS1223="5",BL1223,0)</f>
        <v>0</v>
      </c>
      <c r="AD1223" s="56">
        <f>IF(AS1223="1",BJ1223,0)</f>
        <v>0</v>
      </c>
      <c r="AE1223" s="56">
        <f>IF(AS1223="1",BK1223,0)</f>
        <v>0</v>
      </c>
      <c r="AF1223" s="56">
        <f>IF(AS1223="7",BJ1223,0)</f>
        <v>0</v>
      </c>
      <c r="AG1223" s="56">
        <f>IF(AS1223="7",BK1223,0)</f>
        <v>0</v>
      </c>
      <c r="AH1223" s="56">
        <f>IF(AS1223="2",BJ1223,0)</f>
        <v>0</v>
      </c>
      <c r="AI1223" s="56">
        <f>IF(AS1223="2",BK1223,0)</f>
        <v>0</v>
      </c>
      <c r="AJ1223" s="56">
        <f>IF(AS1223="0",BL1223,0)</f>
        <v>0</v>
      </c>
      <c r="AK1223" s="7" t="s">
        <v>714</v>
      </c>
      <c r="AL1223" s="56">
        <f>IF(AP1223=0,K1223,0)</f>
        <v>0</v>
      </c>
      <c r="AM1223" s="56">
        <f>IF(AP1223=15,K1223,0)</f>
        <v>0</v>
      </c>
      <c r="AN1223" s="56">
        <f>IF(AP1223=21,K1223,0)</f>
        <v>0</v>
      </c>
      <c r="AP1223" s="56">
        <v>21</v>
      </c>
      <c r="AQ1223" s="88">
        <f>H1223*0.988007118304616</f>
        <v>0</v>
      </c>
      <c r="AR1223" s="88">
        <f>H1223*(1-0.988007118304616)</f>
        <v>0</v>
      </c>
      <c r="AS1223" s="21" t="s">
        <v>2311</v>
      </c>
      <c r="AX1223" s="56">
        <f>AY1223+AZ1223</f>
        <v>0</v>
      </c>
      <c r="AY1223" s="56">
        <f>G1223*AQ1223</f>
        <v>0</v>
      </c>
      <c r="AZ1223" s="56">
        <f>G1223*AR1223</f>
        <v>0</v>
      </c>
      <c r="BA1223" s="21" t="s">
        <v>1464</v>
      </c>
      <c r="BB1223" s="21" t="s">
        <v>1155</v>
      </c>
      <c r="BC1223" s="7" t="s">
        <v>976</v>
      </c>
      <c r="BE1223" s="56">
        <f>AY1223+AZ1223</f>
        <v>0</v>
      </c>
      <c r="BF1223" s="56">
        <f>H1223/(100-BG1223)*100</f>
        <v>0</v>
      </c>
      <c r="BG1223" s="56">
        <v>0</v>
      </c>
      <c r="BH1223" s="56">
        <f>M1223</f>
        <v>1.3600000000000001E-3</v>
      </c>
      <c r="BJ1223" s="56">
        <f>G1223*AQ1223</f>
        <v>0</v>
      </c>
      <c r="BK1223" s="56">
        <f>G1223*AR1223</f>
        <v>0</v>
      </c>
      <c r="BL1223" s="56">
        <f>G1223*H1223</f>
        <v>0</v>
      </c>
      <c r="BM1223" s="56"/>
      <c r="BN1223" s="56">
        <v>722</v>
      </c>
    </row>
    <row r="1224" spans="1:66" ht="15" customHeight="1">
      <c r="A1224" s="36"/>
      <c r="D1224" s="45" t="s">
        <v>2297</v>
      </c>
      <c r="E1224" s="104" t="s">
        <v>2624</v>
      </c>
      <c r="G1224" s="13">
        <v>1</v>
      </c>
      <c r="N1224" s="19"/>
      <c r="P1224" s="592"/>
      <c r="Q1224" s="592"/>
      <c r="R1224" s="592"/>
      <c r="S1224" s="592"/>
      <c r="T1224" s="592"/>
      <c r="U1224" s="592"/>
      <c r="V1224" s="592"/>
      <c r="W1224" s="592"/>
      <c r="X1224" s="592"/>
    </row>
    <row r="1225" spans="1:66" ht="15" customHeight="1">
      <c r="A1225" s="36"/>
      <c r="D1225" s="45" t="s">
        <v>2297</v>
      </c>
      <c r="E1225" s="104" t="s">
        <v>335</v>
      </c>
      <c r="G1225" s="13">
        <v>1</v>
      </c>
      <c r="N1225" s="19"/>
      <c r="P1225" s="592"/>
      <c r="Q1225" s="592"/>
      <c r="R1225" s="592"/>
      <c r="S1225" s="592"/>
      <c r="T1225" s="592"/>
      <c r="U1225" s="592"/>
      <c r="V1225" s="592"/>
      <c r="W1225" s="592"/>
      <c r="X1225" s="592"/>
    </row>
    <row r="1226" spans="1:66" ht="15" customHeight="1">
      <c r="A1226" s="24" t="s">
        <v>1495</v>
      </c>
      <c r="B1226" s="12" t="s">
        <v>714</v>
      </c>
      <c r="C1226" s="12" t="s">
        <v>916</v>
      </c>
      <c r="D1226" s="630" t="s">
        <v>169</v>
      </c>
      <c r="E1226" s="630"/>
      <c r="F1226" s="12" t="s">
        <v>564</v>
      </c>
      <c r="G1226" s="56">
        <v>1</v>
      </c>
      <c r="H1226" s="625"/>
      <c r="I1226" s="56">
        <f>G1226*AQ1226</f>
        <v>0</v>
      </c>
      <c r="J1226" s="56">
        <f>G1226*AR1226</f>
        <v>0</v>
      </c>
      <c r="K1226" s="56">
        <f>G1226*H1226</f>
        <v>0</v>
      </c>
      <c r="L1226" s="56">
        <v>0.03</v>
      </c>
      <c r="M1226" s="56">
        <f>G1226*L1226</f>
        <v>0.03</v>
      </c>
      <c r="N1226" s="31" t="s">
        <v>1579</v>
      </c>
      <c r="P1226" s="592"/>
      <c r="Q1226" s="592"/>
      <c r="R1226" s="592"/>
      <c r="S1226" s="592"/>
      <c r="T1226" s="592"/>
      <c r="U1226" s="592"/>
      <c r="V1226" s="592"/>
      <c r="W1226" s="592"/>
      <c r="X1226" s="592"/>
      <c r="AB1226" s="56">
        <f>IF(AS1226="5",BL1226,0)</f>
        <v>0</v>
      </c>
      <c r="AD1226" s="56">
        <f>IF(AS1226="1",BJ1226,0)</f>
        <v>0</v>
      </c>
      <c r="AE1226" s="56">
        <f>IF(AS1226="1",BK1226,0)</f>
        <v>0</v>
      </c>
      <c r="AF1226" s="56">
        <f>IF(AS1226="7",BJ1226,0)</f>
        <v>0</v>
      </c>
      <c r="AG1226" s="56">
        <f>IF(AS1226="7",BK1226,0)</f>
        <v>0</v>
      </c>
      <c r="AH1226" s="56">
        <f>IF(AS1226="2",BJ1226,0)</f>
        <v>0</v>
      </c>
      <c r="AI1226" s="56">
        <f>IF(AS1226="2",BK1226,0)</f>
        <v>0</v>
      </c>
      <c r="AJ1226" s="56">
        <f>IF(AS1226="0",BL1226,0)</f>
        <v>0</v>
      </c>
      <c r="AK1226" s="7" t="s">
        <v>714</v>
      </c>
      <c r="AL1226" s="56">
        <f>IF(AP1226=0,K1226,0)</f>
        <v>0</v>
      </c>
      <c r="AM1226" s="56">
        <f>IF(AP1226=15,K1226,0)</f>
        <v>0</v>
      </c>
      <c r="AN1226" s="56">
        <f>IF(AP1226=21,K1226,0)</f>
        <v>0</v>
      </c>
      <c r="AP1226" s="56">
        <v>21</v>
      </c>
      <c r="AQ1226" s="88">
        <f>H1226*0.909977284680793</f>
        <v>0</v>
      </c>
      <c r="AR1226" s="88">
        <f>H1226*(1-0.909977284680793)</f>
        <v>0</v>
      </c>
      <c r="AS1226" s="21" t="s">
        <v>2311</v>
      </c>
      <c r="AX1226" s="56">
        <f>AY1226+AZ1226</f>
        <v>0</v>
      </c>
      <c r="AY1226" s="56">
        <f>G1226*AQ1226</f>
        <v>0</v>
      </c>
      <c r="AZ1226" s="56">
        <f>G1226*AR1226</f>
        <v>0</v>
      </c>
      <c r="BA1226" s="21" t="s">
        <v>1464</v>
      </c>
      <c r="BB1226" s="21" t="s">
        <v>1155</v>
      </c>
      <c r="BC1226" s="7" t="s">
        <v>976</v>
      </c>
      <c r="BE1226" s="56">
        <f>AY1226+AZ1226</f>
        <v>0</v>
      </c>
      <c r="BF1226" s="56">
        <f>H1226/(100-BG1226)*100</f>
        <v>0</v>
      </c>
      <c r="BG1226" s="56">
        <v>0</v>
      </c>
      <c r="BH1226" s="56">
        <f>M1226</f>
        <v>0.03</v>
      </c>
      <c r="BJ1226" s="56">
        <f>G1226*AQ1226</f>
        <v>0</v>
      </c>
      <c r="BK1226" s="56">
        <f>G1226*AR1226</f>
        <v>0</v>
      </c>
      <c r="BL1226" s="56">
        <f>G1226*H1226</f>
        <v>0</v>
      </c>
      <c r="BM1226" s="56"/>
      <c r="BN1226" s="56">
        <v>722</v>
      </c>
    </row>
    <row r="1227" spans="1:66" ht="15" customHeight="1">
      <c r="A1227" s="36"/>
      <c r="D1227" s="45" t="s">
        <v>2297</v>
      </c>
      <c r="E1227" s="104" t="s">
        <v>1597</v>
      </c>
      <c r="G1227" s="13">
        <v>1</v>
      </c>
      <c r="N1227" s="19"/>
      <c r="P1227" s="592"/>
      <c r="Q1227" s="592"/>
      <c r="R1227" s="592"/>
      <c r="S1227" s="592"/>
      <c r="T1227" s="592"/>
      <c r="U1227" s="592"/>
      <c r="V1227" s="592"/>
      <c r="W1227" s="592"/>
      <c r="X1227" s="592"/>
    </row>
    <row r="1228" spans="1:66" ht="15" customHeight="1">
      <c r="A1228" s="24" t="s">
        <v>2599</v>
      </c>
      <c r="B1228" s="12" t="s">
        <v>714</v>
      </c>
      <c r="C1228" s="12" t="s">
        <v>2576</v>
      </c>
      <c r="D1228" s="630" t="s">
        <v>289</v>
      </c>
      <c r="E1228" s="630"/>
      <c r="F1228" s="12" t="s">
        <v>564</v>
      </c>
      <c r="G1228" s="56">
        <v>1</v>
      </c>
      <c r="H1228" s="625"/>
      <c r="I1228" s="56">
        <f>G1228*AQ1228</f>
        <v>0</v>
      </c>
      <c r="J1228" s="56">
        <f>G1228*AR1228</f>
        <v>0</v>
      </c>
      <c r="K1228" s="56">
        <f>G1228*H1228</f>
        <v>0</v>
      </c>
      <c r="L1228" s="56">
        <v>1.2999999999999999E-3</v>
      </c>
      <c r="M1228" s="56">
        <f>G1228*L1228</f>
        <v>1.2999999999999999E-3</v>
      </c>
      <c r="N1228" s="31" t="s">
        <v>1579</v>
      </c>
      <c r="P1228" s="592"/>
      <c r="Q1228" s="592"/>
      <c r="R1228" s="592"/>
      <c r="S1228" s="592"/>
      <c r="T1228" s="592"/>
      <c r="U1228" s="592"/>
      <c r="V1228" s="592"/>
      <c r="W1228" s="592"/>
      <c r="X1228" s="592"/>
      <c r="AB1228" s="56">
        <f>IF(AS1228="5",BL1228,0)</f>
        <v>0</v>
      </c>
      <c r="AD1228" s="56">
        <f>IF(AS1228="1",BJ1228,0)</f>
        <v>0</v>
      </c>
      <c r="AE1228" s="56">
        <f>IF(AS1228="1",BK1228,0)</f>
        <v>0</v>
      </c>
      <c r="AF1228" s="56">
        <f>IF(AS1228="7",BJ1228,0)</f>
        <v>0</v>
      </c>
      <c r="AG1228" s="56">
        <f>IF(AS1228="7",BK1228,0)</f>
        <v>0</v>
      </c>
      <c r="AH1228" s="56">
        <f>IF(AS1228="2",BJ1228,0)</f>
        <v>0</v>
      </c>
      <c r="AI1228" s="56">
        <f>IF(AS1228="2",BK1228,0)</f>
        <v>0</v>
      </c>
      <c r="AJ1228" s="56">
        <f>IF(AS1228="0",BL1228,0)</f>
        <v>0</v>
      </c>
      <c r="AK1228" s="7" t="s">
        <v>714</v>
      </c>
      <c r="AL1228" s="56">
        <f>IF(AP1228=0,K1228,0)</f>
        <v>0</v>
      </c>
      <c r="AM1228" s="56">
        <f>IF(AP1228=15,K1228,0)</f>
        <v>0</v>
      </c>
      <c r="AN1228" s="56">
        <f>IF(AP1228=21,K1228,0)</f>
        <v>0</v>
      </c>
      <c r="AP1228" s="56">
        <v>21</v>
      </c>
      <c r="AQ1228" s="88">
        <f>H1228*0.978541667402913</f>
        <v>0</v>
      </c>
      <c r="AR1228" s="88">
        <f>H1228*(1-0.978541667402913)</f>
        <v>0</v>
      </c>
      <c r="AS1228" s="21" t="s">
        <v>2311</v>
      </c>
      <c r="AX1228" s="56">
        <f>AY1228+AZ1228</f>
        <v>0</v>
      </c>
      <c r="AY1228" s="56">
        <f>G1228*AQ1228</f>
        <v>0</v>
      </c>
      <c r="AZ1228" s="56">
        <f>G1228*AR1228</f>
        <v>0</v>
      </c>
      <c r="BA1228" s="21" t="s">
        <v>1464</v>
      </c>
      <c r="BB1228" s="21" t="s">
        <v>1155</v>
      </c>
      <c r="BC1228" s="7" t="s">
        <v>976</v>
      </c>
      <c r="BE1228" s="56">
        <f>AY1228+AZ1228</f>
        <v>0</v>
      </c>
      <c r="BF1228" s="56">
        <f>H1228/(100-BG1228)*100</f>
        <v>0</v>
      </c>
      <c r="BG1228" s="56">
        <v>0</v>
      </c>
      <c r="BH1228" s="56">
        <f>M1228</f>
        <v>1.2999999999999999E-3</v>
      </c>
      <c r="BJ1228" s="56">
        <f>G1228*AQ1228</f>
        <v>0</v>
      </c>
      <c r="BK1228" s="56">
        <f>G1228*AR1228</f>
        <v>0</v>
      </c>
      <c r="BL1228" s="56">
        <f>G1228*H1228</f>
        <v>0</v>
      </c>
      <c r="BM1228" s="56"/>
      <c r="BN1228" s="56">
        <v>722</v>
      </c>
    </row>
    <row r="1229" spans="1:66" ht="15" customHeight="1">
      <c r="A1229" s="36"/>
      <c r="D1229" s="45" t="s">
        <v>2297</v>
      </c>
      <c r="E1229" s="104" t="s">
        <v>1597</v>
      </c>
      <c r="G1229" s="13">
        <v>1</v>
      </c>
      <c r="N1229" s="19"/>
      <c r="P1229" s="592"/>
      <c r="Q1229" s="592"/>
      <c r="R1229" s="592"/>
      <c r="S1229" s="592"/>
      <c r="T1229" s="592"/>
      <c r="U1229" s="592"/>
      <c r="V1229" s="592"/>
      <c r="W1229" s="592"/>
      <c r="X1229" s="592"/>
    </row>
    <row r="1230" spans="1:66" ht="15" customHeight="1">
      <c r="A1230" s="24" t="s">
        <v>1981</v>
      </c>
      <c r="B1230" s="12" t="s">
        <v>714</v>
      </c>
      <c r="C1230" s="12" t="s">
        <v>306</v>
      </c>
      <c r="D1230" s="630" t="s">
        <v>2663</v>
      </c>
      <c r="E1230" s="630"/>
      <c r="F1230" s="12" t="s">
        <v>564</v>
      </c>
      <c r="G1230" s="56">
        <v>6</v>
      </c>
      <c r="H1230" s="625"/>
      <c r="I1230" s="56">
        <f>G1230*AQ1230</f>
        <v>0</v>
      </c>
      <c r="J1230" s="56">
        <f>G1230*AR1230</f>
        <v>0</v>
      </c>
      <c r="K1230" s="56">
        <f>G1230*H1230</f>
        <v>0</v>
      </c>
      <c r="L1230" s="56">
        <v>2.15E-3</v>
      </c>
      <c r="M1230" s="56">
        <f>G1230*L1230</f>
        <v>1.29E-2</v>
      </c>
      <c r="N1230" s="31" t="s">
        <v>1579</v>
      </c>
      <c r="P1230" s="592"/>
      <c r="Q1230" s="592"/>
      <c r="R1230" s="592"/>
      <c r="S1230" s="592"/>
      <c r="T1230" s="592"/>
      <c r="U1230" s="592"/>
      <c r="V1230" s="592"/>
      <c r="W1230" s="592"/>
      <c r="X1230" s="592"/>
      <c r="AB1230" s="56">
        <f>IF(AS1230="5",BL1230,0)</f>
        <v>0</v>
      </c>
      <c r="AD1230" s="56">
        <f>IF(AS1230="1",BJ1230,0)</f>
        <v>0</v>
      </c>
      <c r="AE1230" s="56">
        <f>IF(AS1230="1",BK1230,0)</f>
        <v>0</v>
      </c>
      <c r="AF1230" s="56">
        <f>IF(AS1230="7",BJ1230,0)</f>
        <v>0</v>
      </c>
      <c r="AG1230" s="56">
        <f>IF(AS1230="7",BK1230,0)</f>
        <v>0</v>
      </c>
      <c r="AH1230" s="56">
        <f>IF(AS1230="2",BJ1230,0)</f>
        <v>0</v>
      </c>
      <c r="AI1230" s="56">
        <f>IF(AS1230="2",BK1230,0)</f>
        <v>0</v>
      </c>
      <c r="AJ1230" s="56">
        <f>IF(AS1230="0",BL1230,0)</f>
        <v>0</v>
      </c>
      <c r="AK1230" s="7" t="s">
        <v>714</v>
      </c>
      <c r="AL1230" s="56">
        <f>IF(AP1230=0,K1230,0)</f>
        <v>0</v>
      </c>
      <c r="AM1230" s="56">
        <f>IF(AP1230=15,K1230,0)</f>
        <v>0</v>
      </c>
      <c r="AN1230" s="56">
        <f>IF(AP1230=21,K1230,0)</f>
        <v>0</v>
      </c>
      <c r="AP1230" s="56">
        <v>21</v>
      </c>
      <c r="AQ1230" s="88">
        <f>H1230*0.949503140195814</f>
        <v>0</v>
      </c>
      <c r="AR1230" s="88">
        <f>H1230*(1-0.949503140195814)</f>
        <v>0</v>
      </c>
      <c r="AS1230" s="21" t="s">
        <v>2311</v>
      </c>
      <c r="AX1230" s="56">
        <f>AY1230+AZ1230</f>
        <v>0</v>
      </c>
      <c r="AY1230" s="56">
        <f>G1230*AQ1230</f>
        <v>0</v>
      </c>
      <c r="AZ1230" s="56">
        <f>G1230*AR1230</f>
        <v>0</v>
      </c>
      <c r="BA1230" s="21" t="s">
        <v>1464</v>
      </c>
      <c r="BB1230" s="21" t="s">
        <v>1155</v>
      </c>
      <c r="BC1230" s="7" t="s">
        <v>976</v>
      </c>
      <c r="BE1230" s="56">
        <f>AY1230+AZ1230</f>
        <v>0</v>
      </c>
      <c r="BF1230" s="56">
        <f>H1230/(100-BG1230)*100</f>
        <v>0</v>
      </c>
      <c r="BG1230" s="56">
        <v>0</v>
      </c>
      <c r="BH1230" s="56">
        <f>M1230</f>
        <v>1.29E-2</v>
      </c>
      <c r="BJ1230" s="56">
        <f>G1230*AQ1230</f>
        <v>0</v>
      </c>
      <c r="BK1230" s="56">
        <f>G1230*AR1230</f>
        <v>0</v>
      </c>
      <c r="BL1230" s="56">
        <f>G1230*H1230</f>
        <v>0</v>
      </c>
      <c r="BM1230" s="56"/>
      <c r="BN1230" s="56">
        <v>722</v>
      </c>
    </row>
    <row r="1231" spans="1:66" ht="15" customHeight="1">
      <c r="A1231" s="36"/>
      <c r="D1231" s="45" t="s">
        <v>390</v>
      </c>
      <c r="E1231" s="104" t="s">
        <v>1597</v>
      </c>
      <c r="G1231" s="13">
        <v>6.0000000000000009</v>
      </c>
      <c r="N1231" s="19"/>
      <c r="P1231" s="592"/>
      <c r="Q1231" s="592"/>
      <c r="R1231" s="592"/>
      <c r="S1231" s="592"/>
      <c r="T1231" s="592"/>
      <c r="U1231" s="592"/>
      <c r="V1231" s="592"/>
      <c r="W1231" s="592"/>
      <c r="X1231" s="592"/>
    </row>
    <row r="1232" spans="1:66" ht="15" customHeight="1">
      <c r="A1232" s="24" t="s">
        <v>2559</v>
      </c>
      <c r="B1232" s="12" t="s">
        <v>714</v>
      </c>
      <c r="C1232" s="12" t="s">
        <v>2420</v>
      </c>
      <c r="D1232" s="630" t="s">
        <v>2664</v>
      </c>
      <c r="E1232" s="630"/>
      <c r="F1232" s="12" t="s">
        <v>564</v>
      </c>
      <c r="G1232" s="56">
        <v>2</v>
      </c>
      <c r="H1232" s="625"/>
      <c r="I1232" s="56">
        <f>G1232*AQ1232</f>
        <v>0</v>
      </c>
      <c r="J1232" s="56">
        <f>G1232*AR1232</f>
        <v>0</v>
      </c>
      <c r="K1232" s="56">
        <f>G1232*H1232</f>
        <v>0</v>
      </c>
      <c r="L1232" s="56">
        <v>2.47E-3</v>
      </c>
      <c r="M1232" s="56">
        <f>G1232*L1232</f>
        <v>4.9399999999999999E-3</v>
      </c>
      <c r="N1232" s="31" t="s">
        <v>1579</v>
      </c>
      <c r="P1232" s="592"/>
      <c r="Q1232" s="592"/>
      <c r="R1232" s="592"/>
      <c r="S1232" s="592"/>
      <c r="T1232" s="592"/>
      <c r="U1232" s="592"/>
      <c r="V1232" s="592"/>
      <c r="W1232" s="592"/>
      <c r="X1232" s="592"/>
      <c r="AB1232" s="56">
        <f>IF(AS1232="5",BL1232,0)</f>
        <v>0</v>
      </c>
      <c r="AD1232" s="56">
        <f>IF(AS1232="1",BJ1232,0)</f>
        <v>0</v>
      </c>
      <c r="AE1232" s="56">
        <f>IF(AS1232="1",BK1232,0)</f>
        <v>0</v>
      </c>
      <c r="AF1232" s="56">
        <f>IF(AS1232="7",BJ1232,0)</f>
        <v>0</v>
      </c>
      <c r="AG1232" s="56">
        <f>IF(AS1232="7",BK1232,0)</f>
        <v>0</v>
      </c>
      <c r="AH1232" s="56">
        <f>IF(AS1232="2",BJ1232,0)</f>
        <v>0</v>
      </c>
      <c r="AI1232" s="56">
        <f>IF(AS1232="2",BK1232,0)</f>
        <v>0</v>
      </c>
      <c r="AJ1232" s="56">
        <f>IF(AS1232="0",BL1232,0)</f>
        <v>0</v>
      </c>
      <c r="AK1232" s="7" t="s">
        <v>714</v>
      </c>
      <c r="AL1232" s="56">
        <f>IF(AP1232=0,K1232,0)</f>
        <v>0</v>
      </c>
      <c r="AM1232" s="56">
        <f>IF(AP1232=15,K1232,0)</f>
        <v>0</v>
      </c>
      <c r="AN1232" s="56">
        <f>IF(AP1232=21,K1232,0)</f>
        <v>0</v>
      </c>
      <c r="AP1232" s="56">
        <v>21</v>
      </c>
      <c r="AQ1232" s="88">
        <f>H1232*0.783692783692784</f>
        <v>0</v>
      </c>
      <c r="AR1232" s="88">
        <f>H1232*(1-0.783692783692784)</f>
        <v>0</v>
      </c>
      <c r="AS1232" s="21" t="s">
        <v>2311</v>
      </c>
      <c r="AX1232" s="56">
        <f>AY1232+AZ1232</f>
        <v>0</v>
      </c>
      <c r="AY1232" s="56">
        <f>G1232*AQ1232</f>
        <v>0</v>
      </c>
      <c r="AZ1232" s="56">
        <f>G1232*AR1232</f>
        <v>0</v>
      </c>
      <c r="BA1232" s="21" t="s">
        <v>1464</v>
      </c>
      <c r="BB1232" s="21" t="s">
        <v>1155</v>
      </c>
      <c r="BC1232" s="7" t="s">
        <v>976</v>
      </c>
      <c r="BE1232" s="56">
        <f>AY1232+AZ1232</f>
        <v>0</v>
      </c>
      <c r="BF1232" s="56">
        <f>H1232/(100-BG1232)*100</f>
        <v>0</v>
      </c>
      <c r="BG1232" s="56">
        <v>0</v>
      </c>
      <c r="BH1232" s="56">
        <f>M1232</f>
        <v>4.9399999999999999E-3</v>
      </c>
      <c r="BJ1232" s="56">
        <f>G1232*AQ1232</f>
        <v>0</v>
      </c>
      <c r="BK1232" s="56">
        <f>G1232*AR1232</f>
        <v>0</v>
      </c>
      <c r="BL1232" s="56">
        <f>G1232*H1232</f>
        <v>0</v>
      </c>
      <c r="BM1232" s="56"/>
      <c r="BN1232" s="56">
        <v>722</v>
      </c>
    </row>
    <row r="1233" spans="1:66" ht="15" customHeight="1">
      <c r="A1233" s="36"/>
      <c r="D1233" s="45" t="s">
        <v>1589</v>
      </c>
      <c r="E1233" s="104" t="s">
        <v>1597</v>
      </c>
      <c r="G1233" s="13">
        <v>2</v>
      </c>
      <c r="N1233" s="19"/>
      <c r="P1233" s="592"/>
      <c r="Q1233" s="592"/>
      <c r="R1233" s="592"/>
      <c r="S1233" s="592"/>
      <c r="T1233" s="592"/>
      <c r="U1233" s="592"/>
      <c r="V1233" s="592"/>
      <c r="W1233" s="592"/>
      <c r="X1233" s="592"/>
    </row>
    <row r="1234" spans="1:66" ht="15" customHeight="1">
      <c r="A1234" s="24" t="s">
        <v>1863</v>
      </c>
      <c r="B1234" s="12" t="s">
        <v>714</v>
      </c>
      <c r="C1234" s="12" t="s">
        <v>1421</v>
      </c>
      <c r="D1234" s="630" t="s">
        <v>1090</v>
      </c>
      <c r="E1234" s="630"/>
      <c r="F1234" s="12" t="s">
        <v>1923</v>
      </c>
      <c r="G1234" s="56">
        <v>274</v>
      </c>
      <c r="H1234" s="625"/>
      <c r="I1234" s="56">
        <f>G1234*AQ1234</f>
        <v>0</v>
      </c>
      <c r="J1234" s="56">
        <f>G1234*AR1234</f>
        <v>0</v>
      </c>
      <c r="K1234" s="56">
        <f>G1234*H1234</f>
        <v>0</v>
      </c>
      <c r="L1234" s="56">
        <v>1.8000000000000001E-4</v>
      </c>
      <c r="M1234" s="56">
        <f>G1234*L1234</f>
        <v>4.9320000000000003E-2</v>
      </c>
      <c r="N1234" s="31" t="s">
        <v>1579</v>
      </c>
      <c r="P1234" s="592"/>
      <c r="Q1234" s="592"/>
      <c r="R1234" s="592"/>
      <c r="S1234" s="592"/>
      <c r="T1234" s="592"/>
      <c r="U1234" s="592"/>
      <c r="V1234" s="592"/>
      <c r="W1234" s="592"/>
      <c r="X1234" s="592"/>
      <c r="AB1234" s="56">
        <f>IF(AS1234="5",BL1234,0)</f>
        <v>0</v>
      </c>
      <c r="AD1234" s="56">
        <f>IF(AS1234="1",BJ1234,0)</f>
        <v>0</v>
      </c>
      <c r="AE1234" s="56">
        <f>IF(AS1234="1",BK1234,0)</f>
        <v>0</v>
      </c>
      <c r="AF1234" s="56">
        <f>IF(AS1234="7",BJ1234,0)</f>
        <v>0</v>
      </c>
      <c r="AG1234" s="56">
        <f>IF(AS1234="7",BK1234,0)</f>
        <v>0</v>
      </c>
      <c r="AH1234" s="56">
        <f>IF(AS1234="2",BJ1234,0)</f>
        <v>0</v>
      </c>
      <c r="AI1234" s="56">
        <f>IF(AS1234="2",BK1234,0)</f>
        <v>0</v>
      </c>
      <c r="AJ1234" s="56">
        <f>IF(AS1234="0",BL1234,0)</f>
        <v>0</v>
      </c>
      <c r="AK1234" s="7" t="s">
        <v>714</v>
      </c>
      <c r="AL1234" s="56">
        <f>IF(AP1234=0,K1234,0)</f>
        <v>0</v>
      </c>
      <c r="AM1234" s="56">
        <f>IF(AP1234=15,K1234,0)</f>
        <v>0</v>
      </c>
      <c r="AN1234" s="56">
        <f>IF(AP1234=21,K1234,0)</f>
        <v>0</v>
      </c>
      <c r="AP1234" s="56">
        <v>21</v>
      </c>
      <c r="AQ1234" s="88">
        <f>H1234*0.260491493383743</f>
        <v>0</v>
      </c>
      <c r="AR1234" s="88">
        <f>H1234*(1-0.260491493383743)</f>
        <v>0</v>
      </c>
      <c r="AS1234" s="21" t="s">
        <v>2311</v>
      </c>
      <c r="AX1234" s="56">
        <f>AY1234+AZ1234</f>
        <v>0</v>
      </c>
      <c r="AY1234" s="56">
        <f>G1234*AQ1234</f>
        <v>0</v>
      </c>
      <c r="AZ1234" s="56">
        <f>G1234*AR1234</f>
        <v>0</v>
      </c>
      <c r="BA1234" s="21" t="s">
        <v>1464</v>
      </c>
      <c r="BB1234" s="21" t="s">
        <v>1155</v>
      </c>
      <c r="BC1234" s="7" t="s">
        <v>976</v>
      </c>
      <c r="BE1234" s="56">
        <f>AY1234+AZ1234</f>
        <v>0</v>
      </c>
      <c r="BF1234" s="56">
        <f>H1234/(100-BG1234)*100</f>
        <v>0</v>
      </c>
      <c r="BG1234" s="56">
        <v>0</v>
      </c>
      <c r="BH1234" s="56">
        <f>M1234</f>
        <v>4.9320000000000003E-2</v>
      </c>
      <c r="BJ1234" s="56">
        <f>G1234*AQ1234</f>
        <v>0</v>
      </c>
      <c r="BK1234" s="56">
        <f>G1234*AR1234</f>
        <v>0</v>
      </c>
      <c r="BL1234" s="56">
        <f>G1234*H1234</f>
        <v>0</v>
      </c>
      <c r="BM1234" s="56"/>
      <c r="BN1234" s="56">
        <v>722</v>
      </c>
    </row>
    <row r="1235" spans="1:66" ht="15" customHeight="1">
      <c r="A1235" s="36"/>
      <c r="D1235" s="45" t="s">
        <v>2103</v>
      </c>
      <c r="E1235" s="104" t="s">
        <v>1597</v>
      </c>
      <c r="G1235" s="13">
        <v>274</v>
      </c>
      <c r="N1235" s="19"/>
      <c r="P1235" s="592"/>
      <c r="Q1235" s="592"/>
      <c r="R1235" s="592"/>
      <c r="S1235" s="592"/>
      <c r="T1235" s="592"/>
      <c r="U1235" s="592"/>
      <c r="V1235" s="592"/>
      <c r="W1235" s="592"/>
      <c r="X1235" s="592"/>
    </row>
    <row r="1236" spans="1:66" ht="15" customHeight="1">
      <c r="A1236" s="24" t="s">
        <v>1199</v>
      </c>
      <c r="B1236" s="12" t="s">
        <v>714</v>
      </c>
      <c r="C1236" s="12" t="s">
        <v>378</v>
      </c>
      <c r="D1236" s="630" t="s">
        <v>1890</v>
      </c>
      <c r="E1236" s="630"/>
      <c r="F1236" s="12" t="s">
        <v>1923</v>
      </c>
      <c r="G1236" s="56">
        <v>274</v>
      </c>
      <c r="H1236" s="625"/>
      <c r="I1236" s="56">
        <f>G1236*AQ1236</f>
        <v>0</v>
      </c>
      <c r="J1236" s="56">
        <f>G1236*AR1236</f>
        <v>0</v>
      </c>
      <c r="K1236" s="56">
        <f>G1236*H1236</f>
        <v>0</v>
      </c>
      <c r="L1236" s="56">
        <v>1.0000000000000001E-5</v>
      </c>
      <c r="M1236" s="56">
        <f>G1236*L1236</f>
        <v>2.7400000000000002E-3</v>
      </c>
      <c r="N1236" s="31" t="s">
        <v>1579</v>
      </c>
      <c r="P1236" s="592"/>
      <c r="Q1236" s="592"/>
      <c r="R1236" s="592"/>
      <c r="S1236" s="592"/>
      <c r="T1236" s="592"/>
      <c r="U1236" s="592"/>
      <c r="V1236" s="592"/>
      <c r="W1236" s="592"/>
      <c r="X1236" s="592"/>
      <c r="AB1236" s="56">
        <f>IF(AS1236="5",BL1236,0)</f>
        <v>0</v>
      </c>
      <c r="AD1236" s="56">
        <f>IF(AS1236="1",BJ1236,0)</f>
        <v>0</v>
      </c>
      <c r="AE1236" s="56">
        <f>IF(AS1236="1",BK1236,0)</f>
        <v>0</v>
      </c>
      <c r="AF1236" s="56">
        <f>IF(AS1236="7",BJ1236,0)</f>
        <v>0</v>
      </c>
      <c r="AG1236" s="56">
        <f>IF(AS1236="7",BK1236,0)</f>
        <v>0</v>
      </c>
      <c r="AH1236" s="56">
        <f>IF(AS1236="2",BJ1236,0)</f>
        <v>0</v>
      </c>
      <c r="AI1236" s="56">
        <f>IF(AS1236="2",BK1236,0)</f>
        <v>0</v>
      </c>
      <c r="AJ1236" s="56">
        <f>IF(AS1236="0",BL1236,0)</f>
        <v>0</v>
      </c>
      <c r="AK1236" s="7" t="s">
        <v>714</v>
      </c>
      <c r="AL1236" s="56">
        <f>IF(AP1236=0,K1236,0)</f>
        <v>0</v>
      </c>
      <c r="AM1236" s="56">
        <f>IF(AP1236=15,K1236,0)</f>
        <v>0</v>
      </c>
      <c r="AN1236" s="56">
        <f>IF(AP1236=21,K1236,0)</f>
        <v>0</v>
      </c>
      <c r="AP1236" s="56">
        <v>21</v>
      </c>
      <c r="AQ1236" s="88">
        <f>H1236*0.0523809523809524</f>
        <v>0</v>
      </c>
      <c r="AR1236" s="88">
        <f>H1236*(1-0.0523809523809524)</f>
        <v>0</v>
      </c>
      <c r="AS1236" s="21" t="s">
        <v>2311</v>
      </c>
      <c r="AX1236" s="56">
        <f>AY1236+AZ1236</f>
        <v>0</v>
      </c>
      <c r="AY1236" s="56">
        <f>G1236*AQ1236</f>
        <v>0</v>
      </c>
      <c r="AZ1236" s="56">
        <f>G1236*AR1236</f>
        <v>0</v>
      </c>
      <c r="BA1236" s="21" t="s">
        <v>1464</v>
      </c>
      <c r="BB1236" s="21" t="s">
        <v>1155</v>
      </c>
      <c r="BC1236" s="7" t="s">
        <v>976</v>
      </c>
      <c r="BE1236" s="56">
        <f>AY1236+AZ1236</f>
        <v>0</v>
      </c>
      <c r="BF1236" s="56">
        <f>H1236/(100-BG1236)*100</f>
        <v>0</v>
      </c>
      <c r="BG1236" s="56">
        <v>0</v>
      </c>
      <c r="BH1236" s="56">
        <f>M1236</f>
        <v>2.7400000000000002E-3</v>
      </c>
      <c r="BJ1236" s="56">
        <f>G1236*AQ1236</f>
        <v>0</v>
      </c>
      <c r="BK1236" s="56">
        <f>G1236*AR1236</f>
        <v>0</v>
      </c>
      <c r="BL1236" s="56">
        <f>G1236*H1236</f>
        <v>0</v>
      </c>
      <c r="BM1236" s="56"/>
      <c r="BN1236" s="56">
        <v>722</v>
      </c>
    </row>
    <row r="1237" spans="1:66" ht="15" customHeight="1">
      <c r="A1237" s="36"/>
      <c r="D1237" s="45" t="s">
        <v>2103</v>
      </c>
      <c r="E1237" s="104" t="s">
        <v>1597</v>
      </c>
      <c r="G1237" s="13">
        <v>274</v>
      </c>
      <c r="N1237" s="19"/>
      <c r="P1237" s="592"/>
      <c r="Q1237" s="592"/>
      <c r="R1237" s="592"/>
      <c r="S1237" s="592"/>
      <c r="T1237" s="592"/>
      <c r="U1237" s="592"/>
      <c r="V1237" s="592"/>
      <c r="W1237" s="592"/>
      <c r="X1237" s="592"/>
    </row>
    <row r="1238" spans="1:66" ht="15" customHeight="1">
      <c r="A1238" s="24" t="s">
        <v>1537</v>
      </c>
      <c r="B1238" s="12" t="s">
        <v>714</v>
      </c>
      <c r="C1238" s="12" t="s">
        <v>766</v>
      </c>
      <c r="D1238" s="630" t="s">
        <v>2017</v>
      </c>
      <c r="E1238" s="630"/>
      <c r="F1238" s="12" t="s">
        <v>564</v>
      </c>
      <c r="G1238" s="56">
        <v>11</v>
      </c>
      <c r="H1238" s="625"/>
      <c r="I1238" s="56">
        <f>G1238*AQ1238</f>
        <v>0</v>
      </c>
      <c r="J1238" s="56">
        <f>G1238*AR1238</f>
        <v>0</v>
      </c>
      <c r="K1238" s="56">
        <f>G1238*H1238</f>
        <v>0</v>
      </c>
      <c r="L1238" s="56">
        <v>3.2000000000000002E-3</v>
      </c>
      <c r="M1238" s="56">
        <f>G1238*L1238</f>
        <v>3.5200000000000002E-2</v>
      </c>
      <c r="N1238" s="31" t="s">
        <v>1579</v>
      </c>
      <c r="P1238" s="592"/>
      <c r="Q1238" s="592"/>
      <c r="R1238" s="592"/>
      <c r="S1238" s="592"/>
      <c r="T1238" s="592"/>
      <c r="U1238" s="592"/>
      <c r="V1238" s="592"/>
      <c r="W1238" s="592"/>
      <c r="X1238" s="592"/>
      <c r="AB1238" s="56">
        <f>IF(AS1238="5",BL1238,0)</f>
        <v>0</v>
      </c>
      <c r="AD1238" s="56">
        <f>IF(AS1238="1",BJ1238,0)</f>
        <v>0</v>
      </c>
      <c r="AE1238" s="56">
        <f>IF(AS1238="1",BK1238,0)</f>
        <v>0</v>
      </c>
      <c r="AF1238" s="56">
        <f>IF(AS1238="7",BJ1238,0)</f>
        <v>0</v>
      </c>
      <c r="AG1238" s="56">
        <f>IF(AS1238="7",BK1238,0)</f>
        <v>0</v>
      </c>
      <c r="AH1238" s="56">
        <f>IF(AS1238="2",BJ1238,0)</f>
        <v>0</v>
      </c>
      <c r="AI1238" s="56">
        <f>IF(AS1238="2",BK1238,0)</f>
        <v>0</v>
      </c>
      <c r="AJ1238" s="56">
        <f>IF(AS1238="0",BL1238,0)</f>
        <v>0</v>
      </c>
      <c r="AK1238" s="7" t="s">
        <v>714</v>
      </c>
      <c r="AL1238" s="56">
        <f>IF(AP1238=0,K1238,0)</f>
        <v>0</v>
      </c>
      <c r="AM1238" s="56">
        <f>IF(AP1238=15,K1238,0)</f>
        <v>0</v>
      </c>
      <c r="AN1238" s="56">
        <f>IF(AP1238=21,K1238,0)</f>
        <v>0</v>
      </c>
      <c r="AP1238" s="56">
        <v>21</v>
      </c>
      <c r="AQ1238" s="88">
        <f>H1238*0.959316017316017</f>
        <v>0</v>
      </c>
      <c r="AR1238" s="88">
        <f>H1238*(1-0.959316017316017)</f>
        <v>0</v>
      </c>
      <c r="AS1238" s="21" t="s">
        <v>2311</v>
      </c>
      <c r="AX1238" s="56">
        <f>AY1238+AZ1238</f>
        <v>0</v>
      </c>
      <c r="AY1238" s="56">
        <f>G1238*AQ1238</f>
        <v>0</v>
      </c>
      <c r="AZ1238" s="56">
        <f>G1238*AR1238</f>
        <v>0</v>
      </c>
      <c r="BA1238" s="21" t="s">
        <v>1464</v>
      </c>
      <c r="BB1238" s="21" t="s">
        <v>1155</v>
      </c>
      <c r="BC1238" s="7" t="s">
        <v>976</v>
      </c>
      <c r="BE1238" s="56">
        <f>AY1238+AZ1238</f>
        <v>0</v>
      </c>
      <c r="BF1238" s="56">
        <f>H1238/(100-BG1238)*100</f>
        <v>0</v>
      </c>
      <c r="BG1238" s="56">
        <v>0</v>
      </c>
      <c r="BH1238" s="56">
        <f>M1238</f>
        <v>3.5200000000000002E-2</v>
      </c>
      <c r="BJ1238" s="56">
        <f>G1238*AQ1238</f>
        <v>0</v>
      </c>
      <c r="BK1238" s="56">
        <f>G1238*AR1238</f>
        <v>0</v>
      </c>
      <c r="BL1238" s="56">
        <f>G1238*H1238</f>
        <v>0</v>
      </c>
      <c r="BM1238" s="56"/>
      <c r="BN1238" s="56">
        <v>722</v>
      </c>
    </row>
    <row r="1239" spans="1:66" ht="15" customHeight="1">
      <c r="A1239" s="36"/>
      <c r="D1239" s="45" t="s">
        <v>2498</v>
      </c>
      <c r="E1239" s="104" t="s">
        <v>711</v>
      </c>
      <c r="G1239" s="13">
        <v>11.000000000000002</v>
      </c>
      <c r="N1239" s="19"/>
      <c r="P1239" s="592"/>
      <c r="Q1239" s="592"/>
      <c r="R1239" s="592"/>
      <c r="S1239" s="592"/>
      <c r="T1239" s="592"/>
      <c r="U1239" s="592"/>
      <c r="V1239" s="592"/>
      <c r="W1239" s="592"/>
      <c r="X1239" s="592"/>
    </row>
    <row r="1240" spans="1:66" ht="15" customHeight="1">
      <c r="A1240" s="32" t="s">
        <v>1597</v>
      </c>
      <c r="B1240" s="26" t="s">
        <v>714</v>
      </c>
      <c r="C1240" s="518" t="s">
        <v>1664</v>
      </c>
      <c r="D1240" s="709" t="s">
        <v>1120</v>
      </c>
      <c r="E1240" s="709"/>
      <c r="F1240" s="46" t="s">
        <v>2144</v>
      </c>
      <c r="G1240" s="46" t="s">
        <v>2144</v>
      </c>
      <c r="H1240" s="46" t="s">
        <v>2144</v>
      </c>
      <c r="I1240" s="17">
        <f>SUM(I1241:I1243)</f>
        <v>0</v>
      </c>
      <c r="J1240" s="17">
        <f>SUM(J1241:J1243)</f>
        <v>0</v>
      </c>
      <c r="K1240" s="17">
        <f>SUM(K1241:K1243)</f>
        <v>0</v>
      </c>
      <c r="L1240" s="7" t="s">
        <v>1597</v>
      </c>
      <c r="M1240" s="17">
        <f>SUM(M1241:M1243)</f>
        <v>2.341E-2</v>
      </c>
      <c r="N1240" s="20" t="s">
        <v>1597</v>
      </c>
      <c r="P1240" s="592"/>
      <c r="Q1240" s="592"/>
      <c r="R1240" s="592"/>
      <c r="S1240" s="592"/>
      <c r="T1240" s="592"/>
      <c r="U1240" s="592"/>
      <c r="V1240" s="592"/>
      <c r="W1240" s="592"/>
      <c r="X1240" s="592"/>
      <c r="AK1240" s="7" t="s">
        <v>714</v>
      </c>
      <c r="AU1240" s="17">
        <f>SUM(AL1241:AL1243)</f>
        <v>0</v>
      </c>
      <c r="AV1240" s="17">
        <f>SUM(AM1241:AM1243)</f>
        <v>0</v>
      </c>
      <c r="AW1240" s="17">
        <f>SUM(AN1241:AN1243)</f>
        <v>0</v>
      </c>
    </row>
    <row r="1241" spans="1:66" ht="15" customHeight="1">
      <c r="A1241" s="24" t="s">
        <v>927</v>
      </c>
      <c r="B1241" s="12" t="s">
        <v>714</v>
      </c>
      <c r="C1241" s="12" t="s">
        <v>2456</v>
      </c>
      <c r="D1241" s="630" t="s">
        <v>2514</v>
      </c>
      <c r="E1241" s="630"/>
      <c r="F1241" s="12" t="s">
        <v>811</v>
      </c>
      <c r="G1241" s="56">
        <v>1</v>
      </c>
      <c r="H1241" s="625"/>
      <c r="I1241" s="56">
        <f>G1241*AQ1241</f>
        <v>0</v>
      </c>
      <c r="J1241" s="56">
        <f>G1241*AR1241</f>
        <v>0</v>
      </c>
      <c r="K1241" s="56">
        <f>G1241*H1241</f>
        <v>0</v>
      </c>
      <c r="L1241" s="56">
        <v>1.341E-2</v>
      </c>
      <c r="M1241" s="56">
        <f>G1241*L1241</f>
        <v>1.341E-2</v>
      </c>
      <c r="N1241" s="31" t="s">
        <v>1579</v>
      </c>
      <c r="P1241" s="592"/>
      <c r="Q1241" s="592"/>
      <c r="R1241" s="592"/>
      <c r="S1241" s="592"/>
      <c r="T1241" s="592"/>
      <c r="U1241" s="592"/>
      <c r="V1241" s="592"/>
      <c r="W1241" s="592"/>
      <c r="X1241" s="592"/>
      <c r="AB1241" s="56">
        <f>IF(AS1241="5",BL1241,0)</f>
        <v>0</v>
      </c>
      <c r="AD1241" s="56">
        <f>IF(AS1241="1",BJ1241,0)</f>
        <v>0</v>
      </c>
      <c r="AE1241" s="56">
        <f>IF(AS1241="1",BK1241,0)</f>
        <v>0</v>
      </c>
      <c r="AF1241" s="56">
        <f>IF(AS1241="7",BJ1241,0)</f>
        <v>0</v>
      </c>
      <c r="AG1241" s="56">
        <f>IF(AS1241="7",BK1241,0)</f>
        <v>0</v>
      </c>
      <c r="AH1241" s="56">
        <f>IF(AS1241="2",BJ1241,0)</f>
        <v>0</v>
      </c>
      <c r="AI1241" s="56">
        <f>IF(AS1241="2",BK1241,0)</f>
        <v>0</v>
      </c>
      <c r="AJ1241" s="56">
        <f>IF(AS1241="0",BL1241,0)</f>
        <v>0</v>
      </c>
      <c r="AK1241" s="7" t="s">
        <v>714</v>
      </c>
      <c r="AL1241" s="56">
        <f>IF(AP1241=0,K1241,0)</f>
        <v>0</v>
      </c>
      <c r="AM1241" s="56">
        <f>IF(AP1241=15,K1241,0)</f>
        <v>0</v>
      </c>
      <c r="AN1241" s="56">
        <f>IF(AP1241=21,K1241,0)</f>
        <v>0</v>
      </c>
      <c r="AP1241" s="56">
        <v>21</v>
      </c>
      <c r="AQ1241" s="88">
        <f>H1241*0.859201004655057</f>
        <v>0</v>
      </c>
      <c r="AR1241" s="88">
        <f>H1241*(1-0.859201004655057)</f>
        <v>0</v>
      </c>
      <c r="AS1241" s="21" t="s">
        <v>2311</v>
      </c>
      <c r="AX1241" s="56">
        <f>AY1241+AZ1241</f>
        <v>0</v>
      </c>
      <c r="AY1241" s="56">
        <f>G1241*AQ1241</f>
        <v>0</v>
      </c>
      <c r="AZ1241" s="56">
        <f>G1241*AR1241</f>
        <v>0</v>
      </c>
      <c r="BA1241" s="21" t="s">
        <v>1087</v>
      </c>
      <c r="BB1241" s="21" t="s">
        <v>1155</v>
      </c>
      <c r="BC1241" s="7" t="s">
        <v>976</v>
      </c>
      <c r="BE1241" s="56">
        <f>AY1241+AZ1241</f>
        <v>0</v>
      </c>
      <c r="BF1241" s="56">
        <f>H1241/(100-BG1241)*100</f>
        <v>0</v>
      </c>
      <c r="BG1241" s="56">
        <v>0</v>
      </c>
      <c r="BH1241" s="56">
        <f>M1241</f>
        <v>1.341E-2</v>
      </c>
      <c r="BJ1241" s="56">
        <f>G1241*AQ1241</f>
        <v>0</v>
      </c>
      <c r="BK1241" s="56">
        <f>G1241*AR1241</f>
        <v>0</v>
      </c>
      <c r="BL1241" s="56">
        <f>G1241*H1241</f>
        <v>0</v>
      </c>
      <c r="BM1241" s="56"/>
      <c r="BN1241" s="56">
        <v>723</v>
      </c>
    </row>
    <row r="1242" spans="1:66" ht="15" customHeight="1">
      <c r="A1242" s="36"/>
      <c r="D1242" s="45" t="s">
        <v>2297</v>
      </c>
      <c r="E1242" s="104" t="s">
        <v>1597</v>
      </c>
      <c r="G1242" s="13">
        <v>1</v>
      </c>
      <c r="N1242" s="19"/>
      <c r="P1242" s="592"/>
      <c r="Q1242" s="592"/>
      <c r="R1242" s="592"/>
      <c r="S1242" s="592"/>
      <c r="T1242" s="592"/>
      <c r="U1242" s="592"/>
      <c r="V1242" s="592"/>
      <c r="W1242" s="592"/>
      <c r="X1242" s="592"/>
    </row>
    <row r="1243" spans="1:66" ht="15" customHeight="1">
      <c r="A1243" s="8" t="s">
        <v>1965</v>
      </c>
      <c r="B1243" s="75" t="s">
        <v>714</v>
      </c>
      <c r="C1243" s="75" t="s">
        <v>1305</v>
      </c>
      <c r="D1243" s="710" t="s">
        <v>2665</v>
      </c>
      <c r="E1243" s="710"/>
      <c r="F1243" s="75" t="s">
        <v>564</v>
      </c>
      <c r="G1243" s="80">
        <v>1</v>
      </c>
      <c r="H1243" s="626"/>
      <c r="I1243" s="80">
        <f>G1243*AQ1243</f>
        <v>0</v>
      </c>
      <c r="J1243" s="80">
        <f>G1243*AR1243</f>
        <v>0</v>
      </c>
      <c r="K1243" s="80">
        <f>G1243*H1243</f>
        <v>0</v>
      </c>
      <c r="L1243" s="80">
        <v>0.01</v>
      </c>
      <c r="M1243" s="80">
        <f>G1243*L1243</f>
        <v>0.01</v>
      </c>
      <c r="N1243" s="38" t="s">
        <v>1579</v>
      </c>
      <c r="P1243" s="592"/>
      <c r="Q1243" s="592"/>
      <c r="R1243" s="592"/>
      <c r="S1243" s="592"/>
      <c r="T1243" s="592"/>
      <c r="U1243" s="592"/>
      <c r="V1243" s="592"/>
      <c r="W1243" s="592"/>
      <c r="X1243" s="592"/>
      <c r="AB1243" s="56">
        <f>IF(AS1243="5",BL1243,0)</f>
        <v>0</v>
      </c>
      <c r="AD1243" s="56">
        <f>IF(AS1243="1",BJ1243,0)</f>
        <v>0</v>
      </c>
      <c r="AE1243" s="56">
        <f>IF(AS1243="1",BK1243,0)</f>
        <v>0</v>
      </c>
      <c r="AF1243" s="56">
        <f>IF(AS1243="7",BJ1243,0)</f>
        <v>0</v>
      </c>
      <c r="AG1243" s="56">
        <f>IF(AS1243="7",BK1243,0)</f>
        <v>0</v>
      </c>
      <c r="AH1243" s="56">
        <f>IF(AS1243="2",BJ1243,0)</f>
        <v>0</v>
      </c>
      <c r="AI1243" s="56">
        <f>IF(AS1243="2",BK1243,0)</f>
        <v>0</v>
      </c>
      <c r="AJ1243" s="56">
        <f>IF(AS1243="0",BL1243,0)</f>
        <v>0</v>
      </c>
      <c r="AK1243" s="7" t="s">
        <v>714</v>
      </c>
      <c r="AL1243" s="80">
        <f>IF(AP1243=0,K1243,0)</f>
        <v>0</v>
      </c>
      <c r="AM1243" s="80">
        <f>IF(AP1243=15,K1243,0)</f>
        <v>0</v>
      </c>
      <c r="AN1243" s="80">
        <f>IF(AP1243=21,K1243,0)</f>
        <v>0</v>
      </c>
      <c r="AP1243" s="56">
        <v>21</v>
      </c>
      <c r="AQ1243" s="88">
        <f>H1243*1</f>
        <v>0</v>
      </c>
      <c r="AR1243" s="88">
        <f>H1243*(1-1)</f>
        <v>0</v>
      </c>
      <c r="AS1243" s="64" t="s">
        <v>2311</v>
      </c>
      <c r="AX1243" s="56">
        <f>AY1243+AZ1243</f>
        <v>0</v>
      </c>
      <c r="AY1243" s="56">
        <f>G1243*AQ1243</f>
        <v>0</v>
      </c>
      <c r="AZ1243" s="56">
        <f>G1243*AR1243</f>
        <v>0</v>
      </c>
      <c r="BA1243" s="21" t="s">
        <v>1087</v>
      </c>
      <c r="BB1243" s="21" t="s">
        <v>1155</v>
      </c>
      <c r="BC1243" s="7" t="s">
        <v>976</v>
      </c>
      <c r="BE1243" s="56">
        <f>AY1243+AZ1243</f>
        <v>0</v>
      </c>
      <c r="BF1243" s="56">
        <f>H1243/(100-BG1243)*100</f>
        <v>0</v>
      </c>
      <c r="BG1243" s="56">
        <v>0</v>
      </c>
      <c r="BH1243" s="56">
        <f>M1243</f>
        <v>0.01</v>
      </c>
      <c r="BJ1243" s="80">
        <f>G1243*AQ1243</f>
        <v>0</v>
      </c>
      <c r="BK1243" s="80">
        <f>G1243*AR1243</f>
        <v>0</v>
      </c>
      <c r="BL1243" s="80">
        <f>G1243*H1243</f>
        <v>0</v>
      </c>
      <c r="BM1243" s="80"/>
      <c r="BN1243" s="56">
        <v>723</v>
      </c>
    </row>
    <row r="1244" spans="1:66" ht="15" customHeight="1">
      <c r="A1244" s="36"/>
      <c r="D1244" s="45" t="s">
        <v>2297</v>
      </c>
      <c r="E1244" s="104" t="s">
        <v>1597</v>
      </c>
      <c r="G1244" s="13">
        <v>1</v>
      </c>
      <c r="N1244" s="19"/>
      <c r="P1244" s="592"/>
      <c r="Q1244" s="592"/>
      <c r="R1244" s="592"/>
      <c r="S1244" s="592"/>
      <c r="T1244" s="592"/>
      <c r="U1244" s="592"/>
      <c r="V1244" s="592"/>
      <c r="W1244" s="592"/>
      <c r="X1244" s="592"/>
    </row>
    <row r="1245" spans="1:66" ht="15" customHeight="1">
      <c r="A1245" s="32" t="s">
        <v>1597</v>
      </c>
      <c r="B1245" s="26" t="s">
        <v>714</v>
      </c>
      <c r="C1245" s="518" t="s">
        <v>1010</v>
      </c>
      <c r="D1245" s="709" t="s">
        <v>2112</v>
      </c>
      <c r="E1245" s="709"/>
      <c r="F1245" s="46" t="s">
        <v>2144</v>
      </c>
      <c r="G1245" s="46" t="s">
        <v>2144</v>
      </c>
      <c r="H1245" s="46" t="s">
        <v>2144</v>
      </c>
      <c r="I1245" s="17">
        <f>SUM(I1246:I1246)</f>
        <v>0</v>
      </c>
      <c r="J1245" s="17">
        <f>SUM(J1246:J1246)</f>
        <v>0</v>
      </c>
      <c r="K1245" s="17">
        <f>SUM(K1246:K1246)</f>
        <v>0</v>
      </c>
      <c r="L1245" s="7" t="s">
        <v>1597</v>
      </c>
      <c r="M1245" s="17">
        <f>SUM(M1246:M1246)</f>
        <v>6.4949999999999994E-2</v>
      </c>
      <c r="N1245" s="20" t="s">
        <v>1597</v>
      </c>
      <c r="P1245" s="592"/>
      <c r="Q1245" s="592"/>
      <c r="R1245" s="592"/>
      <c r="S1245" s="592"/>
      <c r="T1245" s="592"/>
      <c r="U1245" s="592"/>
      <c r="V1245" s="592"/>
      <c r="W1245" s="592"/>
      <c r="X1245" s="592"/>
      <c r="AK1245" s="7" t="s">
        <v>714</v>
      </c>
      <c r="AU1245" s="17">
        <f>SUM(AL1246:AL1246)</f>
        <v>0</v>
      </c>
      <c r="AV1245" s="17">
        <f>SUM(AM1246:AM1246)</f>
        <v>0</v>
      </c>
      <c r="AW1245" s="17">
        <f>SUM(AN1246:AN1246)</f>
        <v>0</v>
      </c>
    </row>
    <row r="1246" spans="1:66" ht="15" customHeight="1">
      <c r="A1246" s="24" t="s">
        <v>844</v>
      </c>
      <c r="B1246" s="12" t="s">
        <v>714</v>
      </c>
      <c r="C1246" s="12" t="s">
        <v>1824</v>
      </c>
      <c r="D1246" s="630" t="s">
        <v>3638</v>
      </c>
      <c r="E1246" s="630"/>
      <c r="F1246" s="12" t="s">
        <v>811</v>
      </c>
      <c r="G1246" s="56">
        <v>1</v>
      </c>
      <c r="H1246" s="625"/>
      <c r="I1246" s="56">
        <f>G1246*AQ1246</f>
        <v>0</v>
      </c>
      <c r="J1246" s="56">
        <f>G1246*AR1246</f>
        <v>0</v>
      </c>
      <c r="K1246" s="56">
        <f>G1246*H1246</f>
        <v>0</v>
      </c>
      <c r="L1246" s="56">
        <v>6.4949999999999994E-2</v>
      </c>
      <c r="M1246" s="56">
        <f>G1246*L1246</f>
        <v>6.4949999999999994E-2</v>
      </c>
      <c r="N1246" s="31" t="s">
        <v>1579</v>
      </c>
      <c r="P1246" s="592"/>
      <c r="Q1246" s="592"/>
      <c r="R1246" s="592"/>
      <c r="S1246" s="592"/>
      <c r="T1246" s="592"/>
      <c r="U1246" s="592"/>
      <c r="V1246" s="592"/>
      <c r="W1246" s="592"/>
      <c r="X1246" s="592"/>
      <c r="AB1246" s="56">
        <f>IF(AS1246="5",BL1246,0)</f>
        <v>0</v>
      </c>
      <c r="AD1246" s="56">
        <f>IF(AS1246="1",BJ1246,0)</f>
        <v>0</v>
      </c>
      <c r="AE1246" s="56">
        <f>IF(AS1246="1",BK1246,0)</f>
        <v>0</v>
      </c>
      <c r="AF1246" s="56">
        <f>IF(AS1246="7",BJ1246,0)</f>
        <v>0</v>
      </c>
      <c r="AG1246" s="56">
        <f>IF(AS1246="7",BK1246,0)</f>
        <v>0</v>
      </c>
      <c r="AH1246" s="56">
        <f>IF(AS1246="2",BJ1246,0)</f>
        <v>0</v>
      </c>
      <c r="AI1246" s="56">
        <f>IF(AS1246="2",BK1246,0)</f>
        <v>0</v>
      </c>
      <c r="AJ1246" s="56">
        <f>IF(AS1246="0",BL1246,0)</f>
        <v>0</v>
      </c>
      <c r="AK1246" s="7" t="s">
        <v>714</v>
      </c>
      <c r="AL1246" s="56">
        <f>IF(AP1246=0,K1246,0)</f>
        <v>0</v>
      </c>
      <c r="AM1246" s="56">
        <f>IF(AP1246=15,K1246,0)</f>
        <v>0</v>
      </c>
      <c r="AN1246" s="56">
        <f>IF(AP1246=21,K1246,0)</f>
        <v>0</v>
      </c>
      <c r="AP1246" s="56">
        <v>21</v>
      </c>
      <c r="AQ1246" s="88">
        <f>H1246*0.888793491864831</f>
        <v>0</v>
      </c>
      <c r="AR1246" s="88">
        <f>H1246*(1-0.888793491864831)</f>
        <v>0</v>
      </c>
      <c r="AS1246" s="21" t="s">
        <v>2311</v>
      </c>
      <c r="AX1246" s="56">
        <f>AY1246+AZ1246</f>
        <v>0</v>
      </c>
      <c r="AY1246" s="56">
        <f>G1246*AQ1246</f>
        <v>0</v>
      </c>
      <c r="AZ1246" s="56">
        <f>G1246*AR1246</f>
        <v>0</v>
      </c>
      <c r="BA1246" s="21" t="s">
        <v>1701</v>
      </c>
      <c r="BB1246" s="21" t="s">
        <v>1155</v>
      </c>
      <c r="BC1246" s="7" t="s">
        <v>976</v>
      </c>
      <c r="BE1246" s="56">
        <f>AY1246+AZ1246</f>
        <v>0</v>
      </c>
      <c r="BF1246" s="56">
        <f>H1246/(100-BG1246)*100</f>
        <v>0</v>
      </c>
      <c r="BG1246" s="56">
        <v>0</v>
      </c>
      <c r="BH1246" s="56">
        <f>M1246</f>
        <v>6.4949999999999994E-2</v>
      </c>
      <c r="BJ1246" s="56">
        <f>G1246*AQ1246</f>
        <v>0</v>
      </c>
      <c r="BK1246" s="56">
        <f>G1246*AR1246</f>
        <v>0</v>
      </c>
      <c r="BL1246" s="56">
        <f>G1246*H1246</f>
        <v>0</v>
      </c>
      <c r="BM1246" s="56"/>
      <c r="BN1246" s="56">
        <v>724</v>
      </c>
    </row>
    <row r="1247" spans="1:66" ht="15" customHeight="1">
      <c r="A1247" s="36"/>
      <c r="D1247" s="45" t="s">
        <v>2297</v>
      </c>
      <c r="E1247" s="104" t="s">
        <v>1597</v>
      </c>
      <c r="G1247" s="13">
        <v>1</v>
      </c>
      <c r="N1247" s="19"/>
      <c r="P1247" s="592"/>
      <c r="Q1247" s="592"/>
      <c r="R1247" s="592"/>
      <c r="S1247" s="592"/>
      <c r="T1247" s="592"/>
      <c r="U1247" s="592"/>
      <c r="V1247" s="592"/>
      <c r="W1247" s="592"/>
      <c r="X1247" s="592"/>
    </row>
    <row r="1248" spans="1:66" ht="15" customHeight="1">
      <c r="A1248" s="32" t="s">
        <v>1597</v>
      </c>
      <c r="B1248" s="26" t="s">
        <v>714</v>
      </c>
      <c r="C1248" s="518" t="s">
        <v>2237</v>
      </c>
      <c r="D1248" s="709" t="s">
        <v>1380</v>
      </c>
      <c r="E1248" s="709"/>
      <c r="F1248" s="46" t="s">
        <v>2144</v>
      </c>
      <c r="G1248" s="46" t="s">
        <v>2144</v>
      </c>
      <c r="H1248" s="46" t="s">
        <v>2144</v>
      </c>
      <c r="I1248" s="17">
        <f>SUM(I1249:I1315)</f>
        <v>0</v>
      </c>
      <c r="J1248" s="17">
        <f>SUM(J1249:J1315)</f>
        <v>0</v>
      </c>
      <c r="K1248" s="17">
        <f>SUM(K1249:K1315)</f>
        <v>0</v>
      </c>
      <c r="L1248" s="7" t="s">
        <v>1597</v>
      </c>
      <c r="M1248" s="17">
        <f>SUM(M1249:M1315)</f>
        <v>0.94712000000000029</v>
      </c>
      <c r="N1248" s="20" t="s">
        <v>1597</v>
      </c>
      <c r="P1248" s="592"/>
      <c r="Q1248" s="592"/>
      <c r="R1248" s="592"/>
      <c r="S1248" s="592"/>
      <c r="T1248" s="592"/>
      <c r="U1248" s="592"/>
      <c r="V1248" s="592"/>
      <c r="W1248" s="592"/>
      <c r="X1248" s="592"/>
      <c r="AK1248" s="7" t="s">
        <v>714</v>
      </c>
      <c r="AU1248" s="17">
        <f>SUM(AL1249:AL1315)</f>
        <v>0</v>
      </c>
      <c r="AV1248" s="17">
        <f>SUM(AM1249:AM1315)</f>
        <v>0</v>
      </c>
      <c r="AW1248" s="17">
        <f>SUM(AN1249:AN1315)</f>
        <v>0</v>
      </c>
    </row>
    <row r="1249" spans="1:66" ht="15" customHeight="1">
      <c r="A1249" s="8" t="s">
        <v>753</v>
      </c>
      <c r="B1249" s="75" t="s">
        <v>714</v>
      </c>
      <c r="C1249" s="75" t="s">
        <v>880</v>
      </c>
      <c r="D1249" s="710" t="s">
        <v>309</v>
      </c>
      <c r="E1249" s="710"/>
      <c r="F1249" s="75" t="s">
        <v>564</v>
      </c>
      <c r="G1249" s="80">
        <v>1</v>
      </c>
      <c r="H1249" s="626"/>
      <c r="I1249" s="80">
        <f>G1249*AQ1249</f>
        <v>0</v>
      </c>
      <c r="J1249" s="80">
        <f>G1249*AR1249</f>
        <v>0</v>
      </c>
      <c r="K1249" s="80">
        <f>G1249*H1249</f>
        <v>0</v>
      </c>
      <c r="L1249" s="80">
        <v>6.0999999999999999E-2</v>
      </c>
      <c r="M1249" s="80">
        <f>G1249*L1249</f>
        <v>6.0999999999999999E-2</v>
      </c>
      <c r="N1249" s="38" t="s">
        <v>1579</v>
      </c>
      <c r="P1249" s="592"/>
      <c r="Q1249" s="592"/>
      <c r="R1249" s="592"/>
      <c r="S1249" s="592"/>
      <c r="T1249" s="592"/>
      <c r="U1249" s="592"/>
      <c r="V1249" s="592"/>
      <c r="W1249" s="592"/>
      <c r="X1249" s="592"/>
      <c r="AB1249" s="56">
        <f>IF(AS1249="5",BL1249,0)</f>
        <v>0</v>
      </c>
      <c r="AD1249" s="56">
        <f>IF(AS1249="1",BJ1249,0)</f>
        <v>0</v>
      </c>
      <c r="AE1249" s="56">
        <f>IF(AS1249="1",BK1249,0)</f>
        <v>0</v>
      </c>
      <c r="AF1249" s="56">
        <f>IF(AS1249="7",BJ1249,0)</f>
        <v>0</v>
      </c>
      <c r="AG1249" s="56">
        <f>IF(AS1249="7",BK1249,0)</f>
        <v>0</v>
      </c>
      <c r="AH1249" s="56">
        <f>IF(AS1249="2",BJ1249,0)</f>
        <v>0</v>
      </c>
      <c r="AI1249" s="56">
        <f>IF(AS1249="2",BK1249,0)</f>
        <v>0</v>
      </c>
      <c r="AJ1249" s="56">
        <f>IF(AS1249="0",BL1249,0)</f>
        <v>0</v>
      </c>
      <c r="AK1249" s="7" t="s">
        <v>714</v>
      </c>
      <c r="AL1249" s="80">
        <f>IF(AP1249=0,K1249,0)</f>
        <v>0</v>
      </c>
      <c r="AM1249" s="80">
        <f>IF(AP1249=15,K1249,0)</f>
        <v>0</v>
      </c>
      <c r="AN1249" s="80">
        <f>IF(AP1249=21,K1249,0)</f>
        <v>0</v>
      </c>
      <c r="AP1249" s="56">
        <v>21</v>
      </c>
      <c r="AQ1249" s="88">
        <f>H1249*1</f>
        <v>0</v>
      </c>
      <c r="AR1249" s="88">
        <f>H1249*(1-1)</f>
        <v>0</v>
      </c>
      <c r="AS1249" s="64" t="s">
        <v>2311</v>
      </c>
      <c r="AX1249" s="56">
        <f>AY1249+AZ1249</f>
        <v>0</v>
      </c>
      <c r="AY1249" s="56">
        <f>G1249*AQ1249</f>
        <v>0</v>
      </c>
      <c r="AZ1249" s="56">
        <f>G1249*AR1249</f>
        <v>0</v>
      </c>
      <c r="BA1249" s="21" t="s">
        <v>1036</v>
      </c>
      <c r="BB1249" s="21" t="s">
        <v>1155</v>
      </c>
      <c r="BC1249" s="7" t="s">
        <v>976</v>
      </c>
      <c r="BE1249" s="56">
        <f>AY1249+AZ1249</f>
        <v>0</v>
      </c>
      <c r="BF1249" s="56">
        <f>H1249/(100-BG1249)*100</f>
        <v>0</v>
      </c>
      <c r="BG1249" s="56">
        <v>0</v>
      </c>
      <c r="BH1249" s="56">
        <f>M1249</f>
        <v>6.0999999999999999E-2</v>
      </c>
      <c r="BJ1249" s="80">
        <f>G1249*AQ1249</f>
        <v>0</v>
      </c>
      <c r="BK1249" s="80">
        <f>G1249*AR1249</f>
        <v>0</v>
      </c>
      <c r="BL1249" s="80">
        <f>G1249*H1249</f>
        <v>0</v>
      </c>
      <c r="BM1249" s="80"/>
      <c r="BN1249" s="56">
        <v>725</v>
      </c>
    </row>
    <row r="1250" spans="1:66" ht="15" customHeight="1">
      <c r="A1250" s="36"/>
      <c r="D1250" s="45" t="s">
        <v>2297</v>
      </c>
      <c r="E1250" s="104" t="s">
        <v>1223</v>
      </c>
      <c r="G1250" s="13">
        <v>1</v>
      </c>
      <c r="N1250" s="19"/>
      <c r="P1250" s="592"/>
      <c r="Q1250" s="592"/>
      <c r="R1250" s="592"/>
      <c r="S1250" s="592"/>
      <c r="T1250" s="592"/>
      <c r="U1250" s="592"/>
      <c r="V1250" s="592"/>
      <c r="W1250" s="592"/>
      <c r="X1250" s="592"/>
    </row>
    <row r="1251" spans="1:66" ht="15" customHeight="1">
      <c r="A1251" s="24" t="s">
        <v>2043</v>
      </c>
      <c r="B1251" s="12" t="s">
        <v>714</v>
      </c>
      <c r="C1251" s="12" t="s">
        <v>1364</v>
      </c>
      <c r="D1251" s="630" t="s">
        <v>1405</v>
      </c>
      <c r="E1251" s="630"/>
      <c r="F1251" s="12" t="s">
        <v>811</v>
      </c>
      <c r="G1251" s="56">
        <v>40</v>
      </c>
      <c r="H1251" s="625"/>
      <c r="I1251" s="56">
        <f>G1251*AQ1251</f>
        <v>0</v>
      </c>
      <c r="J1251" s="56">
        <f>G1251*AR1251</f>
        <v>0</v>
      </c>
      <c r="K1251" s="56">
        <f>G1251*H1251</f>
        <v>0</v>
      </c>
      <c r="L1251" s="56">
        <v>2.4000000000000001E-4</v>
      </c>
      <c r="M1251" s="56">
        <f>G1251*L1251</f>
        <v>9.6000000000000009E-3</v>
      </c>
      <c r="N1251" s="31" t="s">
        <v>1579</v>
      </c>
      <c r="P1251" s="592"/>
      <c r="Q1251" s="592"/>
      <c r="R1251" s="592"/>
      <c r="S1251" s="592"/>
      <c r="T1251" s="592"/>
      <c r="U1251" s="592"/>
      <c r="V1251" s="592"/>
      <c r="W1251" s="592"/>
      <c r="X1251" s="592"/>
      <c r="AB1251" s="56">
        <f>IF(AS1251="5",BL1251,0)</f>
        <v>0</v>
      </c>
      <c r="AD1251" s="56">
        <f>IF(AS1251="1",BJ1251,0)</f>
        <v>0</v>
      </c>
      <c r="AE1251" s="56">
        <f>IF(AS1251="1",BK1251,0)</f>
        <v>0</v>
      </c>
      <c r="AF1251" s="56">
        <f>IF(AS1251="7",BJ1251,0)</f>
        <v>0</v>
      </c>
      <c r="AG1251" s="56">
        <f>IF(AS1251="7",BK1251,0)</f>
        <v>0</v>
      </c>
      <c r="AH1251" s="56">
        <f>IF(AS1251="2",BJ1251,0)</f>
        <v>0</v>
      </c>
      <c r="AI1251" s="56">
        <f>IF(AS1251="2",BK1251,0)</f>
        <v>0</v>
      </c>
      <c r="AJ1251" s="56">
        <f>IF(AS1251="0",BL1251,0)</f>
        <v>0</v>
      </c>
      <c r="AK1251" s="7" t="s">
        <v>714</v>
      </c>
      <c r="AL1251" s="56">
        <f>IF(AP1251=0,K1251,0)</f>
        <v>0</v>
      </c>
      <c r="AM1251" s="56">
        <f>IF(AP1251=15,K1251,0)</f>
        <v>0</v>
      </c>
      <c r="AN1251" s="56">
        <f>IF(AP1251=21,K1251,0)</f>
        <v>0</v>
      </c>
      <c r="AP1251" s="56">
        <v>21</v>
      </c>
      <c r="AQ1251" s="88">
        <f>H1251*0.826254826254826</f>
        <v>0</v>
      </c>
      <c r="AR1251" s="88">
        <f>H1251*(1-0.826254826254826)</f>
        <v>0</v>
      </c>
      <c r="AS1251" s="21" t="s">
        <v>2311</v>
      </c>
      <c r="AX1251" s="56">
        <f>AY1251+AZ1251</f>
        <v>0</v>
      </c>
      <c r="AY1251" s="56">
        <f>G1251*AQ1251</f>
        <v>0</v>
      </c>
      <c r="AZ1251" s="56">
        <f>G1251*AR1251</f>
        <v>0</v>
      </c>
      <c r="BA1251" s="21" t="s">
        <v>1036</v>
      </c>
      <c r="BB1251" s="21" t="s">
        <v>1155</v>
      </c>
      <c r="BC1251" s="7" t="s">
        <v>976</v>
      </c>
      <c r="BE1251" s="56">
        <f>AY1251+AZ1251</f>
        <v>0</v>
      </c>
      <c r="BF1251" s="56">
        <f>H1251/(100-BG1251)*100</f>
        <v>0</v>
      </c>
      <c r="BG1251" s="56">
        <v>0</v>
      </c>
      <c r="BH1251" s="56">
        <f>M1251</f>
        <v>9.6000000000000009E-3</v>
      </c>
      <c r="BJ1251" s="56">
        <f>G1251*AQ1251</f>
        <v>0</v>
      </c>
      <c r="BK1251" s="56">
        <f>G1251*AR1251</f>
        <v>0</v>
      </c>
      <c r="BL1251" s="56">
        <f>G1251*H1251</f>
        <v>0</v>
      </c>
      <c r="BM1251" s="56"/>
      <c r="BN1251" s="56">
        <v>725</v>
      </c>
    </row>
    <row r="1252" spans="1:66" ht="15" customHeight="1">
      <c r="A1252" s="36"/>
      <c r="D1252" s="45" t="s">
        <v>822</v>
      </c>
      <c r="E1252" s="104" t="s">
        <v>1597</v>
      </c>
      <c r="G1252" s="13">
        <v>40</v>
      </c>
      <c r="N1252" s="19"/>
      <c r="P1252" s="592"/>
      <c r="Q1252" s="592"/>
      <c r="R1252" s="592"/>
      <c r="S1252" s="592"/>
      <c r="T1252" s="592"/>
      <c r="U1252" s="592"/>
      <c r="V1252" s="592"/>
      <c r="W1252" s="592"/>
      <c r="X1252" s="592"/>
    </row>
    <row r="1253" spans="1:66" ht="15" customHeight="1">
      <c r="A1253" s="24" t="s">
        <v>1195</v>
      </c>
      <c r="B1253" s="12" t="s">
        <v>714</v>
      </c>
      <c r="C1253" s="12" t="s">
        <v>2491</v>
      </c>
      <c r="D1253" s="630" t="s">
        <v>995</v>
      </c>
      <c r="E1253" s="630"/>
      <c r="F1253" s="12" t="s">
        <v>811</v>
      </c>
      <c r="G1253" s="56">
        <v>6</v>
      </c>
      <c r="H1253" s="625"/>
      <c r="I1253" s="56">
        <f>G1253*AQ1253</f>
        <v>0</v>
      </c>
      <c r="J1253" s="56">
        <f>G1253*AR1253</f>
        <v>0</v>
      </c>
      <c r="K1253" s="56">
        <f>G1253*H1253</f>
        <v>0</v>
      </c>
      <c r="L1253" s="56">
        <v>1.7000000000000001E-4</v>
      </c>
      <c r="M1253" s="56">
        <f>G1253*L1253</f>
        <v>1.0200000000000001E-3</v>
      </c>
      <c r="N1253" s="31" t="s">
        <v>1579</v>
      </c>
      <c r="P1253" s="592"/>
      <c r="Q1253" s="592"/>
      <c r="R1253" s="592"/>
      <c r="S1253" s="592"/>
      <c r="T1253" s="592"/>
      <c r="U1253" s="592"/>
      <c r="V1253" s="592"/>
      <c r="W1253" s="592"/>
      <c r="X1253" s="592"/>
      <c r="AB1253" s="56">
        <f>IF(AS1253="5",BL1253,0)</f>
        <v>0</v>
      </c>
      <c r="AD1253" s="56">
        <f>IF(AS1253="1",BJ1253,0)</f>
        <v>0</v>
      </c>
      <c r="AE1253" s="56">
        <f>IF(AS1253="1",BK1253,0)</f>
        <v>0</v>
      </c>
      <c r="AF1253" s="56">
        <f>IF(AS1253="7",BJ1253,0)</f>
        <v>0</v>
      </c>
      <c r="AG1253" s="56">
        <f>IF(AS1253="7",BK1253,0)</f>
        <v>0</v>
      </c>
      <c r="AH1253" s="56">
        <f>IF(AS1253="2",BJ1253,0)</f>
        <v>0</v>
      </c>
      <c r="AI1253" s="56">
        <f>IF(AS1253="2",BK1253,0)</f>
        <v>0</v>
      </c>
      <c r="AJ1253" s="56">
        <f>IF(AS1253="0",BL1253,0)</f>
        <v>0</v>
      </c>
      <c r="AK1253" s="7" t="s">
        <v>714</v>
      </c>
      <c r="AL1253" s="56">
        <f>IF(AP1253=0,K1253,0)</f>
        <v>0</v>
      </c>
      <c r="AM1253" s="56">
        <f>IF(AP1253=15,K1253,0)</f>
        <v>0</v>
      </c>
      <c r="AN1253" s="56">
        <f>IF(AP1253=21,K1253,0)</f>
        <v>0</v>
      </c>
      <c r="AP1253" s="56">
        <v>21</v>
      </c>
      <c r="AQ1253" s="88">
        <f>H1253*0.527456978967495</f>
        <v>0</v>
      </c>
      <c r="AR1253" s="88">
        <f>H1253*(1-0.527456978967495)</f>
        <v>0</v>
      </c>
      <c r="AS1253" s="21" t="s">
        <v>2311</v>
      </c>
      <c r="AX1253" s="56">
        <f>AY1253+AZ1253</f>
        <v>0</v>
      </c>
      <c r="AY1253" s="56">
        <f>G1253*AQ1253</f>
        <v>0</v>
      </c>
      <c r="AZ1253" s="56">
        <f>G1253*AR1253</f>
        <v>0</v>
      </c>
      <c r="BA1253" s="21" t="s">
        <v>1036</v>
      </c>
      <c r="BB1253" s="21" t="s">
        <v>1155</v>
      </c>
      <c r="BC1253" s="7" t="s">
        <v>976</v>
      </c>
      <c r="BE1253" s="56">
        <f>AY1253+AZ1253</f>
        <v>0</v>
      </c>
      <c r="BF1253" s="56">
        <f>H1253/(100-BG1253)*100</f>
        <v>0</v>
      </c>
      <c r="BG1253" s="56">
        <v>0</v>
      </c>
      <c r="BH1253" s="56">
        <f>M1253</f>
        <v>1.0200000000000001E-3</v>
      </c>
      <c r="BJ1253" s="56">
        <f>G1253*AQ1253</f>
        <v>0</v>
      </c>
      <c r="BK1253" s="56">
        <f>G1253*AR1253</f>
        <v>0</v>
      </c>
      <c r="BL1253" s="56">
        <f>G1253*H1253</f>
        <v>0</v>
      </c>
      <c r="BM1253" s="56"/>
      <c r="BN1253" s="56">
        <v>725</v>
      </c>
    </row>
    <row r="1254" spans="1:66" ht="15" customHeight="1">
      <c r="A1254" s="36"/>
      <c r="D1254" s="45" t="s">
        <v>390</v>
      </c>
      <c r="E1254" s="104" t="s">
        <v>1597</v>
      </c>
      <c r="G1254" s="13">
        <v>6.0000000000000009</v>
      </c>
      <c r="N1254" s="19"/>
      <c r="P1254" s="592"/>
      <c r="Q1254" s="592"/>
      <c r="R1254" s="592"/>
      <c r="S1254" s="592"/>
      <c r="T1254" s="592"/>
      <c r="U1254" s="592"/>
      <c r="V1254" s="592"/>
      <c r="W1254" s="592"/>
      <c r="X1254" s="592"/>
    </row>
    <row r="1255" spans="1:66" ht="15" customHeight="1">
      <c r="A1255" s="24" t="s">
        <v>2121</v>
      </c>
      <c r="B1255" s="12" t="s">
        <v>714</v>
      </c>
      <c r="C1255" s="12" t="s">
        <v>1234</v>
      </c>
      <c r="D1255" s="630" t="s">
        <v>239</v>
      </c>
      <c r="E1255" s="630"/>
      <c r="F1255" s="12" t="s">
        <v>811</v>
      </c>
      <c r="G1255" s="56">
        <v>1</v>
      </c>
      <c r="H1255" s="625"/>
      <c r="I1255" s="56">
        <f>G1255*AQ1255</f>
        <v>0</v>
      </c>
      <c r="J1255" s="56">
        <f>G1255*AR1255</f>
        <v>0</v>
      </c>
      <c r="K1255" s="56">
        <f>G1255*H1255</f>
        <v>0</v>
      </c>
      <c r="L1255" s="56">
        <v>2.4000000000000001E-4</v>
      </c>
      <c r="M1255" s="56">
        <f>G1255*L1255</f>
        <v>2.4000000000000001E-4</v>
      </c>
      <c r="N1255" s="31" t="s">
        <v>1579</v>
      </c>
      <c r="P1255" s="592"/>
      <c r="Q1255" s="592"/>
      <c r="R1255" s="592"/>
      <c r="S1255" s="592"/>
      <c r="T1255" s="592"/>
      <c r="U1255" s="592"/>
      <c r="V1255" s="592"/>
      <c r="W1255" s="592"/>
      <c r="X1255" s="592"/>
      <c r="AB1255" s="56">
        <f>IF(AS1255="5",BL1255,0)</f>
        <v>0</v>
      </c>
      <c r="AD1255" s="56">
        <f>IF(AS1255="1",BJ1255,0)</f>
        <v>0</v>
      </c>
      <c r="AE1255" s="56">
        <f>IF(AS1255="1",BK1255,0)</f>
        <v>0</v>
      </c>
      <c r="AF1255" s="56">
        <f>IF(AS1255="7",BJ1255,0)</f>
        <v>0</v>
      </c>
      <c r="AG1255" s="56">
        <f>IF(AS1255="7",BK1255,0)</f>
        <v>0</v>
      </c>
      <c r="AH1255" s="56">
        <f>IF(AS1255="2",BJ1255,0)</f>
        <v>0</v>
      </c>
      <c r="AI1255" s="56">
        <f>IF(AS1255="2",BK1255,0)</f>
        <v>0</v>
      </c>
      <c r="AJ1255" s="56">
        <f>IF(AS1255="0",BL1255,0)</f>
        <v>0</v>
      </c>
      <c r="AK1255" s="7" t="s">
        <v>714</v>
      </c>
      <c r="AL1255" s="56">
        <f>IF(AP1255=0,K1255,0)</f>
        <v>0</v>
      </c>
      <c r="AM1255" s="56">
        <f>IF(AP1255=15,K1255,0)</f>
        <v>0</v>
      </c>
      <c r="AN1255" s="56">
        <f>IF(AP1255=21,K1255,0)</f>
        <v>0</v>
      </c>
      <c r="AP1255" s="56">
        <v>21</v>
      </c>
      <c r="AQ1255" s="88">
        <f>H1255*0.81145251396648</f>
        <v>0</v>
      </c>
      <c r="AR1255" s="88">
        <f>H1255*(1-0.81145251396648)</f>
        <v>0</v>
      </c>
      <c r="AS1255" s="21" t="s">
        <v>2311</v>
      </c>
      <c r="AX1255" s="56">
        <f>AY1255+AZ1255</f>
        <v>0</v>
      </c>
      <c r="AY1255" s="56">
        <f>G1255*AQ1255</f>
        <v>0</v>
      </c>
      <c r="AZ1255" s="56">
        <f>G1255*AR1255</f>
        <v>0</v>
      </c>
      <c r="BA1255" s="21" t="s">
        <v>1036</v>
      </c>
      <c r="BB1255" s="21" t="s">
        <v>1155</v>
      </c>
      <c r="BC1255" s="7" t="s">
        <v>976</v>
      </c>
      <c r="BE1255" s="56">
        <f>AY1255+AZ1255</f>
        <v>0</v>
      </c>
      <c r="BF1255" s="56">
        <f>H1255/(100-BG1255)*100</f>
        <v>0</v>
      </c>
      <c r="BG1255" s="56">
        <v>0</v>
      </c>
      <c r="BH1255" s="56">
        <f>M1255</f>
        <v>2.4000000000000001E-4</v>
      </c>
      <c r="BJ1255" s="56">
        <f>G1255*AQ1255</f>
        <v>0</v>
      </c>
      <c r="BK1255" s="56">
        <f>G1255*AR1255</f>
        <v>0</v>
      </c>
      <c r="BL1255" s="56">
        <f>G1255*H1255</f>
        <v>0</v>
      </c>
      <c r="BM1255" s="56"/>
      <c r="BN1255" s="56">
        <v>725</v>
      </c>
    </row>
    <row r="1256" spans="1:66" ht="15" customHeight="1">
      <c r="A1256" s="36"/>
      <c r="D1256" s="45" t="s">
        <v>2297</v>
      </c>
      <c r="E1256" s="104" t="s">
        <v>1597</v>
      </c>
      <c r="G1256" s="13">
        <v>1</v>
      </c>
      <c r="N1256" s="19"/>
      <c r="P1256" s="592"/>
      <c r="Q1256" s="592"/>
      <c r="R1256" s="592"/>
      <c r="S1256" s="592"/>
      <c r="T1256" s="592"/>
      <c r="U1256" s="592"/>
      <c r="V1256" s="592"/>
      <c r="W1256" s="592"/>
      <c r="X1256" s="592"/>
    </row>
    <row r="1257" spans="1:66" ht="15" customHeight="1">
      <c r="A1257" s="24" t="s">
        <v>687</v>
      </c>
      <c r="B1257" s="12" t="s">
        <v>714</v>
      </c>
      <c r="C1257" s="12" t="s">
        <v>1339</v>
      </c>
      <c r="D1257" s="630" t="s">
        <v>2666</v>
      </c>
      <c r="E1257" s="630"/>
      <c r="F1257" s="12" t="s">
        <v>811</v>
      </c>
      <c r="G1257" s="56">
        <v>11</v>
      </c>
      <c r="H1257" s="625"/>
      <c r="I1257" s="56">
        <f>G1257*AQ1257</f>
        <v>0</v>
      </c>
      <c r="J1257" s="56">
        <f>G1257*AR1257</f>
        <v>0</v>
      </c>
      <c r="K1257" s="56">
        <f>G1257*H1257</f>
        <v>0</v>
      </c>
      <c r="L1257" s="56">
        <v>1.8870000000000001E-2</v>
      </c>
      <c r="M1257" s="56">
        <f>G1257*L1257</f>
        <v>0.20757</v>
      </c>
      <c r="N1257" s="31" t="s">
        <v>1579</v>
      </c>
      <c r="P1257" s="592"/>
      <c r="Q1257" s="592"/>
      <c r="R1257" s="592"/>
      <c r="S1257" s="592"/>
      <c r="T1257" s="592"/>
      <c r="U1257" s="592"/>
      <c r="V1257" s="592"/>
      <c r="W1257" s="592"/>
      <c r="X1257" s="592"/>
      <c r="AB1257" s="56">
        <f>IF(AS1257="5",BL1257,0)</f>
        <v>0</v>
      </c>
      <c r="AD1257" s="56">
        <f>IF(AS1257="1",BJ1257,0)</f>
        <v>0</v>
      </c>
      <c r="AE1257" s="56">
        <f>IF(AS1257="1",BK1257,0)</f>
        <v>0</v>
      </c>
      <c r="AF1257" s="56">
        <f>IF(AS1257="7",BJ1257,0)</f>
        <v>0</v>
      </c>
      <c r="AG1257" s="56">
        <f>IF(AS1257="7",BK1257,0)</f>
        <v>0</v>
      </c>
      <c r="AH1257" s="56">
        <f>IF(AS1257="2",BJ1257,0)</f>
        <v>0</v>
      </c>
      <c r="AI1257" s="56">
        <f>IF(AS1257="2",BK1257,0)</f>
        <v>0</v>
      </c>
      <c r="AJ1257" s="56">
        <f>IF(AS1257="0",BL1257,0)</f>
        <v>0</v>
      </c>
      <c r="AK1257" s="7" t="s">
        <v>714</v>
      </c>
      <c r="AL1257" s="56">
        <f>IF(AP1257=0,K1257,0)</f>
        <v>0</v>
      </c>
      <c r="AM1257" s="56">
        <f>IF(AP1257=15,K1257,0)</f>
        <v>0</v>
      </c>
      <c r="AN1257" s="56">
        <f>IF(AP1257=21,K1257,0)</f>
        <v>0</v>
      </c>
      <c r="AP1257" s="56">
        <v>21</v>
      </c>
      <c r="AQ1257" s="88">
        <f>H1257*0.863101553166069</f>
        <v>0</v>
      </c>
      <c r="AR1257" s="88">
        <f>H1257*(1-0.863101553166069)</f>
        <v>0</v>
      </c>
      <c r="AS1257" s="21" t="s">
        <v>2311</v>
      </c>
      <c r="AX1257" s="56">
        <f>AY1257+AZ1257</f>
        <v>0</v>
      </c>
      <c r="AY1257" s="56">
        <f>G1257*AQ1257</f>
        <v>0</v>
      </c>
      <c r="AZ1257" s="56">
        <f>G1257*AR1257</f>
        <v>0</v>
      </c>
      <c r="BA1257" s="21" t="s">
        <v>1036</v>
      </c>
      <c r="BB1257" s="21" t="s">
        <v>1155</v>
      </c>
      <c r="BC1257" s="7" t="s">
        <v>976</v>
      </c>
      <c r="BE1257" s="56">
        <f>AY1257+AZ1257</f>
        <v>0</v>
      </c>
      <c r="BF1257" s="56">
        <f>H1257/(100-BG1257)*100</f>
        <v>0</v>
      </c>
      <c r="BG1257" s="56">
        <v>0</v>
      </c>
      <c r="BH1257" s="56">
        <f>M1257</f>
        <v>0.20757</v>
      </c>
      <c r="BJ1257" s="56">
        <f>G1257*AQ1257</f>
        <v>0</v>
      </c>
      <c r="BK1257" s="56">
        <f>G1257*AR1257</f>
        <v>0</v>
      </c>
      <c r="BL1257" s="56">
        <f>G1257*H1257</f>
        <v>0</v>
      </c>
      <c r="BM1257" s="56"/>
      <c r="BN1257" s="56">
        <v>725</v>
      </c>
    </row>
    <row r="1258" spans="1:66" ht="15" customHeight="1">
      <c r="A1258" s="36"/>
      <c r="D1258" s="45" t="s">
        <v>1939</v>
      </c>
      <c r="E1258" s="104" t="s">
        <v>1597</v>
      </c>
      <c r="G1258" s="13">
        <v>11.000000000000002</v>
      </c>
      <c r="N1258" s="19"/>
      <c r="P1258" s="592"/>
      <c r="Q1258" s="592"/>
      <c r="R1258" s="592"/>
      <c r="S1258" s="592"/>
      <c r="T1258" s="592"/>
      <c r="U1258" s="592"/>
      <c r="V1258" s="592"/>
      <c r="W1258" s="592"/>
      <c r="X1258" s="592"/>
    </row>
    <row r="1259" spans="1:66" ht="15" customHeight="1">
      <c r="A1259" s="8" t="s">
        <v>180</v>
      </c>
      <c r="B1259" s="75" t="s">
        <v>714</v>
      </c>
      <c r="C1259" s="75" t="s">
        <v>1626</v>
      </c>
      <c r="D1259" s="710" t="s">
        <v>3639</v>
      </c>
      <c r="E1259" s="710"/>
      <c r="F1259" s="75" t="s">
        <v>564</v>
      </c>
      <c r="G1259" s="80">
        <v>12</v>
      </c>
      <c r="H1259" s="626"/>
      <c r="I1259" s="80">
        <f>G1259*AQ1259</f>
        <v>0</v>
      </c>
      <c r="J1259" s="80">
        <f>G1259*AR1259</f>
        <v>0</v>
      </c>
      <c r="K1259" s="80">
        <f>G1259*H1259</f>
        <v>0</v>
      </c>
      <c r="L1259" s="80">
        <v>1.8E-3</v>
      </c>
      <c r="M1259" s="80">
        <f>G1259*L1259</f>
        <v>2.1600000000000001E-2</v>
      </c>
      <c r="N1259" s="38" t="s">
        <v>1579</v>
      </c>
      <c r="P1259" s="592"/>
      <c r="Q1259" s="592"/>
      <c r="R1259" s="592"/>
      <c r="S1259" s="592"/>
      <c r="T1259" s="592"/>
      <c r="U1259" s="592"/>
      <c r="V1259" s="592"/>
      <c r="W1259" s="592"/>
      <c r="X1259" s="592"/>
      <c r="AB1259" s="56">
        <f>IF(AS1259="5",BL1259,0)</f>
        <v>0</v>
      </c>
      <c r="AD1259" s="56">
        <f>IF(AS1259="1",BJ1259,0)</f>
        <v>0</v>
      </c>
      <c r="AE1259" s="56">
        <f>IF(AS1259="1",BK1259,0)</f>
        <v>0</v>
      </c>
      <c r="AF1259" s="56">
        <f>IF(AS1259="7",BJ1259,0)</f>
        <v>0</v>
      </c>
      <c r="AG1259" s="56">
        <f>IF(AS1259="7",BK1259,0)</f>
        <v>0</v>
      </c>
      <c r="AH1259" s="56">
        <f>IF(AS1259="2",BJ1259,0)</f>
        <v>0</v>
      </c>
      <c r="AI1259" s="56">
        <f>IF(AS1259="2",BK1259,0)</f>
        <v>0</v>
      </c>
      <c r="AJ1259" s="56">
        <f>IF(AS1259="0",BL1259,0)</f>
        <v>0</v>
      </c>
      <c r="AK1259" s="7" t="s">
        <v>714</v>
      </c>
      <c r="AL1259" s="80">
        <f>IF(AP1259=0,K1259,0)</f>
        <v>0</v>
      </c>
      <c r="AM1259" s="80">
        <f>IF(AP1259=15,K1259,0)</f>
        <v>0</v>
      </c>
      <c r="AN1259" s="80">
        <f>IF(AP1259=21,K1259,0)</f>
        <v>0</v>
      </c>
      <c r="AP1259" s="56">
        <v>21</v>
      </c>
      <c r="AQ1259" s="88">
        <f>H1259*1</f>
        <v>0</v>
      </c>
      <c r="AR1259" s="88">
        <f>H1259*(1-1)</f>
        <v>0</v>
      </c>
      <c r="AS1259" s="64" t="s">
        <v>2311</v>
      </c>
      <c r="AX1259" s="56">
        <f>AY1259+AZ1259</f>
        <v>0</v>
      </c>
      <c r="AY1259" s="56">
        <f>G1259*AQ1259</f>
        <v>0</v>
      </c>
      <c r="AZ1259" s="56">
        <f>G1259*AR1259</f>
        <v>0</v>
      </c>
      <c r="BA1259" s="21" t="s">
        <v>1036</v>
      </c>
      <c r="BB1259" s="21" t="s">
        <v>1155</v>
      </c>
      <c r="BC1259" s="7" t="s">
        <v>976</v>
      </c>
      <c r="BE1259" s="56">
        <f>AY1259+AZ1259</f>
        <v>0</v>
      </c>
      <c r="BF1259" s="56">
        <f>H1259/(100-BG1259)*100</f>
        <v>0</v>
      </c>
      <c r="BG1259" s="56">
        <v>0</v>
      </c>
      <c r="BH1259" s="56">
        <f>M1259</f>
        <v>2.1600000000000001E-2</v>
      </c>
      <c r="BJ1259" s="80">
        <f>G1259*AQ1259</f>
        <v>0</v>
      </c>
      <c r="BK1259" s="80">
        <f>G1259*AR1259</f>
        <v>0</v>
      </c>
      <c r="BL1259" s="80">
        <f>G1259*H1259</f>
        <v>0</v>
      </c>
      <c r="BM1259" s="80"/>
      <c r="BN1259" s="56">
        <v>725</v>
      </c>
    </row>
    <row r="1260" spans="1:66" ht="15" customHeight="1">
      <c r="A1260" s="36"/>
      <c r="D1260" s="45" t="s">
        <v>2096</v>
      </c>
      <c r="E1260" s="104" t="s">
        <v>1597</v>
      </c>
      <c r="G1260" s="13">
        <v>12.000000000000002</v>
      </c>
      <c r="N1260" s="19"/>
      <c r="P1260" s="592"/>
      <c r="Q1260" s="592"/>
      <c r="R1260" s="592"/>
      <c r="S1260" s="592"/>
      <c r="T1260" s="592"/>
      <c r="U1260" s="592"/>
      <c r="V1260" s="592"/>
      <c r="W1260" s="592"/>
      <c r="X1260" s="592"/>
    </row>
    <row r="1261" spans="1:66" ht="15" customHeight="1">
      <c r="A1261" s="8" t="s">
        <v>1780</v>
      </c>
      <c r="B1261" s="75" t="s">
        <v>714</v>
      </c>
      <c r="C1261" s="75" t="s">
        <v>2375</v>
      </c>
      <c r="D1261" s="710" t="s">
        <v>3640</v>
      </c>
      <c r="E1261" s="710"/>
      <c r="F1261" s="75" t="s">
        <v>564</v>
      </c>
      <c r="G1261" s="80">
        <v>12</v>
      </c>
      <c r="H1261" s="626"/>
      <c r="I1261" s="80">
        <f>G1261*AQ1261</f>
        <v>0</v>
      </c>
      <c r="J1261" s="80">
        <f>G1261*AR1261</f>
        <v>0</v>
      </c>
      <c r="K1261" s="80">
        <f>G1261*H1261</f>
        <v>0</v>
      </c>
      <c r="L1261" s="80">
        <v>8.8999999999999999E-3</v>
      </c>
      <c r="M1261" s="80">
        <f>G1261*L1261</f>
        <v>0.10680000000000001</v>
      </c>
      <c r="N1261" s="38" t="s">
        <v>1579</v>
      </c>
      <c r="P1261" s="592"/>
      <c r="Q1261" s="592"/>
      <c r="R1261" s="592"/>
      <c r="S1261" s="592"/>
      <c r="T1261" s="592"/>
      <c r="U1261" s="592"/>
      <c r="V1261" s="592"/>
      <c r="W1261" s="592"/>
      <c r="X1261" s="592"/>
      <c r="AB1261" s="56">
        <f>IF(AS1261="5",BL1261,0)</f>
        <v>0</v>
      </c>
      <c r="AD1261" s="56">
        <f>IF(AS1261="1",BJ1261,0)</f>
        <v>0</v>
      </c>
      <c r="AE1261" s="56">
        <f>IF(AS1261="1",BK1261,0)</f>
        <v>0</v>
      </c>
      <c r="AF1261" s="56">
        <f>IF(AS1261="7",BJ1261,0)</f>
        <v>0</v>
      </c>
      <c r="AG1261" s="56">
        <f>IF(AS1261="7",BK1261,0)</f>
        <v>0</v>
      </c>
      <c r="AH1261" s="56">
        <f>IF(AS1261="2",BJ1261,0)</f>
        <v>0</v>
      </c>
      <c r="AI1261" s="56">
        <f>IF(AS1261="2",BK1261,0)</f>
        <v>0</v>
      </c>
      <c r="AJ1261" s="56">
        <f>IF(AS1261="0",BL1261,0)</f>
        <v>0</v>
      </c>
      <c r="AK1261" s="7" t="s">
        <v>714</v>
      </c>
      <c r="AL1261" s="80">
        <f>IF(AP1261=0,K1261,0)</f>
        <v>0</v>
      </c>
      <c r="AM1261" s="80">
        <f>IF(AP1261=15,K1261,0)</f>
        <v>0</v>
      </c>
      <c r="AN1261" s="80">
        <f>IF(AP1261=21,K1261,0)</f>
        <v>0</v>
      </c>
      <c r="AP1261" s="56">
        <v>21</v>
      </c>
      <c r="AQ1261" s="88">
        <f>H1261*1</f>
        <v>0</v>
      </c>
      <c r="AR1261" s="88">
        <f>H1261*(1-1)</f>
        <v>0</v>
      </c>
      <c r="AS1261" s="64" t="s">
        <v>2311</v>
      </c>
      <c r="AX1261" s="56">
        <f>AY1261+AZ1261</f>
        <v>0</v>
      </c>
      <c r="AY1261" s="56">
        <f>G1261*AQ1261</f>
        <v>0</v>
      </c>
      <c r="AZ1261" s="56">
        <f>G1261*AR1261</f>
        <v>0</v>
      </c>
      <c r="BA1261" s="21" t="s">
        <v>1036</v>
      </c>
      <c r="BB1261" s="21" t="s">
        <v>1155</v>
      </c>
      <c r="BC1261" s="7" t="s">
        <v>976</v>
      </c>
      <c r="BE1261" s="56">
        <f>AY1261+AZ1261</f>
        <v>0</v>
      </c>
      <c r="BF1261" s="56">
        <f>H1261/(100-BG1261)*100</f>
        <v>0</v>
      </c>
      <c r="BG1261" s="56">
        <v>0</v>
      </c>
      <c r="BH1261" s="56">
        <f>M1261</f>
        <v>0.10680000000000001</v>
      </c>
      <c r="BJ1261" s="80">
        <f>G1261*AQ1261</f>
        <v>0</v>
      </c>
      <c r="BK1261" s="80">
        <f>G1261*AR1261</f>
        <v>0</v>
      </c>
      <c r="BL1261" s="80">
        <f>G1261*H1261</f>
        <v>0</v>
      </c>
      <c r="BM1261" s="80"/>
      <c r="BN1261" s="56">
        <v>725</v>
      </c>
    </row>
    <row r="1262" spans="1:66" ht="15" customHeight="1">
      <c r="A1262" s="36"/>
      <c r="D1262" s="45" t="s">
        <v>1697</v>
      </c>
      <c r="E1262" s="104" t="s">
        <v>1597</v>
      </c>
      <c r="G1262" s="13">
        <v>12.000000000000002</v>
      </c>
      <c r="N1262" s="19"/>
      <c r="P1262" s="592"/>
      <c r="Q1262" s="592"/>
      <c r="R1262" s="592"/>
      <c r="S1262" s="592"/>
      <c r="T1262" s="592"/>
      <c r="U1262" s="592"/>
      <c r="V1262" s="592"/>
      <c r="W1262" s="592"/>
      <c r="X1262" s="592"/>
    </row>
    <row r="1263" spans="1:66" ht="15" customHeight="1">
      <c r="A1263" s="24" t="s">
        <v>2364</v>
      </c>
      <c r="B1263" s="12" t="s">
        <v>714</v>
      </c>
      <c r="C1263" s="12" t="s">
        <v>2410</v>
      </c>
      <c r="D1263" s="630" t="s">
        <v>2667</v>
      </c>
      <c r="E1263" s="630"/>
      <c r="F1263" s="12" t="s">
        <v>811</v>
      </c>
      <c r="G1263" s="56">
        <v>1</v>
      </c>
      <c r="H1263" s="625"/>
      <c r="I1263" s="56">
        <f>G1263*AQ1263</f>
        <v>0</v>
      </c>
      <c r="J1263" s="56">
        <f>G1263*AR1263</f>
        <v>0</v>
      </c>
      <c r="K1263" s="56">
        <f>G1263*H1263</f>
        <v>0</v>
      </c>
      <c r="L1263" s="56">
        <v>1.0880000000000001E-2</v>
      </c>
      <c r="M1263" s="56">
        <f>G1263*L1263</f>
        <v>1.0880000000000001E-2</v>
      </c>
      <c r="N1263" s="31" t="s">
        <v>1579</v>
      </c>
      <c r="P1263" s="592"/>
      <c r="Q1263" s="592"/>
      <c r="R1263" s="592"/>
      <c r="S1263" s="592"/>
      <c r="T1263" s="592"/>
      <c r="U1263" s="592"/>
      <c r="V1263" s="592"/>
      <c r="W1263" s="592"/>
      <c r="X1263" s="592"/>
      <c r="AB1263" s="56">
        <f>IF(AS1263="5",BL1263,0)</f>
        <v>0</v>
      </c>
      <c r="AD1263" s="56">
        <f>IF(AS1263="1",BJ1263,0)</f>
        <v>0</v>
      </c>
      <c r="AE1263" s="56">
        <f>IF(AS1263="1",BK1263,0)</f>
        <v>0</v>
      </c>
      <c r="AF1263" s="56">
        <f>IF(AS1263="7",BJ1263,0)</f>
        <v>0</v>
      </c>
      <c r="AG1263" s="56">
        <f>IF(AS1263="7",BK1263,0)</f>
        <v>0</v>
      </c>
      <c r="AH1263" s="56">
        <f>IF(AS1263="2",BJ1263,0)</f>
        <v>0</v>
      </c>
      <c r="AI1263" s="56">
        <f>IF(AS1263="2",BK1263,0)</f>
        <v>0</v>
      </c>
      <c r="AJ1263" s="56">
        <f>IF(AS1263="0",BL1263,0)</f>
        <v>0</v>
      </c>
      <c r="AK1263" s="7" t="s">
        <v>714</v>
      </c>
      <c r="AL1263" s="56">
        <f>IF(AP1263=0,K1263,0)</f>
        <v>0</v>
      </c>
      <c r="AM1263" s="56">
        <f>IF(AP1263=15,K1263,0)</f>
        <v>0</v>
      </c>
      <c r="AN1263" s="56">
        <f>IF(AP1263=21,K1263,0)</f>
        <v>0</v>
      </c>
      <c r="AP1263" s="56">
        <v>21</v>
      </c>
      <c r="AQ1263" s="88">
        <f>H1263*0.892473181114947</f>
        <v>0</v>
      </c>
      <c r="AR1263" s="88">
        <f>H1263*(1-0.892473181114947)</f>
        <v>0</v>
      </c>
      <c r="AS1263" s="21" t="s">
        <v>2311</v>
      </c>
      <c r="AX1263" s="56">
        <f>AY1263+AZ1263</f>
        <v>0</v>
      </c>
      <c r="AY1263" s="56">
        <f>G1263*AQ1263</f>
        <v>0</v>
      </c>
      <c r="AZ1263" s="56">
        <f>G1263*AR1263</f>
        <v>0</v>
      </c>
      <c r="BA1263" s="21" t="s">
        <v>1036</v>
      </c>
      <c r="BB1263" s="21" t="s">
        <v>1155</v>
      </c>
      <c r="BC1263" s="7" t="s">
        <v>976</v>
      </c>
      <c r="BE1263" s="56">
        <f>AY1263+AZ1263</f>
        <v>0</v>
      </c>
      <c r="BF1263" s="56">
        <f>H1263/(100-BG1263)*100</f>
        <v>0</v>
      </c>
      <c r="BG1263" s="56">
        <v>0</v>
      </c>
      <c r="BH1263" s="56">
        <f>M1263</f>
        <v>1.0880000000000001E-2</v>
      </c>
      <c r="BJ1263" s="56">
        <f>G1263*AQ1263</f>
        <v>0</v>
      </c>
      <c r="BK1263" s="56">
        <f>G1263*AR1263</f>
        <v>0</v>
      </c>
      <c r="BL1263" s="56">
        <f>G1263*H1263</f>
        <v>0</v>
      </c>
      <c r="BM1263" s="56"/>
      <c r="BN1263" s="56">
        <v>725</v>
      </c>
    </row>
    <row r="1264" spans="1:66" ht="15" customHeight="1">
      <c r="A1264" s="36"/>
      <c r="D1264" s="45" t="s">
        <v>2297</v>
      </c>
      <c r="E1264" s="104" t="s">
        <v>1597</v>
      </c>
      <c r="G1264" s="13">
        <v>1</v>
      </c>
      <c r="N1264" s="19"/>
      <c r="P1264" s="592"/>
      <c r="Q1264" s="592"/>
      <c r="R1264" s="592"/>
      <c r="S1264" s="592"/>
      <c r="T1264" s="592"/>
      <c r="U1264" s="592"/>
      <c r="V1264" s="592"/>
      <c r="W1264" s="592"/>
      <c r="X1264" s="592"/>
    </row>
    <row r="1265" spans="1:66" ht="15" customHeight="1">
      <c r="A1265" s="24" t="s">
        <v>9</v>
      </c>
      <c r="B1265" s="12" t="s">
        <v>714</v>
      </c>
      <c r="C1265" s="12" t="s">
        <v>55</v>
      </c>
      <c r="D1265" s="630" t="s">
        <v>2668</v>
      </c>
      <c r="E1265" s="630"/>
      <c r="F1265" s="12" t="s">
        <v>811</v>
      </c>
      <c r="G1265" s="56">
        <v>1</v>
      </c>
      <c r="H1265" s="625"/>
      <c r="I1265" s="56">
        <f>G1265*AQ1265</f>
        <v>0</v>
      </c>
      <c r="J1265" s="56">
        <f>G1265*AR1265</f>
        <v>0</v>
      </c>
      <c r="K1265" s="56">
        <f>G1265*H1265</f>
        <v>0</v>
      </c>
      <c r="L1265" s="56">
        <v>2.8199999999999999E-2</v>
      </c>
      <c r="M1265" s="56">
        <f>G1265*L1265</f>
        <v>2.8199999999999999E-2</v>
      </c>
      <c r="N1265" s="31" t="s">
        <v>1579</v>
      </c>
      <c r="P1265" s="592"/>
      <c r="Q1265" s="592"/>
      <c r="R1265" s="592"/>
      <c r="S1265" s="592"/>
      <c r="T1265" s="592"/>
      <c r="U1265" s="592"/>
      <c r="V1265" s="592"/>
      <c r="W1265" s="592"/>
      <c r="X1265" s="592"/>
      <c r="AB1265" s="56">
        <f>IF(AS1265="5",BL1265,0)</f>
        <v>0</v>
      </c>
      <c r="AD1265" s="56">
        <f>IF(AS1265="1",BJ1265,0)</f>
        <v>0</v>
      </c>
      <c r="AE1265" s="56">
        <f>IF(AS1265="1",BK1265,0)</f>
        <v>0</v>
      </c>
      <c r="AF1265" s="56">
        <f>IF(AS1265="7",BJ1265,0)</f>
        <v>0</v>
      </c>
      <c r="AG1265" s="56">
        <f>IF(AS1265="7",BK1265,0)</f>
        <v>0</v>
      </c>
      <c r="AH1265" s="56">
        <f>IF(AS1265="2",BJ1265,0)</f>
        <v>0</v>
      </c>
      <c r="AI1265" s="56">
        <f>IF(AS1265="2",BK1265,0)</f>
        <v>0</v>
      </c>
      <c r="AJ1265" s="56">
        <f>IF(AS1265="0",BL1265,0)</f>
        <v>0</v>
      </c>
      <c r="AK1265" s="7" t="s">
        <v>714</v>
      </c>
      <c r="AL1265" s="56">
        <f>IF(AP1265=0,K1265,0)</f>
        <v>0</v>
      </c>
      <c r="AM1265" s="56">
        <f>IF(AP1265=15,K1265,0)</f>
        <v>0</v>
      </c>
      <c r="AN1265" s="56">
        <f>IF(AP1265=21,K1265,0)</f>
        <v>0</v>
      </c>
      <c r="AP1265" s="56">
        <v>21</v>
      </c>
      <c r="AQ1265" s="88">
        <f>H1265*0.916122507122507</f>
        <v>0</v>
      </c>
      <c r="AR1265" s="88">
        <f>H1265*(1-0.916122507122507)</f>
        <v>0</v>
      </c>
      <c r="AS1265" s="21" t="s">
        <v>2311</v>
      </c>
      <c r="AX1265" s="56">
        <f>AY1265+AZ1265</f>
        <v>0</v>
      </c>
      <c r="AY1265" s="56">
        <f>G1265*AQ1265</f>
        <v>0</v>
      </c>
      <c r="AZ1265" s="56">
        <f>G1265*AR1265</f>
        <v>0</v>
      </c>
      <c r="BA1265" s="21" t="s">
        <v>1036</v>
      </c>
      <c r="BB1265" s="21" t="s">
        <v>1155</v>
      </c>
      <c r="BC1265" s="7" t="s">
        <v>976</v>
      </c>
      <c r="BE1265" s="56">
        <f>AY1265+AZ1265</f>
        <v>0</v>
      </c>
      <c r="BF1265" s="56">
        <f>H1265/(100-BG1265)*100</f>
        <v>0</v>
      </c>
      <c r="BG1265" s="56">
        <v>0</v>
      </c>
      <c r="BH1265" s="56">
        <f>M1265</f>
        <v>2.8199999999999999E-2</v>
      </c>
      <c r="BJ1265" s="56">
        <f>G1265*AQ1265</f>
        <v>0</v>
      </c>
      <c r="BK1265" s="56">
        <f>G1265*AR1265</f>
        <v>0</v>
      </c>
      <c r="BL1265" s="56">
        <f>G1265*H1265</f>
        <v>0</v>
      </c>
      <c r="BM1265" s="56"/>
      <c r="BN1265" s="56">
        <v>725</v>
      </c>
    </row>
    <row r="1266" spans="1:66" ht="15" customHeight="1">
      <c r="A1266" s="36"/>
      <c r="D1266" s="45" t="s">
        <v>2297</v>
      </c>
      <c r="E1266" s="104" t="s">
        <v>1597</v>
      </c>
      <c r="G1266" s="13">
        <v>1</v>
      </c>
      <c r="N1266" s="19"/>
      <c r="P1266" s="592"/>
      <c r="Q1266" s="592"/>
      <c r="R1266" s="592"/>
      <c r="S1266" s="592"/>
      <c r="T1266" s="592"/>
      <c r="U1266" s="592"/>
      <c r="V1266" s="592"/>
      <c r="W1266" s="592"/>
      <c r="X1266" s="592"/>
    </row>
    <row r="1267" spans="1:66" ht="15" customHeight="1">
      <c r="A1267" s="24" t="s">
        <v>1057</v>
      </c>
      <c r="B1267" s="12" t="s">
        <v>714</v>
      </c>
      <c r="C1267" s="12" t="s">
        <v>1703</v>
      </c>
      <c r="D1267" s="630" t="s">
        <v>2374</v>
      </c>
      <c r="E1267" s="630"/>
      <c r="F1267" s="12" t="s">
        <v>811</v>
      </c>
      <c r="G1267" s="56">
        <v>4</v>
      </c>
      <c r="H1267" s="625"/>
      <c r="I1267" s="56">
        <f>G1267*AQ1267</f>
        <v>0</v>
      </c>
      <c r="J1267" s="56">
        <f>G1267*AR1267</f>
        <v>0</v>
      </c>
      <c r="K1267" s="56">
        <f>G1267*H1267</f>
        <v>0</v>
      </c>
      <c r="L1267" s="56">
        <v>3.9199999999999999E-3</v>
      </c>
      <c r="M1267" s="56">
        <f>G1267*L1267</f>
        <v>1.5679999999999999E-2</v>
      </c>
      <c r="N1267" s="31" t="s">
        <v>1579</v>
      </c>
      <c r="P1267" s="592"/>
      <c r="Q1267" s="592"/>
      <c r="R1267" s="592"/>
      <c r="S1267" s="592"/>
      <c r="T1267" s="592"/>
      <c r="U1267" s="592"/>
      <c r="V1267" s="592"/>
      <c r="W1267" s="592"/>
      <c r="X1267" s="592"/>
      <c r="AB1267" s="56">
        <f>IF(AS1267="5",BL1267,0)</f>
        <v>0</v>
      </c>
      <c r="AD1267" s="56">
        <f>IF(AS1267="1",BJ1267,0)</f>
        <v>0</v>
      </c>
      <c r="AE1267" s="56">
        <f>IF(AS1267="1",BK1267,0)</f>
        <v>0</v>
      </c>
      <c r="AF1267" s="56">
        <f>IF(AS1267="7",BJ1267,0)</f>
        <v>0</v>
      </c>
      <c r="AG1267" s="56">
        <f>IF(AS1267="7",BK1267,0)</f>
        <v>0</v>
      </c>
      <c r="AH1267" s="56">
        <f>IF(AS1267="2",BJ1267,0)</f>
        <v>0</v>
      </c>
      <c r="AI1267" s="56">
        <f>IF(AS1267="2",BK1267,0)</f>
        <v>0</v>
      </c>
      <c r="AJ1267" s="56">
        <f>IF(AS1267="0",BL1267,0)</f>
        <v>0</v>
      </c>
      <c r="AK1267" s="7" t="s">
        <v>714</v>
      </c>
      <c r="AL1267" s="56">
        <f>IF(AP1267=0,K1267,0)</f>
        <v>0</v>
      </c>
      <c r="AM1267" s="56">
        <f>IF(AP1267=15,K1267,0)</f>
        <v>0</v>
      </c>
      <c r="AN1267" s="56">
        <f>IF(AP1267=21,K1267,0)</f>
        <v>0</v>
      </c>
      <c r="AP1267" s="56">
        <v>21</v>
      </c>
      <c r="AQ1267" s="88">
        <f>H1267*0.489988868274583</f>
        <v>0</v>
      </c>
      <c r="AR1267" s="88">
        <f>H1267*(1-0.489988868274583)</f>
        <v>0</v>
      </c>
      <c r="AS1267" s="21" t="s">
        <v>2311</v>
      </c>
      <c r="AX1267" s="56">
        <f>AY1267+AZ1267</f>
        <v>0</v>
      </c>
      <c r="AY1267" s="56">
        <f>G1267*AQ1267</f>
        <v>0</v>
      </c>
      <c r="AZ1267" s="56">
        <f>G1267*AR1267</f>
        <v>0</v>
      </c>
      <c r="BA1267" s="21" t="s">
        <v>1036</v>
      </c>
      <c r="BB1267" s="21" t="s">
        <v>1155</v>
      </c>
      <c r="BC1267" s="7" t="s">
        <v>976</v>
      </c>
      <c r="BE1267" s="56">
        <f>AY1267+AZ1267</f>
        <v>0</v>
      </c>
      <c r="BF1267" s="56">
        <f>H1267/(100-BG1267)*100</f>
        <v>0</v>
      </c>
      <c r="BG1267" s="56">
        <v>0</v>
      </c>
      <c r="BH1267" s="56">
        <f>M1267</f>
        <v>1.5679999999999999E-2</v>
      </c>
      <c r="BJ1267" s="56">
        <f>G1267*AQ1267</f>
        <v>0</v>
      </c>
      <c r="BK1267" s="56">
        <f>G1267*AR1267</f>
        <v>0</v>
      </c>
      <c r="BL1267" s="56">
        <f>G1267*H1267</f>
        <v>0</v>
      </c>
      <c r="BM1267" s="56"/>
      <c r="BN1267" s="56">
        <v>725</v>
      </c>
    </row>
    <row r="1268" spans="1:66" ht="15" customHeight="1">
      <c r="A1268" s="36"/>
      <c r="D1268" s="45" t="s">
        <v>258</v>
      </c>
      <c r="E1268" s="104" t="s">
        <v>1597</v>
      </c>
      <c r="G1268" s="13">
        <v>4</v>
      </c>
      <c r="N1268" s="19"/>
      <c r="P1268" s="592"/>
      <c r="Q1268" s="592"/>
      <c r="R1268" s="592"/>
      <c r="S1268" s="592"/>
      <c r="T1268" s="592"/>
      <c r="U1268" s="592"/>
      <c r="V1268" s="592"/>
      <c r="W1268" s="592"/>
      <c r="X1268" s="592"/>
    </row>
    <row r="1269" spans="1:66" ht="15" customHeight="1">
      <c r="A1269" s="24" t="s">
        <v>1932</v>
      </c>
      <c r="B1269" s="12" t="s">
        <v>714</v>
      </c>
      <c r="C1269" s="12" t="s">
        <v>1652</v>
      </c>
      <c r="D1269" s="630" t="s">
        <v>1340</v>
      </c>
      <c r="E1269" s="630"/>
      <c r="F1269" s="12" t="s">
        <v>811</v>
      </c>
      <c r="G1269" s="56">
        <v>3</v>
      </c>
      <c r="H1269" s="625"/>
      <c r="I1269" s="56">
        <f>G1269*AQ1269</f>
        <v>0</v>
      </c>
      <c r="J1269" s="56">
        <f>G1269*AR1269</f>
        <v>0</v>
      </c>
      <c r="K1269" s="56">
        <f>G1269*H1269</f>
        <v>0</v>
      </c>
      <c r="L1269" s="56">
        <v>6.0000000000000001E-3</v>
      </c>
      <c r="M1269" s="56">
        <f>G1269*L1269</f>
        <v>1.8000000000000002E-2</v>
      </c>
      <c r="N1269" s="31" t="s">
        <v>1579</v>
      </c>
      <c r="P1269" s="592"/>
      <c r="Q1269" s="592"/>
      <c r="R1269" s="592"/>
      <c r="S1269" s="592"/>
      <c r="T1269" s="592"/>
      <c r="U1269" s="592"/>
      <c r="V1269" s="592"/>
      <c r="W1269" s="592"/>
      <c r="X1269" s="592"/>
      <c r="AB1269" s="56">
        <f>IF(AS1269="5",BL1269,0)</f>
        <v>0</v>
      </c>
      <c r="AD1269" s="56">
        <f>IF(AS1269="1",BJ1269,0)</f>
        <v>0</v>
      </c>
      <c r="AE1269" s="56">
        <f>IF(AS1269="1",BK1269,0)</f>
        <v>0</v>
      </c>
      <c r="AF1269" s="56">
        <f>IF(AS1269="7",BJ1269,0)</f>
        <v>0</v>
      </c>
      <c r="AG1269" s="56">
        <f>IF(AS1269="7",BK1269,0)</f>
        <v>0</v>
      </c>
      <c r="AH1269" s="56">
        <f>IF(AS1269="2",BJ1269,0)</f>
        <v>0</v>
      </c>
      <c r="AI1269" s="56">
        <f>IF(AS1269="2",BK1269,0)</f>
        <v>0</v>
      </c>
      <c r="AJ1269" s="56">
        <f>IF(AS1269="0",BL1269,0)</f>
        <v>0</v>
      </c>
      <c r="AK1269" s="7" t="s">
        <v>714</v>
      </c>
      <c r="AL1269" s="56">
        <f>IF(AP1269=0,K1269,0)</f>
        <v>0</v>
      </c>
      <c r="AM1269" s="56">
        <f>IF(AP1269=15,K1269,0)</f>
        <v>0</v>
      </c>
      <c r="AN1269" s="56">
        <f>IF(AP1269=21,K1269,0)</f>
        <v>0</v>
      </c>
      <c r="AP1269" s="56">
        <v>21</v>
      </c>
      <c r="AQ1269" s="88">
        <f>H1269*0.716399168399168</f>
        <v>0</v>
      </c>
      <c r="AR1269" s="88">
        <f>H1269*(1-0.716399168399168)</f>
        <v>0</v>
      </c>
      <c r="AS1269" s="21" t="s">
        <v>2311</v>
      </c>
      <c r="AX1269" s="56">
        <f>AY1269+AZ1269</f>
        <v>0</v>
      </c>
      <c r="AY1269" s="56">
        <f>G1269*AQ1269</f>
        <v>0</v>
      </c>
      <c r="AZ1269" s="56">
        <f>G1269*AR1269</f>
        <v>0</v>
      </c>
      <c r="BA1269" s="21" t="s">
        <v>1036</v>
      </c>
      <c r="BB1269" s="21" t="s">
        <v>1155</v>
      </c>
      <c r="BC1269" s="7" t="s">
        <v>976</v>
      </c>
      <c r="BE1269" s="56">
        <f>AY1269+AZ1269</f>
        <v>0</v>
      </c>
      <c r="BF1269" s="56">
        <f>H1269/(100-BG1269)*100</f>
        <v>0</v>
      </c>
      <c r="BG1269" s="56">
        <v>0</v>
      </c>
      <c r="BH1269" s="56">
        <f>M1269</f>
        <v>1.8000000000000002E-2</v>
      </c>
      <c r="BJ1269" s="56">
        <f>G1269*AQ1269</f>
        <v>0</v>
      </c>
      <c r="BK1269" s="56">
        <f>G1269*AR1269</f>
        <v>0</v>
      </c>
      <c r="BL1269" s="56">
        <f>G1269*H1269</f>
        <v>0</v>
      </c>
      <c r="BM1269" s="56"/>
      <c r="BN1269" s="56">
        <v>725</v>
      </c>
    </row>
    <row r="1270" spans="1:66" ht="15" customHeight="1">
      <c r="A1270" s="36"/>
      <c r="D1270" s="45" t="s">
        <v>2007</v>
      </c>
      <c r="E1270" s="104" t="s">
        <v>1597</v>
      </c>
      <c r="G1270" s="13">
        <v>3.0000000000000004</v>
      </c>
      <c r="N1270" s="19"/>
      <c r="P1270" s="592"/>
      <c r="Q1270" s="592"/>
      <c r="R1270" s="592"/>
      <c r="S1270" s="592"/>
      <c r="T1270" s="592"/>
      <c r="U1270" s="592"/>
      <c r="V1270" s="592"/>
      <c r="W1270" s="592"/>
      <c r="X1270" s="592"/>
    </row>
    <row r="1271" spans="1:66" ht="15" customHeight="1">
      <c r="A1271" s="24" t="s">
        <v>2561</v>
      </c>
      <c r="B1271" s="12" t="s">
        <v>714</v>
      </c>
      <c r="C1271" s="12" t="s">
        <v>23</v>
      </c>
      <c r="D1271" s="630" t="s">
        <v>2284</v>
      </c>
      <c r="E1271" s="630"/>
      <c r="F1271" s="12" t="s">
        <v>811</v>
      </c>
      <c r="G1271" s="56">
        <v>9</v>
      </c>
      <c r="H1271" s="625"/>
      <c r="I1271" s="56">
        <f>G1271*AQ1271</f>
        <v>0</v>
      </c>
      <c r="J1271" s="56">
        <f>G1271*AR1271</f>
        <v>0</v>
      </c>
      <c r="K1271" s="56">
        <f>G1271*H1271</f>
        <v>0</v>
      </c>
      <c r="L1271" s="56">
        <v>1.41E-3</v>
      </c>
      <c r="M1271" s="56">
        <f>G1271*L1271</f>
        <v>1.269E-2</v>
      </c>
      <c r="N1271" s="31" t="s">
        <v>1579</v>
      </c>
      <c r="P1271" s="592"/>
      <c r="Q1271" s="592"/>
      <c r="R1271" s="592"/>
      <c r="S1271" s="592"/>
      <c r="T1271" s="592"/>
      <c r="U1271" s="592"/>
      <c r="V1271" s="592"/>
      <c r="W1271" s="592"/>
      <c r="X1271" s="592"/>
      <c r="AB1271" s="56">
        <f>IF(AS1271="5",BL1271,0)</f>
        <v>0</v>
      </c>
      <c r="AD1271" s="56">
        <f>IF(AS1271="1",BJ1271,0)</f>
        <v>0</v>
      </c>
      <c r="AE1271" s="56">
        <f>IF(AS1271="1",BK1271,0)</f>
        <v>0</v>
      </c>
      <c r="AF1271" s="56">
        <f>IF(AS1271="7",BJ1271,0)</f>
        <v>0</v>
      </c>
      <c r="AG1271" s="56">
        <f>IF(AS1271="7",BK1271,0)</f>
        <v>0</v>
      </c>
      <c r="AH1271" s="56">
        <f>IF(AS1271="2",BJ1271,0)</f>
        <v>0</v>
      </c>
      <c r="AI1271" s="56">
        <f>IF(AS1271="2",BK1271,0)</f>
        <v>0</v>
      </c>
      <c r="AJ1271" s="56">
        <f>IF(AS1271="0",BL1271,0)</f>
        <v>0</v>
      </c>
      <c r="AK1271" s="7" t="s">
        <v>714</v>
      </c>
      <c r="AL1271" s="56">
        <f>IF(AP1271=0,K1271,0)</f>
        <v>0</v>
      </c>
      <c r="AM1271" s="56">
        <f>IF(AP1271=15,K1271,0)</f>
        <v>0</v>
      </c>
      <c r="AN1271" s="56">
        <f>IF(AP1271=21,K1271,0)</f>
        <v>0</v>
      </c>
      <c r="AP1271" s="56">
        <v>21</v>
      </c>
      <c r="AQ1271" s="88">
        <f>H1271*0.151437435367115</f>
        <v>0</v>
      </c>
      <c r="AR1271" s="88">
        <f>H1271*(1-0.151437435367115)</f>
        <v>0</v>
      </c>
      <c r="AS1271" s="21" t="s">
        <v>2311</v>
      </c>
      <c r="AX1271" s="56">
        <f>AY1271+AZ1271</f>
        <v>0</v>
      </c>
      <c r="AY1271" s="56">
        <f>G1271*AQ1271</f>
        <v>0</v>
      </c>
      <c r="AZ1271" s="56">
        <f>G1271*AR1271</f>
        <v>0</v>
      </c>
      <c r="BA1271" s="21" t="s">
        <v>1036</v>
      </c>
      <c r="BB1271" s="21" t="s">
        <v>1155</v>
      </c>
      <c r="BC1271" s="7" t="s">
        <v>976</v>
      </c>
      <c r="BE1271" s="56">
        <f>AY1271+AZ1271</f>
        <v>0</v>
      </c>
      <c r="BF1271" s="56">
        <f>H1271/(100-BG1271)*100</f>
        <v>0</v>
      </c>
      <c r="BG1271" s="56">
        <v>0</v>
      </c>
      <c r="BH1271" s="56">
        <f>M1271</f>
        <v>1.269E-2</v>
      </c>
      <c r="BJ1271" s="56">
        <f>G1271*AQ1271</f>
        <v>0</v>
      </c>
      <c r="BK1271" s="56">
        <f>G1271*AR1271</f>
        <v>0</v>
      </c>
      <c r="BL1271" s="56">
        <f>G1271*H1271</f>
        <v>0</v>
      </c>
      <c r="BM1271" s="56"/>
      <c r="BN1271" s="56">
        <v>725</v>
      </c>
    </row>
    <row r="1272" spans="1:66" ht="15" customHeight="1">
      <c r="A1272" s="36"/>
      <c r="D1272" s="45" t="s">
        <v>873</v>
      </c>
      <c r="E1272" s="104" t="s">
        <v>1597</v>
      </c>
      <c r="G1272" s="13">
        <v>9</v>
      </c>
      <c r="N1272" s="19"/>
      <c r="P1272" s="592"/>
      <c r="Q1272" s="592"/>
      <c r="R1272" s="592"/>
      <c r="S1272" s="592"/>
      <c r="T1272" s="592"/>
      <c r="U1272" s="592"/>
      <c r="V1272" s="592"/>
      <c r="W1272" s="592"/>
      <c r="X1272" s="592"/>
    </row>
    <row r="1273" spans="1:66" ht="15" customHeight="1">
      <c r="A1273" s="8" t="s">
        <v>1742</v>
      </c>
      <c r="B1273" s="75" t="s">
        <v>714</v>
      </c>
      <c r="C1273" s="75" t="s">
        <v>1426</v>
      </c>
      <c r="D1273" s="710" t="s">
        <v>2414</v>
      </c>
      <c r="E1273" s="710"/>
      <c r="F1273" s="75" t="s">
        <v>564</v>
      </c>
      <c r="G1273" s="80">
        <v>9</v>
      </c>
      <c r="H1273" s="626"/>
      <c r="I1273" s="80">
        <f>G1273*AQ1273</f>
        <v>0</v>
      </c>
      <c r="J1273" s="80">
        <f>G1273*AR1273</f>
        <v>0</v>
      </c>
      <c r="K1273" s="80">
        <f>G1273*H1273</f>
        <v>0</v>
      </c>
      <c r="L1273" s="80">
        <v>1.55E-2</v>
      </c>
      <c r="M1273" s="80">
        <f>G1273*L1273</f>
        <v>0.13950000000000001</v>
      </c>
      <c r="N1273" s="38" t="s">
        <v>1579</v>
      </c>
      <c r="P1273" s="592"/>
      <c r="Q1273" s="592"/>
      <c r="R1273" s="592"/>
      <c r="S1273" s="592"/>
      <c r="T1273" s="592"/>
      <c r="U1273" s="592"/>
      <c r="V1273" s="592"/>
      <c r="W1273" s="592"/>
      <c r="X1273" s="592"/>
      <c r="AB1273" s="56">
        <f>IF(AS1273="5",BL1273,0)</f>
        <v>0</v>
      </c>
      <c r="AD1273" s="56">
        <f>IF(AS1273="1",BJ1273,0)</f>
        <v>0</v>
      </c>
      <c r="AE1273" s="56">
        <f>IF(AS1273="1",BK1273,0)</f>
        <v>0</v>
      </c>
      <c r="AF1273" s="56">
        <f>IF(AS1273="7",BJ1273,0)</f>
        <v>0</v>
      </c>
      <c r="AG1273" s="56">
        <f>IF(AS1273="7",BK1273,0)</f>
        <v>0</v>
      </c>
      <c r="AH1273" s="56">
        <f>IF(AS1273="2",BJ1273,0)</f>
        <v>0</v>
      </c>
      <c r="AI1273" s="56">
        <f>IF(AS1273="2",BK1273,0)</f>
        <v>0</v>
      </c>
      <c r="AJ1273" s="56">
        <f>IF(AS1273="0",BL1273,0)</f>
        <v>0</v>
      </c>
      <c r="AK1273" s="7" t="s">
        <v>714</v>
      </c>
      <c r="AL1273" s="80">
        <f>IF(AP1273=0,K1273,0)</f>
        <v>0</v>
      </c>
      <c r="AM1273" s="80">
        <f>IF(AP1273=15,K1273,0)</f>
        <v>0</v>
      </c>
      <c r="AN1273" s="80">
        <f>IF(AP1273=21,K1273,0)</f>
        <v>0</v>
      </c>
      <c r="AP1273" s="56">
        <v>21</v>
      </c>
      <c r="AQ1273" s="88">
        <f>H1273*1</f>
        <v>0</v>
      </c>
      <c r="AR1273" s="88">
        <f>H1273*(1-1)</f>
        <v>0</v>
      </c>
      <c r="AS1273" s="64" t="s">
        <v>2311</v>
      </c>
      <c r="AX1273" s="56">
        <f>AY1273+AZ1273</f>
        <v>0</v>
      </c>
      <c r="AY1273" s="56">
        <f>G1273*AQ1273</f>
        <v>0</v>
      </c>
      <c r="AZ1273" s="56">
        <f>G1273*AR1273</f>
        <v>0</v>
      </c>
      <c r="BA1273" s="21" t="s">
        <v>1036</v>
      </c>
      <c r="BB1273" s="21" t="s">
        <v>1155</v>
      </c>
      <c r="BC1273" s="7" t="s">
        <v>976</v>
      </c>
      <c r="BE1273" s="56">
        <f>AY1273+AZ1273</f>
        <v>0</v>
      </c>
      <c r="BF1273" s="56">
        <f>H1273/(100-BG1273)*100</f>
        <v>0</v>
      </c>
      <c r="BG1273" s="56">
        <v>0</v>
      </c>
      <c r="BH1273" s="56">
        <f>M1273</f>
        <v>0.13950000000000001</v>
      </c>
      <c r="BJ1273" s="80">
        <f>G1273*AQ1273</f>
        <v>0</v>
      </c>
      <c r="BK1273" s="80">
        <f>G1273*AR1273</f>
        <v>0</v>
      </c>
      <c r="BL1273" s="80">
        <f>G1273*H1273</f>
        <v>0</v>
      </c>
      <c r="BM1273" s="80"/>
      <c r="BN1273" s="56">
        <v>725</v>
      </c>
    </row>
    <row r="1274" spans="1:66" ht="15" customHeight="1">
      <c r="A1274" s="36"/>
      <c r="D1274" s="45" t="s">
        <v>873</v>
      </c>
      <c r="E1274" s="104" t="s">
        <v>1597</v>
      </c>
      <c r="G1274" s="13">
        <v>9</v>
      </c>
      <c r="N1274" s="19"/>
      <c r="P1274" s="592"/>
      <c r="Q1274" s="592"/>
      <c r="R1274" s="592"/>
      <c r="S1274" s="592"/>
      <c r="T1274" s="592"/>
      <c r="U1274" s="592"/>
      <c r="V1274" s="592"/>
      <c r="W1274" s="592"/>
      <c r="X1274" s="592"/>
    </row>
    <row r="1275" spans="1:66" ht="15" customHeight="1">
      <c r="A1275" s="24" t="s">
        <v>1730</v>
      </c>
      <c r="B1275" s="12" t="s">
        <v>714</v>
      </c>
      <c r="C1275" s="12" t="s">
        <v>1958</v>
      </c>
      <c r="D1275" s="630" t="s">
        <v>3641</v>
      </c>
      <c r="E1275" s="630"/>
      <c r="F1275" s="12" t="s">
        <v>811</v>
      </c>
      <c r="G1275" s="56">
        <v>2</v>
      </c>
      <c r="H1275" s="625"/>
      <c r="I1275" s="56">
        <f>G1275*AQ1275</f>
        <v>0</v>
      </c>
      <c r="J1275" s="56">
        <f>G1275*AR1275</f>
        <v>0</v>
      </c>
      <c r="K1275" s="56">
        <f>G1275*H1275</f>
        <v>0</v>
      </c>
      <c r="L1275" s="56">
        <v>1.8E-3</v>
      </c>
      <c r="M1275" s="56">
        <f>G1275*L1275</f>
        <v>3.5999999999999999E-3</v>
      </c>
      <c r="N1275" s="31" t="s">
        <v>1579</v>
      </c>
      <c r="P1275" s="592"/>
      <c r="Q1275" s="592"/>
      <c r="R1275" s="592"/>
      <c r="S1275" s="592"/>
      <c r="T1275" s="592"/>
      <c r="U1275" s="592"/>
      <c r="V1275" s="592"/>
      <c r="W1275" s="592"/>
      <c r="X1275" s="592"/>
      <c r="AB1275" s="56">
        <f>IF(AS1275="5",BL1275,0)</f>
        <v>0</v>
      </c>
      <c r="AD1275" s="56">
        <f>IF(AS1275="1",BJ1275,0)</f>
        <v>0</v>
      </c>
      <c r="AE1275" s="56">
        <f>IF(AS1275="1",BK1275,0)</f>
        <v>0</v>
      </c>
      <c r="AF1275" s="56">
        <f>IF(AS1275="7",BJ1275,0)</f>
        <v>0</v>
      </c>
      <c r="AG1275" s="56">
        <f>IF(AS1275="7",BK1275,0)</f>
        <v>0</v>
      </c>
      <c r="AH1275" s="56">
        <f>IF(AS1275="2",BJ1275,0)</f>
        <v>0</v>
      </c>
      <c r="AI1275" s="56">
        <f>IF(AS1275="2",BK1275,0)</f>
        <v>0</v>
      </c>
      <c r="AJ1275" s="56">
        <f>IF(AS1275="0",BL1275,0)</f>
        <v>0</v>
      </c>
      <c r="AK1275" s="7" t="s">
        <v>714</v>
      </c>
      <c r="AL1275" s="56">
        <f>IF(AP1275=0,K1275,0)</f>
        <v>0</v>
      </c>
      <c r="AM1275" s="56">
        <f>IF(AP1275=15,K1275,0)</f>
        <v>0</v>
      </c>
      <c r="AN1275" s="56">
        <f>IF(AP1275=21,K1275,0)</f>
        <v>0</v>
      </c>
      <c r="AP1275" s="56">
        <v>21</v>
      </c>
      <c r="AQ1275" s="88">
        <f>H1275*0.879317386231039</f>
        <v>0</v>
      </c>
      <c r="AR1275" s="88">
        <f>H1275*(1-0.879317386231039)</f>
        <v>0</v>
      </c>
      <c r="AS1275" s="21" t="s">
        <v>2311</v>
      </c>
      <c r="AX1275" s="56">
        <f>AY1275+AZ1275</f>
        <v>0</v>
      </c>
      <c r="AY1275" s="56">
        <f>G1275*AQ1275</f>
        <v>0</v>
      </c>
      <c r="AZ1275" s="56">
        <f>G1275*AR1275</f>
        <v>0</v>
      </c>
      <c r="BA1275" s="21" t="s">
        <v>1036</v>
      </c>
      <c r="BB1275" s="21" t="s">
        <v>1155</v>
      </c>
      <c r="BC1275" s="7" t="s">
        <v>976</v>
      </c>
      <c r="BE1275" s="56">
        <f>AY1275+AZ1275</f>
        <v>0</v>
      </c>
      <c r="BF1275" s="56">
        <f>H1275/(100-BG1275)*100</f>
        <v>0</v>
      </c>
      <c r="BG1275" s="56">
        <v>0</v>
      </c>
      <c r="BH1275" s="56">
        <f>M1275</f>
        <v>3.5999999999999999E-3</v>
      </c>
      <c r="BJ1275" s="56">
        <f>G1275*AQ1275</f>
        <v>0</v>
      </c>
      <c r="BK1275" s="56">
        <f>G1275*AR1275</f>
        <v>0</v>
      </c>
      <c r="BL1275" s="56">
        <f>G1275*H1275</f>
        <v>0</v>
      </c>
      <c r="BM1275" s="56"/>
      <c r="BN1275" s="56">
        <v>725</v>
      </c>
    </row>
    <row r="1276" spans="1:66" ht="15" customHeight="1">
      <c r="A1276" s="36"/>
      <c r="D1276" s="45" t="s">
        <v>1589</v>
      </c>
      <c r="E1276" s="104" t="s">
        <v>1597</v>
      </c>
      <c r="G1276" s="13">
        <v>2</v>
      </c>
      <c r="N1276" s="19"/>
      <c r="P1276" s="592"/>
      <c r="Q1276" s="592"/>
      <c r="R1276" s="592"/>
      <c r="S1276" s="592"/>
      <c r="T1276" s="592"/>
      <c r="U1276" s="592"/>
      <c r="V1276" s="592"/>
      <c r="W1276" s="592"/>
      <c r="X1276" s="592"/>
    </row>
    <row r="1277" spans="1:66" ht="15" customHeight="1">
      <c r="A1277" s="24" t="s">
        <v>1732</v>
      </c>
      <c r="B1277" s="12" t="s">
        <v>714</v>
      </c>
      <c r="C1277" s="12" t="s">
        <v>1971</v>
      </c>
      <c r="D1277" s="630" t="s">
        <v>2213</v>
      </c>
      <c r="E1277" s="630"/>
      <c r="F1277" s="12" t="s">
        <v>564</v>
      </c>
      <c r="G1277" s="56">
        <v>1</v>
      </c>
      <c r="H1277" s="625"/>
      <c r="I1277" s="56">
        <f>G1277*AQ1277</f>
        <v>0</v>
      </c>
      <c r="J1277" s="56">
        <f>G1277*AR1277</f>
        <v>0</v>
      </c>
      <c r="K1277" s="56">
        <f>G1277*H1277</f>
        <v>0</v>
      </c>
      <c r="L1277" s="56">
        <v>6.4999999999999997E-4</v>
      </c>
      <c r="M1277" s="56">
        <f>G1277*L1277</f>
        <v>6.4999999999999997E-4</v>
      </c>
      <c r="N1277" s="31" t="s">
        <v>1579</v>
      </c>
      <c r="P1277" s="592"/>
      <c r="Q1277" s="592"/>
      <c r="R1277" s="592"/>
      <c r="S1277" s="592"/>
      <c r="T1277" s="592"/>
      <c r="U1277" s="592"/>
      <c r="V1277" s="592"/>
      <c r="W1277" s="592"/>
      <c r="X1277" s="592"/>
      <c r="AB1277" s="56">
        <f>IF(AS1277="5",BL1277,0)</f>
        <v>0</v>
      </c>
      <c r="AD1277" s="56">
        <f>IF(AS1277="1",BJ1277,0)</f>
        <v>0</v>
      </c>
      <c r="AE1277" s="56">
        <f>IF(AS1277="1",BK1277,0)</f>
        <v>0</v>
      </c>
      <c r="AF1277" s="56">
        <f>IF(AS1277="7",BJ1277,0)</f>
        <v>0</v>
      </c>
      <c r="AG1277" s="56">
        <f>IF(AS1277="7",BK1277,0)</f>
        <v>0</v>
      </c>
      <c r="AH1277" s="56">
        <f>IF(AS1277="2",BJ1277,0)</f>
        <v>0</v>
      </c>
      <c r="AI1277" s="56">
        <f>IF(AS1277="2",BK1277,0)</f>
        <v>0</v>
      </c>
      <c r="AJ1277" s="56">
        <f>IF(AS1277="0",BL1277,0)</f>
        <v>0</v>
      </c>
      <c r="AK1277" s="7" t="s">
        <v>714</v>
      </c>
      <c r="AL1277" s="56">
        <f>IF(AP1277=0,K1277,0)</f>
        <v>0</v>
      </c>
      <c r="AM1277" s="56">
        <f>IF(AP1277=15,K1277,0)</f>
        <v>0</v>
      </c>
      <c r="AN1277" s="56">
        <f>IF(AP1277=21,K1277,0)</f>
        <v>0</v>
      </c>
      <c r="AP1277" s="56">
        <v>21</v>
      </c>
      <c r="AQ1277" s="88">
        <f>H1277*0.149209157127992</f>
        <v>0</v>
      </c>
      <c r="AR1277" s="88">
        <f>H1277*(1-0.149209157127992)</f>
        <v>0</v>
      </c>
      <c r="AS1277" s="21" t="s">
        <v>2311</v>
      </c>
      <c r="AX1277" s="56">
        <f>AY1277+AZ1277</f>
        <v>0</v>
      </c>
      <c r="AY1277" s="56">
        <f>G1277*AQ1277</f>
        <v>0</v>
      </c>
      <c r="AZ1277" s="56">
        <f>G1277*AR1277</f>
        <v>0</v>
      </c>
      <c r="BA1277" s="21" t="s">
        <v>1036</v>
      </c>
      <c r="BB1277" s="21" t="s">
        <v>1155</v>
      </c>
      <c r="BC1277" s="7" t="s">
        <v>976</v>
      </c>
      <c r="BE1277" s="56">
        <f>AY1277+AZ1277</f>
        <v>0</v>
      </c>
      <c r="BF1277" s="56">
        <f>H1277/(100-BG1277)*100</f>
        <v>0</v>
      </c>
      <c r="BG1277" s="56">
        <v>0</v>
      </c>
      <c r="BH1277" s="56">
        <f>M1277</f>
        <v>6.4999999999999997E-4</v>
      </c>
      <c r="BJ1277" s="56">
        <f>G1277*AQ1277</f>
        <v>0</v>
      </c>
      <c r="BK1277" s="56">
        <f>G1277*AR1277</f>
        <v>0</v>
      </c>
      <c r="BL1277" s="56">
        <f>G1277*H1277</f>
        <v>0</v>
      </c>
      <c r="BM1277" s="56"/>
      <c r="BN1277" s="56">
        <v>725</v>
      </c>
    </row>
    <row r="1278" spans="1:66" ht="15" customHeight="1">
      <c r="A1278" s="36"/>
      <c r="D1278" s="45" t="s">
        <v>2297</v>
      </c>
      <c r="E1278" s="104" t="s">
        <v>1597</v>
      </c>
      <c r="G1278" s="13">
        <v>1</v>
      </c>
      <c r="N1278" s="19"/>
      <c r="P1278" s="592"/>
      <c r="Q1278" s="592"/>
      <c r="R1278" s="592"/>
      <c r="S1278" s="592"/>
      <c r="T1278" s="592"/>
      <c r="U1278" s="592"/>
      <c r="V1278" s="592"/>
      <c r="W1278" s="592"/>
      <c r="X1278" s="592"/>
    </row>
    <row r="1279" spans="1:66" ht="15" customHeight="1">
      <c r="A1279" s="8" t="s">
        <v>680</v>
      </c>
      <c r="B1279" s="75" t="s">
        <v>714</v>
      </c>
      <c r="C1279" s="75" t="s">
        <v>2278</v>
      </c>
      <c r="D1279" s="710" t="s">
        <v>795</v>
      </c>
      <c r="E1279" s="710"/>
      <c r="F1279" s="75" t="s">
        <v>564</v>
      </c>
      <c r="G1279" s="80">
        <v>1</v>
      </c>
      <c r="H1279" s="626"/>
      <c r="I1279" s="80">
        <f>G1279*AQ1279</f>
        <v>0</v>
      </c>
      <c r="J1279" s="80">
        <f>G1279*AR1279</f>
        <v>0</v>
      </c>
      <c r="K1279" s="80">
        <f>G1279*H1279</f>
        <v>0</v>
      </c>
      <c r="L1279" s="80">
        <v>1.2999999999999999E-2</v>
      </c>
      <c r="M1279" s="80">
        <f>G1279*L1279</f>
        <v>1.2999999999999999E-2</v>
      </c>
      <c r="N1279" s="38" t="s">
        <v>1579</v>
      </c>
      <c r="P1279" s="592"/>
      <c r="Q1279" s="592"/>
      <c r="R1279" s="592"/>
      <c r="S1279" s="592"/>
      <c r="T1279" s="592"/>
      <c r="U1279" s="592"/>
      <c r="V1279" s="592"/>
      <c r="W1279" s="592"/>
      <c r="X1279" s="592"/>
      <c r="AB1279" s="56">
        <f>IF(AS1279="5",BL1279,0)</f>
        <v>0</v>
      </c>
      <c r="AD1279" s="56">
        <f>IF(AS1279="1",BJ1279,0)</f>
        <v>0</v>
      </c>
      <c r="AE1279" s="56">
        <f>IF(AS1279="1",BK1279,0)</f>
        <v>0</v>
      </c>
      <c r="AF1279" s="56">
        <f>IF(AS1279="7",BJ1279,0)</f>
        <v>0</v>
      </c>
      <c r="AG1279" s="56">
        <f>IF(AS1279="7",BK1279,0)</f>
        <v>0</v>
      </c>
      <c r="AH1279" s="56">
        <f>IF(AS1279="2",BJ1279,0)</f>
        <v>0</v>
      </c>
      <c r="AI1279" s="56">
        <f>IF(AS1279="2",BK1279,0)</f>
        <v>0</v>
      </c>
      <c r="AJ1279" s="56">
        <f>IF(AS1279="0",BL1279,0)</f>
        <v>0</v>
      </c>
      <c r="AK1279" s="7" t="s">
        <v>714</v>
      </c>
      <c r="AL1279" s="80">
        <f>IF(AP1279=0,K1279,0)</f>
        <v>0</v>
      </c>
      <c r="AM1279" s="80">
        <f>IF(AP1279=15,K1279,0)</f>
        <v>0</v>
      </c>
      <c r="AN1279" s="80">
        <f>IF(AP1279=21,K1279,0)</f>
        <v>0</v>
      </c>
      <c r="AP1279" s="56">
        <v>21</v>
      </c>
      <c r="AQ1279" s="88">
        <f>H1279*1</f>
        <v>0</v>
      </c>
      <c r="AR1279" s="88">
        <f>H1279*(1-1)</f>
        <v>0</v>
      </c>
      <c r="AS1279" s="64" t="s">
        <v>2311</v>
      </c>
      <c r="AX1279" s="56">
        <f>AY1279+AZ1279</f>
        <v>0</v>
      </c>
      <c r="AY1279" s="56">
        <f>G1279*AQ1279</f>
        <v>0</v>
      </c>
      <c r="AZ1279" s="56">
        <f>G1279*AR1279</f>
        <v>0</v>
      </c>
      <c r="BA1279" s="21" t="s">
        <v>1036</v>
      </c>
      <c r="BB1279" s="21" t="s">
        <v>1155</v>
      </c>
      <c r="BC1279" s="7" t="s">
        <v>976</v>
      </c>
      <c r="BE1279" s="56">
        <f>AY1279+AZ1279</f>
        <v>0</v>
      </c>
      <c r="BF1279" s="56">
        <f>H1279/(100-BG1279)*100</f>
        <v>0</v>
      </c>
      <c r="BG1279" s="56">
        <v>0</v>
      </c>
      <c r="BH1279" s="56">
        <f>M1279</f>
        <v>1.2999999999999999E-2</v>
      </c>
      <c r="BJ1279" s="80">
        <f>G1279*AQ1279</f>
        <v>0</v>
      </c>
      <c r="BK1279" s="80">
        <f>G1279*AR1279</f>
        <v>0</v>
      </c>
      <c r="BL1279" s="80">
        <f>G1279*H1279</f>
        <v>0</v>
      </c>
      <c r="BM1279" s="80"/>
      <c r="BN1279" s="56">
        <v>725</v>
      </c>
    </row>
    <row r="1280" spans="1:66" ht="15" customHeight="1">
      <c r="A1280" s="36"/>
      <c r="D1280" s="45" t="s">
        <v>2297</v>
      </c>
      <c r="E1280" s="104" t="s">
        <v>1597</v>
      </c>
      <c r="G1280" s="13">
        <v>1</v>
      </c>
      <c r="N1280" s="19"/>
      <c r="P1280" s="592"/>
      <c r="Q1280" s="592"/>
      <c r="R1280" s="592"/>
      <c r="S1280" s="592"/>
      <c r="T1280" s="592"/>
      <c r="U1280" s="592"/>
      <c r="V1280" s="592"/>
      <c r="W1280" s="592"/>
      <c r="X1280" s="592"/>
    </row>
    <row r="1281" spans="1:66" ht="15" customHeight="1">
      <c r="A1281" s="24" t="s">
        <v>906</v>
      </c>
      <c r="B1281" s="12" t="s">
        <v>714</v>
      </c>
      <c r="C1281" s="12" t="s">
        <v>1971</v>
      </c>
      <c r="D1281" s="630" t="s">
        <v>2213</v>
      </c>
      <c r="E1281" s="630"/>
      <c r="F1281" s="12" t="s">
        <v>564</v>
      </c>
      <c r="G1281" s="56">
        <v>1</v>
      </c>
      <c r="H1281" s="625"/>
      <c r="I1281" s="56">
        <f>G1281*AQ1281</f>
        <v>0</v>
      </c>
      <c r="J1281" s="56">
        <f>G1281*AR1281</f>
        <v>0</v>
      </c>
      <c r="K1281" s="56">
        <f>G1281*H1281</f>
        <v>0</v>
      </c>
      <c r="L1281" s="56">
        <v>6.4999999999999997E-4</v>
      </c>
      <c r="M1281" s="56">
        <f>G1281*L1281</f>
        <v>6.4999999999999997E-4</v>
      </c>
      <c r="N1281" s="31" t="s">
        <v>1579</v>
      </c>
      <c r="P1281" s="592"/>
      <c r="Q1281" s="592"/>
      <c r="R1281" s="592"/>
      <c r="S1281" s="592"/>
      <c r="T1281" s="592"/>
      <c r="U1281" s="592"/>
      <c r="V1281" s="592"/>
      <c r="W1281" s="592"/>
      <c r="X1281" s="592"/>
      <c r="AB1281" s="56">
        <f>IF(AS1281="5",BL1281,0)</f>
        <v>0</v>
      </c>
      <c r="AD1281" s="56">
        <f>IF(AS1281="1",BJ1281,0)</f>
        <v>0</v>
      </c>
      <c r="AE1281" s="56">
        <f>IF(AS1281="1",BK1281,0)</f>
        <v>0</v>
      </c>
      <c r="AF1281" s="56">
        <f>IF(AS1281="7",BJ1281,0)</f>
        <v>0</v>
      </c>
      <c r="AG1281" s="56">
        <f>IF(AS1281="7",BK1281,0)</f>
        <v>0</v>
      </c>
      <c r="AH1281" s="56">
        <f>IF(AS1281="2",BJ1281,0)</f>
        <v>0</v>
      </c>
      <c r="AI1281" s="56">
        <f>IF(AS1281="2",BK1281,0)</f>
        <v>0</v>
      </c>
      <c r="AJ1281" s="56">
        <f>IF(AS1281="0",BL1281,0)</f>
        <v>0</v>
      </c>
      <c r="AK1281" s="7" t="s">
        <v>714</v>
      </c>
      <c r="AL1281" s="56">
        <f>IF(AP1281=0,K1281,0)</f>
        <v>0</v>
      </c>
      <c r="AM1281" s="56">
        <f>IF(AP1281=15,K1281,0)</f>
        <v>0</v>
      </c>
      <c r="AN1281" s="56">
        <f>IF(AP1281=21,K1281,0)</f>
        <v>0</v>
      </c>
      <c r="AP1281" s="56">
        <v>21</v>
      </c>
      <c r="AQ1281" s="88">
        <f>H1281*0.149209157127992</f>
        <v>0</v>
      </c>
      <c r="AR1281" s="88">
        <f>H1281*(1-0.149209157127992)</f>
        <v>0</v>
      </c>
      <c r="AS1281" s="21" t="s">
        <v>2311</v>
      </c>
      <c r="AX1281" s="56">
        <f>AY1281+AZ1281</f>
        <v>0</v>
      </c>
      <c r="AY1281" s="56">
        <f>G1281*AQ1281</f>
        <v>0</v>
      </c>
      <c r="AZ1281" s="56">
        <f>G1281*AR1281</f>
        <v>0</v>
      </c>
      <c r="BA1281" s="21" t="s">
        <v>1036</v>
      </c>
      <c r="BB1281" s="21" t="s">
        <v>1155</v>
      </c>
      <c r="BC1281" s="7" t="s">
        <v>976</v>
      </c>
      <c r="BE1281" s="56">
        <f>AY1281+AZ1281</f>
        <v>0</v>
      </c>
      <c r="BF1281" s="56">
        <f>H1281/(100-BG1281)*100</f>
        <v>0</v>
      </c>
      <c r="BG1281" s="56">
        <v>0</v>
      </c>
      <c r="BH1281" s="56">
        <f>M1281</f>
        <v>6.4999999999999997E-4</v>
      </c>
      <c r="BJ1281" s="56">
        <f>G1281*AQ1281</f>
        <v>0</v>
      </c>
      <c r="BK1281" s="56">
        <f>G1281*AR1281</f>
        <v>0</v>
      </c>
      <c r="BL1281" s="56">
        <f>G1281*H1281</f>
        <v>0</v>
      </c>
      <c r="BM1281" s="56"/>
      <c r="BN1281" s="56">
        <v>725</v>
      </c>
    </row>
    <row r="1282" spans="1:66" ht="15" customHeight="1">
      <c r="A1282" s="36"/>
      <c r="D1282" s="45" t="s">
        <v>2297</v>
      </c>
      <c r="E1282" s="104" t="s">
        <v>2138</v>
      </c>
      <c r="G1282" s="13">
        <v>1</v>
      </c>
      <c r="N1282" s="19"/>
      <c r="P1282" s="592"/>
      <c r="Q1282" s="592"/>
      <c r="R1282" s="592"/>
      <c r="S1282" s="592"/>
      <c r="T1282" s="592"/>
      <c r="U1282" s="592"/>
      <c r="V1282" s="592"/>
      <c r="W1282" s="592"/>
      <c r="X1282" s="592"/>
    </row>
    <row r="1283" spans="1:66" ht="15" customHeight="1">
      <c r="A1283" s="8" t="s">
        <v>1502</v>
      </c>
      <c r="B1283" s="75" t="s">
        <v>714</v>
      </c>
      <c r="C1283" s="75" t="s">
        <v>1925</v>
      </c>
      <c r="D1283" s="710" t="s">
        <v>3642</v>
      </c>
      <c r="E1283" s="710"/>
      <c r="F1283" s="75" t="s">
        <v>564</v>
      </c>
      <c r="G1283" s="80">
        <v>1</v>
      </c>
      <c r="H1283" s="626"/>
      <c r="I1283" s="80">
        <f>G1283*AQ1283</f>
        <v>0</v>
      </c>
      <c r="J1283" s="80">
        <f>G1283*AR1283</f>
        <v>0</v>
      </c>
      <c r="K1283" s="80">
        <f>G1283*H1283</f>
        <v>0</v>
      </c>
      <c r="L1283" s="80">
        <v>0.01</v>
      </c>
      <c r="M1283" s="80">
        <f>G1283*L1283</f>
        <v>0.01</v>
      </c>
      <c r="N1283" s="38" t="s">
        <v>1579</v>
      </c>
      <c r="P1283" s="592"/>
      <c r="Q1283" s="592"/>
      <c r="R1283" s="592"/>
      <c r="S1283" s="592"/>
      <c r="T1283" s="592"/>
      <c r="U1283" s="592"/>
      <c r="V1283" s="592"/>
      <c r="W1283" s="592"/>
      <c r="X1283" s="592"/>
      <c r="AB1283" s="56">
        <f>IF(AS1283="5",BL1283,0)</f>
        <v>0</v>
      </c>
      <c r="AD1283" s="56">
        <f>IF(AS1283="1",BJ1283,0)</f>
        <v>0</v>
      </c>
      <c r="AE1283" s="56">
        <f>IF(AS1283="1",BK1283,0)</f>
        <v>0</v>
      </c>
      <c r="AF1283" s="56">
        <f>IF(AS1283="7",BJ1283,0)</f>
        <v>0</v>
      </c>
      <c r="AG1283" s="56">
        <f>IF(AS1283="7",BK1283,0)</f>
        <v>0</v>
      </c>
      <c r="AH1283" s="56">
        <f>IF(AS1283="2",BJ1283,0)</f>
        <v>0</v>
      </c>
      <c r="AI1283" s="56">
        <f>IF(AS1283="2",BK1283,0)</f>
        <v>0</v>
      </c>
      <c r="AJ1283" s="56">
        <f>IF(AS1283="0",BL1283,0)</f>
        <v>0</v>
      </c>
      <c r="AK1283" s="7" t="s">
        <v>714</v>
      </c>
      <c r="AL1283" s="80">
        <f>IF(AP1283=0,K1283,0)</f>
        <v>0</v>
      </c>
      <c r="AM1283" s="80">
        <f>IF(AP1283=15,K1283,0)</f>
        <v>0</v>
      </c>
      <c r="AN1283" s="80">
        <f>IF(AP1283=21,K1283,0)</f>
        <v>0</v>
      </c>
      <c r="AP1283" s="56">
        <v>21</v>
      </c>
      <c r="AQ1283" s="88">
        <f>H1283*1</f>
        <v>0</v>
      </c>
      <c r="AR1283" s="88">
        <f>H1283*(1-1)</f>
        <v>0</v>
      </c>
      <c r="AS1283" s="64" t="s">
        <v>2311</v>
      </c>
      <c r="AX1283" s="56">
        <f>AY1283+AZ1283</f>
        <v>0</v>
      </c>
      <c r="AY1283" s="56">
        <f>G1283*AQ1283</f>
        <v>0</v>
      </c>
      <c r="AZ1283" s="56">
        <f>G1283*AR1283</f>
        <v>0</v>
      </c>
      <c r="BA1283" s="21" t="s">
        <v>1036</v>
      </c>
      <c r="BB1283" s="21" t="s">
        <v>1155</v>
      </c>
      <c r="BC1283" s="7" t="s">
        <v>976</v>
      </c>
      <c r="BE1283" s="56">
        <f>AY1283+AZ1283</f>
        <v>0</v>
      </c>
      <c r="BF1283" s="56">
        <f>H1283/(100-BG1283)*100</f>
        <v>0</v>
      </c>
      <c r="BG1283" s="56">
        <v>0</v>
      </c>
      <c r="BH1283" s="56">
        <f>M1283</f>
        <v>0.01</v>
      </c>
      <c r="BJ1283" s="80">
        <f>G1283*AQ1283</f>
        <v>0</v>
      </c>
      <c r="BK1283" s="80">
        <f>G1283*AR1283</f>
        <v>0</v>
      </c>
      <c r="BL1283" s="80">
        <f>G1283*H1283</f>
        <v>0</v>
      </c>
      <c r="BM1283" s="80"/>
      <c r="BN1283" s="56">
        <v>725</v>
      </c>
    </row>
    <row r="1284" spans="1:66" ht="15" customHeight="1">
      <c r="A1284" s="36"/>
      <c r="D1284" s="45" t="s">
        <v>2297</v>
      </c>
      <c r="E1284" s="104" t="s">
        <v>1597</v>
      </c>
      <c r="G1284" s="13">
        <v>1</v>
      </c>
      <c r="N1284" s="19"/>
      <c r="P1284" s="592"/>
      <c r="Q1284" s="592"/>
      <c r="R1284" s="592"/>
      <c r="S1284" s="592"/>
      <c r="T1284" s="592"/>
      <c r="U1284" s="592"/>
      <c r="V1284" s="592"/>
      <c r="W1284" s="592"/>
      <c r="X1284" s="592"/>
    </row>
    <row r="1285" spans="1:66" ht="15" customHeight="1">
      <c r="A1285" s="24" t="s">
        <v>1383</v>
      </c>
      <c r="B1285" s="12" t="s">
        <v>714</v>
      </c>
      <c r="C1285" s="12" t="s">
        <v>777</v>
      </c>
      <c r="D1285" s="630" t="s">
        <v>2167</v>
      </c>
      <c r="E1285" s="630"/>
      <c r="F1285" s="12" t="s">
        <v>811</v>
      </c>
      <c r="G1285" s="56">
        <v>3</v>
      </c>
      <c r="H1285" s="625"/>
      <c r="I1285" s="56">
        <f>G1285*AQ1285</f>
        <v>0</v>
      </c>
      <c r="J1285" s="56">
        <f>G1285*AR1285</f>
        <v>0</v>
      </c>
      <c r="K1285" s="56">
        <f>G1285*H1285</f>
        <v>0</v>
      </c>
      <c r="L1285" s="56">
        <v>6.2E-4</v>
      </c>
      <c r="M1285" s="56">
        <f>G1285*L1285</f>
        <v>1.8600000000000001E-3</v>
      </c>
      <c r="N1285" s="31" t="s">
        <v>1579</v>
      </c>
      <c r="P1285" s="592"/>
      <c r="Q1285" s="592"/>
      <c r="R1285" s="592"/>
      <c r="S1285" s="592"/>
      <c r="T1285" s="592"/>
      <c r="U1285" s="592"/>
      <c r="V1285" s="592"/>
      <c r="W1285" s="592"/>
      <c r="X1285" s="592"/>
      <c r="AB1285" s="56">
        <f>IF(AS1285="5",BL1285,0)</f>
        <v>0</v>
      </c>
      <c r="AD1285" s="56">
        <f>IF(AS1285="1",BJ1285,0)</f>
        <v>0</v>
      </c>
      <c r="AE1285" s="56">
        <f>IF(AS1285="1",BK1285,0)</f>
        <v>0</v>
      </c>
      <c r="AF1285" s="56">
        <f>IF(AS1285="7",BJ1285,0)</f>
        <v>0</v>
      </c>
      <c r="AG1285" s="56">
        <f>IF(AS1285="7",BK1285,0)</f>
        <v>0</v>
      </c>
      <c r="AH1285" s="56">
        <f>IF(AS1285="2",BJ1285,0)</f>
        <v>0</v>
      </c>
      <c r="AI1285" s="56">
        <f>IF(AS1285="2",BK1285,0)</f>
        <v>0</v>
      </c>
      <c r="AJ1285" s="56">
        <f>IF(AS1285="0",BL1285,0)</f>
        <v>0</v>
      </c>
      <c r="AK1285" s="7" t="s">
        <v>714</v>
      </c>
      <c r="AL1285" s="56">
        <f>IF(AP1285=0,K1285,0)</f>
        <v>0</v>
      </c>
      <c r="AM1285" s="56">
        <f>IF(AP1285=15,K1285,0)</f>
        <v>0</v>
      </c>
      <c r="AN1285" s="56">
        <f>IF(AP1285=21,K1285,0)</f>
        <v>0</v>
      </c>
      <c r="AP1285" s="56">
        <v>21</v>
      </c>
      <c r="AQ1285" s="88">
        <f>H1285*0.333981176470588</f>
        <v>0</v>
      </c>
      <c r="AR1285" s="88">
        <f>H1285*(1-0.333981176470588)</f>
        <v>0</v>
      </c>
      <c r="AS1285" s="21" t="s">
        <v>2311</v>
      </c>
      <c r="AX1285" s="56">
        <f>AY1285+AZ1285</f>
        <v>0</v>
      </c>
      <c r="AY1285" s="56">
        <f>G1285*AQ1285</f>
        <v>0</v>
      </c>
      <c r="AZ1285" s="56">
        <f>G1285*AR1285</f>
        <v>0</v>
      </c>
      <c r="BA1285" s="21" t="s">
        <v>1036</v>
      </c>
      <c r="BB1285" s="21" t="s">
        <v>1155</v>
      </c>
      <c r="BC1285" s="7" t="s">
        <v>976</v>
      </c>
      <c r="BE1285" s="56">
        <f>AY1285+AZ1285</f>
        <v>0</v>
      </c>
      <c r="BF1285" s="56">
        <f>H1285/(100-BG1285)*100</f>
        <v>0</v>
      </c>
      <c r="BG1285" s="56">
        <v>0</v>
      </c>
      <c r="BH1285" s="56">
        <f>M1285</f>
        <v>1.8600000000000001E-3</v>
      </c>
      <c r="BJ1285" s="56">
        <f>G1285*AQ1285</f>
        <v>0</v>
      </c>
      <c r="BK1285" s="56">
        <f>G1285*AR1285</f>
        <v>0</v>
      </c>
      <c r="BL1285" s="56">
        <f>G1285*H1285</f>
        <v>0</v>
      </c>
      <c r="BM1285" s="56"/>
      <c r="BN1285" s="56">
        <v>725</v>
      </c>
    </row>
    <row r="1286" spans="1:66" ht="15" customHeight="1">
      <c r="A1286" s="36"/>
      <c r="D1286" s="45" t="s">
        <v>2007</v>
      </c>
      <c r="E1286" s="104" t="s">
        <v>1597</v>
      </c>
      <c r="G1286" s="13">
        <v>3.0000000000000004</v>
      </c>
      <c r="N1286" s="19"/>
      <c r="P1286" s="592"/>
      <c r="Q1286" s="592"/>
      <c r="R1286" s="592"/>
      <c r="S1286" s="592"/>
      <c r="T1286" s="592"/>
      <c r="U1286" s="592"/>
      <c r="V1286" s="592"/>
      <c r="W1286" s="592"/>
      <c r="X1286" s="592"/>
    </row>
    <row r="1287" spans="1:66" ht="15" customHeight="1">
      <c r="A1287" s="8" t="s">
        <v>1656</v>
      </c>
      <c r="B1287" s="75" t="s">
        <v>714</v>
      </c>
      <c r="C1287" s="75" t="s">
        <v>726</v>
      </c>
      <c r="D1287" s="710" t="s">
        <v>42</v>
      </c>
      <c r="E1287" s="710"/>
      <c r="F1287" s="75" t="s">
        <v>564</v>
      </c>
      <c r="G1287" s="80">
        <v>3</v>
      </c>
      <c r="H1287" s="626"/>
      <c r="I1287" s="80">
        <f>G1287*AQ1287</f>
        <v>0</v>
      </c>
      <c r="J1287" s="80">
        <f>G1287*AR1287</f>
        <v>0</v>
      </c>
      <c r="K1287" s="80">
        <f>G1287*H1287</f>
        <v>0</v>
      </c>
      <c r="L1287" s="80">
        <v>1.4999999999999999E-2</v>
      </c>
      <c r="M1287" s="80">
        <f>G1287*L1287</f>
        <v>4.4999999999999998E-2</v>
      </c>
      <c r="N1287" s="38" t="s">
        <v>1579</v>
      </c>
      <c r="P1287" s="592"/>
      <c r="Q1287" s="592"/>
      <c r="R1287" s="592"/>
      <c r="S1287" s="592"/>
      <c r="T1287" s="592"/>
      <c r="U1287" s="592"/>
      <c r="V1287" s="592"/>
      <c r="W1287" s="592"/>
      <c r="X1287" s="592"/>
      <c r="AB1287" s="56">
        <f>IF(AS1287="5",BL1287,0)</f>
        <v>0</v>
      </c>
      <c r="AD1287" s="56">
        <f>IF(AS1287="1",BJ1287,0)</f>
        <v>0</v>
      </c>
      <c r="AE1287" s="56">
        <f>IF(AS1287="1",BK1287,0)</f>
        <v>0</v>
      </c>
      <c r="AF1287" s="56">
        <f>IF(AS1287="7",BJ1287,0)</f>
        <v>0</v>
      </c>
      <c r="AG1287" s="56">
        <f>IF(AS1287="7",BK1287,0)</f>
        <v>0</v>
      </c>
      <c r="AH1287" s="56">
        <f>IF(AS1287="2",BJ1287,0)</f>
        <v>0</v>
      </c>
      <c r="AI1287" s="56">
        <f>IF(AS1287="2",BK1287,0)</f>
        <v>0</v>
      </c>
      <c r="AJ1287" s="56">
        <f>IF(AS1287="0",BL1287,0)</f>
        <v>0</v>
      </c>
      <c r="AK1287" s="7" t="s">
        <v>714</v>
      </c>
      <c r="AL1287" s="80">
        <f>IF(AP1287=0,K1287,0)</f>
        <v>0</v>
      </c>
      <c r="AM1287" s="80">
        <f>IF(AP1287=15,K1287,0)</f>
        <v>0</v>
      </c>
      <c r="AN1287" s="80">
        <f>IF(AP1287=21,K1287,0)</f>
        <v>0</v>
      </c>
      <c r="AP1287" s="56">
        <v>21</v>
      </c>
      <c r="AQ1287" s="88">
        <f>H1287*1</f>
        <v>0</v>
      </c>
      <c r="AR1287" s="88">
        <f>H1287*(1-1)</f>
        <v>0</v>
      </c>
      <c r="AS1287" s="64" t="s">
        <v>2311</v>
      </c>
      <c r="AX1287" s="56">
        <f>AY1287+AZ1287</f>
        <v>0</v>
      </c>
      <c r="AY1287" s="56">
        <f>G1287*AQ1287</f>
        <v>0</v>
      </c>
      <c r="AZ1287" s="56">
        <f>G1287*AR1287</f>
        <v>0</v>
      </c>
      <c r="BA1287" s="21" t="s">
        <v>1036</v>
      </c>
      <c r="BB1287" s="21" t="s">
        <v>1155</v>
      </c>
      <c r="BC1287" s="7" t="s">
        <v>976</v>
      </c>
      <c r="BE1287" s="56">
        <f>AY1287+AZ1287</f>
        <v>0</v>
      </c>
      <c r="BF1287" s="56">
        <f>H1287/(100-BG1287)*100</f>
        <v>0</v>
      </c>
      <c r="BG1287" s="56">
        <v>0</v>
      </c>
      <c r="BH1287" s="56">
        <f>M1287</f>
        <v>4.4999999999999998E-2</v>
      </c>
      <c r="BJ1287" s="80">
        <f>G1287*AQ1287</f>
        <v>0</v>
      </c>
      <c r="BK1287" s="80">
        <f>G1287*AR1287</f>
        <v>0</v>
      </c>
      <c r="BL1287" s="80">
        <f>G1287*H1287</f>
        <v>0</v>
      </c>
      <c r="BM1287" s="80"/>
      <c r="BN1287" s="56">
        <v>725</v>
      </c>
    </row>
    <row r="1288" spans="1:66" ht="15" customHeight="1">
      <c r="A1288" s="36"/>
      <c r="D1288" s="45" t="s">
        <v>2007</v>
      </c>
      <c r="E1288" s="104" t="s">
        <v>1597</v>
      </c>
      <c r="G1288" s="13">
        <v>3.0000000000000004</v>
      </c>
      <c r="N1288" s="19"/>
      <c r="P1288" s="592"/>
      <c r="Q1288" s="592"/>
      <c r="R1288" s="592"/>
      <c r="S1288" s="592"/>
      <c r="T1288" s="592"/>
      <c r="U1288" s="592"/>
      <c r="V1288" s="592"/>
      <c r="W1288" s="592"/>
      <c r="X1288" s="592"/>
    </row>
    <row r="1289" spans="1:66" ht="15" customHeight="1">
      <c r="A1289" s="8" t="s">
        <v>956</v>
      </c>
      <c r="B1289" s="75" t="s">
        <v>714</v>
      </c>
      <c r="C1289" s="75" t="s">
        <v>1991</v>
      </c>
      <c r="D1289" s="710" t="s">
        <v>2669</v>
      </c>
      <c r="E1289" s="710"/>
      <c r="F1289" s="75" t="s">
        <v>564</v>
      </c>
      <c r="G1289" s="80">
        <v>3</v>
      </c>
      <c r="H1289" s="626"/>
      <c r="I1289" s="80">
        <f>G1289*AQ1289</f>
        <v>0</v>
      </c>
      <c r="J1289" s="80">
        <f>G1289*AR1289</f>
        <v>0</v>
      </c>
      <c r="K1289" s="80">
        <f>G1289*H1289</f>
        <v>0</v>
      </c>
      <c r="L1289" s="80">
        <v>5.1799999999999997E-3</v>
      </c>
      <c r="M1289" s="80">
        <f>G1289*L1289</f>
        <v>1.5539999999999998E-2</v>
      </c>
      <c r="N1289" s="38" t="s">
        <v>1579</v>
      </c>
      <c r="P1289" s="592"/>
      <c r="Q1289" s="592"/>
      <c r="R1289" s="592"/>
      <c r="S1289" s="592"/>
      <c r="T1289" s="592"/>
      <c r="U1289" s="592"/>
      <c r="V1289" s="592"/>
      <c r="W1289" s="592"/>
      <c r="X1289" s="592"/>
      <c r="AB1289" s="56">
        <f>IF(AS1289="5",BL1289,0)</f>
        <v>0</v>
      </c>
      <c r="AD1289" s="56">
        <f>IF(AS1289="1",BJ1289,0)</f>
        <v>0</v>
      </c>
      <c r="AE1289" s="56">
        <f>IF(AS1289="1",BK1289,0)</f>
        <v>0</v>
      </c>
      <c r="AF1289" s="56">
        <f>IF(AS1289="7",BJ1289,0)</f>
        <v>0</v>
      </c>
      <c r="AG1289" s="56">
        <f>IF(AS1289="7",BK1289,0)</f>
        <v>0</v>
      </c>
      <c r="AH1289" s="56">
        <f>IF(AS1289="2",BJ1289,0)</f>
        <v>0</v>
      </c>
      <c r="AI1289" s="56">
        <f>IF(AS1289="2",BK1289,0)</f>
        <v>0</v>
      </c>
      <c r="AJ1289" s="56">
        <f>IF(AS1289="0",BL1289,0)</f>
        <v>0</v>
      </c>
      <c r="AK1289" s="7" t="s">
        <v>714</v>
      </c>
      <c r="AL1289" s="80">
        <f>IF(AP1289=0,K1289,0)</f>
        <v>0</v>
      </c>
      <c r="AM1289" s="80">
        <f>IF(AP1289=15,K1289,0)</f>
        <v>0</v>
      </c>
      <c r="AN1289" s="80">
        <f>IF(AP1289=21,K1289,0)</f>
        <v>0</v>
      </c>
      <c r="AP1289" s="56">
        <v>21</v>
      </c>
      <c r="AQ1289" s="88">
        <f>H1289*1</f>
        <v>0</v>
      </c>
      <c r="AR1289" s="88">
        <f>H1289*(1-1)</f>
        <v>0</v>
      </c>
      <c r="AS1289" s="64" t="s">
        <v>2311</v>
      </c>
      <c r="AX1289" s="56">
        <f>AY1289+AZ1289</f>
        <v>0</v>
      </c>
      <c r="AY1289" s="56">
        <f>G1289*AQ1289</f>
        <v>0</v>
      </c>
      <c r="AZ1289" s="56">
        <f>G1289*AR1289</f>
        <v>0</v>
      </c>
      <c r="BA1289" s="21" t="s">
        <v>1036</v>
      </c>
      <c r="BB1289" s="21" t="s">
        <v>1155</v>
      </c>
      <c r="BC1289" s="7" t="s">
        <v>976</v>
      </c>
      <c r="BE1289" s="56">
        <f>AY1289+AZ1289</f>
        <v>0</v>
      </c>
      <c r="BF1289" s="56">
        <f>H1289/(100-BG1289)*100</f>
        <v>0</v>
      </c>
      <c r="BG1289" s="56">
        <v>0</v>
      </c>
      <c r="BH1289" s="56">
        <f>M1289</f>
        <v>1.5539999999999998E-2</v>
      </c>
      <c r="BJ1289" s="80">
        <f>G1289*AQ1289</f>
        <v>0</v>
      </c>
      <c r="BK1289" s="80">
        <f>G1289*AR1289</f>
        <v>0</v>
      </c>
      <c r="BL1289" s="80">
        <f>G1289*H1289</f>
        <v>0</v>
      </c>
      <c r="BM1289" s="80"/>
      <c r="BN1289" s="56">
        <v>725</v>
      </c>
    </row>
    <row r="1290" spans="1:66" ht="15" customHeight="1">
      <c r="A1290" s="36"/>
      <c r="D1290" s="45" t="s">
        <v>2007</v>
      </c>
      <c r="E1290" s="104" t="s">
        <v>1597</v>
      </c>
      <c r="G1290" s="13">
        <v>3.0000000000000004</v>
      </c>
      <c r="N1290" s="19"/>
      <c r="P1290" s="592"/>
      <c r="Q1290" s="592"/>
      <c r="R1290" s="592"/>
      <c r="S1290" s="592"/>
      <c r="T1290" s="592"/>
      <c r="U1290" s="592"/>
      <c r="V1290" s="592"/>
      <c r="W1290" s="592"/>
      <c r="X1290" s="592"/>
    </row>
    <row r="1291" spans="1:66" ht="15" customHeight="1">
      <c r="A1291" s="24" t="s">
        <v>2209</v>
      </c>
      <c r="B1291" s="12" t="s">
        <v>714</v>
      </c>
      <c r="C1291" s="12" t="s">
        <v>175</v>
      </c>
      <c r="D1291" s="630" t="s">
        <v>2444</v>
      </c>
      <c r="E1291" s="630"/>
      <c r="F1291" s="12" t="s">
        <v>811</v>
      </c>
      <c r="G1291" s="56">
        <v>1</v>
      </c>
      <c r="H1291" s="625"/>
      <c r="I1291" s="56">
        <f>G1291*AQ1291</f>
        <v>0</v>
      </c>
      <c r="J1291" s="56">
        <f>G1291*AR1291</f>
        <v>0</v>
      </c>
      <c r="K1291" s="56">
        <f>G1291*H1291</f>
        <v>0</v>
      </c>
      <c r="L1291" s="56">
        <v>7.2000000000000005E-4</v>
      </c>
      <c r="M1291" s="56">
        <f>G1291*L1291</f>
        <v>7.2000000000000005E-4</v>
      </c>
      <c r="N1291" s="31" t="s">
        <v>1579</v>
      </c>
      <c r="P1291" s="592"/>
      <c r="Q1291" s="592"/>
      <c r="R1291" s="592"/>
      <c r="S1291" s="592"/>
      <c r="T1291" s="592"/>
      <c r="U1291" s="592"/>
      <c r="V1291" s="592"/>
      <c r="W1291" s="592"/>
      <c r="X1291" s="592"/>
      <c r="AB1291" s="56">
        <f>IF(AS1291="5",BL1291,0)</f>
        <v>0</v>
      </c>
      <c r="AD1291" s="56">
        <f>IF(AS1291="1",BJ1291,0)</f>
        <v>0</v>
      </c>
      <c r="AE1291" s="56">
        <f>IF(AS1291="1",BK1291,0)</f>
        <v>0</v>
      </c>
      <c r="AF1291" s="56">
        <f>IF(AS1291="7",BJ1291,0)</f>
        <v>0</v>
      </c>
      <c r="AG1291" s="56">
        <f>IF(AS1291="7",BK1291,0)</f>
        <v>0</v>
      </c>
      <c r="AH1291" s="56">
        <f>IF(AS1291="2",BJ1291,0)</f>
        <v>0</v>
      </c>
      <c r="AI1291" s="56">
        <f>IF(AS1291="2",BK1291,0)</f>
        <v>0</v>
      </c>
      <c r="AJ1291" s="56">
        <f>IF(AS1291="0",BL1291,0)</f>
        <v>0</v>
      </c>
      <c r="AK1291" s="7" t="s">
        <v>714</v>
      </c>
      <c r="AL1291" s="56">
        <f>IF(AP1291=0,K1291,0)</f>
        <v>0</v>
      </c>
      <c r="AM1291" s="56">
        <f>IF(AP1291=15,K1291,0)</f>
        <v>0</v>
      </c>
      <c r="AN1291" s="56">
        <f>IF(AP1291=21,K1291,0)</f>
        <v>0</v>
      </c>
      <c r="AP1291" s="56">
        <v>21</v>
      </c>
      <c r="AQ1291" s="88">
        <f>H1291*0.710378548895899</f>
        <v>0</v>
      </c>
      <c r="AR1291" s="88">
        <f>H1291*(1-0.710378548895899)</f>
        <v>0</v>
      </c>
      <c r="AS1291" s="21" t="s">
        <v>2311</v>
      </c>
      <c r="AX1291" s="56">
        <f>AY1291+AZ1291</f>
        <v>0</v>
      </c>
      <c r="AY1291" s="56">
        <f>G1291*AQ1291</f>
        <v>0</v>
      </c>
      <c r="AZ1291" s="56">
        <f>G1291*AR1291</f>
        <v>0</v>
      </c>
      <c r="BA1291" s="21" t="s">
        <v>1036</v>
      </c>
      <c r="BB1291" s="21" t="s">
        <v>1155</v>
      </c>
      <c r="BC1291" s="7" t="s">
        <v>976</v>
      </c>
      <c r="BE1291" s="56">
        <f>AY1291+AZ1291</f>
        <v>0</v>
      </c>
      <c r="BF1291" s="56">
        <f>H1291/(100-BG1291)*100</f>
        <v>0</v>
      </c>
      <c r="BG1291" s="56">
        <v>0</v>
      </c>
      <c r="BH1291" s="56">
        <f>M1291</f>
        <v>7.2000000000000005E-4</v>
      </c>
      <c r="BJ1291" s="56">
        <f>G1291*AQ1291</f>
        <v>0</v>
      </c>
      <c r="BK1291" s="56">
        <f>G1291*AR1291</f>
        <v>0</v>
      </c>
      <c r="BL1291" s="56">
        <f>G1291*H1291</f>
        <v>0</v>
      </c>
      <c r="BM1291" s="56"/>
      <c r="BN1291" s="56">
        <v>725</v>
      </c>
    </row>
    <row r="1292" spans="1:66" ht="15" customHeight="1">
      <c r="A1292" s="36"/>
      <c r="D1292" s="45" t="s">
        <v>2297</v>
      </c>
      <c r="E1292" s="104" t="s">
        <v>1597</v>
      </c>
      <c r="G1292" s="13">
        <v>1</v>
      </c>
      <c r="N1292" s="19"/>
      <c r="P1292" s="592"/>
      <c r="Q1292" s="592"/>
      <c r="R1292" s="592"/>
      <c r="S1292" s="592"/>
      <c r="T1292" s="592"/>
      <c r="U1292" s="592"/>
      <c r="V1292" s="592"/>
      <c r="W1292" s="592"/>
      <c r="X1292" s="592"/>
    </row>
    <row r="1293" spans="1:66" ht="15" customHeight="1">
      <c r="A1293" s="8" t="s">
        <v>1807</v>
      </c>
      <c r="B1293" s="75" t="s">
        <v>714</v>
      </c>
      <c r="C1293" s="75" t="s">
        <v>131</v>
      </c>
      <c r="D1293" s="710" t="s">
        <v>2681</v>
      </c>
      <c r="E1293" s="710"/>
      <c r="F1293" s="75" t="s">
        <v>564</v>
      </c>
      <c r="G1293" s="80">
        <v>5</v>
      </c>
      <c r="H1293" s="626"/>
      <c r="I1293" s="80">
        <f>G1293*AQ1293</f>
        <v>0</v>
      </c>
      <c r="J1293" s="80">
        <f>G1293*AR1293</f>
        <v>0</v>
      </c>
      <c r="K1293" s="80">
        <f>G1293*H1293</f>
        <v>0</v>
      </c>
      <c r="L1293" s="80">
        <v>3.3000000000000002E-2</v>
      </c>
      <c r="M1293" s="80">
        <f>G1293*L1293</f>
        <v>0.16500000000000001</v>
      </c>
      <c r="N1293" s="38" t="s">
        <v>1579</v>
      </c>
      <c r="P1293" s="592"/>
      <c r="Q1293" s="592"/>
      <c r="R1293" s="592"/>
      <c r="S1293" s="592"/>
      <c r="T1293" s="592"/>
      <c r="U1293" s="592"/>
      <c r="V1293" s="592"/>
      <c r="W1293" s="592"/>
      <c r="X1293" s="592"/>
      <c r="AB1293" s="56">
        <f>IF(AS1293="5",BL1293,0)</f>
        <v>0</v>
      </c>
      <c r="AD1293" s="56">
        <f>IF(AS1293="1",BJ1293,0)</f>
        <v>0</v>
      </c>
      <c r="AE1293" s="56">
        <f>IF(AS1293="1",BK1293,0)</f>
        <v>0</v>
      </c>
      <c r="AF1293" s="56">
        <f>IF(AS1293="7",BJ1293,0)</f>
        <v>0</v>
      </c>
      <c r="AG1293" s="56">
        <f>IF(AS1293="7",BK1293,0)</f>
        <v>0</v>
      </c>
      <c r="AH1293" s="56">
        <f>IF(AS1293="2",BJ1293,0)</f>
        <v>0</v>
      </c>
      <c r="AI1293" s="56">
        <f>IF(AS1293="2",BK1293,0)</f>
        <v>0</v>
      </c>
      <c r="AJ1293" s="56">
        <f>IF(AS1293="0",BL1293,0)</f>
        <v>0</v>
      </c>
      <c r="AK1293" s="7" t="s">
        <v>714</v>
      </c>
      <c r="AL1293" s="80">
        <f>IF(AP1293=0,K1293,0)</f>
        <v>0</v>
      </c>
      <c r="AM1293" s="80">
        <f>IF(AP1293=15,K1293,0)</f>
        <v>0</v>
      </c>
      <c r="AN1293" s="80">
        <f>IF(AP1293=21,K1293,0)</f>
        <v>0</v>
      </c>
      <c r="AP1293" s="56">
        <v>21</v>
      </c>
      <c r="AQ1293" s="88">
        <f>H1293*1</f>
        <v>0</v>
      </c>
      <c r="AR1293" s="88">
        <f>H1293*(1-1)</f>
        <v>0</v>
      </c>
      <c r="AS1293" s="64" t="s">
        <v>2311</v>
      </c>
      <c r="AX1293" s="56">
        <f>AY1293+AZ1293</f>
        <v>0</v>
      </c>
      <c r="AY1293" s="56">
        <f>G1293*AQ1293</f>
        <v>0</v>
      </c>
      <c r="AZ1293" s="56">
        <f>G1293*AR1293</f>
        <v>0</v>
      </c>
      <c r="BA1293" s="21" t="s">
        <v>1036</v>
      </c>
      <c r="BB1293" s="21" t="s">
        <v>1155</v>
      </c>
      <c r="BC1293" s="7" t="s">
        <v>976</v>
      </c>
      <c r="BE1293" s="56">
        <f>AY1293+AZ1293</f>
        <v>0</v>
      </c>
      <c r="BF1293" s="56">
        <f>H1293/(100-BG1293)*100</f>
        <v>0</v>
      </c>
      <c r="BG1293" s="56">
        <v>0</v>
      </c>
      <c r="BH1293" s="56">
        <f>M1293</f>
        <v>0.16500000000000001</v>
      </c>
      <c r="BJ1293" s="80">
        <f>G1293*AQ1293</f>
        <v>0</v>
      </c>
      <c r="BK1293" s="80">
        <f>G1293*AR1293</f>
        <v>0</v>
      </c>
      <c r="BL1293" s="80">
        <f>G1293*H1293</f>
        <v>0</v>
      </c>
      <c r="BM1293" s="80"/>
      <c r="BN1293" s="56">
        <v>725</v>
      </c>
    </row>
    <row r="1294" spans="1:66" ht="15" customHeight="1">
      <c r="A1294" s="36"/>
      <c r="D1294" s="45" t="s">
        <v>1227</v>
      </c>
      <c r="E1294" s="104" t="s">
        <v>1597</v>
      </c>
      <c r="G1294" s="13">
        <v>5</v>
      </c>
      <c r="N1294" s="19"/>
      <c r="P1294" s="592"/>
      <c r="Q1294" s="592"/>
      <c r="R1294" s="592"/>
      <c r="S1294" s="592"/>
      <c r="T1294" s="592"/>
      <c r="U1294" s="592"/>
      <c r="V1294" s="592"/>
      <c r="W1294" s="592"/>
      <c r="X1294" s="592"/>
    </row>
    <row r="1295" spans="1:66" ht="15" customHeight="1">
      <c r="A1295" s="24" t="s">
        <v>398</v>
      </c>
      <c r="B1295" s="12" t="s">
        <v>714</v>
      </c>
      <c r="C1295" s="12" t="s">
        <v>40</v>
      </c>
      <c r="D1295" s="630" t="s">
        <v>1143</v>
      </c>
      <c r="E1295" s="630"/>
      <c r="F1295" s="12" t="s">
        <v>564</v>
      </c>
      <c r="G1295" s="56">
        <v>5</v>
      </c>
      <c r="H1295" s="625"/>
      <c r="I1295" s="56">
        <f>G1295*AQ1295</f>
        <v>0</v>
      </c>
      <c r="J1295" s="56">
        <f>G1295*AR1295</f>
        <v>0</v>
      </c>
      <c r="K1295" s="56">
        <f>G1295*H1295</f>
        <v>0</v>
      </c>
      <c r="L1295" s="56">
        <v>1.2999999999999999E-3</v>
      </c>
      <c r="M1295" s="56">
        <f>G1295*L1295</f>
        <v>6.4999999999999997E-3</v>
      </c>
      <c r="N1295" s="31" t="s">
        <v>1579</v>
      </c>
      <c r="P1295" s="592"/>
      <c r="Q1295" s="592"/>
      <c r="R1295" s="592"/>
      <c r="S1295" s="592"/>
      <c r="T1295" s="592"/>
      <c r="U1295" s="592"/>
      <c r="V1295" s="592"/>
      <c r="W1295" s="592"/>
      <c r="X1295" s="592"/>
      <c r="AB1295" s="56">
        <f>IF(AS1295="5",BL1295,0)</f>
        <v>0</v>
      </c>
      <c r="AD1295" s="56">
        <f>IF(AS1295="1",BJ1295,0)</f>
        <v>0</v>
      </c>
      <c r="AE1295" s="56">
        <f>IF(AS1295="1",BK1295,0)</f>
        <v>0</v>
      </c>
      <c r="AF1295" s="56">
        <f>IF(AS1295="7",BJ1295,0)</f>
        <v>0</v>
      </c>
      <c r="AG1295" s="56">
        <f>IF(AS1295="7",BK1295,0)</f>
        <v>0</v>
      </c>
      <c r="AH1295" s="56">
        <f>IF(AS1295="2",BJ1295,0)</f>
        <v>0</v>
      </c>
      <c r="AI1295" s="56">
        <f>IF(AS1295="2",BK1295,0)</f>
        <v>0</v>
      </c>
      <c r="AJ1295" s="56">
        <f>IF(AS1295="0",BL1295,0)</f>
        <v>0</v>
      </c>
      <c r="AK1295" s="7" t="s">
        <v>714</v>
      </c>
      <c r="AL1295" s="56">
        <f>IF(AP1295=0,K1295,0)</f>
        <v>0</v>
      </c>
      <c r="AM1295" s="56">
        <f>IF(AP1295=15,K1295,0)</f>
        <v>0</v>
      </c>
      <c r="AN1295" s="56">
        <f>IF(AP1295=21,K1295,0)</f>
        <v>0</v>
      </c>
      <c r="AP1295" s="56">
        <v>21</v>
      </c>
      <c r="AQ1295" s="88">
        <f>H1295*0.810063381750948</f>
        <v>0</v>
      </c>
      <c r="AR1295" s="88">
        <f>H1295*(1-0.810063381750948)</f>
        <v>0</v>
      </c>
      <c r="AS1295" s="21" t="s">
        <v>2311</v>
      </c>
      <c r="AX1295" s="56">
        <f>AY1295+AZ1295</f>
        <v>0</v>
      </c>
      <c r="AY1295" s="56">
        <f>G1295*AQ1295</f>
        <v>0</v>
      </c>
      <c r="AZ1295" s="56">
        <f>G1295*AR1295</f>
        <v>0</v>
      </c>
      <c r="BA1295" s="21" t="s">
        <v>1036</v>
      </c>
      <c r="BB1295" s="21" t="s">
        <v>1155</v>
      </c>
      <c r="BC1295" s="7" t="s">
        <v>976</v>
      </c>
      <c r="BE1295" s="56">
        <f>AY1295+AZ1295</f>
        <v>0</v>
      </c>
      <c r="BF1295" s="56">
        <f>H1295/(100-BG1295)*100</f>
        <v>0</v>
      </c>
      <c r="BG1295" s="56">
        <v>0</v>
      </c>
      <c r="BH1295" s="56">
        <f>M1295</f>
        <v>6.4999999999999997E-3</v>
      </c>
      <c r="BJ1295" s="56">
        <f>G1295*AQ1295</f>
        <v>0</v>
      </c>
      <c r="BK1295" s="56">
        <f>G1295*AR1295</f>
        <v>0</v>
      </c>
      <c r="BL1295" s="56">
        <f>G1295*H1295</f>
        <v>0</v>
      </c>
      <c r="BM1295" s="56"/>
      <c r="BN1295" s="56">
        <v>725</v>
      </c>
    </row>
    <row r="1296" spans="1:66" ht="15" customHeight="1">
      <c r="A1296" s="36"/>
      <c r="D1296" s="45" t="s">
        <v>1227</v>
      </c>
      <c r="E1296" s="104" t="s">
        <v>1597</v>
      </c>
      <c r="G1296" s="13">
        <v>5</v>
      </c>
      <c r="N1296" s="19"/>
      <c r="P1296" s="592"/>
      <c r="Q1296" s="592"/>
      <c r="R1296" s="592"/>
      <c r="S1296" s="592"/>
      <c r="T1296" s="592"/>
      <c r="U1296" s="592"/>
      <c r="V1296" s="592"/>
      <c r="W1296" s="592"/>
      <c r="X1296" s="592"/>
    </row>
    <row r="1297" spans="1:66" ht="15" customHeight="1">
      <c r="A1297" s="24" t="s">
        <v>718</v>
      </c>
      <c r="B1297" s="12" t="s">
        <v>714</v>
      </c>
      <c r="C1297" s="12" t="s">
        <v>2259</v>
      </c>
      <c r="D1297" s="630" t="s">
        <v>1708</v>
      </c>
      <c r="E1297" s="630"/>
      <c r="F1297" s="12" t="s">
        <v>564</v>
      </c>
      <c r="G1297" s="56">
        <v>11</v>
      </c>
      <c r="H1297" s="625"/>
      <c r="I1297" s="56">
        <f>G1297*AQ1297</f>
        <v>0</v>
      </c>
      <c r="J1297" s="56">
        <f>G1297*AR1297</f>
        <v>0</v>
      </c>
      <c r="K1297" s="56">
        <f>G1297*H1297</f>
        <v>0</v>
      </c>
      <c r="L1297" s="56">
        <v>8.4999999999999995E-4</v>
      </c>
      <c r="M1297" s="56">
        <f>G1297*L1297</f>
        <v>9.3499999999999989E-3</v>
      </c>
      <c r="N1297" s="31" t="s">
        <v>1579</v>
      </c>
      <c r="P1297" s="592"/>
      <c r="Q1297" s="592"/>
      <c r="R1297" s="592"/>
      <c r="S1297" s="592"/>
      <c r="T1297" s="592"/>
      <c r="U1297" s="592"/>
      <c r="V1297" s="592"/>
      <c r="W1297" s="592"/>
      <c r="X1297" s="592"/>
      <c r="AB1297" s="56">
        <f>IF(AS1297="5",BL1297,0)</f>
        <v>0</v>
      </c>
      <c r="AD1297" s="56">
        <f>IF(AS1297="1",BJ1297,0)</f>
        <v>0</v>
      </c>
      <c r="AE1297" s="56">
        <f>IF(AS1297="1",BK1297,0)</f>
        <v>0</v>
      </c>
      <c r="AF1297" s="56">
        <f>IF(AS1297="7",BJ1297,0)</f>
        <v>0</v>
      </c>
      <c r="AG1297" s="56">
        <f>IF(AS1297="7",BK1297,0)</f>
        <v>0</v>
      </c>
      <c r="AH1297" s="56">
        <f>IF(AS1297="2",BJ1297,0)</f>
        <v>0</v>
      </c>
      <c r="AI1297" s="56">
        <f>IF(AS1297="2",BK1297,0)</f>
        <v>0</v>
      </c>
      <c r="AJ1297" s="56">
        <f>IF(AS1297="0",BL1297,0)</f>
        <v>0</v>
      </c>
      <c r="AK1297" s="7" t="s">
        <v>714</v>
      </c>
      <c r="AL1297" s="56">
        <f>IF(AP1297=0,K1297,0)</f>
        <v>0</v>
      </c>
      <c r="AM1297" s="56">
        <f>IF(AP1297=15,K1297,0)</f>
        <v>0</v>
      </c>
      <c r="AN1297" s="56">
        <f>IF(AP1297=21,K1297,0)</f>
        <v>0</v>
      </c>
      <c r="AP1297" s="56">
        <v>21</v>
      </c>
      <c r="AQ1297" s="88">
        <f>H1297*0.898652202119778</f>
        <v>0</v>
      </c>
      <c r="AR1297" s="88">
        <f>H1297*(1-0.898652202119778)</f>
        <v>0</v>
      </c>
      <c r="AS1297" s="21" t="s">
        <v>2311</v>
      </c>
      <c r="AX1297" s="56">
        <f>AY1297+AZ1297</f>
        <v>0</v>
      </c>
      <c r="AY1297" s="56">
        <f>G1297*AQ1297</f>
        <v>0</v>
      </c>
      <c r="AZ1297" s="56">
        <f>G1297*AR1297</f>
        <v>0</v>
      </c>
      <c r="BA1297" s="21" t="s">
        <v>1036</v>
      </c>
      <c r="BB1297" s="21" t="s">
        <v>1155</v>
      </c>
      <c r="BC1297" s="7" t="s">
        <v>976</v>
      </c>
      <c r="BE1297" s="56">
        <f>AY1297+AZ1297</f>
        <v>0</v>
      </c>
      <c r="BF1297" s="56">
        <f>H1297/(100-BG1297)*100</f>
        <v>0</v>
      </c>
      <c r="BG1297" s="56">
        <v>0</v>
      </c>
      <c r="BH1297" s="56">
        <f>M1297</f>
        <v>9.3499999999999989E-3</v>
      </c>
      <c r="BJ1297" s="56">
        <f>G1297*AQ1297</f>
        <v>0</v>
      </c>
      <c r="BK1297" s="56">
        <f>G1297*AR1297</f>
        <v>0</v>
      </c>
      <c r="BL1297" s="56">
        <f>G1297*H1297</f>
        <v>0</v>
      </c>
      <c r="BM1297" s="56"/>
      <c r="BN1297" s="56">
        <v>725</v>
      </c>
    </row>
    <row r="1298" spans="1:66" ht="15" customHeight="1">
      <c r="A1298" s="36"/>
      <c r="D1298" s="45" t="s">
        <v>1939</v>
      </c>
      <c r="E1298" s="104" t="s">
        <v>1597</v>
      </c>
      <c r="G1298" s="13">
        <v>11.000000000000002</v>
      </c>
      <c r="N1298" s="19"/>
      <c r="P1298" s="592"/>
      <c r="Q1298" s="592"/>
      <c r="R1298" s="592"/>
      <c r="S1298" s="592"/>
      <c r="T1298" s="592"/>
      <c r="U1298" s="592"/>
      <c r="V1298" s="592"/>
      <c r="W1298" s="592"/>
      <c r="X1298" s="592"/>
    </row>
    <row r="1299" spans="1:66" ht="15" customHeight="1">
      <c r="A1299" s="24" t="s">
        <v>558</v>
      </c>
      <c r="B1299" s="12" t="s">
        <v>714</v>
      </c>
      <c r="C1299" s="12" t="s">
        <v>2280</v>
      </c>
      <c r="D1299" s="630" t="s">
        <v>2151</v>
      </c>
      <c r="E1299" s="630"/>
      <c r="F1299" s="12" t="s">
        <v>564</v>
      </c>
      <c r="G1299" s="56">
        <v>1</v>
      </c>
      <c r="H1299" s="625"/>
      <c r="I1299" s="56">
        <f>G1299*AQ1299</f>
        <v>0</v>
      </c>
      <c r="J1299" s="56">
        <f>G1299*AR1299</f>
        <v>0</v>
      </c>
      <c r="K1299" s="56">
        <f>G1299*H1299</f>
        <v>0</v>
      </c>
      <c r="L1299" s="56">
        <v>1.72E-3</v>
      </c>
      <c r="M1299" s="56">
        <f>G1299*L1299</f>
        <v>1.72E-3</v>
      </c>
      <c r="N1299" s="31" t="s">
        <v>1579</v>
      </c>
      <c r="P1299" s="592"/>
      <c r="Q1299" s="592"/>
      <c r="R1299" s="592"/>
      <c r="S1299" s="592"/>
      <c r="T1299" s="592"/>
      <c r="U1299" s="592"/>
      <c r="V1299" s="592"/>
      <c r="W1299" s="592"/>
      <c r="X1299" s="592"/>
      <c r="AB1299" s="56">
        <f>IF(AS1299="5",BL1299,0)</f>
        <v>0</v>
      </c>
      <c r="AD1299" s="56">
        <f>IF(AS1299="1",BJ1299,0)</f>
        <v>0</v>
      </c>
      <c r="AE1299" s="56">
        <f>IF(AS1299="1",BK1299,0)</f>
        <v>0</v>
      </c>
      <c r="AF1299" s="56">
        <f>IF(AS1299="7",BJ1299,0)</f>
        <v>0</v>
      </c>
      <c r="AG1299" s="56">
        <f>IF(AS1299="7",BK1299,0)</f>
        <v>0</v>
      </c>
      <c r="AH1299" s="56">
        <f>IF(AS1299="2",BJ1299,0)</f>
        <v>0</v>
      </c>
      <c r="AI1299" s="56">
        <f>IF(AS1299="2",BK1299,0)</f>
        <v>0</v>
      </c>
      <c r="AJ1299" s="56">
        <f>IF(AS1299="0",BL1299,0)</f>
        <v>0</v>
      </c>
      <c r="AK1299" s="7" t="s">
        <v>714</v>
      </c>
      <c r="AL1299" s="56">
        <f>IF(AP1299=0,K1299,0)</f>
        <v>0</v>
      </c>
      <c r="AM1299" s="56">
        <f>IF(AP1299=15,K1299,0)</f>
        <v>0</v>
      </c>
      <c r="AN1299" s="56">
        <f>IF(AP1299=21,K1299,0)</f>
        <v>0</v>
      </c>
      <c r="AP1299" s="56">
        <v>21</v>
      </c>
      <c r="AQ1299" s="88">
        <f>H1299*0.900727969348659</f>
        <v>0</v>
      </c>
      <c r="AR1299" s="88">
        <f>H1299*(1-0.900727969348659)</f>
        <v>0</v>
      </c>
      <c r="AS1299" s="21" t="s">
        <v>2311</v>
      </c>
      <c r="AX1299" s="56">
        <f>AY1299+AZ1299</f>
        <v>0</v>
      </c>
      <c r="AY1299" s="56">
        <f>G1299*AQ1299</f>
        <v>0</v>
      </c>
      <c r="AZ1299" s="56">
        <f>G1299*AR1299</f>
        <v>0</v>
      </c>
      <c r="BA1299" s="21" t="s">
        <v>1036</v>
      </c>
      <c r="BB1299" s="21" t="s">
        <v>1155</v>
      </c>
      <c r="BC1299" s="7" t="s">
        <v>976</v>
      </c>
      <c r="BE1299" s="56">
        <f>AY1299+AZ1299</f>
        <v>0</v>
      </c>
      <c r="BF1299" s="56">
        <f>H1299/(100-BG1299)*100</f>
        <v>0</v>
      </c>
      <c r="BG1299" s="56">
        <v>0</v>
      </c>
      <c r="BH1299" s="56">
        <f>M1299</f>
        <v>1.72E-3</v>
      </c>
      <c r="BJ1299" s="56">
        <f>G1299*AQ1299</f>
        <v>0</v>
      </c>
      <c r="BK1299" s="56">
        <f>G1299*AR1299</f>
        <v>0</v>
      </c>
      <c r="BL1299" s="56">
        <f>G1299*H1299</f>
        <v>0</v>
      </c>
      <c r="BM1299" s="56"/>
      <c r="BN1299" s="56">
        <v>725</v>
      </c>
    </row>
    <row r="1300" spans="1:66" ht="15" customHeight="1">
      <c r="A1300" s="36"/>
      <c r="D1300" s="45" t="s">
        <v>2297</v>
      </c>
      <c r="E1300" s="104" t="s">
        <v>1597</v>
      </c>
      <c r="G1300" s="13">
        <v>1</v>
      </c>
      <c r="N1300" s="19"/>
      <c r="P1300" s="592"/>
      <c r="Q1300" s="592"/>
      <c r="R1300" s="592"/>
      <c r="S1300" s="592"/>
      <c r="T1300" s="592"/>
      <c r="U1300" s="592"/>
      <c r="V1300" s="592"/>
      <c r="W1300" s="592"/>
      <c r="X1300" s="592"/>
    </row>
    <row r="1301" spans="1:66" ht="15" customHeight="1">
      <c r="A1301" s="24" t="s">
        <v>1853</v>
      </c>
      <c r="B1301" s="12" t="s">
        <v>714</v>
      </c>
      <c r="C1301" s="12" t="s">
        <v>338</v>
      </c>
      <c r="D1301" s="630" t="s">
        <v>1880</v>
      </c>
      <c r="E1301" s="630"/>
      <c r="F1301" s="12" t="s">
        <v>811</v>
      </c>
      <c r="G1301" s="56">
        <v>3</v>
      </c>
      <c r="H1301" s="625"/>
      <c r="I1301" s="56">
        <f>G1301*AQ1301</f>
        <v>0</v>
      </c>
      <c r="J1301" s="56">
        <f>G1301*AR1301</f>
        <v>0</v>
      </c>
      <c r="K1301" s="56">
        <f>G1301*H1301</f>
        <v>0</v>
      </c>
      <c r="L1301" s="56">
        <v>3.32E-3</v>
      </c>
      <c r="M1301" s="56">
        <f>G1301*L1301</f>
        <v>9.9600000000000001E-3</v>
      </c>
      <c r="N1301" s="31" t="s">
        <v>1579</v>
      </c>
      <c r="P1301" s="592"/>
      <c r="Q1301" s="592"/>
      <c r="R1301" s="592"/>
      <c r="S1301" s="592"/>
      <c r="T1301" s="592"/>
      <c r="U1301" s="592"/>
      <c r="V1301" s="592"/>
      <c r="W1301" s="592"/>
      <c r="X1301" s="592"/>
      <c r="AB1301" s="56">
        <f>IF(AS1301="5",BL1301,0)</f>
        <v>0</v>
      </c>
      <c r="AD1301" s="56">
        <f>IF(AS1301="1",BJ1301,0)</f>
        <v>0</v>
      </c>
      <c r="AE1301" s="56">
        <f>IF(AS1301="1",BK1301,0)</f>
        <v>0</v>
      </c>
      <c r="AF1301" s="56">
        <f>IF(AS1301="7",BJ1301,0)</f>
        <v>0</v>
      </c>
      <c r="AG1301" s="56">
        <f>IF(AS1301="7",BK1301,0)</f>
        <v>0</v>
      </c>
      <c r="AH1301" s="56">
        <f>IF(AS1301="2",BJ1301,0)</f>
        <v>0</v>
      </c>
      <c r="AI1301" s="56">
        <f>IF(AS1301="2",BK1301,0)</f>
        <v>0</v>
      </c>
      <c r="AJ1301" s="56">
        <f>IF(AS1301="0",BL1301,0)</f>
        <v>0</v>
      </c>
      <c r="AK1301" s="7" t="s">
        <v>714</v>
      </c>
      <c r="AL1301" s="56">
        <f>IF(AP1301=0,K1301,0)</f>
        <v>0</v>
      </c>
      <c r="AM1301" s="56">
        <f>IF(AP1301=15,K1301,0)</f>
        <v>0</v>
      </c>
      <c r="AN1301" s="56">
        <f>IF(AP1301=21,K1301,0)</f>
        <v>0</v>
      </c>
      <c r="AP1301" s="56">
        <v>21</v>
      </c>
      <c r="AQ1301" s="88">
        <f>H1301*0.956348360655738</f>
        <v>0</v>
      </c>
      <c r="AR1301" s="88">
        <f>H1301*(1-0.956348360655738)</f>
        <v>0</v>
      </c>
      <c r="AS1301" s="21" t="s">
        <v>2311</v>
      </c>
      <c r="AX1301" s="56">
        <f>AY1301+AZ1301</f>
        <v>0</v>
      </c>
      <c r="AY1301" s="56">
        <f>G1301*AQ1301</f>
        <v>0</v>
      </c>
      <c r="AZ1301" s="56">
        <f>G1301*AR1301</f>
        <v>0</v>
      </c>
      <c r="BA1301" s="21" t="s">
        <v>1036</v>
      </c>
      <c r="BB1301" s="21" t="s">
        <v>1155</v>
      </c>
      <c r="BC1301" s="7" t="s">
        <v>976</v>
      </c>
      <c r="BE1301" s="56">
        <f>AY1301+AZ1301</f>
        <v>0</v>
      </c>
      <c r="BF1301" s="56">
        <f>H1301/(100-BG1301)*100</f>
        <v>0</v>
      </c>
      <c r="BG1301" s="56">
        <v>0</v>
      </c>
      <c r="BH1301" s="56">
        <f>M1301</f>
        <v>9.9600000000000001E-3</v>
      </c>
      <c r="BJ1301" s="56">
        <f>G1301*AQ1301</f>
        <v>0</v>
      </c>
      <c r="BK1301" s="56">
        <f>G1301*AR1301</f>
        <v>0</v>
      </c>
      <c r="BL1301" s="56">
        <f>G1301*H1301</f>
        <v>0</v>
      </c>
      <c r="BM1301" s="56"/>
      <c r="BN1301" s="56">
        <v>725</v>
      </c>
    </row>
    <row r="1302" spans="1:66" ht="15" customHeight="1">
      <c r="A1302" s="36"/>
      <c r="D1302" s="45" t="s">
        <v>2007</v>
      </c>
      <c r="E1302" s="104" t="s">
        <v>1597</v>
      </c>
      <c r="G1302" s="13">
        <v>3.0000000000000004</v>
      </c>
      <c r="N1302" s="19"/>
      <c r="P1302" s="592"/>
      <c r="Q1302" s="592"/>
      <c r="R1302" s="592"/>
      <c r="S1302" s="592"/>
      <c r="T1302" s="592"/>
      <c r="U1302" s="592"/>
      <c r="V1302" s="592"/>
      <c r="W1302" s="592"/>
      <c r="X1302" s="592"/>
    </row>
    <row r="1303" spans="1:66" ht="15" customHeight="1">
      <c r="A1303" s="24" t="s">
        <v>1578</v>
      </c>
      <c r="B1303" s="12" t="s">
        <v>714</v>
      </c>
      <c r="C1303" s="12" t="s">
        <v>1407</v>
      </c>
      <c r="D1303" s="630" t="s">
        <v>877</v>
      </c>
      <c r="E1303" s="630"/>
      <c r="F1303" s="12" t="s">
        <v>564</v>
      </c>
      <c r="G1303" s="56">
        <v>4</v>
      </c>
      <c r="H1303" s="625"/>
      <c r="I1303" s="56">
        <f>G1303*AQ1303</f>
        <v>0</v>
      </c>
      <c r="J1303" s="56">
        <f>G1303*AR1303</f>
        <v>0</v>
      </c>
      <c r="K1303" s="56">
        <f>G1303*H1303</f>
        <v>0</v>
      </c>
      <c r="L1303" s="56">
        <v>2.7E-4</v>
      </c>
      <c r="M1303" s="56">
        <f>G1303*L1303</f>
        <v>1.08E-3</v>
      </c>
      <c r="N1303" s="31" t="s">
        <v>1579</v>
      </c>
      <c r="P1303" s="592"/>
      <c r="Q1303" s="592"/>
      <c r="R1303" s="592"/>
      <c r="S1303" s="592"/>
      <c r="T1303" s="592"/>
      <c r="U1303" s="592"/>
      <c r="V1303" s="592"/>
      <c r="W1303" s="592"/>
      <c r="X1303" s="592"/>
      <c r="AB1303" s="56">
        <f>IF(AS1303="5",BL1303,0)</f>
        <v>0</v>
      </c>
      <c r="AD1303" s="56">
        <f>IF(AS1303="1",BJ1303,0)</f>
        <v>0</v>
      </c>
      <c r="AE1303" s="56">
        <f>IF(AS1303="1",BK1303,0)</f>
        <v>0</v>
      </c>
      <c r="AF1303" s="56">
        <f>IF(AS1303="7",BJ1303,0)</f>
        <v>0</v>
      </c>
      <c r="AG1303" s="56">
        <f>IF(AS1303="7",BK1303,0)</f>
        <v>0</v>
      </c>
      <c r="AH1303" s="56">
        <f>IF(AS1303="2",BJ1303,0)</f>
        <v>0</v>
      </c>
      <c r="AI1303" s="56">
        <f>IF(AS1303="2",BK1303,0)</f>
        <v>0</v>
      </c>
      <c r="AJ1303" s="56">
        <f>IF(AS1303="0",BL1303,0)</f>
        <v>0</v>
      </c>
      <c r="AK1303" s="7" t="s">
        <v>714</v>
      </c>
      <c r="AL1303" s="56">
        <f>IF(AP1303=0,K1303,0)</f>
        <v>0</v>
      </c>
      <c r="AM1303" s="56">
        <f>IF(AP1303=15,K1303,0)</f>
        <v>0</v>
      </c>
      <c r="AN1303" s="56">
        <f>IF(AP1303=21,K1303,0)</f>
        <v>0</v>
      </c>
      <c r="AP1303" s="56">
        <v>21</v>
      </c>
      <c r="AQ1303" s="88">
        <f>H1303*0.844663573085847</f>
        <v>0</v>
      </c>
      <c r="AR1303" s="88">
        <f>H1303*(1-0.844663573085847)</f>
        <v>0</v>
      </c>
      <c r="AS1303" s="21" t="s">
        <v>2311</v>
      </c>
      <c r="AX1303" s="56">
        <f>AY1303+AZ1303</f>
        <v>0</v>
      </c>
      <c r="AY1303" s="56">
        <f>G1303*AQ1303</f>
        <v>0</v>
      </c>
      <c r="AZ1303" s="56">
        <f>G1303*AR1303</f>
        <v>0</v>
      </c>
      <c r="BA1303" s="21" t="s">
        <v>1036</v>
      </c>
      <c r="BB1303" s="21" t="s">
        <v>1155</v>
      </c>
      <c r="BC1303" s="7" t="s">
        <v>976</v>
      </c>
      <c r="BE1303" s="56">
        <f>AY1303+AZ1303</f>
        <v>0</v>
      </c>
      <c r="BF1303" s="56">
        <f>H1303/(100-BG1303)*100</f>
        <v>0</v>
      </c>
      <c r="BG1303" s="56">
        <v>0</v>
      </c>
      <c r="BH1303" s="56">
        <f>M1303</f>
        <v>1.08E-3</v>
      </c>
      <c r="BJ1303" s="56">
        <f>G1303*AQ1303</f>
        <v>0</v>
      </c>
      <c r="BK1303" s="56">
        <f>G1303*AR1303</f>
        <v>0</v>
      </c>
      <c r="BL1303" s="56">
        <f>G1303*H1303</f>
        <v>0</v>
      </c>
      <c r="BM1303" s="56"/>
      <c r="BN1303" s="56">
        <v>725</v>
      </c>
    </row>
    <row r="1304" spans="1:66" ht="15" customHeight="1">
      <c r="A1304" s="36"/>
      <c r="D1304" s="45" t="s">
        <v>258</v>
      </c>
      <c r="E1304" s="104" t="s">
        <v>1597</v>
      </c>
      <c r="G1304" s="13">
        <v>4</v>
      </c>
      <c r="N1304" s="19"/>
      <c r="P1304" s="592"/>
      <c r="Q1304" s="592"/>
      <c r="R1304" s="592"/>
      <c r="S1304" s="592"/>
      <c r="T1304" s="592"/>
      <c r="U1304" s="592"/>
      <c r="V1304" s="592"/>
      <c r="W1304" s="592"/>
      <c r="X1304" s="592"/>
    </row>
    <row r="1305" spans="1:66" ht="15" customHeight="1">
      <c r="A1305" s="24" t="s">
        <v>1787</v>
      </c>
      <c r="B1305" s="12" t="s">
        <v>714</v>
      </c>
      <c r="C1305" s="12" t="s">
        <v>911</v>
      </c>
      <c r="D1305" s="630" t="s">
        <v>292</v>
      </c>
      <c r="E1305" s="630"/>
      <c r="F1305" s="12" t="s">
        <v>564</v>
      </c>
      <c r="G1305" s="56">
        <v>5</v>
      </c>
      <c r="H1305" s="625"/>
      <c r="I1305" s="56">
        <f>G1305*AQ1305</f>
        <v>0</v>
      </c>
      <c r="J1305" s="56">
        <f>G1305*AR1305</f>
        <v>0</v>
      </c>
      <c r="K1305" s="56">
        <f>G1305*H1305</f>
        <v>0</v>
      </c>
      <c r="L1305" s="56">
        <v>1.2999999999999999E-4</v>
      </c>
      <c r="M1305" s="56">
        <f>G1305*L1305</f>
        <v>6.4999999999999997E-4</v>
      </c>
      <c r="N1305" s="31" t="s">
        <v>1579</v>
      </c>
      <c r="P1305" s="592"/>
      <c r="Q1305" s="592"/>
      <c r="R1305" s="592"/>
      <c r="S1305" s="592"/>
      <c r="T1305" s="592"/>
      <c r="U1305" s="592"/>
      <c r="V1305" s="592"/>
      <c r="W1305" s="592"/>
      <c r="X1305" s="592"/>
      <c r="AB1305" s="56">
        <f>IF(AS1305="5",BL1305,0)</f>
        <v>0</v>
      </c>
      <c r="AD1305" s="56">
        <f>IF(AS1305="1",BJ1305,0)</f>
        <v>0</v>
      </c>
      <c r="AE1305" s="56">
        <f>IF(AS1305="1",BK1305,0)</f>
        <v>0</v>
      </c>
      <c r="AF1305" s="56">
        <f>IF(AS1305="7",BJ1305,0)</f>
        <v>0</v>
      </c>
      <c r="AG1305" s="56">
        <f>IF(AS1305="7",BK1305,0)</f>
        <v>0</v>
      </c>
      <c r="AH1305" s="56">
        <f>IF(AS1305="2",BJ1305,0)</f>
        <v>0</v>
      </c>
      <c r="AI1305" s="56">
        <f>IF(AS1305="2",BK1305,0)</f>
        <v>0</v>
      </c>
      <c r="AJ1305" s="56">
        <f>IF(AS1305="0",BL1305,0)</f>
        <v>0</v>
      </c>
      <c r="AK1305" s="7" t="s">
        <v>714</v>
      </c>
      <c r="AL1305" s="56">
        <f>IF(AP1305=0,K1305,0)</f>
        <v>0</v>
      </c>
      <c r="AM1305" s="56">
        <f>IF(AP1305=15,K1305,0)</f>
        <v>0</v>
      </c>
      <c r="AN1305" s="56">
        <f>IF(AP1305=21,K1305,0)</f>
        <v>0</v>
      </c>
      <c r="AP1305" s="56">
        <v>21</v>
      </c>
      <c r="AQ1305" s="88">
        <f>H1305*0.778639240506329</f>
        <v>0</v>
      </c>
      <c r="AR1305" s="88">
        <f>H1305*(1-0.778639240506329)</f>
        <v>0</v>
      </c>
      <c r="AS1305" s="21" t="s">
        <v>2311</v>
      </c>
      <c r="AX1305" s="56">
        <f>AY1305+AZ1305</f>
        <v>0</v>
      </c>
      <c r="AY1305" s="56">
        <f>G1305*AQ1305</f>
        <v>0</v>
      </c>
      <c r="AZ1305" s="56">
        <f>G1305*AR1305</f>
        <v>0</v>
      </c>
      <c r="BA1305" s="21" t="s">
        <v>1036</v>
      </c>
      <c r="BB1305" s="21" t="s">
        <v>1155</v>
      </c>
      <c r="BC1305" s="7" t="s">
        <v>976</v>
      </c>
      <c r="BE1305" s="56">
        <f>AY1305+AZ1305</f>
        <v>0</v>
      </c>
      <c r="BF1305" s="56">
        <f>H1305/(100-BG1305)*100</f>
        <v>0</v>
      </c>
      <c r="BG1305" s="56">
        <v>0</v>
      </c>
      <c r="BH1305" s="56">
        <f>M1305</f>
        <v>6.4999999999999997E-4</v>
      </c>
      <c r="BJ1305" s="56">
        <f>G1305*AQ1305</f>
        <v>0</v>
      </c>
      <c r="BK1305" s="56">
        <f>G1305*AR1305</f>
        <v>0</v>
      </c>
      <c r="BL1305" s="56">
        <f>G1305*H1305</f>
        <v>0</v>
      </c>
      <c r="BM1305" s="56"/>
      <c r="BN1305" s="56">
        <v>725</v>
      </c>
    </row>
    <row r="1306" spans="1:66" ht="15" customHeight="1">
      <c r="A1306" s="36"/>
      <c r="D1306" s="45" t="s">
        <v>1227</v>
      </c>
      <c r="E1306" s="104" t="s">
        <v>1597</v>
      </c>
      <c r="G1306" s="13">
        <v>5</v>
      </c>
      <c r="N1306" s="19"/>
      <c r="P1306" s="592"/>
      <c r="Q1306" s="592"/>
      <c r="R1306" s="592"/>
      <c r="S1306" s="592"/>
      <c r="T1306" s="592"/>
      <c r="U1306" s="592"/>
      <c r="V1306" s="592"/>
      <c r="W1306" s="592"/>
      <c r="X1306" s="592"/>
    </row>
    <row r="1307" spans="1:66" ht="15" customHeight="1">
      <c r="A1307" s="24" t="s">
        <v>1669</v>
      </c>
      <c r="B1307" s="12" t="s">
        <v>714</v>
      </c>
      <c r="C1307" s="12" t="s">
        <v>1259</v>
      </c>
      <c r="D1307" s="630" t="s">
        <v>2269</v>
      </c>
      <c r="E1307" s="630"/>
      <c r="F1307" s="12" t="s">
        <v>564</v>
      </c>
      <c r="G1307" s="56">
        <v>16</v>
      </c>
      <c r="H1307" s="625"/>
      <c r="I1307" s="56">
        <f>G1307*AQ1307</f>
        <v>0</v>
      </c>
      <c r="J1307" s="56">
        <f>G1307*AR1307</f>
        <v>0</v>
      </c>
      <c r="K1307" s="56">
        <f>G1307*H1307</f>
        <v>0</v>
      </c>
      <c r="L1307" s="56">
        <v>2.2000000000000001E-4</v>
      </c>
      <c r="M1307" s="56">
        <f>G1307*L1307</f>
        <v>3.5200000000000001E-3</v>
      </c>
      <c r="N1307" s="31" t="s">
        <v>1579</v>
      </c>
      <c r="P1307" s="592"/>
      <c r="Q1307" s="592"/>
      <c r="R1307" s="592"/>
      <c r="S1307" s="592"/>
      <c r="T1307" s="592"/>
      <c r="U1307" s="592"/>
      <c r="V1307" s="592"/>
      <c r="W1307" s="592"/>
      <c r="X1307" s="592"/>
      <c r="AB1307" s="56">
        <f>IF(AS1307="5",BL1307,0)</f>
        <v>0</v>
      </c>
      <c r="AD1307" s="56">
        <f>IF(AS1307="1",BJ1307,0)</f>
        <v>0</v>
      </c>
      <c r="AE1307" s="56">
        <f>IF(AS1307="1",BK1307,0)</f>
        <v>0</v>
      </c>
      <c r="AF1307" s="56">
        <f>IF(AS1307="7",BJ1307,0)</f>
        <v>0</v>
      </c>
      <c r="AG1307" s="56">
        <f>IF(AS1307="7",BK1307,0)</f>
        <v>0</v>
      </c>
      <c r="AH1307" s="56">
        <f>IF(AS1307="2",BJ1307,0)</f>
        <v>0</v>
      </c>
      <c r="AI1307" s="56">
        <f>IF(AS1307="2",BK1307,0)</f>
        <v>0</v>
      </c>
      <c r="AJ1307" s="56">
        <f>IF(AS1307="0",BL1307,0)</f>
        <v>0</v>
      </c>
      <c r="AK1307" s="7" t="s">
        <v>714</v>
      </c>
      <c r="AL1307" s="56">
        <f>IF(AP1307=0,K1307,0)</f>
        <v>0</v>
      </c>
      <c r="AM1307" s="56">
        <f>IF(AP1307=15,K1307,0)</f>
        <v>0</v>
      </c>
      <c r="AN1307" s="56">
        <f>IF(AP1307=21,K1307,0)</f>
        <v>0</v>
      </c>
      <c r="AP1307" s="56">
        <v>21</v>
      </c>
      <c r="AQ1307" s="88">
        <f>H1307*0.832661054979832</f>
        <v>0</v>
      </c>
      <c r="AR1307" s="88">
        <f>H1307*(1-0.832661054979832)</f>
        <v>0</v>
      </c>
      <c r="AS1307" s="21" t="s">
        <v>2311</v>
      </c>
      <c r="AX1307" s="56">
        <f>AY1307+AZ1307</f>
        <v>0</v>
      </c>
      <c r="AY1307" s="56">
        <f>G1307*AQ1307</f>
        <v>0</v>
      </c>
      <c r="AZ1307" s="56">
        <f>G1307*AR1307</f>
        <v>0</v>
      </c>
      <c r="BA1307" s="21" t="s">
        <v>1036</v>
      </c>
      <c r="BB1307" s="21" t="s">
        <v>1155</v>
      </c>
      <c r="BC1307" s="7" t="s">
        <v>976</v>
      </c>
      <c r="BE1307" s="56">
        <f>AY1307+AZ1307</f>
        <v>0</v>
      </c>
      <c r="BF1307" s="56">
        <f>H1307/(100-BG1307)*100</f>
        <v>0</v>
      </c>
      <c r="BG1307" s="56">
        <v>0</v>
      </c>
      <c r="BH1307" s="56">
        <f>M1307</f>
        <v>3.5200000000000001E-3</v>
      </c>
      <c r="BJ1307" s="56">
        <f>G1307*AQ1307</f>
        <v>0</v>
      </c>
      <c r="BK1307" s="56">
        <f>G1307*AR1307</f>
        <v>0</v>
      </c>
      <c r="BL1307" s="56">
        <f>G1307*H1307</f>
        <v>0</v>
      </c>
      <c r="BM1307" s="56"/>
      <c r="BN1307" s="56">
        <v>725</v>
      </c>
    </row>
    <row r="1308" spans="1:66" ht="15" customHeight="1">
      <c r="A1308" s="36"/>
      <c r="D1308" s="45" t="s">
        <v>1018</v>
      </c>
      <c r="E1308" s="104" t="s">
        <v>1597</v>
      </c>
      <c r="G1308" s="13">
        <v>16</v>
      </c>
      <c r="N1308" s="19"/>
      <c r="P1308" s="592"/>
      <c r="Q1308" s="592"/>
      <c r="R1308" s="592"/>
      <c r="S1308" s="592"/>
      <c r="T1308" s="592"/>
      <c r="U1308" s="592"/>
      <c r="V1308" s="592"/>
      <c r="W1308" s="592"/>
      <c r="X1308" s="592"/>
    </row>
    <row r="1309" spans="1:66" ht="15" customHeight="1">
      <c r="A1309" s="24" t="s">
        <v>1241</v>
      </c>
      <c r="B1309" s="12" t="s">
        <v>714</v>
      </c>
      <c r="C1309" s="12" t="s">
        <v>2583</v>
      </c>
      <c r="D1309" s="630" t="s">
        <v>285</v>
      </c>
      <c r="E1309" s="630"/>
      <c r="F1309" s="12" t="s">
        <v>564</v>
      </c>
      <c r="G1309" s="56">
        <v>3</v>
      </c>
      <c r="H1309" s="625"/>
      <c r="I1309" s="56">
        <f>G1309*AQ1309</f>
        <v>0</v>
      </c>
      <c r="J1309" s="56">
        <f>G1309*AR1309</f>
        <v>0</v>
      </c>
      <c r="K1309" s="56">
        <f>G1309*H1309</f>
        <v>0</v>
      </c>
      <c r="L1309" s="56">
        <v>8.9999999999999998E-4</v>
      </c>
      <c r="M1309" s="56">
        <f>G1309*L1309</f>
        <v>2.7000000000000001E-3</v>
      </c>
      <c r="N1309" s="31" t="s">
        <v>1579</v>
      </c>
      <c r="P1309" s="592"/>
      <c r="Q1309" s="592"/>
      <c r="R1309" s="592"/>
      <c r="S1309" s="592"/>
      <c r="T1309" s="592"/>
      <c r="U1309" s="592"/>
      <c r="V1309" s="592"/>
      <c r="W1309" s="592"/>
      <c r="X1309" s="592"/>
      <c r="AB1309" s="56">
        <f>IF(AS1309="5",BL1309,0)</f>
        <v>0</v>
      </c>
      <c r="AD1309" s="56">
        <f>IF(AS1309="1",BJ1309,0)</f>
        <v>0</v>
      </c>
      <c r="AE1309" s="56">
        <f>IF(AS1309="1",BK1309,0)</f>
        <v>0</v>
      </c>
      <c r="AF1309" s="56">
        <f>IF(AS1309="7",BJ1309,0)</f>
        <v>0</v>
      </c>
      <c r="AG1309" s="56">
        <f>IF(AS1309="7",BK1309,0)</f>
        <v>0</v>
      </c>
      <c r="AH1309" s="56">
        <f>IF(AS1309="2",BJ1309,0)</f>
        <v>0</v>
      </c>
      <c r="AI1309" s="56">
        <f>IF(AS1309="2",BK1309,0)</f>
        <v>0</v>
      </c>
      <c r="AJ1309" s="56">
        <f>IF(AS1309="0",BL1309,0)</f>
        <v>0</v>
      </c>
      <c r="AK1309" s="7" t="s">
        <v>714</v>
      </c>
      <c r="AL1309" s="56">
        <f>IF(AP1309=0,K1309,0)</f>
        <v>0</v>
      </c>
      <c r="AM1309" s="56">
        <f>IF(AP1309=15,K1309,0)</f>
        <v>0</v>
      </c>
      <c r="AN1309" s="56">
        <f>IF(AP1309=21,K1309,0)</f>
        <v>0</v>
      </c>
      <c r="AP1309" s="56">
        <v>21</v>
      </c>
      <c r="AQ1309" s="88">
        <f>H1309*0.941782608695652</f>
        <v>0</v>
      </c>
      <c r="AR1309" s="88">
        <f>H1309*(1-0.941782608695652)</f>
        <v>0</v>
      </c>
      <c r="AS1309" s="21" t="s">
        <v>2311</v>
      </c>
      <c r="AX1309" s="56">
        <f>AY1309+AZ1309</f>
        <v>0</v>
      </c>
      <c r="AY1309" s="56">
        <f>G1309*AQ1309</f>
        <v>0</v>
      </c>
      <c r="AZ1309" s="56">
        <f>G1309*AR1309</f>
        <v>0</v>
      </c>
      <c r="BA1309" s="21" t="s">
        <v>1036</v>
      </c>
      <c r="BB1309" s="21" t="s">
        <v>1155</v>
      </c>
      <c r="BC1309" s="7" t="s">
        <v>976</v>
      </c>
      <c r="BE1309" s="56">
        <f>AY1309+AZ1309</f>
        <v>0</v>
      </c>
      <c r="BF1309" s="56">
        <f>H1309/(100-BG1309)*100</f>
        <v>0</v>
      </c>
      <c r="BG1309" s="56">
        <v>0</v>
      </c>
      <c r="BH1309" s="56">
        <f>M1309</f>
        <v>2.7000000000000001E-3</v>
      </c>
      <c r="BJ1309" s="56">
        <f>G1309*AQ1309</f>
        <v>0</v>
      </c>
      <c r="BK1309" s="56">
        <f>G1309*AR1309</f>
        <v>0</v>
      </c>
      <c r="BL1309" s="56">
        <f>G1309*H1309</f>
        <v>0</v>
      </c>
      <c r="BM1309" s="56"/>
      <c r="BN1309" s="56">
        <v>725</v>
      </c>
    </row>
    <row r="1310" spans="1:66" ht="15" customHeight="1">
      <c r="A1310" s="36"/>
      <c r="D1310" s="45" t="s">
        <v>2007</v>
      </c>
      <c r="E1310" s="104" t="s">
        <v>938</v>
      </c>
      <c r="G1310" s="13">
        <v>3.0000000000000004</v>
      </c>
      <c r="N1310" s="19"/>
      <c r="P1310" s="592"/>
      <c r="Q1310" s="592"/>
      <c r="R1310" s="592"/>
      <c r="S1310" s="592"/>
      <c r="T1310" s="592"/>
      <c r="U1310" s="592"/>
      <c r="V1310" s="592"/>
      <c r="W1310" s="592"/>
      <c r="X1310" s="592"/>
    </row>
    <row r="1311" spans="1:66" ht="15" customHeight="1">
      <c r="A1311" s="24" t="s">
        <v>1809</v>
      </c>
      <c r="B1311" s="12" t="s">
        <v>714</v>
      </c>
      <c r="C1311" s="12" t="s">
        <v>876</v>
      </c>
      <c r="D1311" s="630" t="s">
        <v>2235</v>
      </c>
      <c r="E1311" s="630"/>
      <c r="F1311" s="12" t="s">
        <v>564</v>
      </c>
      <c r="G1311" s="56">
        <v>15</v>
      </c>
      <c r="H1311" s="625"/>
      <c r="I1311" s="56">
        <f>G1311*AQ1311</f>
        <v>0</v>
      </c>
      <c r="J1311" s="56">
        <f>G1311*AR1311</f>
        <v>0</v>
      </c>
      <c r="K1311" s="56">
        <f>G1311*H1311</f>
        <v>0</v>
      </c>
      <c r="L1311" s="56">
        <v>6.9999999999999999E-4</v>
      </c>
      <c r="M1311" s="56">
        <f>G1311*L1311</f>
        <v>1.0500000000000001E-2</v>
      </c>
      <c r="N1311" s="31" t="s">
        <v>1579</v>
      </c>
      <c r="P1311" s="592"/>
      <c r="Q1311" s="592"/>
      <c r="R1311" s="592"/>
      <c r="S1311" s="592"/>
      <c r="T1311" s="592"/>
      <c r="U1311" s="592"/>
      <c r="V1311" s="592"/>
      <c r="W1311" s="592"/>
      <c r="X1311" s="592"/>
      <c r="AB1311" s="56">
        <f>IF(AS1311="5",BL1311,0)</f>
        <v>0</v>
      </c>
      <c r="AD1311" s="56">
        <f>IF(AS1311="1",BJ1311,0)</f>
        <v>0</v>
      </c>
      <c r="AE1311" s="56">
        <f>IF(AS1311="1",BK1311,0)</f>
        <v>0</v>
      </c>
      <c r="AF1311" s="56">
        <f>IF(AS1311="7",BJ1311,0)</f>
        <v>0</v>
      </c>
      <c r="AG1311" s="56">
        <f>IF(AS1311="7",BK1311,0)</f>
        <v>0</v>
      </c>
      <c r="AH1311" s="56">
        <f>IF(AS1311="2",BJ1311,0)</f>
        <v>0</v>
      </c>
      <c r="AI1311" s="56">
        <f>IF(AS1311="2",BK1311,0)</f>
        <v>0</v>
      </c>
      <c r="AJ1311" s="56">
        <f>IF(AS1311="0",BL1311,0)</f>
        <v>0</v>
      </c>
      <c r="AK1311" s="7" t="s">
        <v>714</v>
      </c>
      <c r="AL1311" s="56">
        <f>IF(AP1311=0,K1311,0)</f>
        <v>0</v>
      </c>
      <c r="AM1311" s="56">
        <f>IF(AP1311=15,K1311,0)</f>
        <v>0</v>
      </c>
      <c r="AN1311" s="56">
        <f>IF(AP1311=21,K1311,0)</f>
        <v>0</v>
      </c>
      <c r="AP1311" s="56">
        <v>21</v>
      </c>
      <c r="AQ1311" s="88">
        <f>H1311*0.411081871345029</f>
        <v>0</v>
      </c>
      <c r="AR1311" s="88">
        <f>H1311*(1-0.411081871345029)</f>
        <v>0</v>
      </c>
      <c r="AS1311" s="21" t="s">
        <v>2311</v>
      </c>
      <c r="AX1311" s="56">
        <f>AY1311+AZ1311</f>
        <v>0</v>
      </c>
      <c r="AY1311" s="56">
        <f>G1311*AQ1311</f>
        <v>0</v>
      </c>
      <c r="AZ1311" s="56">
        <f>G1311*AR1311</f>
        <v>0</v>
      </c>
      <c r="BA1311" s="21" t="s">
        <v>1036</v>
      </c>
      <c r="BB1311" s="21" t="s">
        <v>1155</v>
      </c>
      <c r="BC1311" s="7" t="s">
        <v>976</v>
      </c>
      <c r="BE1311" s="56">
        <f>AY1311+AZ1311</f>
        <v>0</v>
      </c>
      <c r="BF1311" s="56">
        <f>H1311/(100-BG1311)*100</f>
        <v>0</v>
      </c>
      <c r="BG1311" s="56">
        <v>0</v>
      </c>
      <c r="BH1311" s="56">
        <f>M1311</f>
        <v>1.0500000000000001E-2</v>
      </c>
      <c r="BJ1311" s="56">
        <f>G1311*AQ1311</f>
        <v>0</v>
      </c>
      <c r="BK1311" s="56">
        <f>G1311*AR1311</f>
        <v>0</v>
      </c>
      <c r="BL1311" s="56">
        <f>G1311*H1311</f>
        <v>0</v>
      </c>
      <c r="BM1311" s="56"/>
      <c r="BN1311" s="56">
        <v>725</v>
      </c>
    </row>
    <row r="1312" spans="1:66" ht="15" customHeight="1">
      <c r="A1312" s="36"/>
      <c r="D1312" s="45" t="s">
        <v>908</v>
      </c>
      <c r="E1312" s="104" t="s">
        <v>1597</v>
      </c>
      <c r="G1312" s="13">
        <v>15.000000000000002</v>
      </c>
      <c r="N1312" s="19"/>
      <c r="P1312" s="592"/>
      <c r="Q1312" s="592"/>
      <c r="R1312" s="592"/>
      <c r="S1312" s="592"/>
      <c r="T1312" s="592"/>
      <c r="U1312" s="592"/>
      <c r="V1312" s="592"/>
      <c r="W1312" s="592"/>
      <c r="X1312" s="592"/>
    </row>
    <row r="1313" spans="1:66" ht="15" customHeight="1">
      <c r="A1313" s="8" t="s">
        <v>1106</v>
      </c>
      <c r="B1313" s="75" t="s">
        <v>714</v>
      </c>
      <c r="C1313" s="75" t="s">
        <v>1191</v>
      </c>
      <c r="D1313" s="710" t="s">
        <v>759</v>
      </c>
      <c r="E1313" s="710"/>
      <c r="F1313" s="75" t="s">
        <v>564</v>
      </c>
      <c r="G1313" s="80">
        <v>15</v>
      </c>
      <c r="H1313" s="626"/>
      <c r="I1313" s="80">
        <f>G1313*AQ1313</f>
        <v>0</v>
      </c>
      <c r="J1313" s="80">
        <f>G1313*AR1313</f>
        <v>0</v>
      </c>
      <c r="K1313" s="80">
        <f>G1313*H1313</f>
        <v>0</v>
      </c>
      <c r="L1313" s="80">
        <v>5.9999999999999995E-4</v>
      </c>
      <c r="M1313" s="80">
        <f>G1313*L1313</f>
        <v>8.9999999999999993E-3</v>
      </c>
      <c r="N1313" s="38" t="s">
        <v>1579</v>
      </c>
      <c r="P1313" s="592"/>
      <c r="Q1313" s="592"/>
      <c r="R1313" s="592"/>
      <c r="S1313" s="592"/>
      <c r="T1313" s="592"/>
      <c r="U1313" s="592"/>
      <c r="V1313" s="592"/>
      <c r="W1313" s="592"/>
      <c r="X1313" s="592"/>
      <c r="AB1313" s="56">
        <f>IF(AS1313="5",BL1313,0)</f>
        <v>0</v>
      </c>
      <c r="AD1313" s="56">
        <f>IF(AS1313="1",BJ1313,0)</f>
        <v>0</v>
      </c>
      <c r="AE1313" s="56">
        <f>IF(AS1313="1",BK1313,0)</f>
        <v>0</v>
      </c>
      <c r="AF1313" s="56">
        <f>IF(AS1313="7",BJ1313,0)</f>
        <v>0</v>
      </c>
      <c r="AG1313" s="56">
        <f>IF(AS1313="7",BK1313,0)</f>
        <v>0</v>
      </c>
      <c r="AH1313" s="56">
        <f>IF(AS1313="2",BJ1313,0)</f>
        <v>0</v>
      </c>
      <c r="AI1313" s="56">
        <f>IF(AS1313="2",BK1313,0)</f>
        <v>0</v>
      </c>
      <c r="AJ1313" s="56">
        <f>IF(AS1313="0",BL1313,0)</f>
        <v>0</v>
      </c>
      <c r="AK1313" s="7" t="s">
        <v>714</v>
      </c>
      <c r="AL1313" s="80">
        <f>IF(AP1313=0,K1313,0)</f>
        <v>0</v>
      </c>
      <c r="AM1313" s="80">
        <f>IF(AP1313=15,K1313,0)</f>
        <v>0</v>
      </c>
      <c r="AN1313" s="80">
        <f>IF(AP1313=21,K1313,0)</f>
        <v>0</v>
      </c>
      <c r="AP1313" s="56">
        <v>21</v>
      </c>
      <c r="AQ1313" s="88">
        <f>H1313*1</f>
        <v>0</v>
      </c>
      <c r="AR1313" s="88">
        <f>H1313*(1-1)</f>
        <v>0</v>
      </c>
      <c r="AS1313" s="64" t="s">
        <v>2311</v>
      </c>
      <c r="AX1313" s="56">
        <f>AY1313+AZ1313</f>
        <v>0</v>
      </c>
      <c r="AY1313" s="56">
        <f>G1313*AQ1313</f>
        <v>0</v>
      </c>
      <c r="AZ1313" s="56">
        <f>G1313*AR1313</f>
        <v>0</v>
      </c>
      <c r="BA1313" s="21" t="s">
        <v>1036</v>
      </c>
      <c r="BB1313" s="21" t="s">
        <v>1155</v>
      </c>
      <c r="BC1313" s="7" t="s">
        <v>976</v>
      </c>
      <c r="BE1313" s="56">
        <f>AY1313+AZ1313</f>
        <v>0</v>
      </c>
      <c r="BF1313" s="56">
        <f>H1313/(100-BG1313)*100</f>
        <v>0</v>
      </c>
      <c r="BG1313" s="56">
        <v>0</v>
      </c>
      <c r="BH1313" s="56">
        <f>M1313</f>
        <v>8.9999999999999993E-3</v>
      </c>
      <c r="BJ1313" s="80">
        <f>G1313*AQ1313</f>
        <v>0</v>
      </c>
      <c r="BK1313" s="80">
        <f>G1313*AR1313</f>
        <v>0</v>
      </c>
      <c r="BL1313" s="80">
        <f>G1313*H1313</f>
        <v>0</v>
      </c>
      <c r="BM1313" s="80"/>
      <c r="BN1313" s="56">
        <v>725</v>
      </c>
    </row>
    <row r="1314" spans="1:66" ht="15" customHeight="1">
      <c r="A1314" s="36"/>
      <c r="D1314" s="45" t="s">
        <v>908</v>
      </c>
      <c r="E1314" s="104" t="s">
        <v>1597</v>
      </c>
      <c r="G1314" s="13">
        <v>15.000000000000002</v>
      </c>
      <c r="N1314" s="19"/>
      <c r="P1314" s="592"/>
      <c r="Q1314" s="592"/>
      <c r="R1314" s="592"/>
      <c r="S1314" s="592"/>
      <c r="T1314" s="592"/>
      <c r="U1314" s="592"/>
      <c r="V1314" s="592"/>
      <c r="W1314" s="592"/>
      <c r="X1314" s="592"/>
    </row>
    <row r="1315" spans="1:66" ht="15" customHeight="1">
      <c r="A1315" s="24" t="s">
        <v>1044</v>
      </c>
      <c r="B1315" s="12" t="s">
        <v>714</v>
      </c>
      <c r="C1315" s="12" t="s">
        <v>36</v>
      </c>
      <c r="D1315" s="630" t="s">
        <v>3643</v>
      </c>
      <c r="E1315" s="630"/>
      <c r="F1315" s="12" t="s">
        <v>811</v>
      </c>
      <c r="G1315" s="56">
        <v>1</v>
      </c>
      <c r="H1315" s="625"/>
      <c r="I1315" s="56">
        <f>G1315*AQ1315</f>
        <v>0</v>
      </c>
      <c r="J1315" s="56">
        <f>G1315*AR1315</f>
        <v>0</v>
      </c>
      <c r="K1315" s="56">
        <f>G1315*H1315</f>
        <v>0</v>
      </c>
      <c r="L1315" s="56">
        <v>3.3400000000000001E-3</v>
      </c>
      <c r="M1315" s="56">
        <f>G1315*L1315</f>
        <v>3.3400000000000001E-3</v>
      </c>
      <c r="N1315" s="31" t="s">
        <v>1579</v>
      </c>
      <c r="P1315" s="592"/>
      <c r="Q1315" s="592"/>
      <c r="R1315" s="592"/>
      <c r="S1315" s="592"/>
      <c r="T1315" s="592"/>
      <c r="U1315" s="592"/>
      <c r="V1315" s="592"/>
      <c r="W1315" s="592"/>
      <c r="X1315" s="592"/>
      <c r="AB1315" s="56">
        <f>IF(AS1315="5",BL1315,0)</f>
        <v>0</v>
      </c>
      <c r="AD1315" s="56">
        <f>IF(AS1315="1",BJ1315,0)</f>
        <v>0</v>
      </c>
      <c r="AE1315" s="56">
        <f>IF(AS1315="1",BK1315,0)</f>
        <v>0</v>
      </c>
      <c r="AF1315" s="56">
        <f>IF(AS1315="7",BJ1315,0)</f>
        <v>0</v>
      </c>
      <c r="AG1315" s="56">
        <f>IF(AS1315="7",BK1315,0)</f>
        <v>0</v>
      </c>
      <c r="AH1315" s="56">
        <f>IF(AS1315="2",BJ1315,0)</f>
        <v>0</v>
      </c>
      <c r="AI1315" s="56">
        <f>IF(AS1315="2",BK1315,0)</f>
        <v>0</v>
      </c>
      <c r="AJ1315" s="56">
        <f>IF(AS1315="0",BL1315,0)</f>
        <v>0</v>
      </c>
      <c r="AK1315" s="7" t="s">
        <v>714</v>
      </c>
      <c r="AL1315" s="56">
        <f>IF(AP1315=0,K1315,0)</f>
        <v>0</v>
      </c>
      <c r="AM1315" s="56">
        <f>IF(AP1315=15,K1315,0)</f>
        <v>0</v>
      </c>
      <c r="AN1315" s="56">
        <f>IF(AP1315=21,K1315,0)</f>
        <v>0</v>
      </c>
      <c r="AP1315" s="56">
        <v>21</v>
      </c>
      <c r="AQ1315" s="88">
        <f>H1315*0.97379862475442</f>
        <v>0</v>
      </c>
      <c r="AR1315" s="88">
        <f>H1315*(1-0.97379862475442)</f>
        <v>0</v>
      </c>
      <c r="AS1315" s="21" t="s">
        <v>2311</v>
      </c>
      <c r="AX1315" s="56">
        <f>AY1315+AZ1315</f>
        <v>0</v>
      </c>
      <c r="AY1315" s="56">
        <f>G1315*AQ1315</f>
        <v>0</v>
      </c>
      <c r="AZ1315" s="56">
        <f>G1315*AR1315</f>
        <v>0</v>
      </c>
      <c r="BA1315" s="21" t="s">
        <v>1036</v>
      </c>
      <c r="BB1315" s="21" t="s">
        <v>1155</v>
      </c>
      <c r="BC1315" s="7" t="s">
        <v>976</v>
      </c>
      <c r="BE1315" s="56">
        <f>AY1315+AZ1315</f>
        <v>0</v>
      </c>
      <c r="BF1315" s="56">
        <f>H1315/(100-BG1315)*100</f>
        <v>0</v>
      </c>
      <c r="BG1315" s="56">
        <v>0</v>
      </c>
      <c r="BH1315" s="56">
        <f>M1315</f>
        <v>3.3400000000000001E-3</v>
      </c>
      <c r="BJ1315" s="56">
        <f>G1315*AQ1315</f>
        <v>0</v>
      </c>
      <c r="BK1315" s="56">
        <f>G1315*AR1315</f>
        <v>0</v>
      </c>
      <c r="BL1315" s="56">
        <f>G1315*H1315</f>
        <v>0</v>
      </c>
      <c r="BM1315" s="56"/>
      <c r="BN1315" s="56">
        <v>725</v>
      </c>
    </row>
    <row r="1316" spans="1:66" ht="15" customHeight="1">
      <c r="A1316" s="36"/>
      <c r="D1316" s="45" t="s">
        <v>2297</v>
      </c>
      <c r="E1316" s="104" t="s">
        <v>2312</v>
      </c>
      <c r="G1316" s="13">
        <v>1</v>
      </c>
      <c r="N1316" s="19"/>
      <c r="P1316" s="592"/>
      <c r="Q1316" s="592"/>
      <c r="R1316" s="592"/>
      <c r="S1316" s="592"/>
      <c r="T1316" s="592"/>
      <c r="U1316" s="592"/>
      <c r="V1316" s="592"/>
      <c r="W1316" s="592"/>
      <c r="X1316" s="592"/>
    </row>
    <row r="1317" spans="1:66" ht="15" customHeight="1">
      <c r="A1317" s="32" t="s">
        <v>1597</v>
      </c>
      <c r="B1317" s="26" t="s">
        <v>714</v>
      </c>
      <c r="C1317" s="518" t="s">
        <v>2476</v>
      </c>
      <c r="D1317" s="709" t="s">
        <v>1489</v>
      </c>
      <c r="E1317" s="709"/>
      <c r="F1317" s="46" t="s">
        <v>2144</v>
      </c>
      <c r="G1317" s="46" t="s">
        <v>2144</v>
      </c>
      <c r="H1317" s="46" t="s">
        <v>2144</v>
      </c>
      <c r="I1317" s="17">
        <f>SUM(I1318:I1326)</f>
        <v>0</v>
      </c>
      <c r="J1317" s="17">
        <f>SUM(J1318:J1326)</f>
        <v>0</v>
      </c>
      <c r="K1317" s="17">
        <f>SUM(K1318:K1326)</f>
        <v>0</v>
      </c>
      <c r="L1317" s="7" t="s">
        <v>1597</v>
      </c>
      <c r="M1317" s="17">
        <f>SUM(M1318:M1326)</f>
        <v>0.15636</v>
      </c>
      <c r="N1317" s="20" t="s">
        <v>1597</v>
      </c>
      <c r="P1317" s="592"/>
      <c r="Q1317" s="592"/>
      <c r="R1317" s="592"/>
      <c r="S1317" s="592"/>
      <c r="T1317" s="592"/>
      <c r="U1317" s="592"/>
      <c r="V1317" s="592"/>
      <c r="W1317" s="592"/>
      <c r="X1317" s="592"/>
      <c r="AK1317" s="7" t="s">
        <v>714</v>
      </c>
      <c r="AU1317" s="17">
        <f>SUM(AL1318:AL1326)</f>
        <v>0</v>
      </c>
      <c r="AV1317" s="17">
        <f>SUM(AM1318:AM1326)</f>
        <v>0</v>
      </c>
      <c r="AW1317" s="17">
        <f>SUM(AN1318:AN1326)</f>
        <v>0</v>
      </c>
    </row>
    <row r="1318" spans="1:66" ht="15" customHeight="1">
      <c r="A1318" s="24" t="s">
        <v>1792</v>
      </c>
      <c r="B1318" s="12" t="s">
        <v>714</v>
      </c>
      <c r="C1318" s="12" t="s">
        <v>1434</v>
      </c>
      <c r="D1318" s="630" t="s">
        <v>1177</v>
      </c>
      <c r="E1318" s="630"/>
      <c r="F1318" s="12" t="s">
        <v>564</v>
      </c>
      <c r="G1318" s="56">
        <v>2</v>
      </c>
      <c r="H1318" s="625"/>
      <c r="I1318" s="56">
        <f>G1318*AQ1318</f>
        <v>0</v>
      </c>
      <c r="J1318" s="56">
        <f>G1318*AR1318</f>
        <v>0</v>
      </c>
      <c r="K1318" s="56">
        <f>G1318*H1318</f>
        <v>0</v>
      </c>
      <c r="L1318" s="56">
        <v>0</v>
      </c>
      <c r="M1318" s="56">
        <f>G1318*L1318</f>
        <v>0</v>
      </c>
      <c r="N1318" s="31" t="s">
        <v>1579</v>
      </c>
      <c r="P1318" s="592"/>
      <c r="Q1318" s="592"/>
      <c r="R1318" s="592"/>
      <c r="S1318" s="592"/>
      <c r="T1318" s="592"/>
      <c r="U1318" s="592"/>
      <c r="V1318" s="592"/>
      <c r="W1318" s="592"/>
      <c r="X1318" s="592"/>
      <c r="AB1318" s="56">
        <f>IF(AS1318="5",BL1318,0)</f>
        <v>0</v>
      </c>
      <c r="AD1318" s="56">
        <f>IF(AS1318="1",BJ1318,0)</f>
        <v>0</v>
      </c>
      <c r="AE1318" s="56">
        <f>IF(AS1318="1",BK1318,0)</f>
        <v>0</v>
      </c>
      <c r="AF1318" s="56">
        <f>IF(AS1318="7",BJ1318,0)</f>
        <v>0</v>
      </c>
      <c r="AG1318" s="56">
        <f>IF(AS1318="7",BK1318,0)</f>
        <v>0</v>
      </c>
      <c r="AH1318" s="56">
        <f>IF(AS1318="2",BJ1318,0)</f>
        <v>0</v>
      </c>
      <c r="AI1318" s="56">
        <f>IF(AS1318="2",BK1318,0)</f>
        <v>0</v>
      </c>
      <c r="AJ1318" s="56">
        <f>IF(AS1318="0",BL1318,0)</f>
        <v>0</v>
      </c>
      <c r="AK1318" s="7" t="s">
        <v>714</v>
      </c>
      <c r="AL1318" s="56">
        <f>IF(AP1318=0,K1318,0)</f>
        <v>0</v>
      </c>
      <c r="AM1318" s="56">
        <f>IF(AP1318=15,K1318,0)</f>
        <v>0</v>
      </c>
      <c r="AN1318" s="56">
        <f>IF(AP1318=21,K1318,0)</f>
        <v>0</v>
      </c>
      <c r="AP1318" s="56">
        <v>21</v>
      </c>
      <c r="AQ1318" s="88">
        <f>H1318*0</f>
        <v>0</v>
      </c>
      <c r="AR1318" s="88">
        <f>H1318*(1-0)</f>
        <v>0</v>
      </c>
      <c r="AS1318" s="21" t="s">
        <v>2297</v>
      </c>
      <c r="AX1318" s="56">
        <f>AY1318+AZ1318</f>
        <v>0</v>
      </c>
      <c r="AY1318" s="56">
        <f>G1318*AQ1318</f>
        <v>0</v>
      </c>
      <c r="AZ1318" s="56">
        <f>G1318*AR1318</f>
        <v>0</v>
      </c>
      <c r="BA1318" s="21" t="s">
        <v>192</v>
      </c>
      <c r="BB1318" s="21" t="s">
        <v>2171</v>
      </c>
      <c r="BC1318" s="7" t="s">
        <v>976</v>
      </c>
      <c r="BE1318" s="56">
        <f>AY1318+AZ1318</f>
        <v>0</v>
      </c>
      <c r="BF1318" s="56">
        <f>H1318/(100-BG1318)*100</f>
        <v>0</v>
      </c>
      <c r="BG1318" s="56">
        <v>0</v>
      </c>
      <c r="BH1318" s="56">
        <f>M1318</f>
        <v>0</v>
      </c>
      <c r="BJ1318" s="56">
        <f>G1318*AQ1318</f>
        <v>0</v>
      </c>
      <c r="BK1318" s="56">
        <f>G1318*AR1318</f>
        <v>0</v>
      </c>
      <c r="BL1318" s="56">
        <f>G1318*H1318</f>
        <v>0</v>
      </c>
      <c r="BM1318" s="56"/>
      <c r="BN1318" s="56">
        <v>89</v>
      </c>
    </row>
    <row r="1319" spans="1:66" ht="15" customHeight="1">
      <c r="A1319" s="36"/>
      <c r="D1319" s="45" t="s">
        <v>1589</v>
      </c>
      <c r="E1319" s="104" t="s">
        <v>1597</v>
      </c>
      <c r="G1319" s="13">
        <v>2</v>
      </c>
      <c r="N1319" s="19"/>
      <c r="P1319" s="592"/>
      <c r="Q1319" s="592"/>
      <c r="R1319" s="592"/>
      <c r="S1319" s="592"/>
      <c r="T1319" s="592"/>
      <c r="U1319" s="592"/>
      <c r="V1319" s="592"/>
      <c r="W1319" s="592"/>
      <c r="X1319" s="592"/>
    </row>
    <row r="1320" spans="1:66" ht="15" customHeight="1">
      <c r="A1320" s="8" t="s">
        <v>959</v>
      </c>
      <c r="B1320" s="75" t="s">
        <v>714</v>
      </c>
      <c r="C1320" s="75" t="s">
        <v>1909</v>
      </c>
      <c r="D1320" s="710" t="s">
        <v>2670</v>
      </c>
      <c r="E1320" s="710"/>
      <c r="F1320" s="75" t="s">
        <v>564</v>
      </c>
      <c r="G1320" s="80">
        <v>2</v>
      </c>
      <c r="H1320" s="626"/>
      <c r="I1320" s="80">
        <f>G1320*AQ1320</f>
        <v>0</v>
      </c>
      <c r="J1320" s="80">
        <f>G1320*AR1320</f>
        <v>0</v>
      </c>
      <c r="K1320" s="80">
        <f>G1320*H1320</f>
        <v>0</v>
      </c>
      <c r="L1320" s="80">
        <v>1.2E-2</v>
      </c>
      <c r="M1320" s="80">
        <f>G1320*L1320</f>
        <v>2.4E-2</v>
      </c>
      <c r="N1320" s="38" t="s">
        <v>1579</v>
      </c>
      <c r="P1320" s="592"/>
      <c r="Q1320" s="592"/>
      <c r="R1320" s="592"/>
      <c r="S1320" s="592"/>
      <c r="T1320" s="592"/>
      <c r="U1320" s="592"/>
      <c r="V1320" s="592"/>
      <c r="W1320" s="592"/>
      <c r="X1320" s="592"/>
      <c r="AB1320" s="56">
        <f>IF(AS1320="5",BL1320,0)</f>
        <v>0</v>
      </c>
      <c r="AD1320" s="56">
        <f>IF(AS1320="1",BJ1320,0)</f>
        <v>0</v>
      </c>
      <c r="AE1320" s="56">
        <f>IF(AS1320="1",BK1320,0)</f>
        <v>0</v>
      </c>
      <c r="AF1320" s="56">
        <f>IF(AS1320="7",BJ1320,0)</f>
        <v>0</v>
      </c>
      <c r="AG1320" s="56">
        <f>IF(AS1320="7",BK1320,0)</f>
        <v>0</v>
      </c>
      <c r="AH1320" s="56">
        <f>IF(AS1320="2",BJ1320,0)</f>
        <v>0</v>
      </c>
      <c r="AI1320" s="56">
        <f>IF(AS1320="2",BK1320,0)</f>
        <v>0</v>
      </c>
      <c r="AJ1320" s="56">
        <f>IF(AS1320="0",BL1320,0)</f>
        <v>0</v>
      </c>
      <c r="AK1320" s="7" t="s">
        <v>714</v>
      </c>
      <c r="AL1320" s="80">
        <f>IF(AP1320=0,K1320,0)</f>
        <v>0</v>
      </c>
      <c r="AM1320" s="80">
        <f>IF(AP1320=15,K1320,0)</f>
        <v>0</v>
      </c>
      <c r="AN1320" s="80">
        <f>IF(AP1320=21,K1320,0)</f>
        <v>0</v>
      </c>
      <c r="AP1320" s="56">
        <v>21</v>
      </c>
      <c r="AQ1320" s="88">
        <f>H1320*1</f>
        <v>0</v>
      </c>
      <c r="AR1320" s="88">
        <f>H1320*(1-1)</f>
        <v>0</v>
      </c>
      <c r="AS1320" s="64" t="s">
        <v>2297</v>
      </c>
      <c r="AX1320" s="56">
        <f>AY1320+AZ1320</f>
        <v>0</v>
      </c>
      <c r="AY1320" s="56">
        <f>G1320*AQ1320</f>
        <v>0</v>
      </c>
      <c r="AZ1320" s="56">
        <f>G1320*AR1320</f>
        <v>0</v>
      </c>
      <c r="BA1320" s="21" t="s">
        <v>192</v>
      </c>
      <c r="BB1320" s="21" t="s">
        <v>2171</v>
      </c>
      <c r="BC1320" s="7" t="s">
        <v>976</v>
      </c>
      <c r="BE1320" s="56">
        <f>AY1320+AZ1320</f>
        <v>0</v>
      </c>
      <c r="BF1320" s="56">
        <f>H1320/(100-BG1320)*100</f>
        <v>0</v>
      </c>
      <c r="BG1320" s="56">
        <v>0</v>
      </c>
      <c r="BH1320" s="56">
        <f>M1320</f>
        <v>2.4E-2</v>
      </c>
      <c r="BJ1320" s="80">
        <f>G1320*AQ1320</f>
        <v>0</v>
      </c>
      <c r="BK1320" s="80">
        <f>G1320*AR1320</f>
        <v>0</v>
      </c>
      <c r="BL1320" s="80">
        <f>G1320*H1320</f>
        <v>0</v>
      </c>
      <c r="BM1320" s="80"/>
      <c r="BN1320" s="56">
        <v>89</v>
      </c>
    </row>
    <row r="1321" spans="1:66" ht="15" customHeight="1">
      <c r="A1321" s="36"/>
      <c r="D1321" s="45" t="s">
        <v>1589</v>
      </c>
      <c r="E1321" s="104" t="s">
        <v>1597</v>
      </c>
      <c r="G1321" s="13">
        <v>2</v>
      </c>
      <c r="N1321" s="19"/>
      <c r="P1321" s="592"/>
      <c r="Q1321" s="592"/>
      <c r="R1321" s="592"/>
      <c r="S1321" s="592"/>
      <c r="T1321" s="592"/>
      <c r="U1321" s="592"/>
      <c r="V1321" s="592"/>
      <c r="W1321" s="592"/>
      <c r="X1321" s="592"/>
    </row>
    <row r="1322" spans="1:66" ht="15" customHeight="1">
      <c r="A1322" s="8" t="s">
        <v>1931</v>
      </c>
      <c r="B1322" s="75" t="s">
        <v>714</v>
      </c>
      <c r="C1322" s="75" t="s">
        <v>1977</v>
      </c>
      <c r="D1322" s="710" t="s">
        <v>1590</v>
      </c>
      <c r="E1322" s="710"/>
      <c r="F1322" s="75" t="s">
        <v>564</v>
      </c>
      <c r="G1322" s="80">
        <v>2</v>
      </c>
      <c r="H1322" s="626"/>
      <c r="I1322" s="80">
        <f>G1322*AQ1322</f>
        <v>0</v>
      </c>
      <c r="J1322" s="80">
        <f>G1322*AR1322</f>
        <v>0</v>
      </c>
      <c r="K1322" s="80">
        <f>G1322*H1322</f>
        <v>0</v>
      </c>
      <c r="L1322" s="80">
        <v>6.4999999999999997E-3</v>
      </c>
      <c r="M1322" s="80">
        <f>G1322*L1322</f>
        <v>1.2999999999999999E-2</v>
      </c>
      <c r="N1322" s="38" t="s">
        <v>1579</v>
      </c>
      <c r="P1322" s="592"/>
      <c r="Q1322" s="592"/>
      <c r="R1322" s="592"/>
      <c r="S1322" s="592"/>
      <c r="T1322" s="592"/>
      <c r="U1322" s="592"/>
      <c r="V1322" s="592"/>
      <c r="W1322" s="592"/>
      <c r="X1322" s="592"/>
      <c r="AB1322" s="56">
        <f>IF(AS1322="5",BL1322,0)</f>
        <v>0</v>
      </c>
      <c r="AD1322" s="56">
        <f>IF(AS1322="1",BJ1322,0)</f>
        <v>0</v>
      </c>
      <c r="AE1322" s="56">
        <f>IF(AS1322="1",BK1322,0)</f>
        <v>0</v>
      </c>
      <c r="AF1322" s="56">
        <f>IF(AS1322="7",BJ1322,0)</f>
        <v>0</v>
      </c>
      <c r="AG1322" s="56">
        <f>IF(AS1322="7",BK1322,0)</f>
        <v>0</v>
      </c>
      <c r="AH1322" s="56">
        <f>IF(AS1322="2",BJ1322,0)</f>
        <v>0</v>
      </c>
      <c r="AI1322" s="56">
        <f>IF(AS1322="2",BK1322,0)</f>
        <v>0</v>
      </c>
      <c r="AJ1322" s="56">
        <f>IF(AS1322="0",BL1322,0)</f>
        <v>0</v>
      </c>
      <c r="AK1322" s="7" t="s">
        <v>714</v>
      </c>
      <c r="AL1322" s="80">
        <f>IF(AP1322=0,K1322,0)</f>
        <v>0</v>
      </c>
      <c r="AM1322" s="80">
        <f>IF(AP1322=15,K1322,0)</f>
        <v>0</v>
      </c>
      <c r="AN1322" s="80">
        <f>IF(AP1322=21,K1322,0)</f>
        <v>0</v>
      </c>
      <c r="AP1322" s="56">
        <v>21</v>
      </c>
      <c r="AQ1322" s="88">
        <f>H1322*1</f>
        <v>0</v>
      </c>
      <c r="AR1322" s="88">
        <f>H1322*(1-1)</f>
        <v>0</v>
      </c>
      <c r="AS1322" s="64" t="s">
        <v>2297</v>
      </c>
      <c r="AX1322" s="56">
        <f>AY1322+AZ1322</f>
        <v>0</v>
      </c>
      <c r="AY1322" s="56">
        <f>G1322*AQ1322</f>
        <v>0</v>
      </c>
      <c r="AZ1322" s="56">
        <f>G1322*AR1322</f>
        <v>0</v>
      </c>
      <c r="BA1322" s="21" t="s">
        <v>192</v>
      </c>
      <c r="BB1322" s="21" t="s">
        <v>2171</v>
      </c>
      <c r="BC1322" s="7" t="s">
        <v>976</v>
      </c>
      <c r="BE1322" s="56">
        <f>AY1322+AZ1322</f>
        <v>0</v>
      </c>
      <c r="BF1322" s="56">
        <f>H1322/(100-BG1322)*100</f>
        <v>0</v>
      </c>
      <c r="BG1322" s="56">
        <v>0</v>
      </c>
      <c r="BH1322" s="56">
        <f>M1322</f>
        <v>1.2999999999999999E-2</v>
      </c>
      <c r="BJ1322" s="80">
        <f>G1322*AQ1322</f>
        <v>0</v>
      </c>
      <c r="BK1322" s="80">
        <f>G1322*AR1322</f>
        <v>0</v>
      </c>
      <c r="BL1322" s="80">
        <f>G1322*H1322</f>
        <v>0</v>
      </c>
      <c r="BM1322" s="80"/>
      <c r="BN1322" s="56">
        <v>89</v>
      </c>
    </row>
    <row r="1323" spans="1:66" ht="15" customHeight="1">
      <c r="A1323" s="36"/>
      <c r="D1323" s="45" t="s">
        <v>1589</v>
      </c>
      <c r="E1323" s="104" t="s">
        <v>1597</v>
      </c>
      <c r="G1323" s="13">
        <v>2</v>
      </c>
      <c r="N1323" s="19"/>
      <c r="P1323" s="592"/>
      <c r="Q1323" s="592"/>
      <c r="R1323" s="592"/>
      <c r="S1323" s="592"/>
      <c r="T1323" s="592"/>
      <c r="U1323" s="592"/>
      <c r="V1323" s="592"/>
      <c r="W1323" s="592"/>
      <c r="X1323" s="592"/>
    </row>
    <row r="1324" spans="1:66" ht="15" customHeight="1">
      <c r="A1324" s="24" t="s">
        <v>1617</v>
      </c>
      <c r="B1324" s="12" t="s">
        <v>714</v>
      </c>
      <c r="C1324" s="12" t="s">
        <v>1292</v>
      </c>
      <c r="D1324" s="630" t="s">
        <v>240</v>
      </c>
      <c r="E1324" s="630"/>
      <c r="F1324" s="12" t="s">
        <v>564</v>
      </c>
      <c r="G1324" s="56">
        <v>2</v>
      </c>
      <c r="H1324" s="625"/>
      <c r="I1324" s="56">
        <f>G1324*AQ1324</f>
        <v>0</v>
      </c>
      <c r="J1324" s="56">
        <f>G1324*AR1324</f>
        <v>0</v>
      </c>
      <c r="K1324" s="56">
        <f>G1324*H1324</f>
        <v>0</v>
      </c>
      <c r="L1324" s="56">
        <v>4.6800000000000001E-3</v>
      </c>
      <c r="M1324" s="56">
        <f>G1324*L1324</f>
        <v>9.3600000000000003E-3</v>
      </c>
      <c r="N1324" s="31" t="s">
        <v>1579</v>
      </c>
      <c r="P1324" s="592"/>
      <c r="Q1324" s="592"/>
      <c r="R1324" s="592"/>
      <c r="S1324" s="592"/>
      <c r="T1324" s="592"/>
      <c r="U1324" s="592"/>
      <c r="V1324" s="592"/>
      <c r="W1324" s="592"/>
      <c r="X1324" s="592"/>
      <c r="AB1324" s="56">
        <f>IF(AS1324="5",BL1324,0)</f>
        <v>0</v>
      </c>
      <c r="AD1324" s="56">
        <f>IF(AS1324="1",BJ1324,0)</f>
        <v>0</v>
      </c>
      <c r="AE1324" s="56">
        <f>IF(AS1324="1",BK1324,0)</f>
        <v>0</v>
      </c>
      <c r="AF1324" s="56">
        <f>IF(AS1324="7",BJ1324,0)</f>
        <v>0</v>
      </c>
      <c r="AG1324" s="56">
        <f>IF(AS1324="7",BK1324,0)</f>
        <v>0</v>
      </c>
      <c r="AH1324" s="56">
        <f>IF(AS1324="2",BJ1324,0)</f>
        <v>0</v>
      </c>
      <c r="AI1324" s="56">
        <f>IF(AS1324="2",BK1324,0)</f>
        <v>0</v>
      </c>
      <c r="AJ1324" s="56">
        <f>IF(AS1324="0",BL1324,0)</f>
        <v>0</v>
      </c>
      <c r="AK1324" s="7" t="s">
        <v>714</v>
      </c>
      <c r="AL1324" s="56">
        <f>IF(AP1324=0,K1324,0)</f>
        <v>0</v>
      </c>
      <c r="AM1324" s="56">
        <f>IF(AP1324=15,K1324,0)</f>
        <v>0</v>
      </c>
      <c r="AN1324" s="56">
        <f>IF(AP1324=21,K1324,0)</f>
        <v>0</v>
      </c>
      <c r="AP1324" s="56">
        <v>21</v>
      </c>
      <c r="AQ1324" s="88">
        <f>H1324*0.0177575757575758</f>
        <v>0</v>
      </c>
      <c r="AR1324" s="88">
        <f>H1324*(1-0.0177575757575758)</f>
        <v>0</v>
      </c>
      <c r="AS1324" s="21" t="s">
        <v>2297</v>
      </c>
      <c r="AX1324" s="56">
        <f>AY1324+AZ1324</f>
        <v>0</v>
      </c>
      <c r="AY1324" s="56">
        <f>G1324*AQ1324</f>
        <v>0</v>
      </c>
      <c r="AZ1324" s="56">
        <f>G1324*AR1324</f>
        <v>0</v>
      </c>
      <c r="BA1324" s="21" t="s">
        <v>192</v>
      </c>
      <c r="BB1324" s="21" t="s">
        <v>2171</v>
      </c>
      <c r="BC1324" s="7" t="s">
        <v>976</v>
      </c>
      <c r="BE1324" s="56">
        <f>AY1324+AZ1324</f>
        <v>0</v>
      </c>
      <c r="BF1324" s="56">
        <f>H1324/(100-BG1324)*100</f>
        <v>0</v>
      </c>
      <c r="BG1324" s="56">
        <v>0</v>
      </c>
      <c r="BH1324" s="56">
        <f>M1324</f>
        <v>9.3600000000000003E-3</v>
      </c>
      <c r="BJ1324" s="56">
        <f>G1324*AQ1324</f>
        <v>0</v>
      </c>
      <c r="BK1324" s="56">
        <f>G1324*AR1324</f>
        <v>0</v>
      </c>
      <c r="BL1324" s="56">
        <f>G1324*H1324</f>
        <v>0</v>
      </c>
      <c r="BM1324" s="56"/>
      <c r="BN1324" s="56">
        <v>89</v>
      </c>
    </row>
    <row r="1325" spans="1:66" ht="15" customHeight="1">
      <c r="A1325" s="36"/>
      <c r="D1325" s="45" t="s">
        <v>1589</v>
      </c>
      <c r="E1325" s="104" t="s">
        <v>1597</v>
      </c>
      <c r="G1325" s="13">
        <v>2</v>
      </c>
      <c r="N1325" s="19"/>
      <c r="P1325" s="592"/>
      <c r="Q1325" s="592"/>
      <c r="R1325" s="592"/>
      <c r="S1325" s="592"/>
      <c r="T1325" s="592"/>
      <c r="U1325" s="592"/>
      <c r="V1325" s="592"/>
      <c r="W1325" s="592"/>
      <c r="X1325" s="592"/>
    </row>
    <row r="1326" spans="1:66" ht="15" customHeight="1">
      <c r="A1326" s="8" t="s">
        <v>907</v>
      </c>
      <c r="B1326" s="75" t="s">
        <v>714</v>
      </c>
      <c r="C1326" s="75" t="s">
        <v>1312</v>
      </c>
      <c r="D1326" s="710" t="s">
        <v>2178</v>
      </c>
      <c r="E1326" s="710"/>
      <c r="F1326" s="75" t="s">
        <v>564</v>
      </c>
      <c r="G1326" s="80">
        <v>2</v>
      </c>
      <c r="H1326" s="626"/>
      <c r="I1326" s="80">
        <f>G1326*AQ1326</f>
        <v>0</v>
      </c>
      <c r="J1326" s="80">
        <f>G1326*AR1326</f>
        <v>0</v>
      </c>
      <c r="K1326" s="80">
        <f>G1326*H1326</f>
        <v>0</v>
      </c>
      <c r="L1326" s="80">
        <v>5.5E-2</v>
      </c>
      <c r="M1326" s="80">
        <f>G1326*L1326</f>
        <v>0.11</v>
      </c>
      <c r="N1326" s="38" t="s">
        <v>1579</v>
      </c>
      <c r="P1326" s="592"/>
      <c r="Q1326" s="592"/>
      <c r="R1326" s="592"/>
      <c r="S1326" s="592"/>
      <c r="T1326" s="592"/>
      <c r="U1326" s="592"/>
      <c r="V1326" s="592"/>
      <c r="W1326" s="592"/>
      <c r="X1326" s="592"/>
      <c r="AB1326" s="56">
        <f>IF(AS1326="5",BL1326,0)</f>
        <v>0</v>
      </c>
      <c r="AD1326" s="56">
        <f>IF(AS1326="1",BJ1326,0)</f>
        <v>0</v>
      </c>
      <c r="AE1326" s="56">
        <f>IF(AS1326="1",BK1326,0)</f>
        <v>0</v>
      </c>
      <c r="AF1326" s="56">
        <f>IF(AS1326="7",BJ1326,0)</f>
        <v>0</v>
      </c>
      <c r="AG1326" s="56">
        <f>IF(AS1326="7",BK1326,0)</f>
        <v>0</v>
      </c>
      <c r="AH1326" s="56">
        <f>IF(AS1326="2",BJ1326,0)</f>
        <v>0</v>
      </c>
      <c r="AI1326" s="56">
        <f>IF(AS1326="2",BK1326,0)</f>
        <v>0</v>
      </c>
      <c r="AJ1326" s="56">
        <f>IF(AS1326="0",BL1326,0)</f>
        <v>0</v>
      </c>
      <c r="AK1326" s="7" t="s">
        <v>714</v>
      </c>
      <c r="AL1326" s="80">
        <f>IF(AP1326=0,K1326,0)</f>
        <v>0</v>
      </c>
      <c r="AM1326" s="80">
        <f>IF(AP1326=15,K1326,0)</f>
        <v>0</v>
      </c>
      <c r="AN1326" s="80">
        <f>IF(AP1326=21,K1326,0)</f>
        <v>0</v>
      </c>
      <c r="AP1326" s="56">
        <v>21</v>
      </c>
      <c r="AQ1326" s="88">
        <f>H1326*1</f>
        <v>0</v>
      </c>
      <c r="AR1326" s="88">
        <f>H1326*(1-1)</f>
        <v>0</v>
      </c>
      <c r="AS1326" s="64" t="s">
        <v>2297</v>
      </c>
      <c r="AX1326" s="56">
        <f>AY1326+AZ1326</f>
        <v>0</v>
      </c>
      <c r="AY1326" s="56">
        <f>G1326*AQ1326</f>
        <v>0</v>
      </c>
      <c r="AZ1326" s="56">
        <f>G1326*AR1326</f>
        <v>0</v>
      </c>
      <c r="BA1326" s="21" t="s">
        <v>192</v>
      </c>
      <c r="BB1326" s="21" t="s">
        <v>2171</v>
      </c>
      <c r="BC1326" s="7" t="s">
        <v>976</v>
      </c>
      <c r="BE1326" s="56">
        <f>AY1326+AZ1326</f>
        <v>0</v>
      </c>
      <c r="BF1326" s="56">
        <f>H1326/(100-BG1326)*100</f>
        <v>0</v>
      </c>
      <c r="BG1326" s="56">
        <v>0</v>
      </c>
      <c r="BH1326" s="56">
        <f>M1326</f>
        <v>0.11</v>
      </c>
      <c r="BJ1326" s="80">
        <f>G1326*AQ1326</f>
        <v>0</v>
      </c>
      <c r="BK1326" s="80">
        <f>G1326*AR1326</f>
        <v>0</v>
      </c>
      <c r="BL1326" s="80">
        <f>G1326*H1326</f>
        <v>0</v>
      </c>
      <c r="BM1326" s="80"/>
      <c r="BN1326" s="56">
        <v>89</v>
      </c>
    </row>
    <row r="1327" spans="1:66" ht="15" customHeight="1">
      <c r="A1327" s="36"/>
      <c r="D1327" s="45" t="s">
        <v>1589</v>
      </c>
      <c r="E1327" s="104" t="s">
        <v>1597</v>
      </c>
      <c r="G1327" s="13">
        <v>2</v>
      </c>
      <c r="N1327" s="19"/>
      <c r="P1327" s="592"/>
      <c r="Q1327" s="592"/>
      <c r="R1327" s="592"/>
      <c r="S1327" s="592"/>
      <c r="T1327" s="592"/>
      <c r="U1327" s="592"/>
      <c r="V1327" s="592"/>
      <c r="W1327" s="592"/>
      <c r="X1327" s="592"/>
    </row>
    <row r="1328" spans="1:66" ht="15" customHeight="1">
      <c r="A1328" s="32" t="s">
        <v>1597</v>
      </c>
      <c r="B1328" s="26" t="s">
        <v>714</v>
      </c>
      <c r="C1328" s="518" t="s">
        <v>1313</v>
      </c>
      <c r="D1328" s="709" t="s">
        <v>1253</v>
      </c>
      <c r="E1328" s="709"/>
      <c r="F1328" s="46" t="s">
        <v>2144</v>
      </c>
      <c r="G1328" s="46" t="s">
        <v>2144</v>
      </c>
      <c r="H1328" s="46" t="s">
        <v>2144</v>
      </c>
      <c r="I1328" s="17">
        <f>SUM(I1329:I1329)</f>
        <v>0</v>
      </c>
      <c r="J1328" s="17">
        <f>SUM(J1329:J1329)</f>
        <v>0</v>
      </c>
      <c r="K1328" s="17">
        <f>SUM(K1329:K1329)</f>
        <v>0</v>
      </c>
      <c r="L1328" s="7" t="s">
        <v>1597</v>
      </c>
      <c r="M1328" s="17">
        <f>SUM(M1329:M1329)</f>
        <v>0</v>
      </c>
      <c r="N1328" s="20" t="s">
        <v>1597</v>
      </c>
      <c r="P1328" s="592"/>
      <c r="Q1328" s="592"/>
      <c r="R1328" s="592"/>
      <c r="S1328" s="592"/>
      <c r="T1328" s="592"/>
      <c r="U1328" s="592"/>
      <c r="V1328" s="592"/>
      <c r="W1328" s="592"/>
      <c r="X1328" s="592"/>
      <c r="AK1328" s="7" t="s">
        <v>714</v>
      </c>
      <c r="AU1328" s="17">
        <f>SUM(AL1329:AL1329)</f>
        <v>0</v>
      </c>
      <c r="AV1328" s="17">
        <f>SUM(AM1329:AM1329)</f>
        <v>0</v>
      </c>
      <c r="AW1328" s="17">
        <f>SUM(AN1329:AN1329)</f>
        <v>0</v>
      </c>
    </row>
    <row r="1329" spans="1:66" ht="15" customHeight="1">
      <c r="A1329" s="24" t="s">
        <v>1051</v>
      </c>
      <c r="B1329" s="12" t="s">
        <v>714</v>
      </c>
      <c r="C1329" s="12" t="s">
        <v>2031</v>
      </c>
      <c r="D1329" s="630" t="s">
        <v>1567</v>
      </c>
      <c r="E1329" s="630"/>
      <c r="F1329" s="12" t="s">
        <v>1074</v>
      </c>
      <c r="G1329" s="56">
        <v>125.25</v>
      </c>
      <c r="H1329" s="625"/>
      <c r="I1329" s="56">
        <f>G1329*AQ1329</f>
        <v>0</v>
      </c>
      <c r="J1329" s="56">
        <f>G1329*AR1329</f>
        <v>0</v>
      </c>
      <c r="K1329" s="56">
        <f>G1329*H1329</f>
        <v>0</v>
      </c>
      <c r="L1329" s="56">
        <v>0</v>
      </c>
      <c r="M1329" s="56">
        <f>G1329*L1329</f>
        <v>0</v>
      </c>
      <c r="N1329" s="31" t="s">
        <v>1579</v>
      </c>
      <c r="P1329" s="592"/>
      <c r="Q1329" s="592"/>
      <c r="R1329" s="592"/>
      <c r="S1329" s="592"/>
      <c r="T1329" s="592"/>
      <c r="U1329" s="592"/>
      <c r="V1329" s="592"/>
      <c r="W1329" s="592"/>
      <c r="X1329" s="592"/>
      <c r="AB1329" s="56">
        <f>IF(AS1329="5",BL1329,0)</f>
        <v>0</v>
      </c>
      <c r="AD1329" s="56">
        <f>IF(AS1329="1",BJ1329,0)</f>
        <v>0</v>
      </c>
      <c r="AE1329" s="56">
        <f>IF(AS1329="1",BK1329,0)</f>
        <v>0</v>
      </c>
      <c r="AF1329" s="56">
        <f>IF(AS1329="7",BJ1329,0)</f>
        <v>0</v>
      </c>
      <c r="AG1329" s="56">
        <f>IF(AS1329="7",BK1329,0)</f>
        <v>0</v>
      </c>
      <c r="AH1329" s="56">
        <f>IF(AS1329="2",BJ1329,0)</f>
        <v>0</v>
      </c>
      <c r="AI1329" s="56">
        <f>IF(AS1329="2",BK1329,0)</f>
        <v>0</v>
      </c>
      <c r="AJ1329" s="56">
        <f>IF(AS1329="0",BL1329,0)</f>
        <v>0</v>
      </c>
      <c r="AK1329" s="7" t="s">
        <v>714</v>
      </c>
      <c r="AL1329" s="56">
        <f>IF(AP1329=0,K1329,0)</f>
        <v>0</v>
      </c>
      <c r="AM1329" s="56">
        <f>IF(AP1329=15,K1329,0)</f>
        <v>0</v>
      </c>
      <c r="AN1329" s="56">
        <f>IF(AP1329=21,K1329,0)</f>
        <v>0</v>
      </c>
      <c r="AP1329" s="56">
        <v>21</v>
      </c>
      <c r="AQ1329" s="88">
        <f>H1329*0</f>
        <v>0</v>
      </c>
      <c r="AR1329" s="88">
        <f>H1329*(1-0)</f>
        <v>0</v>
      </c>
      <c r="AS1329" s="21" t="s">
        <v>1227</v>
      </c>
      <c r="AX1329" s="56">
        <f>AY1329+AZ1329</f>
        <v>0</v>
      </c>
      <c r="AY1329" s="56">
        <f>G1329*AQ1329</f>
        <v>0</v>
      </c>
      <c r="AZ1329" s="56">
        <f>G1329*AR1329</f>
        <v>0</v>
      </c>
      <c r="BA1329" s="21" t="s">
        <v>710</v>
      </c>
      <c r="BB1329" s="21" t="s">
        <v>1144</v>
      </c>
      <c r="BC1329" s="7" t="s">
        <v>976</v>
      </c>
      <c r="BE1329" s="56">
        <f>AY1329+AZ1329</f>
        <v>0</v>
      </c>
      <c r="BF1329" s="56">
        <f>H1329/(100-BG1329)*100</f>
        <v>0</v>
      </c>
      <c r="BG1329" s="56">
        <v>0</v>
      </c>
      <c r="BH1329" s="56">
        <f>M1329</f>
        <v>0</v>
      </c>
      <c r="BJ1329" s="56">
        <f>G1329*AQ1329</f>
        <v>0</v>
      </c>
      <c r="BK1329" s="56">
        <f>G1329*AR1329</f>
        <v>0</v>
      </c>
      <c r="BL1329" s="56">
        <f>G1329*H1329</f>
        <v>0</v>
      </c>
      <c r="BM1329" s="56"/>
      <c r="BN1329" s="56"/>
    </row>
    <row r="1330" spans="1:66" ht="15" customHeight="1">
      <c r="A1330" s="36"/>
      <c r="D1330" s="45" t="s">
        <v>52</v>
      </c>
      <c r="E1330" s="104" t="s">
        <v>1597</v>
      </c>
      <c r="G1330" s="13">
        <v>125.25000000000001</v>
      </c>
      <c r="N1330" s="19"/>
      <c r="P1330" s="592"/>
      <c r="Q1330" s="592"/>
      <c r="R1330" s="592"/>
      <c r="S1330" s="592"/>
      <c r="T1330" s="592"/>
      <c r="U1330" s="592"/>
      <c r="V1330" s="592"/>
      <c r="W1330" s="592"/>
      <c r="X1330" s="592"/>
    </row>
    <row r="1331" spans="1:66" ht="15" customHeight="1">
      <c r="A1331" s="32" t="s">
        <v>1597</v>
      </c>
      <c r="B1331" s="26" t="s">
        <v>714</v>
      </c>
      <c r="C1331" s="518" t="s">
        <v>2387</v>
      </c>
      <c r="D1331" s="709" t="s">
        <v>2651</v>
      </c>
      <c r="E1331" s="709"/>
      <c r="F1331" s="46" t="s">
        <v>2144</v>
      </c>
      <c r="G1331" s="46" t="s">
        <v>2144</v>
      </c>
      <c r="H1331" s="46" t="s">
        <v>2144</v>
      </c>
      <c r="I1331" s="17">
        <f>SUM(I1332:I1332)</f>
        <v>0</v>
      </c>
      <c r="J1331" s="17">
        <f>SUM(J1332:J1332)</f>
        <v>0</v>
      </c>
      <c r="K1331" s="17">
        <f>SUM(K1332:K1332)</f>
        <v>0</v>
      </c>
      <c r="L1331" s="7" t="s">
        <v>1597</v>
      </c>
      <c r="M1331" s="17">
        <f>SUM(M1332:M1332)</f>
        <v>0</v>
      </c>
      <c r="N1331" s="20" t="s">
        <v>1597</v>
      </c>
      <c r="P1331" s="592"/>
      <c r="Q1331" s="592"/>
      <c r="R1331" s="592"/>
      <c r="S1331" s="592"/>
      <c r="T1331" s="592"/>
      <c r="U1331" s="592"/>
      <c r="V1331" s="592"/>
      <c r="W1331" s="592"/>
      <c r="X1331" s="592"/>
      <c r="AK1331" s="7" t="s">
        <v>714</v>
      </c>
      <c r="AU1331" s="17">
        <f>SUM(AL1332:AL1332)</f>
        <v>0</v>
      </c>
      <c r="AV1331" s="17">
        <f>SUM(AM1332:AM1332)</f>
        <v>0</v>
      </c>
      <c r="AW1331" s="17">
        <f>SUM(AN1332:AN1332)</f>
        <v>0</v>
      </c>
    </row>
    <row r="1332" spans="1:66" ht="15" customHeight="1">
      <c r="A1332" s="24" t="s">
        <v>1244</v>
      </c>
      <c r="B1332" s="12" t="s">
        <v>714</v>
      </c>
      <c r="C1332" s="12" t="s">
        <v>67</v>
      </c>
      <c r="D1332" s="630" t="s">
        <v>241</v>
      </c>
      <c r="E1332" s="630"/>
      <c r="F1332" s="12" t="s">
        <v>1074</v>
      </c>
      <c r="G1332" s="56">
        <v>0.56000000000000005</v>
      </c>
      <c r="H1332" s="625"/>
      <c r="I1332" s="56">
        <f>G1332*AQ1332</f>
        <v>0</v>
      </c>
      <c r="J1332" s="56">
        <f>G1332*AR1332</f>
        <v>0</v>
      </c>
      <c r="K1332" s="56">
        <f>G1332*H1332</f>
        <v>0</v>
      </c>
      <c r="L1332" s="56">
        <v>0</v>
      </c>
      <c r="M1332" s="56">
        <f>G1332*L1332</f>
        <v>0</v>
      </c>
      <c r="N1332" s="31" t="s">
        <v>1579</v>
      </c>
      <c r="P1332" s="592"/>
      <c r="Q1332" s="592"/>
      <c r="R1332" s="592"/>
      <c r="S1332" s="592"/>
      <c r="T1332" s="592"/>
      <c r="U1332" s="592"/>
      <c r="V1332" s="592"/>
      <c r="W1332" s="592"/>
      <c r="X1332" s="592"/>
      <c r="AB1332" s="56">
        <f>IF(AS1332="5",BL1332,0)</f>
        <v>0</v>
      </c>
      <c r="AD1332" s="56">
        <f>IF(AS1332="1",BJ1332,0)</f>
        <v>0</v>
      </c>
      <c r="AE1332" s="56">
        <f>IF(AS1332="1",BK1332,0)</f>
        <v>0</v>
      </c>
      <c r="AF1332" s="56">
        <f>IF(AS1332="7",BJ1332,0)</f>
        <v>0</v>
      </c>
      <c r="AG1332" s="56">
        <f>IF(AS1332="7",BK1332,0)</f>
        <v>0</v>
      </c>
      <c r="AH1332" s="56">
        <f>IF(AS1332="2",BJ1332,0)</f>
        <v>0</v>
      </c>
      <c r="AI1332" s="56">
        <f>IF(AS1332="2",BK1332,0)</f>
        <v>0</v>
      </c>
      <c r="AJ1332" s="56">
        <f>IF(AS1332="0",BL1332,0)</f>
        <v>0</v>
      </c>
      <c r="AK1332" s="7" t="s">
        <v>714</v>
      </c>
      <c r="AL1332" s="56">
        <f>IF(AP1332=0,K1332,0)</f>
        <v>0</v>
      </c>
      <c r="AM1332" s="56">
        <f>IF(AP1332=15,K1332,0)</f>
        <v>0</v>
      </c>
      <c r="AN1332" s="56">
        <f>IF(AP1332=21,K1332,0)</f>
        <v>0</v>
      </c>
      <c r="AP1332" s="56">
        <v>21</v>
      </c>
      <c r="AQ1332" s="88">
        <f>H1332*0</f>
        <v>0</v>
      </c>
      <c r="AR1332" s="88">
        <f>H1332*(1-0)</f>
        <v>0</v>
      </c>
      <c r="AS1332" s="21" t="s">
        <v>1227</v>
      </c>
      <c r="AX1332" s="56">
        <f>AY1332+AZ1332</f>
        <v>0</v>
      </c>
      <c r="AY1332" s="56">
        <f>G1332*AQ1332</f>
        <v>0</v>
      </c>
      <c r="AZ1332" s="56">
        <f>G1332*AR1332</f>
        <v>0</v>
      </c>
      <c r="BA1332" s="21" t="s">
        <v>870</v>
      </c>
      <c r="BB1332" s="21" t="s">
        <v>1144</v>
      </c>
      <c r="BC1332" s="7" t="s">
        <v>976</v>
      </c>
      <c r="BE1332" s="56">
        <f>AY1332+AZ1332</f>
        <v>0</v>
      </c>
      <c r="BF1332" s="56">
        <f>H1332/(100-BG1332)*100</f>
        <v>0</v>
      </c>
      <c r="BG1332" s="56">
        <v>0</v>
      </c>
      <c r="BH1332" s="56">
        <f>M1332</f>
        <v>0</v>
      </c>
      <c r="BJ1332" s="56">
        <f>G1332*AQ1332</f>
        <v>0</v>
      </c>
      <c r="BK1332" s="56">
        <f>G1332*AR1332</f>
        <v>0</v>
      </c>
      <c r="BL1332" s="56">
        <f>G1332*H1332</f>
        <v>0</v>
      </c>
      <c r="BM1332" s="56"/>
      <c r="BN1332" s="56"/>
    </row>
    <row r="1333" spans="1:66" ht="15" customHeight="1">
      <c r="A1333" s="36"/>
      <c r="D1333" s="45" t="s">
        <v>1538</v>
      </c>
      <c r="E1333" s="104" t="s">
        <v>1597</v>
      </c>
      <c r="G1333" s="13">
        <v>0.56000000000000005</v>
      </c>
      <c r="N1333" s="19"/>
      <c r="P1333" s="592"/>
      <c r="Q1333" s="592"/>
      <c r="R1333" s="592"/>
      <c r="S1333" s="592"/>
      <c r="T1333" s="592"/>
      <c r="U1333" s="592"/>
      <c r="V1333" s="592"/>
      <c r="W1333" s="592"/>
      <c r="X1333" s="592"/>
    </row>
    <row r="1334" spans="1:66" ht="15" customHeight="1">
      <c r="A1334" s="32" t="s">
        <v>1597</v>
      </c>
      <c r="B1334" s="26" t="s">
        <v>714</v>
      </c>
      <c r="C1334" s="518" t="s">
        <v>2205</v>
      </c>
      <c r="D1334" s="709" t="s">
        <v>1425</v>
      </c>
      <c r="E1334" s="709"/>
      <c r="F1334" s="46" t="s">
        <v>2144</v>
      </c>
      <c r="G1334" s="46" t="s">
        <v>2144</v>
      </c>
      <c r="H1334" s="46" t="s">
        <v>2144</v>
      </c>
      <c r="I1334" s="17">
        <f>SUM(I1335:I1335)</f>
        <v>0</v>
      </c>
      <c r="J1334" s="17">
        <f>SUM(J1335:J1335)</f>
        <v>0</v>
      </c>
      <c r="K1334" s="17">
        <f>SUM(K1335:K1335)</f>
        <v>0</v>
      </c>
      <c r="L1334" s="7" t="s">
        <v>1597</v>
      </c>
      <c r="M1334" s="17">
        <f>SUM(M1335:M1335)</f>
        <v>0</v>
      </c>
      <c r="N1334" s="20" t="s">
        <v>1597</v>
      </c>
      <c r="P1334" s="592"/>
      <c r="Q1334" s="592"/>
      <c r="R1334" s="592"/>
      <c r="S1334" s="592"/>
      <c r="T1334" s="592"/>
      <c r="U1334" s="592"/>
      <c r="V1334" s="592"/>
      <c r="W1334" s="592"/>
      <c r="X1334" s="592"/>
      <c r="AK1334" s="7" t="s">
        <v>714</v>
      </c>
      <c r="AU1334" s="17">
        <f>SUM(AL1335:AL1335)</f>
        <v>0</v>
      </c>
      <c r="AV1334" s="17">
        <f>SUM(AM1335:AM1335)</f>
        <v>0</v>
      </c>
      <c r="AW1334" s="17">
        <f>SUM(AN1335:AN1335)</f>
        <v>0</v>
      </c>
    </row>
    <row r="1335" spans="1:66" ht="15" customHeight="1">
      <c r="A1335" s="24" t="s">
        <v>1275</v>
      </c>
      <c r="B1335" s="12" t="s">
        <v>714</v>
      </c>
      <c r="C1335" s="12" t="s">
        <v>1562</v>
      </c>
      <c r="D1335" s="630" t="s">
        <v>1236</v>
      </c>
      <c r="E1335" s="630"/>
      <c r="F1335" s="12" t="s">
        <v>1074</v>
      </c>
      <c r="G1335" s="56">
        <v>3.75</v>
      </c>
      <c r="H1335" s="625"/>
      <c r="I1335" s="56">
        <f>G1335*AQ1335</f>
        <v>0</v>
      </c>
      <c r="J1335" s="56">
        <f>G1335*AR1335</f>
        <v>0</v>
      </c>
      <c r="K1335" s="56">
        <f>G1335*H1335</f>
        <v>0</v>
      </c>
      <c r="L1335" s="56">
        <v>0</v>
      </c>
      <c r="M1335" s="56">
        <f>G1335*L1335</f>
        <v>0</v>
      </c>
      <c r="N1335" s="31" t="s">
        <v>1579</v>
      </c>
      <c r="P1335" s="592"/>
      <c r="Q1335" s="592"/>
      <c r="R1335" s="592"/>
      <c r="S1335" s="592"/>
      <c r="T1335" s="592"/>
      <c r="U1335" s="592"/>
      <c r="V1335" s="592"/>
      <c r="W1335" s="592"/>
      <c r="X1335" s="592"/>
      <c r="AB1335" s="56">
        <f>IF(AS1335="5",BL1335,0)</f>
        <v>0</v>
      </c>
      <c r="AD1335" s="56">
        <f>IF(AS1335="1",BJ1335,0)</f>
        <v>0</v>
      </c>
      <c r="AE1335" s="56">
        <f>IF(AS1335="1",BK1335,0)</f>
        <v>0</v>
      </c>
      <c r="AF1335" s="56">
        <f>IF(AS1335="7",BJ1335,0)</f>
        <v>0</v>
      </c>
      <c r="AG1335" s="56">
        <f>IF(AS1335="7",BK1335,0)</f>
        <v>0</v>
      </c>
      <c r="AH1335" s="56">
        <f>IF(AS1335="2",BJ1335,0)</f>
        <v>0</v>
      </c>
      <c r="AI1335" s="56">
        <f>IF(AS1335="2",BK1335,0)</f>
        <v>0</v>
      </c>
      <c r="AJ1335" s="56">
        <f>IF(AS1335="0",BL1335,0)</f>
        <v>0</v>
      </c>
      <c r="AK1335" s="7" t="s">
        <v>714</v>
      </c>
      <c r="AL1335" s="56">
        <f>IF(AP1335=0,K1335,0)</f>
        <v>0</v>
      </c>
      <c r="AM1335" s="56">
        <f>IF(AP1335=15,K1335,0)</f>
        <v>0</v>
      </c>
      <c r="AN1335" s="56">
        <f>IF(AP1335=21,K1335,0)</f>
        <v>0</v>
      </c>
      <c r="AP1335" s="56">
        <v>21</v>
      </c>
      <c r="AQ1335" s="88">
        <f>H1335*0</f>
        <v>0</v>
      </c>
      <c r="AR1335" s="88">
        <f>H1335*(1-0)</f>
        <v>0</v>
      </c>
      <c r="AS1335" s="21" t="s">
        <v>1227</v>
      </c>
      <c r="AX1335" s="56">
        <f>AY1335+AZ1335</f>
        <v>0</v>
      </c>
      <c r="AY1335" s="56">
        <f>G1335*AQ1335</f>
        <v>0</v>
      </c>
      <c r="AZ1335" s="56">
        <f>G1335*AR1335</f>
        <v>0</v>
      </c>
      <c r="BA1335" s="21" t="s">
        <v>2645</v>
      </c>
      <c r="BB1335" s="21" t="s">
        <v>1144</v>
      </c>
      <c r="BC1335" s="7" t="s">
        <v>976</v>
      </c>
      <c r="BE1335" s="56">
        <f>AY1335+AZ1335</f>
        <v>0</v>
      </c>
      <c r="BF1335" s="56">
        <f>H1335/(100-BG1335)*100</f>
        <v>0</v>
      </c>
      <c r="BG1335" s="56">
        <v>0</v>
      </c>
      <c r="BH1335" s="56">
        <f>M1335</f>
        <v>0</v>
      </c>
      <c r="BJ1335" s="56">
        <f>G1335*AQ1335</f>
        <v>0</v>
      </c>
      <c r="BK1335" s="56">
        <f>G1335*AR1335</f>
        <v>0</v>
      </c>
      <c r="BL1335" s="56">
        <f>G1335*H1335</f>
        <v>0</v>
      </c>
      <c r="BM1335" s="56"/>
      <c r="BN1335" s="56"/>
    </row>
    <row r="1336" spans="1:66" ht="15" customHeight="1">
      <c r="A1336" s="36"/>
      <c r="D1336" s="45" t="s">
        <v>2625</v>
      </c>
      <c r="E1336" s="104" t="s">
        <v>1597</v>
      </c>
      <c r="G1336" s="13">
        <v>3.7500000000000004</v>
      </c>
      <c r="N1336" s="19"/>
      <c r="P1336" s="592"/>
      <c r="Q1336" s="592"/>
      <c r="R1336" s="592"/>
      <c r="S1336" s="592"/>
      <c r="T1336" s="592"/>
      <c r="U1336" s="592"/>
      <c r="V1336" s="592"/>
      <c r="W1336" s="592"/>
      <c r="X1336" s="592"/>
    </row>
    <row r="1337" spans="1:66" ht="15" customHeight="1">
      <c r="A1337" s="32" t="s">
        <v>1597</v>
      </c>
      <c r="B1337" s="26" t="s">
        <v>714</v>
      </c>
      <c r="C1337" s="518" t="s">
        <v>1597</v>
      </c>
      <c r="D1337" s="709" t="s">
        <v>170</v>
      </c>
      <c r="E1337" s="709"/>
      <c r="F1337" s="46" t="s">
        <v>2144</v>
      </c>
      <c r="G1337" s="46" t="s">
        <v>2144</v>
      </c>
      <c r="H1337" s="46" t="s">
        <v>2144</v>
      </c>
      <c r="I1337" s="17">
        <f>SUM(I1338:I1338)</f>
        <v>0</v>
      </c>
      <c r="J1337" s="17">
        <f>SUM(J1338:J1338)</f>
        <v>0</v>
      </c>
      <c r="K1337" s="17">
        <f>SUM(K1338:K1338)</f>
        <v>0</v>
      </c>
      <c r="L1337" s="7" t="s">
        <v>1597</v>
      </c>
      <c r="M1337" s="17">
        <f>SUM(M1338:M1338)</f>
        <v>5.3899999999999998E-3</v>
      </c>
      <c r="N1337" s="20" t="s">
        <v>1597</v>
      </c>
      <c r="P1337" s="592"/>
      <c r="Q1337" s="592"/>
      <c r="R1337" s="592"/>
      <c r="S1337" s="592"/>
      <c r="T1337" s="592"/>
      <c r="U1337" s="592"/>
      <c r="V1337" s="592"/>
      <c r="W1337" s="592"/>
      <c r="X1337" s="592"/>
      <c r="AK1337" s="7" t="s">
        <v>714</v>
      </c>
      <c r="AU1337" s="17">
        <f>SUM(AL1338:AL1338)</f>
        <v>0</v>
      </c>
      <c r="AV1337" s="17">
        <f>SUM(AM1338:AM1338)</f>
        <v>0</v>
      </c>
      <c r="AW1337" s="17">
        <f>SUM(AN1338:AN1338)</f>
        <v>0</v>
      </c>
    </row>
    <row r="1338" spans="1:66" ht="15" customHeight="1">
      <c r="A1338" s="8" t="s">
        <v>2327</v>
      </c>
      <c r="B1338" s="75" t="s">
        <v>714</v>
      </c>
      <c r="C1338" s="75" t="s">
        <v>1173</v>
      </c>
      <c r="D1338" s="710" t="s">
        <v>2160</v>
      </c>
      <c r="E1338" s="710"/>
      <c r="F1338" s="75" t="s">
        <v>564</v>
      </c>
      <c r="G1338" s="80">
        <v>11</v>
      </c>
      <c r="H1338" s="626"/>
      <c r="I1338" s="80">
        <f>G1338*AQ1338</f>
        <v>0</v>
      </c>
      <c r="J1338" s="80">
        <f>G1338*AR1338</f>
        <v>0</v>
      </c>
      <c r="K1338" s="80">
        <f>G1338*H1338</f>
        <v>0</v>
      </c>
      <c r="L1338" s="80">
        <v>4.8999999999999998E-4</v>
      </c>
      <c r="M1338" s="80">
        <f>G1338*L1338</f>
        <v>5.3899999999999998E-3</v>
      </c>
      <c r="N1338" s="38" t="s">
        <v>1579</v>
      </c>
      <c r="P1338" s="592"/>
      <c r="Q1338" s="592"/>
      <c r="R1338" s="592"/>
      <c r="S1338" s="592"/>
      <c r="T1338" s="592"/>
      <c r="U1338" s="592"/>
      <c r="V1338" s="592"/>
      <c r="W1338" s="592"/>
      <c r="X1338" s="592"/>
      <c r="AB1338" s="56">
        <f>IF(AS1338="5",BL1338,0)</f>
        <v>0</v>
      </c>
      <c r="AD1338" s="56">
        <f>IF(AS1338="1",BJ1338,0)</f>
        <v>0</v>
      </c>
      <c r="AE1338" s="56">
        <f>IF(AS1338="1",BK1338,0)</f>
        <v>0</v>
      </c>
      <c r="AF1338" s="56">
        <f>IF(AS1338="7",BJ1338,0)</f>
        <v>0</v>
      </c>
      <c r="AG1338" s="56">
        <f>IF(AS1338="7",BK1338,0)</f>
        <v>0</v>
      </c>
      <c r="AH1338" s="56">
        <f>IF(AS1338="2",BJ1338,0)</f>
        <v>0</v>
      </c>
      <c r="AI1338" s="56">
        <f>IF(AS1338="2",BK1338,0)</f>
        <v>0</v>
      </c>
      <c r="AJ1338" s="56">
        <f>IF(AS1338="0",BL1338,0)</f>
        <v>0</v>
      </c>
      <c r="AK1338" s="7" t="s">
        <v>714</v>
      </c>
      <c r="AL1338" s="80">
        <f>IF(AP1338=0,K1338,0)</f>
        <v>0</v>
      </c>
      <c r="AM1338" s="80">
        <f>IF(AP1338=15,K1338,0)</f>
        <v>0</v>
      </c>
      <c r="AN1338" s="80">
        <f>IF(AP1338=21,K1338,0)</f>
        <v>0</v>
      </c>
      <c r="AP1338" s="56">
        <v>21</v>
      </c>
      <c r="AQ1338" s="88">
        <f>H1338*1</f>
        <v>0</v>
      </c>
      <c r="AR1338" s="88">
        <f>H1338*(1-1)</f>
        <v>0</v>
      </c>
      <c r="AS1338" s="64" t="s">
        <v>1219</v>
      </c>
      <c r="AX1338" s="56">
        <f>AY1338+AZ1338</f>
        <v>0</v>
      </c>
      <c r="AY1338" s="56">
        <f>G1338*AQ1338</f>
        <v>0</v>
      </c>
      <c r="AZ1338" s="56">
        <f>G1338*AR1338</f>
        <v>0</v>
      </c>
      <c r="BA1338" s="21" t="s">
        <v>495</v>
      </c>
      <c r="BB1338" s="21" t="s">
        <v>1948</v>
      </c>
      <c r="BC1338" s="7" t="s">
        <v>976</v>
      </c>
      <c r="BE1338" s="56">
        <f>AY1338+AZ1338</f>
        <v>0</v>
      </c>
      <c r="BF1338" s="56">
        <f>H1338/(100-BG1338)*100</f>
        <v>0</v>
      </c>
      <c r="BG1338" s="56">
        <v>0</v>
      </c>
      <c r="BH1338" s="56">
        <f>M1338</f>
        <v>5.3899999999999998E-3</v>
      </c>
      <c r="BJ1338" s="80">
        <f>G1338*AQ1338</f>
        <v>0</v>
      </c>
      <c r="BK1338" s="80">
        <f>G1338*AR1338</f>
        <v>0</v>
      </c>
      <c r="BL1338" s="80">
        <f>G1338*H1338</f>
        <v>0</v>
      </c>
      <c r="BM1338" s="80"/>
      <c r="BN1338" s="56"/>
    </row>
    <row r="1339" spans="1:66" ht="15" customHeight="1">
      <c r="A1339" s="36"/>
      <c r="D1339" s="45" t="s">
        <v>1939</v>
      </c>
      <c r="E1339" s="104" t="s">
        <v>1597</v>
      </c>
      <c r="G1339" s="13">
        <v>11.000000000000002</v>
      </c>
      <c r="N1339" s="19"/>
      <c r="P1339" s="592"/>
      <c r="Q1339" s="592"/>
      <c r="R1339" s="592"/>
      <c r="S1339" s="592"/>
      <c r="T1339" s="592"/>
      <c r="U1339" s="592"/>
      <c r="V1339" s="592"/>
      <c r="W1339" s="592"/>
      <c r="X1339" s="592"/>
    </row>
    <row r="1340" spans="1:66" ht="15" customHeight="1">
      <c r="A1340" s="67" t="s">
        <v>1597</v>
      </c>
      <c r="B1340" s="65" t="s">
        <v>225</v>
      </c>
      <c r="C1340" s="512" t="s">
        <v>1597</v>
      </c>
      <c r="D1340" s="708" t="s">
        <v>1895</v>
      </c>
      <c r="E1340" s="708"/>
      <c r="F1340" s="78" t="s">
        <v>2144</v>
      </c>
      <c r="G1340" s="78" t="s">
        <v>2144</v>
      </c>
      <c r="H1340" s="78" t="s">
        <v>2144</v>
      </c>
      <c r="I1340" s="11">
        <f>I1341</f>
        <v>0</v>
      </c>
      <c r="J1340" s="11">
        <f>J1341</f>
        <v>0</v>
      </c>
      <c r="K1340" s="515">
        <f>K1341</f>
        <v>0</v>
      </c>
      <c r="L1340" s="44" t="s">
        <v>1597</v>
      </c>
      <c r="M1340" s="11">
        <f>M1341</f>
        <v>0</v>
      </c>
      <c r="N1340" s="5" t="s">
        <v>1597</v>
      </c>
      <c r="P1340" s="592">
        <f>K1340</f>
        <v>0</v>
      </c>
      <c r="Q1340" s="592"/>
      <c r="R1340" s="592"/>
      <c r="S1340" s="592"/>
      <c r="T1340" s="592"/>
      <c r="U1340" s="592"/>
      <c r="V1340" s="592"/>
      <c r="W1340" s="592"/>
      <c r="X1340" s="592"/>
    </row>
    <row r="1341" spans="1:66" ht="15" customHeight="1">
      <c r="A1341" s="32" t="s">
        <v>1597</v>
      </c>
      <c r="B1341" s="26" t="s">
        <v>225</v>
      </c>
      <c r="C1341" s="26" t="s">
        <v>1398</v>
      </c>
      <c r="D1341" s="709" t="s">
        <v>2153</v>
      </c>
      <c r="E1341" s="709"/>
      <c r="F1341" s="46" t="s">
        <v>2144</v>
      </c>
      <c r="G1341" s="46" t="s">
        <v>2144</v>
      </c>
      <c r="H1341" s="46" t="s">
        <v>2144</v>
      </c>
      <c r="I1341" s="17">
        <f>SUM(I1342:I1342)</f>
        <v>0</v>
      </c>
      <c r="J1341" s="17">
        <f>SUM(J1342:J1342)</f>
        <v>0</v>
      </c>
      <c r="K1341" s="17">
        <f>SUM(K1342:K1342)</f>
        <v>0</v>
      </c>
      <c r="L1341" s="7" t="s">
        <v>1597</v>
      </c>
      <c r="M1341" s="17">
        <f>SUM(M1342:M1342)</f>
        <v>0</v>
      </c>
      <c r="N1341" s="20" t="s">
        <v>1597</v>
      </c>
      <c r="P1341" s="592"/>
      <c r="Q1341" s="592"/>
      <c r="R1341" s="592"/>
      <c r="S1341" s="592"/>
      <c r="T1341" s="592"/>
      <c r="U1341" s="592"/>
      <c r="V1341" s="592"/>
      <c r="W1341" s="592"/>
      <c r="X1341" s="592"/>
      <c r="AK1341" s="7" t="s">
        <v>225</v>
      </c>
      <c r="AU1341" s="17">
        <f>SUM(AL1342:AL1342)</f>
        <v>0</v>
      </c>
      <c r="AV1341" s="17">
        <f>SUM(AM1342:AM1342)</f>
        <v>0</v>
      </c>
      <c r="AW1341" s="17">
        <f>SUM(AN1342:AN1342)</f>
        <v>0</v>
      </c>
    </row>
    <row r="1342" spans="1:66" ht="15" customHeight="1">
      <c r="A1342" s="24" t="s">
        <v>1634</v>
      </c>
      <c r="B1342" s="12" t="s">
        <v>225</v>
      </c>
      <c r="C1342" s="12" t="s">
        <v>2049</v>
      </c>
      <c r="D1342" s="630" t="s">
        <v>843</v>
      </c>
      <c r="E1342" s="630"/>
      <c r="F1342" s="12" t="s">
        <v>811</v>
      </c>
      <c r="G1342" s="56">
        <v>1</v>
      </c>
      <c r="H1342" s="625"/>
      <c r="I1342" s="56">
        <f>G1342*AQ1342</f>
        <v>0</v>
      </c>
      <c r="J1342" s="56">
        <f>G1342*AR1342</f>
        <v>0</v>
      </c>
      <c r="K1342" s="56">
        <f>G1342*H1342</f>
        <v>0</v>
      </c>
      <c r="L1342" s="56">
        <v>0</v>
      </c>
      <c r="M1342" s="56">
        <f>G1342*L1342</f>
        <v>0</v>
      </c>
      <c r="N1342" s="31" t="s">
        <v>1597</v>
      </c>
      <c r="P1342" s="592"/>
      <c r="Q1342" s="592"/>
      <c r="R1342" s="592"/>
      <c r="S1342" s="592"/>
      <c r="T1342" s="592"/>
      <c r="U1342" s="592"/>
      <c r="V1342" s="592"/>
      <c r="W1342" s="592"/>
      <c r="X1342" s="592"/>
      <c r="AB1342" s="56">
        <f>IF(AS1342="5",BL1342,0)</f>
        <v>0</v>
      </c>
      <c r="AD1342" s="56">
        <f>IF(AS1342="1",BJ1342,0)</f>
        <v>0</v>
      </c>
      <c r="AE1342" s="56">
        <f>IF(AS1342="1",BK1342,0)</f>
        <v>0</v>
      </c>
      <c r="AF1342" s="56">
        <f>IF(AS1342="7",BJ1342,0)</f>
        <v>0</v>
      </c>
      <c r="AG1342" s="56">
        <f>IF(AS1342="7",BK1342,0)</f>
        <v>0</v>
      </c>
      <c r="AH1342" s="56">
        <f>IF(AS1342="2",BJ1342,0)</f>
        <v>0</v>
      </c>
      <c r="AI1342" s="56">
        <f>IF(AS1342="2",BK1342,0)</f>
        <v>0</v>
      </c>
      <c r="AJ1342" s="56">
        <f>IF(AS1342="0",BL1342,0)</f>
        <v>0</v>
      </c>
      <c r="AK1342" s="7" t="s">
        <v>225</v>
      </c>
      <c r="AL1342" s="56">
        <f>IF(AP1342=0,K1342,0)</f>
        <v>0</v>
      </c>
      <c r="AM1342" s="56">
        <f>IF(AP1342=15,K1342,0)</f>
        <v>0</v>
      </c>
      <c r="AN1342" s="56">
        <f>IF(AP1342=21,K1342,0)</f>
        <v>0</v>
      </c>
      <c r="AP1342" s="56">
        <v>21</v>
      </c>
      <c r="AQ1342" s="88">
        <f>H1342*0.871282527881041</f>
        <v>0</v>
      </c>
      <c r="AR1342" s="88">
        <f>H1342*(1-0.871282527881041)</f>
        <v>0</v>
      </c>
      <c r="AS1342" s="21" t="s">
        <v>1589</v>
      </c>
      <c r="AX1342" s="56">
        <f>AY1342+AZ1342</f>
        <v>0</v>
      </c>
      <c r="AY1342" s="56">
        <f>G1342*AQ1342</f>
        <v>0</v>
      </c>
      <c r="AZ1342" s="56">
        <f>G1342*AR1342</f>
        <v>0</v>
      </c>
      <c r="BA1342" s="21" t="s">
        <v>1929</v>
      </c>
      <c r="BB1342" s="21" t="s">
        <v>2428</v>
      </c>
      <c r="BC1342" s="7" t="s">
        <v>524</v>
      </c>
      <c r="BE1342" s="56">
        <f>AY1342+AZ1342</f>
        <v>0</v>
      </c>
      <c r="BF1342" s="56">
        <f>H1342/(100-BG1342)*100</f>
        <v>0</v>
      </c>
      <c r="BG1342" s="56">
        <v>0</v>
      </c>
      <c r="BH1342" s="56">
        <f>M1342</f>
        <v>0</v>
      </c>
      <c r="BJ1342" s="56">
        <f>G1342*AQ1342</f>
        <v>0</v>
      </c>
      <c r="BK1342" s="56">
        <f>G1342*AR1342</f>
        <v>0</v>
      </c>
      <c r="BL1342" s="56">
        <f>G1342*H1342</f>
        <v>0</v>
      </c>
      <c r="BM1342" s="56"/>
      <c r="BN1342" s="56"/>
    </row>
    <row r="1343" spans="1:66" ht="15" customHeight="1">
      <c r="A1343" s="36"/>
      <c r="D1343" s="45" t="s">
        <v>2297</v>
      </c>
      <c r="E1343" s="104" t="s">
        <v>268</v>
      </c>
      <c r="G1343" s="13">
        <v>1</v>
      </c>
      <c r="N1343" s="19"/>
      <c r="P1343" s="592"/>
      <c r="Q1343" s="592"/>
      <c r="R1343" s="592"/>
      <c r="S1343" s="592"/>
      <c r="T1343" s="592"/>
      <c r="U1343" s="592"/>
      <c r="V1343" s="592"/>
      <c r="W1343" s="592"/>
      <c r="X1343" s="592"/>
    </row>
    <row r="1344" spans="1:66" ht="15" customHeight="1">
      <c r="A1344" s="67" t="s">
        <v>1597</v>
      </c>
      <c r="B1344" s="65" t="s">
        <v>1681</v>
      </c>
      <c r="C1344" s="512" t="s">
        <v>1597</v>
      </c>
      <c r="D1344" s="708" t="s">
        <v>1984</v>
      </c>
      <c r="E1344" s="708"/>
      <c r="F1344" s="78" t="s">
        <v>2144</v>
      </c>
      <c r="G1344" s="78" t="s">
        <v>2144</v>
      </c>
      <c r="H1344" s="78" t="s">
        <v>2144</v>
      </c>
      <c r="I1344" s="11">
        <f>I1345</f>
        <v>0</v>
      </c>
      <c r="J1344" s="11">
        <f>J1345</f>
        <v>0</v>
      </c>
      <c r="K1344" s="515">
        <f>K1345</f>
        <v>0</v>
      </c>
      <c r="L1344" s="44" t="s">
        <v>1597</v>
      </c>
      <c r="M1344" s="11">
        <f>M1345</f>
        <v>0</v>
      </c>
      <c r="N1344" s="5" t="s">
        <v>1597</v>
      </c>
      <c r="P1344" s="592">
        <f>K1344</f>
        <v>0</v>
      </c>
      <c r="Q1344" s="592"/>
      <c r="R1344" s="592"/>
      <c r="S1344" s="592"/>
      <c r="T1344" s="592"/>
      <c r="U1344" s="592"/>
      <c r="V1344" s="592"/>
      <c r="W1344" s="592"/>
      <c r="X1344" s="592"/>
    </row>
    <row r="1345" spans="1:66" ht="15" customHeight="1">
      <c r="A1345" s="32" t="s">
        <v>1597</v>
      </c>
      <c r="B1345" s="26" t="s">
        <v>1681</v>
      </c>
      <c r="C1345" s="26" t="s">
        <v>2250</v>
      </c>
      <c r="D1345" s="709" t="s">
        <v>629</v>
      </c>
      <c r="E1345" s="709"/>
      <c r="F1345" s="46" t="s">
        <v>2144</v>
      </c>
      <c r="G1345" s="46" t="s">
        <v>2144</v>
      </c>
      <c r="H1345" s="46" t="s">
        <v>2144</v>
      </c>
      <c r="I1345" s="17">
        <f>SUM(I1346:I1346)</f>
        <v>0</v>
      </c>
      <c r="J1345" s="17">
        <f>SUM(J1346:J1346)</f>
        <v>0</v>
      </c>
      <c r="K1345" s="17">
        <f>SUM(K1346:K1346)</f>
        <v>0</v>
      </c>
      <c r="L1345" s="7" t="s">
        <v>1597</v>
      </c>
      <c r="M1345" s="17">
        <f>SUM(M1346:M1346)</f>
        <v>0</v>
      </c>
      <c r="N1345" s="20" t="s">
        <v>1597</v>
      </c>
      <c r="P1345" s="592"/>
      <c r="Q1345" s="592"/>
      <c r="R1345" s="592"/>
      <c r="S1345" s="592"/>
      <c r="T1345" s="592"/>
      <c r="U1345" s="592"/>
      <c r="V1345" s="592"/>
      <c r="W1345" s="592"/>
      <c r="X1345" s="592"/>
      <c r="AK1345" s="7" t="s">
        <v>1681</v>
      </c>
      <c r="AU1345" s="17">
        <f>SUM(AL1346:AL1346)</f>
        <v>0</v>
      </c>
      <c r="AV1345" s="17">
        <f>SUM(AM1346:AM1346)</f>
        <v>0</v>
      </c>
      <c r="AW1345" s="17">
        <f>SUM(AN1346:AN1346)</f>
        <v>0</v>
      </c>
    </row>
    <row r="1346" spans="1:66" ht="15" customHeight="1">
      <c r="A1346" s="59" t="s">
        <v>2184</v>
      </c>
      <c r="B1346" s="70" t="s">
        <v>1681</v>
      </c>
      <c r="C1346" s="70" t="s">
        <v>2078</v>
      </c>
      <c r="D1346" s="711" t="s">
        <v>489</v>
      </c>
      <c r="E1346" s="711"/>
      <c r="F1346" s="70" t="s">
        <v>1781</v>
      </c>
      <c r="G1346" s="88">
        <v>1</v>
      </c>
      <c r="H1346" s="88">
        <f>'MAR rekapitulace'!E21</f>
        <v>0</v>
      </c>
      <c r="I1346" s="88">
        <f>G1346*AQ1346</f>
        <v>0</v>
      </c>
      <c r="J1346" s="88">
        <f>G1346*AR1346</f>
        <v>0</v>
      </c>
      <c r="K1346" s="88">
        <f>G1346*H1346</f>
        <v>0</v>
      </c>
      <c r="L1346" s="88">
        <v>0</v>
      </c>
      <c r="M1346" s="88">
        <f>G1346*L1346</f>
        <v>0</v>
      </c>
      <c r="N1346" s="53" t="s">
        <v>1597</v>
      </c>
      <c r="P1346" s="592"/>
      <c r="Q1346" s="592"/>
      <c r="R1346" s="592"/>
      <c r="S1346" s="592"/>
      <c r="T1346" s="592"/>
      <c r="U1346" s="592"/>
      <c r="V1346" s="592"/>
      <c r="W1346" s="592"/>
      <c r="X1346" s="592"/>
      <c r="AB1346" s="56">
        <f>IF(AS1346="5",BL1346,0)</f>
        <v>0</v>
      </c>
      <c r="AD1346" s="56">
        <f>IF(AS1346="1",BJ1346,0)</f>
        <v>0</v>
      </c>
      <c r="AE1346" s="56">
        <f>IF(AS1346="1",BK1346,0)</f>
        <v>0</v>
      </c>
      <c r="AF1346" s="56">
        <f>IF(AS1346="7",BJ1346,0)</f>
        <v>0</v>
      </c>
      <c r="AG1346" s="56">
        <f>IF(AS1346="7",BK1346,0)</f>
        <v>0</v>
      </c>
      <c r="AH1346" s="56">
        <f>IF(AS1346="2",BJ1346,0)</f>
        <v>0</v>
      </c>
      <c r="AI1346" s="56">
        <f>IF(AS1346="2",BK1346,0)</f>
        <v>0</v>
      </c>
      <c r="AJ1346" s="56">
        <f>IF(AS1346="0",BL1346,0)</f>
        <v>0</v>
      </c>
      <c r="AK1346" s="7" t="s">
        <v>1681</v>
      </c>
      <c r="AL1346" s="56">
        <f>IF(AP1346=0,K1346,0)</f>
        <v>0</v>
      </c>
      <c r="AM1346" s="56">
        <f>IF(AP1346=15,K1346,0)</f>
        <v>0</v>
      </c>
      <c r="AN1346" s="56">
        <f>IF(AP1346=21,K1346,0)</f>
        <v>0</v>
      </c>
      <c r="AP1346" s="56">
        <v>21</v>
      </c>
      <c r="AQ1346" s="88">
        <f>'MAR rekapitulace'!C21</f>
        <v>0</v>
      </c>
      <c r="AR1346" s="88">
        <f>'MAR rekapitulace'!D21</f>
        <v>0</v>
      </c>
      <c r="AS1346" s="21" t="s">
        <v>1589</v>
      </c>
      <c r="AX1346" s="56">
        <f>AY1346+AZ1346</f>
        <v>0</v>
      </c>
      <c r="AY1346" s="56">
        <f>G1346*AQ1346</f>
        <v>0</v>
      </c>
      <c r="AZ1346" s="56">
        <f>G1346*AR1346</f>
        <v>0</v>
      </c>
      <c r="BA1346" s="21" t="s">
        <v>1159</v>
      </c>
      <c r="BB1346" s="21" t="s">
        <v>611</v>
      </c>
      <c r="BC1346" s="7" t="s">
        <v>1441</v>
      </c>
      <c r="BE1346" s="56">
        <f>AY1346+AZ1346</f>
        <v>0</v>
      </c>
      <c r="BF1346" s="56">
        <f>H1346/(100-BG1346)*100</f>
        <v>0</v>
      </c>
      <c r="BG1346" s="56">
        <v>0</v>
      </c>
      <c r="BH1346" s="56">
        <f>M1346</f>
        <v>0</v>
      </c>
      <c r="BJ1346" s="56">
        <f>G1346*AQ1346</f>
        <v>0</v>
      </c>
      <c r="BK1346" s="56">
        <f>G1346*AR1346</f>
        <v>0</v>
      </c>
      <c r="BL1346" s="56">
        <f>G1346*H1346</f>
        <v>0</v>
      </c>
      <c r="BM1346" s="56"/>
      <c r="BN1346" s="56"/>
    </row>
    <row r="1347" spans="1:66" ht="15" customHeight="1">
      <c r="A1347" s="10"/>
      <c r="B1347" s="41"/>
      <c r="C1347" s="41"/>
      <c r="D1347" s="106" t="s">
        <v>2297</v>
      </c>
      <c r="E1347" s="18" t="s">
        <v>1597</v>
      </c>
      <c r="F1347" s="41"/>
      <c r="G1347" s="9">
        <v>1</v>
      </c>
      <c r="H1347" s="41"/>
      <c r="I1347" s="41"/>
      <c r="J1347" s="41"/>
      <c r="K1347" s="41"/>
      <c r="L1347" s="41"/>
      <c r="M1347" s="41"/>
      <c r="N1347" s="85"/>
      <c r="P1347" s="592"/>
      <c r="Q1347" s="592"/>
      <c r="R1347" s="592"/>
      <c r="S1347" s="592"/>
      <c r="T1347" s="592"/>
      <c r="U1347" s="592"/>
      <c r="V1347" s="592"/>
      <c r="W1347" s="592"/>
      <c r="X1347" s="592"/>
    </row>
    <row r="1348" spans="1:66" ht="15" customHeight="1">
      <c r="A1348" s="67" t="s">
        <v>1597</v>
      </c>
      <c r="B1348" s="65" t="s">
        <v>902</v>
      </c>
      <c r="C1348" s="512" t="s">
        <v>1597</v>
      </c>
      <c r="D1348" s="708" t="s">
        <v>193</v>
      </c>
      <c r="E1348" s="708"/>
      <c r="F1348" s="78" t="s">
        <v>2144</v>
      </c>
      <c r="G1348" s="78" t="s">
        <v>2144</v>
      </c>
      <c r="H1348" s="78" t="s">
        <v>2144</v>
      </c>
      <c r="I1348" s="11">
        <f>I1349+I1356+I1365+I1368+I1373+I1385+I1390+I1393+I1423+I1440+I1443</f>
        <v>0</v>
      </c>
      <c r="J1348" s="11">
        <f>J1349+J1356+J1365+J1368+J1373+J1385+J1390+J1393+J1423+J1440+J1443</f>
        <v>0</v>
      </c>
      <c r="K1348" s="515">
        <f>K1349+K1356+K1365+K1368+K1373+K1385+K1390+K1393+K1423+K1440+K1443</f>
        <v>0</v>
      </c>
      <c r="L1348" s="44" t="s">
        <v>1597</v>
      </c>
      <c r="M1348" s="11">
        <f>M1349+M1356+M1365+M1368+M1373+M1385+M1390+M1393+M1423+M1440+M1443</f>
        <v>88.402851600000005</v>
      </c>
      <c r="N1348" s="5" t="s">
        <v>1597</v>
      </c>
      <c r="P1348" s="592">
        <f>K1348</f>
        <v>0</v>
      </c>
      <c r="Q1348" s="592"/>
      <c r="R1348" s="592"/>
      <c r="S1348" s="592"/>
      <c r="T1348" s="592"/>
      <c r="U1348" s="592"/>
      <c r="V1348" s="592"/>
      <c r="W1348" s="592"/>
      <c r="X1348" s="592"/>
    </row>
    <row r="1349" spans="1:66" ht="15" customHeight="1">
      <c r="A1349" s="32" t="s">
        <v>1597</v>
      </c>
      <c r="B1349" s="26" t="s">
        <v>902</v>
      </c>
      <c r="C1349" s="573" t="s">
        <v>668</v>
      </c>
      <c r="D1349" s="709" t="s">
        <v>16</v>
      </c>
      <c r="E1349" s="709"/>
      <c r="F1349" s="46" t="s">
        <v>2144</v>
      </c>
      <c r="G1349" s="46" t="s">
        <v>2144</v>
      </c>
      <c r="H1349" s="46" t="s">
        <v>2144</v>
      </c>
      <c r="I1349" s="17">
        <f>SUM(I1350:I1354)</f>
        <v>0</v>
      </c>
      <c r="J1349" s="17">
        <f>SUM(J1350:J1354)</f>
        <v>0</v>
      </c>
      <c r="K1349" s="17">
        <f>SUM(K1350:K1354)</f>
        <v>0</v>
      </c>
      <c r="L1349" s="7" t="s">
        <v>1597</v>
      </c>
      <c r="M1349" s="17">
        <f>SUM(M1350:M1354)</f>
        <v>0</v>
      </c>
      <c r="N1349" s="20" t="s">
        <v>1597</v>
      </c>
      <c r="P1349" s="592"/>
      <c r="Q1349" s="592"/>
      <c r="R1349" s="592"/>
      <c r="S1349" s="592"/>
      <c r="T1349" s="592"/>
      <c r="U1349" s="592"/>
      <c r="V1349" s="592"/>
      <c r="W1349" s="592"/>
      <c r="X1349" s="592"/>
      <c r="AK1349" s="7" t="s">
        <v>902</v>
      </c>
      <c r="AU1349" s="17">
        <f>SUM(AL1350:AL1354)</f>
        <v>0</v>
      </c>
      <c r="AV1349" s="17">
        <f>SUM(AM1350:AM1354)</f>
        <v>0</v>
      </c>
      <c r="AW1349" s="17">
        <f>SUM(AN1350:AN1354)</f>
        <v>0</v>
      </c>
    </row>
    <row r="1350" spans="1:66" ht="15" customHeight="1">
      <c r="A1350" s="24" t="s">
        <v>2385</v>
      </c>
      <c r="B1350" s="12" t="s">
        <v>902</v>
      </c>
      <c r="C1350" s="12" t="s">
        <v>2339</v>
      </c>
      <c r="D1350" s="630" t="s">
        <v>1208</v>
      </c>
      <c r="E1350" s="630"/>
      <c r="F1350" s="12" t="s">
        <v>2236</v>
      </c>
      <c r="G1350" s="56">
        <v>43.14</v>
      </c>
      <c r="H1350" s="625"/>
      <c r="I1350" s="56">
        <f>G1350*AQ1350</f>
        <v>0</v>
      </c>
      <c r="J1350" s="56">
        <f>G1350*AR1350</f>
        <v>0</v>
      </c>
      <c r="K1350" s="56">
        <f>G1350*H1350</f>
        <v>0</v>
      </c>
      <c r="L1350" s="56">
        <v>0</v>
      </c>
      <c r="M1350" s="56">
        <f>G1350*L1350</f>
        <v>0</v>
      </c>
      <c r="N1350" s="31" t="s">
        <v>1579</v>
      </c>
      <c r="P1350" s="592"/>
      <c r="Q1350" s="592"/>
      <c r="R1350" s="592"/>
      <c r="S1350" s="592"/>
      <c r="T1350" s="592"/>
      <c r="U1350" s="592"/>
      <c r="V1350" s="592"/>
      <c r="W1350" s="592"/>
      <c r="X1350" s="592"/>
      <c r="AB1350" s="56">
        <f>IF(AS1350="5",BL1350,0)</f>
        <v>0</v>
      </c>
      <c r="AD1350" s="56">
        <f>IF(AS1350="1",BJ1350,0)</f>
        <v>0</v>
      </c>
      <c r="AE1350" s="56">
        <f>IF(AS1350="1",BK1350,0)</f>
        <v>0</v>
      </c>
      <c r="AF1350" s="56">
        <f>IF(AS1350="7",BJ1350,0)</f>
        <v>0</v>
      </c>
      <c r="AG1350" s="56">
        <f>IF(AS1350="7",BK1350,0)</f>
        <v>0</v>
      </c>
      <c r="AH1350" s="56">
        <f>IF(AS1350="2",BJ1350,0)</f>
        <v>0</v>
      </c>
      <c r="AI1350" s="56">
        <f>IF(AS1350="2",BK1350,0)</f>
        <v>0</v>
      </c>
      <c r="AJ1350" s="56">
        <f>IF(AS1350="0",BL1350,0)</f>
        <v>0</v>
      </c>
      <c r="AK1350" s="7" t="s">
        <v>902</v>
      </c>
      <c r="AL1350" s="56">
        <f>IF(AP1350=0,K1350,0)</f>
        <v>0</v>
      </c>
      <c r="AM1350" s="56">
        <f>IF(AP1350=15,K1350,0)</f>
        <v>0</v>
      </c>
      <c r="AN1350" s="56">
        <f>IF(AP1350=21,K1350,0)</f>
        <v>0</v>
      </c>
      <c r="AP1350" s="56">
        <v>21</v>
      </c>
      <c r="AQ1350" s="88">
        <f>H1350*0</f>
        <v>0</v>
      </c>
      <c r="AR1350" s="88">
        <f>H1350*(1-0)</f>
        <v>0</v>
      </c>
      <c r="AS1350" s="21" t="s">
        <v>2297</v>
      </c>
      <c r="AX1350" s="56">
        <f>AY1350+AZ1350</f>
        <v>0</v>
      </c>
      <c r="AY1350" s="56">
        <f>G1350*AQ1350</f>
        <v>0</v>
      </c>
      <c r="AZ1350" s="56">
        <f>G1350*AR1350</f>
        <v>0</v>
      </c>
      <c r="BA1350" s="21" t="s">
        <v>2092</v>
      </c>
      <c r="BB1350" s="21" t="s">
        <v>343</v>
      </c>
      <c r="BC1350" s="7" t="s">
        <v>2605</v>
      </c>
      <c r="BE1350" s="56">
        <f>AY1350+AZ1350</f>
        <v>0</v>
      </c>
      <c r="BF1350" s="56">
        <f>H1350/(100-BG1350)*100</f>
        <v>0</v>
      </c>
      <c r="BG1350" s="56">
        <v>0</v>
      </c>
      <c r="BH1350" s="56">
        <f>M1350</f>
        <v>0</v>
      </c>
      <c r="BJ1350" s="56">
        <f>G1350*AQ1350</f>
        <v>0</v>
      </c>
      <c r="BK1350" s="56">
        <f>G1350*AR1350</f>
        <v>0</v>
      </c>
      <c r="BL1350" s="56">
        <f>G1350*H1350</f>
        <v>0</v>
      </c>
      <c r="BM1350" s="56"/>
      <c r="BN1350" s="56">
        <v>13</v>
      </c>
    </row>
    <row r="1351" spans="1:66" ht="15" customHeight="1">
      <c r="A1351" s="36"/>
      <c r="D1351" s="45" t="s">
        <v>678</v>
      </c>
      <c r="E1351" s="104" t="s">
        <v>299</v>
      </c>
      <c r="G1351" s="13">
        <v>43.14</v>
      </c>
      <c r="N1351" s="19"/>
      <c r="P1351" s="592"/>
      <c r="Q1351" s="592"/>
      <c r="R1351" s="592"/>
      <c r="S1351" s="592"/>
      <c r="T1351" s="592"/>
      <c r="U1351" s="592"/>
      <c r="V1351" s="592"/>
      <c r="W1351" s="592"/>
      <c r="X1351" s="592"/>
    </row>
    <row r="1352" spans="1:66" ht="15" customHeight="1">
      <c r="A1352" s="24" t="s">
        <v>333</v>
      </c>
      <c r="B1352" s="12" t="s">
        <v>902</v>
      </c>
      <c r="C1352" s="12" t="s">
        <v>218</v>
      </c>
      <c r="D1352" s="630" t="s">
        <v>627</v>
      </c>
      <c r="E1352" s="630"/>
      <c r="F1352" s="12" t="s">
        <v>2236</v>
      </c>
      <c r="G1352" s="56">
        <v>58.48</v>
      </c>
      <c r="H1352" s="625"/>
      <c r="I1352" s="56">
        <f>G1352*AQ1352</f>
        <v>0</v>
      </c>
      <c r="J1352" s="56">
        <f>G1352*AR1352</f>
        <v>0</v>
      </c>
      <c r="K1352" s="56">
        <f>G1352*H1352</f>
        <v>0</v>
      </c>
      <c r="L1352" s="56">
        <v>0</v>
      </c>
      <c r="M1352" s="56">
        <f>G1352*L1352</f>
        <v>0</v>
      </c>
      <c r="N1352" s="31" t="s">
        <v>1579</v>
      </c>
      <c r="P1352" s="592"/>
      <c r="Q1352" s="592"/>
      <c r="R1352" s="592"/>
      <c r="S1352" s="592"/>
      <c r="T1352" s="592"/>
      <c r="U1352" s="592"/>
      <c r="V1352" s="592"/>
      <c r="W1352" s="592"/>
      <c r="X1352" s="592"/>
      <c r="AB1352" s="56">
        <f>IF(AS1352="5",BL1352,0)</f>
        <v>0</v>
      </c>
      <c r="AD1352" s="56">
        <f>IF(AS1352="1",BJ1352,0)</f>
        <v>0</v>
      </c>
      <c r="AE1352" s="56">
        <f>IF(AS1352="1",BK1352,0)</f>
        <v>0</v>
      </c>
      <c r="AF1352" s="56">
        <f>IF(AS1352="7",BJ1352,0)</f>
        <v>0</v>
      </c>
      <c r="AG1352" s="56">
        <f>IF(AS1352="7",BK1352,0)</f>
        <v>0</v>
      </c>
      <c r="AH1352" s="56">
        <f>IF(AS1352="2",BJ1352,0)</f>
        <v>0</v>
      </c>
      <c r="AI1352" s="56">
        <f>IF(AS1352="2",BK1352,0)</f>
        <v>0</v>
      </c>
      <c r="AJ1352" s="56">
        <f>IF(AS1352="0",BL1352,0)</f>
        <v>0</v>
      </c>
      <c r="AK1352" s="7" t="s">
        <v>902</v>
      </c>
      <c r="AL1352" s="56">
        <f>IF(AP1352=0,K1352,0)</f>
        <v>0</v>
      </c>
      <c r="AM1352" s="56">
        <f>IF(AP1352=15,K1352,0)</f>
        <v>0</v>
      </c>
      <c r="AN1352" s="56">
        <f>IF(AP1352=21,K1352,0)</f>
        <v>0</v>
      </c>
      <c r="AP1352" s="56">
        <v>21</v>
      </c>
      <c r="AQ1352" s="88">
        <f>H1352*0</f>
        <v>0</v>
      </c>
      <c r="AR1352" s="88">
        <f>H1352*(1-0)</f>
        <v>0</v>
      </c>
      <c r="AS1352" s="21" t="s">
        <v>2297</v>
      </c>
      <c r="AX1352" s="56">
        <f>AY1352+AZ1352</f>
        <v>0</v>
      </c>
      <c r="AY1352" s="56">
        <f>G1352*AQ1352</f>
        <v>0</v>
      </c>
      <c r="AZ1352" s="56">
        <f>G1352*AR1352</f>
        <v>0</v>
      </c>
      <c r="BA1352" s="21" t="s">
        <v>2092</v>
      </c>
      <c r="BB1352" s="21" t="s">
        <v>343</v>
      </c>
      <c r="BC1352" s="7" t="s">
        <v>2605</v>
      </c>
      <c r="BE1352" s="56">
        <f>AY1352+AZ1352</f>
        <v>0</v>
      </c>
      <c r="BF1352" s="56">
        <f>H1352/(100-BG1352)*100</f>
        <v>0</v>
      </c>
      <c r="BG1352" s="56">
        <v>0</v>
      </c>
      <c r="BH1352" s="56">
        <f>M1352</f>
        <v>0</v>
      </c>
      <c r="BJ1352" s="56">
        <f>G1352*AQ1352</f>
        <v>0</v>
      </c>
      <c r="BK1352" s="56">
        <f>G1352*AR1352</f>
        <v>0</v>
      </c>
      <c r="BL1352" s="56">
        <f>G1352*H1352</f>
        <v>0</v>
      </c>
      <c r="BM1352" s="56"/>
      <c r="BN1352" s="56">
        <v>13</v>
      </c>
    </row>
    <row r="1353" spans="1:66" ht="15" customHeight="1">
      <c r="A1353" s="36"/>
      <c r="D1353" s="45" t="s">
        <v>2073</v>
      </c>
      <c r="E1353" s="104" t="s">
        <v>1139</v>
      </c>
      <c r="G1353" s="13">
        <v>58.480000000000004</v>
      </c>
      <c r="N1353" s="19"/>
      <c r="P1353" s="592"/>
      <c r="Q1353" s="592"/>
      <c r="R1353" s="592"/>
      <c r="S1353" s="592"/>
      <c r="T1353" s="592"/>
      <c r="U1353" s="592"/>
      <c r="V1353" s="592"/>
      <c r="W1353" s="592"/>
      <c r="X1353" s="592"/>
    </row>
    <row r="1354" spans="1:66" ht="15" customHeight="1">
      <c r="A1354" s="24" t="s">
        <v>10</v>
      </c>
      <c r="B1354" s="12" t="s">
        <v>902</v>
      </c>
      <c r="C1354" s="12" t="s">
        <v>864</v>
      </c>
      <c r="D1354" s="630" t="s">
        <v>2361</v>
      </c>
      <c r="E1354" s="630"/>
      <c r="F1354" s="12" t="s">
        <v>2236</v>
      </c>
      <c r="G1354" s="56">
        <v>114.99</v>
      </c>
      <c r="H1354" s="625"/>
      <c r="I1354" s="56">
        <f>G1354*AQ1354</f>
        <v>0</v>
      </c>
      <c r="J1354" s="56">
        <f>G1354*AR1354</f>
        <v>0</v>
      </c>
      <c r="K1354" s="56">
        <f>G1354*H1354</f>
        <v>0</v>
      </c>
      <c r="L1354" s="56">
        <v>0</v>
      </c>
      <c r="M1354" s="56">
        <f>G1354*L1354</f>
        <v>0</v>
      </c>
      <c r="N1354" s="31" t="s">
        <v>1579</v>
      </c>
      <c r="P1354" s="592"/>
      <c r="Q1354" s="592"/>
      <c r="R1354" s="592"/>
      <c r="S1354" s="592"/>
      <c r="T1354" s="592"/>
      <c r="U1354" s="592"/>
      <c r="V1354" s="592"/>
      <c r="W1354" s="592"/>
      <c r="X1354" s="592"/>
      <c r="AB1354" s="56">
        <f>IF(AS1354="5",BL1354,0)</f>
        <v>0</v>
      </c>
      <c r="AD1354" s="56">
        <f>IF(AS1354="1",BJ1354,0)</f>
        <v>0</v>
      </c>
      <c r="AE1354" s="56">
        <f>IF(AS1354="1",BK1354,0)</f>
        <v>0</v>
      </c>
      <c r="AF1354" s="56">
        <f>IF(AS1354="7",BJ1354,0)</f>
        <v>0</v>
      </c>
      <c r="AG1354" s="56">
        <f>IF(AS1354="7",BK1354,0)</f>
        <v>0</v>
      </c>
      <c r="AH1354" s="56">
        <f>IF(AS1354="2",BJ1354,0)</f>
        <v>0</v>
      </c>
      <c r="AI1354" s="56">
        <f>IF(AS1354="2",BK1354,0)</f>
        <v>0</v>
      </c>
      <c r="AJ1354" s="56">
        <f>IF(AS1354="0",BL1354,0)</f>
        <v>0</v>
      </c>
      <c r="AK1354" s="7" t="s">
        <v>902</v>
      </c>
      <c r="AL1354" s="56">
        <f>IF(AP1354=0,K1354,0)</f>
        <v>0</v>
      </c>
      <c r="AM1354" s="56">
        <f>IF(AP1354=15,K1354,0)</f>
        <v>0</v>
      </c>
      <c r="AN1354" s="56">
        <f>IF(AP1354=21,K1354,0)</f>
        <v>0</v>
      </c>
      <c r="AP1354" s="56">
        <v>21</v>
      </c>
      <c r="AQ1354" s="88">
        <f>H1354*0</f>
        <v>0</v>
      </c>
      <c r="AR1354" s="88">
        <f>H1354*(1-0)</f>
        <v>0</v>
      </c>
      <c r="AS1354" s="21" t="s">
        <v>2297</v>
      </c>
      <c r="AX1354" s="56">
        <f>AY1354+AZ1354</f>
        <v>0</v>
      </c>
      <c r="AY1354" s="56">
        <f>G1354*AQ1354</f>
        <v>0</v>
      </c>
      <c r="AZ1354" s="56">
        <f>G1354*AR1354</f>
        <v>0</v>
      </c>
      <c r="BA1354" s="21" t="s">
        <v>2092</v>
      </c>
      <c r="BB1354" s="21" t="s">
        <v>343</v>
      </c>
      <c r="BC1354" s="7" t="s">
        <v>2605</v>
      </c>
      <c r="BE1354" s="56">
        <f>AY1354+AZ1354</f>
        <v>0</v>
      </c>
      <c r="BF1354" s="56">
        <f>H1354/(100-BG1354)*100</f>
        <v>0</v>
      </c>
      <c r="BG1354" s="56">
        <v>0</v>
      </c>
      <c r="BH1354" s="56">
        <f>M1354</f>
        <v>0</v>
      </c>
      <c r="BJ1354" s="56">
        <f>G1354*AQ1354</f>
        <v>0</v>
      </c>
      <c r="BK1354" s="56">
        <f>G1354*AR1354</f>
        <v>0</v>
      </c>
      <c r="BL1354" s="56">
        <f>G1354*H1354</f>
        <v>0</v>
      </c>
      <c r="BM1354" s="56"/>
      <c r="BN1354" s="56">
        <v>13</v>
      </c>
    </row>
    <row r="1355" spans="1:66" ht="15" customHeight="1">
      <c r="A1355" s="36"/>
      <c r="D1355" s="45" t="s">
        <v>2544</v>
      </c>
      <c r="E1355" s="104" t="s">
        <v>1597</v>
      </c>
      <c r="G1355" s="13">
        <v>114.99000000000001</v>
      </c>
      <c r="N1355" s="19"/>
      <c r="P1355" s="592"/>
      <c r="Q1355" s="592"/>
      <c r="R1355" s="592"/>
      <c r="S1355" s="592"/>
      <c r="T1355" s="592"/>
      <c r="U1355" s="592"/>
      <c r="V1355" s="592"/>
      <c r="W1355" s="592"/>
      <c r="X1355" s="592"/>
    </row>
    <row r="1356" spans="1:66" ht="15" customHeight="1">
      <c r="A1356" s="32" t="s">
        <v>1597</v>
      </c>
      <c r="B1356" s="26" t="s">
        <v>902</v>
      </c>
      <c r="C1356" s="573" t="s">
        <v>908</v>
      </c>
      <c r="D1356" s="709" t="s">
        <v>2015</v>
      </c>
      <c r="E1356" s="709"/>
      <c r="F1356" s="46" t="s">
        <v>2144</v>
      </c>
      <c r="G1356" s="46" t="s">
        <v>2144</v>
      </c>
      <c r="H1356" s="46" t="s">
        <v>2144</v>
      </c>
      <c r="I1356" s="17">
        <f>SUM(I1357:I1363)</f>
        <v>0</v>
      </c>
      <c r="J1356" s="17">
        <f>SUM(J1357:J1363)</f>
        <v>0</v>
      </c>
      <c r="K1356" s="572">
        <f>SUM(K1357:K1363)</f>
        <v>0</v>
      </c>
      <c r="L1356" s="7" t="s">
        <v>1597</v>
      </c>
      <c r="M1356" s="17">
        <f>SUM(M1357:M1363)</f>
        <v>7.3805599999999999E-2</v>
      </c>
      <c r="N1356" s="20" t="s">
        <v>1597</v>
      </c>
      <c r="P1356" s="592"/>
      <c r="Q1356" s="592"/>
      <c r="R1356" s="592"/>
      <c r="S1356" s="592"/>
      <c r="T1356" s="592"/>
      <c r="U1356" s="592"/>
      <c r="V1356" s="592"/>
      <c r="W1356" s="592"/>
      <c r="X1356" s="592"/>
      <c r="AK1356" s="7" t="s">
        <v>902</v>
      </c>
      <c r="AU1356" s="17">
        <f>SUM(AL1357:AL1363)</f>
        <v>0</v>
      </c>
      <c r="AV1356" s="17">
        <f>SUM(AM1357:AM1363)</f>
        <v>0</v>
      </c>
      <c r="AW1356" s="17">
        <f>SUM(AN1357:AN1363)</f>
        <v>0</v>
      </c>
    </row>
    <row r="1357" spans="1:66" ht="15" customHeight="1">
      <c r="A1357" s="24" t="s">
        <v>1823</v>
      </c>
      <c r="B1357" s="12" t="s">
        <v>902</v>
      </c>
      <c r="C1357" s="12" t="s">
        <v>2569</v>
      </c>
      <c r="D1357" s="630" t="s">
        <v>522</v>
      </c>
      <c r="E1357" s="630"/>
      <c r="F1357" s="12" t="s">
        <v>2274</v>
      </c>
      <c r="G1357" s="56">
        <v>11.24</v>
      </c>
      <c r="H1357" s="625"/>
      <c r="I1357" s="56">
        <f>G1357*AQ1357</f>
        <v>0</v>
      </c>
      <c r="J1357" s="56">
        <f>G1357*AR1357</f>
        <v>0</v>
      </c>
      <c r="K1357" s="56">
        <f>G1357*H1357</f>
        <v>0</v>
      </c>
      <c r="L1357" s="56">
        <v>9.8999999999999999E-4</v>
      </c>
      <c r="M1357" s="56">
        <f>G1357*L1357</f>
        <v>1.11276E-2</v>
      </c>
      <c r="N1357" s="31" t="s">
        <v>1579</v>
      </c>
      <c r="P1357" s="592"/>
      <c r="Q1357" s="592"/>
      <c r="R1357" s="592"/>
      <c r="S1357" s="592"/>
      <c r="T1357" s="592"/>
      <c r="U1357" s="592"/>
      <c r="V1357" s="592"/>
      <c r="W1357" s="592"/>
      <c r="X1357" s="592"/>
      <c r="AB1357" s="56">
        <f>IF(AS1357="5",BL1357,0)</f>
        <v>0</v>
      </c>
      <c r="AD1357" s="56">
        <f>IF(AS1357="1",BJ1357,0)</f>
        <v>0</v>
      </c>
      <c r="AE1357" s="56">
        <f>IF(AS1357="1",BK1357,0)</f>
        <v>0</v>
      </c>
      <c r="AF1357" s="56">
        <f>IF(AS1357="7",BJ1357,0)</f>
        <v>0</v>
      </c>
      <c r="AG1357" s="56">
        <f>IF(AS1357="7",BK1357,0)</f>
        <v>0</v>
      </c>
      <c r="AH1357" s="56">
        <f>IF(AS1357="2",BJ1357,0)</f>
        <v>0</v>
      </c>
      <c r="AI1357" s="56">
        <f>IF(AS1357="2",BK1357,0)</f>
        <v>0</v>
      </c>
      <c r="AJ1357" s="56">
        <f>IF(AS1357="0",BL1357,0)</f>
        <v>0</v>
      </c>
      <c r="AK1357" s="7" t="s">
        <v>902</v>
      </c>
      <c r="AL1357" s="56">
        <f>IF(AP1357=0,K1357,0)</f>
        <v>0</v>
      </c>
      <c r="AM1357" s="56">
        <f>IF(AP1357=15,K1357,0)</f>
        <v>0</v>
      </c>
      <c r="AN1357" s="56">
        <f>IF(AP1357=21,K1357,0)</f>
        <v>0</v>
      </c>
      <c r="AP1357" s="56">
        <v>21</v>
      </c>
      <c r="AQ1357" s="88">
        <f>H1357*0.0932214765100671</f>
        <v>0</v>
      </c>
      <c r="AR1357" s="88">
        <f>H1357*(1-0.0932214765100671)</f>
        <v>0</v>
      </c>
      <c r="AS1357" s="21" t="s">
        <v>2297</v>
      </c>
      <c r="AX1357" s="56">
        <f>AY1357+AZ1357</f>
        <v>0</v>
      </c>
      <c r="AY1357" s="56">
        <f>G1357*AQ1357</f>
        <v>0</v>
      </c>
      <c r="AZ1357" s="56">
        <f>G1357*AR1357</f>
        <v>0</v>
      </c>
      <c r="BA1357" s="21" t="s">
        <v>1630</v>
      </c>
      <c r="BB1357" s="21" t="s">
        <v>343</v>
      </c>
      <c r="BC1357" s="7" t="s">
        <v>2605</v>
      </c>
      <c r="BE1357" s="56">
        <f>AY1357+AZ1357</f>
        <v>0</v>
      </c>
      <c r="BF1357" s="56">
        <f>H1357/(100-BG1357)*100</f>
        <v>0</v>
      </c>
      <c r="BG1357" s="56">
        <v>0</v>
      </c>
      <c r="BH1357" s="56">
        <f>M1357</f>
        <v>1.11276E-2</v>
      </c>
      <c r="BJ1357" s="56">
        <f>G1357*AQ1357</f>
        <v>0</v>
      </c>
      <c r="BK1357" s="56">
        <f>G1357*AR1357</f>
        <v>0</v>
      </c>
      <c r="BL1357" s="56">
        <f>G1357*H1357</f>
        <v>0</v>
      </c>
      <c r="BM1357" s="56"/>
      <c r="BN1357" s="56">
        <v>15</v>
      </c>
    </row>
    <row r="1358" spans="1:66" ht="15" customHeight="1">
      <c r="A1358" s="36"/>
      <c r="D1358" s="45" t="s">
        <v>1886</v>
      </c>
      <c r="E1358" s="104" t="s">
        <v>1597</v>
      </c>
      <c r="G1358" s="13">
        <v>11.24</v>
      </c>
      <c r="N1358" s="19"/>
      <c r="P1358" s="592"/>
      <c r="Q1358" s="592"/>
      <c r="R1358" s="592"/>
      <c r="S1358" s="592"/>
      <c r="T1358" s="592"/>
      <c r="U1358" s="592"/>
      <c r="V1358" s="592"/>
      <c r="W1358" s="592"/>
      <c r="X1358" s="592"/>
    </row>
    <row r="1359" spans="1:66" ht="15" customHeight="1">
      <c r="A1359" s="24" t="s">
        <v>1428</v>
      </c>
      <c r="B1359" s="12" t="s">
        <v>902</v>
      </c>
      <c r="C1359" s="12" t="s">
        <v>1560</v>
      </c>
      <c r="D1359" s="630" t="s">
        <v>2239</v>
      </c>
      <c r="E1359" s="630"/>
      <c r="F1359" s="12" t="s">
        <v>2274</v>
      </c>
      <c r="G1359" s="56">
        <v>11.24</v>
      </c>
      <c r="H1359" s="625"/>
      <c r="I1359" s="56">
        <f>G1359*AQ1359</f>
        <v>0</v>
      </c>
      <c r="J1359" s="56">
        <f>G1359*AR1359</f>
        <v>0</v>
      </c>
      <c r="K1359" s="56">
        <f>G1359*H1359</f>
        <v>0</v>
      </c>
      <c r="L1359" s="56">
        <v>0</v>
      </c>
      <c r="M1359" s="56">
        <f>G1359*L1359</f>
        <v>0</v>
      </c>
      <c r="N1359" s="31" t="s">
        <v>1579</v>
      </c>
      <c r="P1359" s="592"/>
      <c r="Q1359" s="592"/>
      <c r="R1359" s="592"/>
      <c r="S1359" s="592"/>
      <c r="T1359" s="592"/>
      <c r="U1359" s="592"/>
      <c r="V1359" s="592"/>
      <c r="W1359" s="592"/>
      <c r="X1359" s="592"/>
      <c r="AB1359" s="56">
        <f>IF(AS1359="5",BL1359,0)</f>
        <v>0</v>
      </c>
      <c r="AD1359" s="56">
        <f>IF(AS1359="1",BJ1359,0)</f>
        <v>0</v>
      </c>
      <c r="AE1359" s="56">
        <f>IF(AS1359="1",BK1359,0)</f>
        <v>0</v>
      </c>
      <c r="AF1359" s="56">
        <f>IF(AS1359="7",BJ1359,0)</f>
        <v>0</v>
      </c>
      <c r="AG1359" s="56">
        <f>IF(AS1359="7",BK1359,0)</f>
        <v>0</v>
      </c>
      <c r="AH1359" s="56">
        <f>IF(AS1359="2",BJ1359,0)</f>
        <v>0</v>
      </c>
      <c r="AI1359" s="56">
        <f>IF(AS1359="2",BK1359,0)</f>
        <v>0</v>
      </c>
      <c r="AJ1359" s="56">
        <f>IF(AS1359="0",BL1359,0)</f>
        <v>0</v>
      </c>
      <c r="AK1359" s="7" t="s">
        <v>902</v>
      </c>
      <c r="AL1359" s="56">
        <f>IF(AP1359=0,K1359,0)</f>
        <v>0</v>
      </c>
      <c r="AM1359" s="56">
        <f>IF(AP1359=15,K1359,0)</f>
        <v>0</v>
      </c>
      <c r="AN1359" s="56">
        <f>IF(AP1359=21,K1359,0)</f>
        <v>0</v>
      </c>
      <c r="AP1359" s="56">
        <v>21</v>
      </c>
      <c r="AQ1359" s="88">
        <f>H1359*0</f>
        <v>0</v>
      </c>
      <c r="AR1359" s="88">
        <f>H1359*(1-0)</f>
        <v>0</v>
      </c>
      <c r="AS1359" s="21" t="s">
        <v>2297</v>
      </c>
      <c r="AX1359" s="56">
        <f>AY1359+AZ1359</f>
        <v>0</v>
      </c>
      <c r="AY1359" s="56">
        <f>G1359*AQ1359</f>
        <v>0</v>
      </c>
      <c r="AZ1359" s="56">
        <f>G1359*AR1359</f>
        <v>0</v>
      </c>
      <c r="BA1359" s="21" t="s">
        <v>1630</v>
      </c>
      <c r="BB1359" s="21" t="s">
        <v>343</v>
      </c>
      <c r="BC1359" s="7" t="s">
        <v>2605</v>
      </c>
      <c r="BE1359" s="56">
        <f>AY1359+AZ1359</f>
        <v>0</v>
      </c>
      <c r="BF1359" s="56">
        <f>H1359/(100-BG1359)*100</f>
        <v>0</v>
      </c>
      <c r="BG1359" s="56">
        <v>0</v>
      </c>
      <c r="BH1359" s="56">
        <f>M1359</f>
        <v>0</v>
      </c>
      <c r="BJ1359" s="56">
        <f>G1359*AQ1359</f>
        <v>0</v>
      </c>
      <c r="BK1359" s="56">
        <f>G1359*AR1359</f>
        <v>0</v>
      </c>
      <c r="BL1359" s="56">
        <f>G1359*H1359</f>
        <v>0</v>
      </c>
      <c r="BM1359" s="56"/>
      <c r="BN1359" s="56">
        <v>15</v>
      </c>
    </row>
    <row r="1360" spans="1:66" ht="15" customHeight="1">
      <c r="A1360" s="36"/>
      <c r="D1360" s="45" t="s">
        <v>1886</v>
      </c>
      <c r="E1360" s="104" t="s">
        <v>1597</v>
      </c>
      <c r="G1360" s="13">
        <v>11.24</v>
      </c>
      <c r="N1360" s="19"/>
      <c r="P1360" s="592"/>
      <c r="Q1360" s="592"/>
      <c r="R1360" s="592"/>
      <c r="S1360" s="592"/>
      <c r="T1360" s="592"/>
      <c r="U1360" s="592"/>
      <c r="V1360" s="592"/>
      <c r="W1360" s="592"/>
      <c r="X1360" s="592"/>
    </row>
    <row r="1361" spans="1:66" ht="15" customHeight="1">
      <c r="A1361" s="24" t="s">
        <v>785</v>
      </c>
      <c r="B1361" s="12" t="s">
        <v>902</v>
      </c>
      <c r="C1361" s="12" t="s">
        <v>1559</v>
      </c>
      <c r="D1361" s="630" t="s">
        <v>1379</v>
      </c>
      <c r="E1361" s="630"/>
      <c r="F1361" s="12" t="s">
        <v>2274</v>
      </c>
      <c r="G1361" s="56">
        <v>89.54</v>
      </c>
      <c r="H1361" s="625"/>
      <c r="I1361" s="56">
        <f>G1361*AQ1361</f>
        <v>0</v>
      </c>
      <c r="J1361" s="56">
        <f>G1361*AR1361</f>
        <v>0</v>
      </c>
      <c r="K1361" s="56">
        <f>G1361*H1361</f>
        <v>0</v>
      </c>
      <c r="L1361" s="56">
        <v>6.9999999999999999E-4</v>
      </c>
      <c r="M1361" s="56">
        <f>G1361*L1361</f>
        <v>6.2677999999999998E-2</v>
      </c>
      <c r="N1361" s="31" t="s">
        <v>1579</v>
      </c>
      <c r="P1361" s="592"/>
      <c r="Q1361" s="592"/>
      <c r="R1361" s="592"/>
      <c r="S1361" s="592"/>
      <c r="T1361" s="592"/>
      <c r="U1361" s="592"/>
      <c r="V1361" s="592"/>
      <c r="W1361" s="592"/>
      <c r="X1361" s="592"/>
      <c r="AB1361" s="56">
        <f>IF(AS1361="5",BL1361,0)</f>
        <v>0</v>
      </c>
      <c r="AD1361" s="56">
        <f>IF(AS1361="1",BJ1361,0)</f>
        <v>0</v>
      </c>
      <c r="AE1361" s="56">
        <f>IF(AS1361="1",BK1361,0)</f>
        <v>0</v>
      </c>
      <c r="AF1361" s="56">
        <f>IF(AS1361="7",BJ1361,0)</f>
        <v>0</v>
      </c>
      <c r="AG1361" s="56">
        <f>IF(AS1361="7",BK1361,0)</f>
        <v>0</v>
      </c>
      <c r="AH1361" s="56">
        <f>IF(AS1361="2",BJ1361,0)</f>
        <v>0</v>
      </c>
      <c r="AI1361" s="56">
        <f>IF(AS1361="2",BK1361,0)</f>
        <v>0</v>
      </c>
      <c r="AJ1361" s="56">
        <f>IF(AS1361="0",BL1361,0)</f>
        <v>0</v>
      </c>
      <c r="AK1361" s="7" t="s">
        <v>902</v>
      </c>
      <c r="AL1361" s="56">
        <f>IF(AP1361=0,K1361,0)</f>
        <v>0</v>
      </c>
      <c r="AM1361" s="56">
        <f>IF(AP1361=15,K1361,0)</f>
        <v>0</v>
      </c>
      <c r="AN1361" s="56">
        <f>IF(AP1361=21,K1361,0)</f>
        <v>0</v>
      </c>
      <c r="AP1361" s="56">
        <v>21</v>
      </c>
      <c r="AQ1361" s="88">
        <f>H1361*0.19728813559322</f>
        <v>0</v>
      </c>
      <c r="AR1361" s="88">
        <f>H1361*(1-0.19728813559322)</f>
        <v>0</v>
      </c>
      <c r="AS1361" s="21" t="s">
        <v>2297</v>
      </c>
      <c r="AX1361" s="56">
        <f>AY1361+AZ1361</f>
        <v>0</v>
      </c>
      <c r="AY1361" s="56">
        <f>G1361*AQ1361</f>
        <v>0</v>
      </c>
      <c r="AZ1361" s="56">
        <f>G1361*AR1361</f>
        <v>0</v>
      </c>
      <c r="BA1361" s="21" t="s">
        <v>1630</v>
      </c>
      <c r="BB1361" s="21" t="s">
        <v>343</v>
      </c>
      <c r="BC1361" s="7" t="s">
        <v>2605</v>
      </c>
      <c r="BE1361" s="56">
        <f>AY1361+AZ1361</f>
        <v>0</v>
      </c>
      <c r="BF1361" s="56">
        <f>H1361/(100-BG1361)*100</f>
        <v>0</v>
      </c>
      <c r="BG1361" s="56">
        <v>0</v>
      </c>
      <c r="BH1361" s="56">
        <f>M1361</f>
        <v>6.2677999999999998E-2</v>
      </c>
      <c r="BJ1361" s="56">
        <f>G1361*AQ1361</f>
        <v>0</v>
      </c>
      <c r="BK1361" s="56">
        <f>G1361*AR1361</f>
        <v>0</v>
      </c>
      <c r="BL1361" s="56">
        <f>G1361*H1361</f>
        <v>0</v>
      </c>
      <c r="BM1361" s="56"/>
      <c r="BN1361" s="56">
        <v>15</v>
      </c>
    </row>
    <row r="1362" spans="1:66" ht="15" customHeight="1">
      <c r="A1362" s="36"/>
      <c r="D1362" s="45" t="s">
        <v>591</v>
      </c>
      <c r="E1362" s="104" t="s">
        <v>1597</v>
      </c>
      <c r="G1362" s="13">
        <v>89.54</v>
      </c>
      <c r="N1362" s="19"/>
      <c r="P1362" s="592"/>
      <c r="Q1362" s="592"/>
      <c r="R1362" s="592"/>
      <c r="S1362" s="592"/>
      <c r="T1362" s="592"/>
      <c r="U1362" s="592"/>
      <c r="V1362" s="592"/>
      <c r="W1362" s="592"/>
      <c r="X1362" s="592"/>
    </row>
    <row r="1363" spans="1:66" ht="15" customHeight="1">
      <c r="A1363" s="24" t="s">
        <v>1690</v>
      </c>
      <c r="B1363" s="12" t="s">
        <v>902</v>
      </c>
      <c r="C1363" s="12" t="s">
        <v>1491</v>
      </c>
      <c r="D1363" s="630" t="s">
        <v>368</v>
      </c>
      <c r="E1363" s="630"/>
      <c r="F1363" s="12" t="s">
        <v>2236</v>
      </c>
      <c r="G1363" s="56">
        <v>89.54</v>
      </c>
      <c r="H1363" s="625"/>
      <c r="I1363" s="56">
        <f>G1363*AQ1363</f>
        <v>0</v>
      </c>
      <c r="J1363" s="56">
        <f>G1363*AR1363</f>
        <v>0</v>
      </c>
      <c r="K1363" s="56">
        <f>G1363*H1363</f>
        <v>0</v>
      </c>
      <c r="L1363" s="56">
        <v>0</v>
      </c>
      <c r="M1363" s="56">
        <f>G1363*L1363</f>
        <v>0</v>
      </c>
      <c r="N1363" s="31" t="s">
        <v>1579</v>
      </c>
      <c r="P1363" s="592"/>
      <c r="Q1363" s="592"/>
      <c r="R1363" s="592"/>
      <c r="S1363" s="592"/>
      <c r="T1363" s="592"/>
      <c r="U1363" s="592"/>
      <c r="V1363" s="592"/>
      <c r="W1363" s="592"/>
      <c r="X1363" s="592"/>
      <c r="AB1363" s="56">
        <f>IF(AS1363="5",BL1363,0)</f>
        <v>0</v>
      </c>
      <c r="AD1363" s="56">
        <f>IF(AS1363="1",BJ1363,0)</f>
        <v>0</v>
      </c>
      <c r="AE1363" s="56">
        <f>IF(AS1363="1",BK1363,0)</f>
        <v>0</v>
      </c>
      <c r="AF1363" s="56">
        <f>IF(AS1363="7",BJ1363,0)</f>
        <v>0</v>
      </c>
      <c r="AG1363" s="56">
        <f>IF(AS1363="7",BK1363,0)</f>
        <v>0</v>
      </c>
      <c r="AH1363" s="56">
        <f>IF(AS1363="2",BJ1363,0)</f>
        <v>0</v>
      </c>
      <c r="AI1363" s="56">
        <f>IF(AS1363="2",BK1363,0)</f>
        <v>0</v>
      </c>
      <c r="AJ1363" s="56">
        <f>IF(AS1363="0",BL1363,0)</f>
        <v>0</v>
      </c>
      <c r="AK1363" s="7" t="s">
        <v>902</v>
      </c>
      <c r="AL1363" s="56">
        <f>IF(AP1363=0,K1363,0)</f>
        <v>0</v>
      </c>
      <c r="AM1363" s="56">
        <f>IF(AP1363=15,K1363,0)</f>
        <v>0</v>
      </c>
      <c r="AN1363" s="56">
        <f>IF(AP1363=21,K1363,0)</f>
        <v>0</v>
      </c>
      <c r="AP1363" s="56">
        <v>21</v>
      </c>
      <c r="AQ1363" s="88">
        <f>H1363*0</f>
        <v>0</v>
      </c>
      <c r="AR1363" s="88">
        <f>H1363*(1-0)</f>
        <v>0</v>
      </c>
      <c r="AS1363" s="21" t="s">
        <v>2297</v>
      </c>
      <c r="AX1363" s="56">
        <f>AY1363+AZ1363</f>
        <v>0</v>
      </c>
      <c r="AY1363" s="56">
        <f>G1363*AQ1363</f>
        <v>0</v>
      </c>
      <c r="AZ1363" s="56">
        <f>G1363*AR1363</f>
        <v>0</v>
      </c>
      <c r="BA1363" s="21" t="s">
        <v>1630</v>
      </c>
      <c r="BB1363" s="21" t="s">
        <v>343</v>
      </c>
      <c r="BC1363" s="7" t="s">
        <v>2605</v>
      </c>
      <c r="BE1363" s="56">
        <f>AY1363+AZ1363</f>
        <v>0</v>
      </c>
      <c r="BF1363" s="56">
        <f>H1363/(100-BG1363)*100</f>
        <v>0</v>
      </c>
      <c r="BG1363" s="56">
        <v>0</v>
      </c>
      <c r="BH1363" s="56">
        <f>M1363</f>
        <v>0</v>
      </c>
      <c r="BJ1363" s="56">
        <f>G1363*AQ1363</f>
        <v>0</v>
      </c>
      <c r="BK1363" s="56">
        <f>G1363*AR1363</f>
        <v>0</v>
      </c>
      <c r="BL1363" s="56">
        <f>G1363*H1363</f>
        <v>0</v>
      </c>
      <c r="BM1363" s="56"/>
      <c r="BN1363" s="56">
        <v>15</v>
      </c>
    </row>
    <row r="1364" spans="1:66" ht="15" customHeight="1">
      <c r="A1364" s="36"/>
      <c r="D1364" s="45" t="s">
        <v>591</v>
      </c>
      <c r="E1364" s="104" t="s">
        <v>1597</v>
      </c>
      <c r="G1364" s="13">
        <v>89.54</v>
      </c>
      <c r="N1364" s="19"/>
      <c r="P1364" s="592"/>
      <c r="Q1364" s="592"/>
      <c r="R1364" s="592"/>
      <c r="S1364" s="592"/>
      <c r="T1364" s="592"/>
      <c r="U1364" s="592"/>
      <c r="V1364" s="592"/>
      <c r="W1364" s="592"/>
      <c r="X1364" s="592"/>
    </row>
    <row r="1365" spans="1:66" ht="15" customHeight="1">
      <c r="A1365" s="32" t="s">
        <v>1597</v>
      </c>
      <c r="B1365" s="26" t="s">
        <v>902</v>
      </c>
      <c r="C1365" s="573" t="s">
        <v>213</v>
      </c>
      <c r="D1365" s="709" t="s">
        <v>1935</v>
      </c>
      <c r="E1365" s="709"/>
      <c r="F1365" s="46" t="s">
        <v>2144</v>
      </c>
      <c r="G1365" s="46" t="s">
        <v>2144</v>
      </c>
      <c r="H1365" s="46" t="s">
        <v>2144</v>
      </c>
      <c r="I1365" s="17">
        <f>SUM(I1366:I1366)</f>
        <v>0</v>
      </c>
      <c r="J1365" s="17">
        <f>SUM(J1366:J1366)</f>
        <v>0</v>
      </c>
      <c r="K1365" s="572">
        <f>SUM(K1366:K1366)</f>
        <v>0</v>
      </c>
      <c r="L1365" s="7" t="s">
        <v>1597</v>
      </c>
      <c r="M1365" s="17">
        <f>SUM(M1366:M1366)</f>
        <v>0</v>
      </c>
      <c r="N1365" s="20" t="s">
        <v>1597</v>
      </c>
      <c r="P1365" s="592"/>
      <c r="Q1365" s="592"/>
      <c r="R1365" s="592"/>
      <c r="S1365" s="592"/>
      <c r="T1365" s="592"/>
      <c r="U1365" s="592"/>
      <c r="V1365" s="592"/>
      <c r="W1365" s="592"/>
      <c r="X1365" s="592"/>
      <c r="AK1365" s="7" t="s">
        <v>902</v>
      </c>
      <c r="AU1365" s="17">
        <f>SUM(AL1366:AL1366)</f>
        <v>0</v>
      </c>
      <c r="AV1365" s="17">
        <f>SUM(AM1366:AM1366)</f>
        <v>0</v>
      </c>
      <c r="AW1365" s="17">
        <f>SUM(AN1366:AN1366)</f>
        <v>0</v>
      </c>
    </row>
    <row r="1366" spans="1:66" ht="15" customHeight="1">
      <c r="A1366" s="24" t="s">
        <v>1475</v>
      </c>
      <c r="B1366" s="12" t="s">
        <v>902</v>
      </c>
      <c r="C1366" s="12" t="s">
        <v>1988</v>
      </c>
      <c r="D1366" s="630" t="s">
        <v>1576</v>
      </c>
      <c r="E1366" s="630"/>
      <c r="F1366" s="12" t="s">
        <v>2236</v>
      </c>
      <c r="G1366" s="56">
        <v>86.98</v>
      </c>
      <c r="H1366" s="625"/>
      <c r="I1366" s="56">
        <f>G1366*AQ1366</f>
        <v>0</v>
      </c>
      <c r="J1366" s="56">
        <f>G1366*AR1366</f>
        <v>0</v>
      </c>
      <c r="K1366" s="56">
        <f>G1366*H1366</f>
        <v>0</v>
      </c>
      <c r="L1366" s="56">
        <v>0</v>
      </c>
      <c r="M1366" s="56">
        <f>G1366*L1366</f>
        <v>0</v>
      </c>
      <c r="N1366" s="31" t="s">
        <v>1579</v>
      </c>
      <c r="P1366" s="592"/>
      <c r="Q1366" s="592"/>
      <c r="R1366" s="592"/>
      <c r="S1366" s="592"/>
      <c r="T1366" s="592"/>
      <c r="U1366" s="592"/>
      <c r="V1366" s="592"/>
      <c r="W1366" s="592"/>
      <c r="X1366" s="592"/>
      <c r="AB1366" s="56">
        <f>IF(AS1366="5",BL1366,0)</f>
        <v>0</v>
      </c>
      <c r="AD1366" s="56">
        <f>IF(AS1366="1",BJ1366,0)</f>
        <v>0</v>
      </c>
      <c r="AE1366" s="56">
        <f>IF(AS1366="1",BK1366,0)</f>
        <v>0</v>
      </c>
      <c r="AF1366" s="56">
        <f>IF(AS1366="7",BJ1366,0)</f>
        <v>0</v>
      </c>
      <c r="AG1366" s="56">
        <f>IF(AS1366="7",BK1366,0)</f>
        <v>0</v>
      </c>
      <c r="AH1366" s="56">
        <f>IF(AS1366="2",BJ1366,0)</f>
        <v>0</v>
      </c>
      <c r="AI1366" s="56">
        <f>IF(AS1366="2",BK1366,0)</f>
        <v>0</v>
      </c>
      <c r="AJ1366" s="56">
        <f>IF(AS1366="0",BL1366,0)</f>
        <v>0</v>
      </c>
      <c r="AK1366" s="7" t="s">
        <v>902</v>
      </c>
      <c r="AL1366" s="56">
        <f>IF(AP1366=0,K1366,0)</f>
        <v>0</v>
      </c>
      <c r="AM1366" s="56">
        <f>IF(AP1366=15,K1366,0)</f>
        <v>0</v>
      </c>
      <c r="AN1366" s="56">
        <f>IF(AP1366=21,K1366,0)</f>
        <v>0</v>
      </c>
      <c r="AP1366" s="56">
        <v>21</v>
      </c>
      <c r="AQ1366" s="88">
        <f>H1366*0</f>
        <v>0</v>
      </c>
      <c r="AR1366" s="88">
        <f>H1366*(1-0)</f>
        <v>0</v>
      </c>
      <c r="AS1366" s="21" t="s">
        <v>2297</v>
      </c>
      <c r="AX1366" s="56">
        <f>AY1366+AZ1366</f>
        <v>0</v>
      </c>
      <c r="AY1366" s="56">
        <f>G1366*AQ1366</f>
        <v>0</v>
      </c>
      <c r="AZ1366" s="56">
        <f>G1366*AR1366</f>
        <v>0</v>
      </c>
      <c r="BA1366" s="21" t="s">
        <v>2150</v>
      </c>
      <c r="BB1366" s="21" t="s">
        <v>343</v>
      </c>
      <c r="BC1366" s="7" t="s">
        <v>2605</v>
      </c>
      <c r="BE1366" s="56">
        <f>AY1366+AZ1366</f>
        <v>0</v>
      </c>
      <c r="BF1366" s="56">
        <f>H1366/(100-BG1366)*100</f>
        <v>0</v>
      </c>
      <c r="BG1366" s="56">
        <v>0</v>
      </c>
      <c r="BH1366" s="56">
        <f>M1366</f>
        <v>0</v>
      </c>
      <c r="BJ1366" s="56">
        <f>G1366*AQ1366</f>
        <v>0</v>
      </c>
      <c r="BK1366" s="56">
        <f>G1366*AR1366</f>
        <v>0</v>
      </c>
      <c r="BL1366" s="56">
        <f>G1366*H1366</f>
        <v>0</v>
      </c>
      <c r="BM1366" s="56"/>
      <c r="BN1366" s="56">
        <v>16</v>
      </c>
    </row>
    <row r="1367" spans="1:66" ht="15" customHeight="1">
      <c r="A1367" s="36"/>
      <c r="D1367" s="45" t="s">
        <v>1615</v>
      </c>
      <c r="E1367" s="104" t="s">
        <v>1597</v>
      </c>
      <c r="G1367" s="13">
        <v>86.98</v>
      </c>
      <c r="N1367" s="19"/>
      <c r="P1367" s="592"/>
      <c r="Q1367" s="592"/>
      <c r="R1367" s="592"/>
      <c r="S1367" s="592"/>
      <c r="T1367" s="592"/>
      <c r="U1367" s="592"/>
      <c r="V1367" s="592"/>
      <c r="W1367" s="592"/>
      <c r="X1367" s="592"/>
    </row>
    <row r="1368" spans="1:66" ht="15" customHeight="1">
      <c r="A1368" s="32" t="s">
        <v>1597</v>
      </c>
      <c r="B1368" s="26" t="s">
        <v>902</v>
      </c>
      <c r="C1368" s="573" t="s">
        <v>1605</v>
      </c>
      <c r="D1368" s="709" t="s">
        <v>300</v>
      </c>
      <c r="E1368" s="709"/>
      <c r="F1368" s="46" t="s">
        <v>2144</v>
      </c>
      <c r="G1368" s="46" t="s">
        <v>2144</v>
      </c>
      <c r="H1368" s="46" t="s">
        <v>2144</v>
      </c>
      <c r="I1368" s="17">
        <f>SUM(I1369:I1371)</f>
        <v>0</v>
      </c>
      <c r="J1368" s="17">
        <f>SUM(J1369:J1371)</f>
        <v>0</v>
      </c>
      <c r="K1368" s="572">
        <f>SUM(K1369:K1371)</f>
        <v>0</v>
      </c>
      <c r="L1368" s="7" t="s">
        <v>1597</v>
      </c>
      <c r="M1368" s="17">
        <f>SUM(M1369:M1371)</f>
        <v>58.701000000000001</v>
      </c>
      <c r="N1368" s="20" t="s">
        <v>1597</v>
      </c>
      <c r="P1368" s="592"/>
      <c r="Q1368" s="592"/>
      <c r="R1368" s="592"/>
      <c r="S1368" s="592"/>
      <c r="T1368" s="592"/>
      <c r="U1368" s="592"/>
      <c r="V1368" s="592"/>
      <c r="W1368" s="592"/>
      <c r="X1368" s="592"/>
      <c r="AK1368" s="7" t="s">
        <v>902</v>
      </c>
      <c r="AU1368" s="17">
        <f>SUM(AL1369:AL1371)</f>
        <v>0</v>
      </c>
      <c r="AV1368" s="17">
        <f>SUM(AM1369:AM1371)</f>
        <v>0</v>
      </c>
      <c r="AW1368" s="17">
        <f>SUM(AN1369:AN1371)</f>
        <v>0</v>
      </c>
    </row>
    <row r="1369" spans="1:66" ht="15" customHeight="1">
      <c r="A1369" s="24" t="s">
        <v>883</v>
      </c>
      <c r="B1369" s="12" t="s">
        <v>902</v>
      </c>
      <c r="C1369" s="12" t="s">
        <v>2039</v>
      </c>
      <c r="D1369" s="630" t="s">
        <v>2323</v>
      </c>
      <c r="E1369" s="630"/>
      <c r="F1369" s="12" t="s">
        <v>2236</v>
      </c>
      <c r="G1369" s="56">
        <v>34.53</v>
      </c>
      <c r="H1369" s="625"/>
      <c r="I1369" s="56">
        <f>G1369*AQ1369</f>
        <v>0</v>
      </c>
      <c r="J1369" s="56">
        <f>G1369*AR1369</f>
        <v>0</v>
      </c>
      <c r="K1369" s="56">
        <f>G1369*H1369</f>
        <v>0</v>
      </c>
      <c r="L1369" s="56">
        <v>1.7</v>
      </c>
      <c r="M1369" s="56">
        <f>G1369*L1369</f>
        <v>58.701000000000001</v>
      </c>
      <c r="N1369" s="31" t="s">
        <v>1579</v>
      </c>
      <c r="P1369" s="592"/>
      <c r="Q1369" s="592"/>
      <c r="R1369" s="592"/>
      <c r="S1369" s="592"/>
      <c r="T1369" s="592"/>
      <c r="U1369" s="592"/>
      <c r="V1369" s="592"/>
      <c r="W1369" s="592"/>
      <c r="X1369" s="592"/>
      <c r="AB1369" s="56">
        <f>IF(AS1369="5",BL1369,0)</f>
        <v>0</v>
      </c>
      <c r="AD1369" s="56">
        <f>IF(AS1369="1",BJ1369,0)</f>
        <v>0</v>
      </c>
      <c r="AE1369" s="56">
        <f>IF(AS1369="1",BK1369,0)</f>
        <v>0</v>
      </c>
      <c r="AF1369" s="56">
        <f>IF(AS1369="7",BJ1369,0)</f>
        <v>0</v>
      </c>
      <c r="AG1369" s="56">
        <f>IF(AS1369="7",BK1369,0)</f>
        <v>0</v>
      </c>
      <c r="AH1369" s="56">
        <f>IF(AS1369="2",BJ1369,0)</f>
        <v>0</v>
      </c>
      <c r="AI1369" s="56">
        <f>IF(AS1369="2",BK1369,0)</f>
        <v>0</v>
      </c>
      <c r="AJ1369" s="56">
        <f>IF(AS1369="0",BL1369,0)</f>
        <v>0</v>
      </c>
      <c r="AK1369" s="7" t="s">
        <v>902</v>
      </c>
      <c r="AL1369" s="56">
        <f>IF(AP1369=0,K1369,0)</f>
        <v>0</v>
      </c>
      <c r="AM1369" s="56">
        <f>IF(AP1369=15,K1369,0)</f>
        <v>0</v>
      </c>
      <c r="AN1369" s="56">
        <f>IF(AP1369=21,K1369,0)</f>
        <v>0</v>
      </c>
      <c r="AP1369" s="56">
        <v>21</v>
      </c>
      <c r="AQ1369" s="88">
        <f>H1369*0.503380714937462</f>
        <v>0</v>
      </c>
      <c r="AR1369" s="88">
        <f>H1369*(1-0.503380714937462)</f>
        <v>0</v>
      </c>
      <c r="AS1369" s="21" t="s">
        <v>2297</v>
      </c>
      <c r="AX1369" s="56">
        <f>AY1369+AZ1369</f>
        <v>0</v>
      </c>
      <c r="AY1369" s="56">
        <f>G1369*AQ1369</f>
        <v>0</v>
      </c>
      <c r="AZ1369" s="56">
        <f>G1369*AR1369</f>
        <v>0</v>
      </c>
      <c r="BA1369" s="21" t="s">
        <v>470</v>
      </c>
      <c r="BB1369" s="21" t="s">
        <v>343</v>
      </c>
      <c r="BC1369" s="7" t="s">
        <v>2605</v>
      </c>
      <c r="BE1369" s="56">
        <f>AY1369+AZ1369</f>
        <v>0</v>
      </c>
      <c r="BF1369" s="56">
        <f>H1369/(100-BG1369)*100</f>
        <v>0</v>
      </c>
      <c r="BG1369" s="56">
        <v>0</v>
      </c>
      <c r="BH1369" s="56">
        <f>M1369</f>
        <v>58.701000000000001</v>
      </c>
      <c r="BJ1369" s="56">
        <f>G1369*AQ1369</f>
        <v>0</v>
      </c>
      <c r="BK1369" s="56">
        <f>G1369*AR1369</f>
        <v>0</v>
      </c>
      <c r="BL1369" s="56">
        <f>G1369*H1369</f>
        <v>0</v>
      </c>
      <c r="BM1369" s="56"/>
      <c r="BN1369" s="56">
        <v>17</v>
      </c>
    </row>
    <row r="1370" spans="1:66" ht="15" customHeight="1">
      <c r="A1370" s="36"/>
      <c r="D1370" s="45" t="s">
        <v>1065</v>
      </c>
      <c r="E1370" s="104" t="s">
        <v>1597</v>
      </c>
      <c r="G1370" s="13">
        <v>34.53</v>
      </c>
      <c r="N1370" s="19"/>
      <c r="P1370" s="592"/>
      <c r="Q1370" s="592"/>
      <c r="R1370" s="592"/>
      <c r="S1370" s="592"/>
      <c r="T1370" s="592"/>
      <c r="U1370" s="592"/>
      <c r="V1370" s="592"/>
      <c r="W1370" s="592"/>
      <c r="X1370" s="592"/>
    </row>
    <row r="1371" spans="1:66" ht="15" customHeight="1">
      <c r="A1371" s="24" t="s">
        <v>1353</v>
      </c>
      <c r="B1371" s="12" t="s">
        <v>902</v>
      </c>
      <c r="C1371" s="12" t="s">
        <v>1170</v>
      </c>
      <c r="D1371" s="630" t="s">
        <v>457</v>
      </c>
      <c r="E1371" s="630"/>
      <c r="F1371" s="12" t="s">
        <v>2236</v>
      </c>
      <c r="G1371" s="56">
        <v>129</v>
      </c>
      <c r="H1371" s="625"/>
      <c r="I1371" s="56">
        <f>G1371*AQ1371</f>
        <v>0</v>
      </c>
      <c r="J1371" s="56">
        <f>G1371*AR1371</f>
        <v>0</v>
      </c>
      <c r="K1371" s="56">
        <f>G1371*H1371</f>
        <v>0</v>
      </c>
      <c r="L1371" s="56">
        <v>0</v>
      </c>
      <c r="M1371" s="56">
        <f>G1371*L1371</f>
        <v>0</v>
      </c>
      <c r="N1371" s="31" t="s">
        <v>1579</v>
      </c>
      <c r="P1371" s="592"/>
      <c r="Q1371" s="592"/>
      <c r="R1371" s="592"/>
      <c r="S1371" s="592"/>
      <c r="T1371" s="592"/>
      <c r="U1371" s="592"/>
      <c r="V1371" s="592"/>
      <c r="W1371" s="592"/>
      <c r="X1371" s="592"/>
      <c r="AB1371" s="56">
        <f>IF(AS1371="5",BL1371,0)</f>
        <v>0</v>
      </c>
      <c r="AD1371" s="56">
        <f>IF(AS1371="1",BJ1371,0)</f>
        <v>0</v>
      </c>
      <c r="AE1371" s="56">
        <f>IF(AS1371="1",BK1371,0)</f>
        <v>0</v>
      </c>
      <c r="AF1371" s="56">
        <f>IF(AS1371="7",BJ1371,0)</f>
        <v>0</v>
      </c>
      <c r="AG1371" s="56">
        <f>IF(AS1371="7",BK1371,0)</f>
        <v>0</v>
      </c>
      <c r="AH1371" s="56">
        <f>IF(AS1371="2",BJ1371,0)</f>
        <v>0</v>
      </c>
      <c r="AI1371" s="56">
        <f>IF(AS1371="2",BK1371,0)</f>
        <v>0</v>
      </c>
      <c r="AJ1371" s="56">
        <f>IF(AS1371="0",BL1371,0)</f>
        <v>0</v>
      </c>
      <c r="AK1371" s="7" t="s">
        <v>902</v>
      </c>
      <c r="AL1371" s="56">
        <f>IF(AP1371=0,K1371,0)</f>
        <v>0</v>
      </c>
      <c r="AM1371" s="56">
        <f>IF(AP1371=15,K1371,0)</f>
        <v>0</v>
      </c>
      <c r="AN1371" s="56">
        <f>IF(AP1371=21,K1371,0)</f>
        <v>0</v>
      </c>
      <c r="AP1371" s="56">
        <v>21</v>
      </c>
      <c r="AQ1371" s="88">
        <f>H1371*0</f>
        <v>0</v>
      </c>
      <c r="AR1371" s="88">
        <f>H1371*(1-0)</f>
        <v>0</v>
      </c>
      <c r="AS1371" s="21" t="s">
        <v>2297</v>
      </c>
      <c r="AX1371" s="56">
        <f>AY1371+AZ1371</f>
        <v>0</v>
      </c>
      <c r="AY1371" s="56">
        <f>G1371*AQ1371</f>
        <v>0</v>
      </c>
      <c r="AZ1371" s="56">
        <f>G1371*AR1371</f>
        <v>0</v>
      </c>
      <c r="BA1371" s="21" t="s">
        <v>470</v>
      </c>
      <c r="BB1371" s="21" t="s">
        <v>343</v>
      </c>
      <c r="BC1371" s="7" t="s">
        <v>2605</v>
      </c>
      <c r="BE1371" s="56">
        <f>AY1371+AZ1371</f>
        <v>0</v>
      </c>
      <c r="BF1371" s="56">
        <f>H1371/(100-BG1371)*100</f>
        <v>0</v>
      </c>
      <c r="BG1371" s="56">
        <v>0</v>
      </c>
      <c r="BH1371" s="56">
        <f>M1371</f>
        <v>0</v>
      </c>
      <c r="BJ1371" s="56">
        <f>G1371*AQ1371</f>
        <v>0</v>
      </c>
      <c r="BK1371" s="56">
        <f>G1371*AR1371</f>
        <v>0</v>
      </c>
      <c r="BL1371" s="56">
        <f>G1371*H1371</f>
        <v>0</v>
      </c>
      <c r="BM1371" s="56"/>
      <c r="BN1371" s="56">
        <v>17</v>
      </c>
    </row>
    <row r="1372" spans="1:66" ht="15" customHeight="1">
      <c r="A1372" s="36"/>
      <c r="D1372" s="45" t="s">
        <v>1757</v>
      </c>
      <c r="E1372" s="104" t="s">
        <v>1597</v>
      </c>
      <c r="G1372" s="13">
        <v>129</v>
      </c>
      <c r="N1372" s="19"/>
      <c r="P1372" s="592"/>
      <c r="Q1372" s="592"/>
      <c r="R1372" s="592"/>
      <c r="S1372" s="592"/>
      <c r="T1372" s="592"/>
      <c r="U1372" s="592"/>
      <c r="V1372" s="592"/>
      <c r="W1372" s="592"/>
      <c r="X1372" s="592"/>
    </row>
    <row r="1373" spans="1:66" ht="15" customHeight="1">
      <c r="A1373" s="32" t="s">
        <v>1597</v>
      </c>
      <c r="B1373" s="26" t="s">
        <v>902</v>
      </c>
      <c r="C1373" s="573" t="s">
        <v>820</v>
      </c>
      <c r="D1373" s="709" t="s">
        <v>1795</v>
      </c>
      <c r="E1373" s="709"/>
      <c r="F1373" s="46" t="s">
        <v>2144</v>
      </c>
      <c r="G1373" s="46" t="s">
        <v>2144</v>
      </c>
      <c r="H1373" s="46" t="s">
        <v>2144</v>
      </c>
      <c r="I1373" s="17">
        <f>SUM(I1374:I1383)</f>
        <v>0</v>
      </c>
      <c r="J1373" s="17">
        <f>SUM(J1374:J1383)</f>
        <v>0</v>
      </c>
      <c r="K1373" s="572">
        <f>SUM(K1374:K1383)</f>
        <v>0</v>
      </c>
      <c r="L1373" s="7" t="s">
        <v>1597</v>
      </c>
      <c r="M1373" s="17">
        <f>SUM(M1374:M1383)</f>
        <v>25.2290402</v>
      </c>
      <c r="N1373" s="20" t="s">
        <v>1597</v>
      </c>
      <c r="P1373" s="592"/>
      <c r="Q1373" s="592"/>
      <c r="R1373" s="592"/>
      <c r="S1373" s="592"/>
      <c r="T1373" s="592"/>
      <c r="U1373" s="592"/>
      <c r="V1373" s="592"/>
      <c r="W1373" s="592"/>
      <c r="X1373" s="592"/>
      <c r="AK1373" s="7" t="s">
        <v>902</v>
      </c>
      <c r="AU1373" s="17">
        <f>SUM(AL1374:AL1383)</f>
        <v>0</v>
      </c>
      <c r="AV1373" s="17">
        <f>SUM(AM1374:AM1383)</f>
        <v>0</v>
      </c>
      <c r="AW1373" s="17">
        <f>SUM(AN1374:AN1383)</f>
        <v>0</v>
      </c>
    </row>
    <row r="1374" spans="1:66" ht="15" customHeight="1">
      <c r="A1374" s="24" t="s">
        <v>1329</v>
      </c>
      <c r="B1374" s="12" t="s">
        <v>902</v>
      </c>
      <c r="C1374" s="12" t="s">
        <v>1644</v>
      </c>
      <c r="D1374" s="630" t="s">
        <v>677</v>
      </c>
      <c r="E1374" s="630"/>
      <c r="F1374" s="12" t="s">
        <v>2236</v>
      </c>
      <c r="G1374" s="56">
        <v>8.26</v>
      </c>
      <c r="H1374" s="625"/>
      <c r="I1374" s="56">
        <f>G1374*AQ1374</f>
        <v>0</v>
      </c>
      <c r="J1374" s="56">
        <f>G1374*AR1374</f>
        <v>0</v>
      </c>
      <c r="K1374" s="56">
        <f>G1374*H1374</f>
        <v>0</v>
      </c>
      <c r="L1374" s="56">
        <v>1.8907700000000001</v>
      </c>
      <c r="M1374" s="56">
        <f>G1374*L1374</f>
        <v>15.617760199999999</v>
      </c>
      <c r="N1374" s="31" t="s">
        <v>1579</v>
      </c>
      <c r="P1374" s="592"/>
      <c r="Q1374" s="592"/>
      <c r="R1374" s="592"/>
      <c r="S1374" s="592"/>
      <c r="T1374" s="592"/>
      <c r="U1374" s="592"/>
      <c r="V1374" s="592"/>
      <c r="W1374" s="592"/>
      <c r="X1374" s="592"/>
      <c r="AB1374" s="56">
        <f>IF(AS1374="5",BL1374,0)</f>
        <v>0</v>
      </c>
      <c r="AD1374" s="56">
        <f>IF(AS1374="1",BJ1374,0)</f>
        <v>0</v>
      </c>
      <c r="AE1374" s="56">
        <f>IF(AS1374="1",BK1374,0)</f>
        <v>0</v>
      </c>
      <c r="AF1374" s="56">
        <f>IF(AS1374="7",BJ1374,0)</f>
        <v>0</v>
      </c>
      <c r="AG1374" s="56">
        <f>IF(AS1374="7",BK1374,0)</f>
        <v>0</v>
      </c>
      <c r="AH1374" s="56">
        <f>IF(AS1374="2",BJ1374,0)</f>
        <v>0</v>
      </c>
      <c r="AI1374" s="56">
        <f>IF(AS1374="2",BK1374,0)</f>
        <v>0</v>
      </c>
      <c r="AJ1374" s="56">
        <f>IF(AS1374="0",BL1374,0)</f>
        <v>0</v>
      </c>
      <c r="AK1374" s="7" t="s">
        <v>902</v>
      </c>
      <c r="AL1374" s="56">
        <f>IF(AP1374=0,K1374,0)</f>
        <v>0</v>
      </c>
      <c r="AM1374" s="56">
        <f>IF(AP1374=15,K1374,0)</f>
        <v>0</v>
      </c>
      <c r="AN1374" s="56">
        <f>IF(AP1374=21,K1374,0)</f>
        <v>0</v>
      </c>
      <c r="AP1374" s="56">
        <v>21</v>
      </c>
      <c r="AQ1374" s="88">
        <f>H1374*0.480904558404558</f>
        <v>0</v>
      </c>
      <c r="AR1374" s="88">
        <f>H1374*(1-0.480904558404558)</f>
        <v>0</v>
      </c>
      <c r="AS1374" s="21" t="s">
        <v>2297</v>
      </c>
      <c r="AX1374" s="56">
        <f>AY1374+AZ1374</f>
        <v>0</v>
      </c>
      <c r="AY1374" s="56">
        <f>G1374*AQ1374</f>
        <v>0</v>
      </c>
      <c r="AZ1374" s="56">
        <f>G1374*AR1374</f>
        <v>0</v>
      </c>
      <c r="BA1374" s="21" t="s">
        <v>1130</v>
      </c>
      <c r="BB1374" s="21" t="s">
        <v>570</v>
      </c>
      <c r="BC1374" s="7" t="s">
        <v>2605</v>
      </c>
      <c r="BE1374" s="56">
        <f>AY1374+AZ1374</f>
        <v>0</v>
      </c>
      <c r="BF1374" s="56">
        <f>H1374/(100-BG1374)*100</f>
        <v>0</v>
      </c>
      <c r="BG1374" s="56">
        <v>0</v>
      </c>
      <c r="BH1374" s="56">
        <f>M1374</f>
        <v>15.617760199999999</v>
      </c>
      <c r="BJ1374" s="56">
        <f>G1374*AQ1374</f>
        <v>0</v>
      </c>
      <c r="BK1374" s="56">
        <f>G1374*AR1374</f>
        <v>0</v>
      </c>
      <c r="BL1374" s="56">
        <f>G1374*H1374</f>
        <v>0</v>
      </c>
      <c r="BM1374" s="56"/>
      <c r="BN1374" s="56">
        <v>45</v>
      </c>
    </row>
    <row r="1375" spans="1:66" ht="15" customHeight="1">
      <c r="A1375" s="36"/>
      <c r="D1375" s="45" t="s">
        <v>2082</v>
      </c>
      <c r="E1375" s="104" t="s">
        <v>552</v>
      </c>
      <c r="G1375" s="13">
        <v>8.2600000000000016</v>
      </c>
      <c r="N1375" s="19"/>
      <c r="P1375" s="592"/>
      <c r="Q1375" s="592"/>
      <c r="R1375" s="592"/>
      <c r="S1375" s="592"/>
      <c r="T1375" s="592"/>
      <c r="U1375" s="592"/>
      <c r="V1375" s="592"/>
      <c r="W1375" s="592"/>
      <c r="X1375" s="592"/>
    </row>
    <row r="1376" spans="1:66" ht="15" customHeight="1">
      <c r="A1376" s="24" t="s">
        <v>937</v>
      </c>
      <c r="B1376" s="12" t="s">
        <v>902</v>
      </c>
      <c r="C1376" s="12" t="s">
        <v>862</v>
      </c>
      <c r="D1376" s="630" t="s">
        <v>1778</v>
      </c>
      <c r="E1376" s="630"/>
      <c r="F1376" s="12" t="s">
        <v>2274</v>
      </c>
      <c r="G1376" s="56">
        <v>21</v>
      </c>
      <c r="H1376" s="625"/>
      <c r="I1376" s="56">
        <f>G1376*AQ1376</f>
        <v>0</v>
      </c>
      <c r="J1376" s="56">
        <f>G1376*AR1376</f>
        <v>0</v>
      </c>
      <c r="K1376" s="56">
        <f>G1376*H1376</f>
        <v>0</v>
      </c>
      <c r="L1376" s="56">
        <v>0.19275999999999999</v>
      </c>
      <c r="M1376" s="56">
        <f>G1376*L1376</f>
        <v>4.0479599999999998</v>
      </c>
      <c r="N1376" s="31" t="s">
        <v>1579</v>
      </c>
      <c r="P1376" s="592"/>
      <c r="Q1376" s="592"/>
      <c r="R1376" s="592"/>
      <c r="S1376" s="592"/>
      <c r="T1376" s="592"/>
      <c r="U1376" s="592"/>
      <c r="V1376" s="592"/>
      <c r="W1376" s="592"/>
      <c r="X1376" s="592"/>
      <c r="AB1376" s="56">
        <f>IF(AS1376="5",BL1376,0)</f>
        <v>0</v>
      </c>
      <c r="AD1376" s="56">
        <f>IF(AS1376="1",BJ1376,0)</f>
        <v>0</v>
      </c>
      <c r="AE1376" s="56">
        <f>IF(AS1376="1",BK1376,0)</f>
        <v>0</v>
      </c>
      <c r="AF1376" s="56">
        <f>IF(AS1376="7",BJ1376,0)</f>
        <v>0</v>
      </c>
      <c r="AG1376" s="56">
        <f>IF(AS1376="7",BK1376,0)</f>
        <v>0</v>
      </c>
      <c r="AH1376" s="56">
        <f>IF(AS1376="2",BJ1376,0)</f>
        <v>0</v>
      </c>
      <c r="AI1376" s="56">
        <f>IF(AS1376="2",BK1376,0)</f>
        <v>0</v>
      </c>
      <c r="AJ1376" s="56">
        <f>IF(AS1376="0",BL1376,0)</f>
        <v>0</v>
      </c>
      <c r="AK1376" s="7" t="s">
        <v>902</v>
      </c>
      <c r="AL1376" s="56">
        <f>IF(AP1376=0,K1376,0)</f>
        <v>0</v>
      </c>
      <c r="AM1376" s="56">
        <f>IF(AP1376=15,K1376,0)</f>
        <v>0</v>
      </c>
      <c r="AN1376" s="56">
        <f>IF(AP1376=21,K1376,0)</f>
        <v>0</v>
      </c>
      <c r="AP1376" s="56">
        <v>21</v>
      </c>
      <c r="AQ1376" s="88">
        <f>H1376*0.328087431693989</f>
        <v>0</v>
      </c>
      <c r="AR1376" s="88">
        <f>H1376*(1-0.328087431693989)</f>
        <v>0</v>
      </c>
      <c r="AS1376" s="21" t="s">
        <v>2297</v>
      </c>
      <c r="AX1376" s="56">
        <f>AY1376+AZ1376</f>
        <v>0</v>
      </c>
      <c r="AY1376" s="56">
        <f>G1376*AQ1376</f>
        <v>0</v>
      </c>
      <c r="AZ1376" s="56">
        <f>G1376*AR1376</f>
        <v>0</v>
      </c>
      <c r="BA1376" s="21" t="s">
        <v>1130</v>
      </c>
      <c r="BB1376" s="21" t="s">
        <v>570</v>
      </c>
      <c r="BC1376" s="7" t="s">
        <v>2605</v>
      </c>
      <c r="BE1376" s="56">
        <f>AY1376+AZ1376</f>
        <v>0</v>
      </c>
      <c r="BF1376" s="56">
        <f>H1376/(100-BG1376)*100</f>
        <v>0</v>
      </c>
      <c r="BG1376" s="56">
        <v>0</v>
      </c>
      <c r="BH1376" s="56">
        <f>M1376</f>
        <v>4.0479599999999998</v>
      </c>
      <c r="BJ1376" s="56">
        <f>G1376*AQ1376</f>
        <v>0</v>
      </c>
      <c r="BK1376" s="56">
        <f>G1376*AR1376</f>
        <v>0</v>
      </c>
      <c r="BL1376" s="56">
        <f>G1376*H1376</f>
        <v>0</v>
      </c>
      <c r="BM1376" s="56"/>
      <c r="BN1376" s="56">
        <v>45</v>
      </c>
    </row>
    <row r="1377" spans="1:66" ht="15" customHeight="1">
      <c r="A1377" s="36"/>
      <c r="D1377" s="45" t="s">
        <v>802</v>
      </c>
      <c r="E1377" s="104" t="s">
        <v>1003</v>
      </c>
      <c r="G1377" s="13">
        <v>21</v>
      </c>
      <c r="N1377" s="19"/>
      <c r="P1377" s="592"/>
      <c r="Q1377" s="592"/>
      <c r="R1377" s="592"/>
      <c r="S1377" s="592"/>
      <c r="T1377" s="592"/>
      <c r="U1377" s="592"/>
      <c r="V1377" s="592"/>
      <c r="W1377" s="592"/>
      <c r="X1377" s="592"/>
    </row>
    <row r="1378" spans="1:66" ht="15" customHeight="1">
      <c r="A1378" s="8" t="s">
        <v>274</v>
      </c>
      <c r="B1378" s="75" t="s">
        <v>902</v>
      </c>
      <c r="C1378" s="75" t="s">
        <v>2517</v>
      </c>
      <c r="D1378" s="710" t="s">
        <v>2392</v>
      </c>
      <c r="E1378" s="710"/>
      <c r="F1378" s="75" t="s">
        <v>564</v>
      </c>
      <c r="G1378" s="80">
        <v>8.0500000000000007</v>
      </c>
      <c r="H1378" s="626"/>
      <c r="I1378" s="80">
        <f>G1378*AQ1378</f>
        <v>0</v>
      </c>
      <c r="J1378" s="80">
        <f>G1378*AR1378</f>
        <v>0</v>
      </c>
      <c r="K1378" s="80">
        <f>G1378*H1378</f>
        <v>0</v>
      </c>
      <c r="L1378" s="80">
        <v>3.2399999999999998E-2</v>
      </c>
      <c r="M1378" s="80">
        <f>G1378*L1378</f>
        <v>0.26082</v>
      </c>
      <c r="N1378" s="38" t="s">
        <v>1579</v>
      </c>
      <c r="P1378" s="592"/>
      <c r="Q1378" s="592"/>
      <c r="R1378" s="592"/>
      <c r="S1378" s="592"/>
      <c r="T1378" s="592"/>
      <c r="U1378" s="592"/>
      <c r="V1378" s="592"/>
      <c r="W1378" s="592"/>
      <c r="X1378" s="592"/>
      <c r="AB1378" s="56">
        <f>IF(AS1378="5",BL1378,0)</f>
        <v>0</v>
      </c>
      <c r="AD1378" s="56">
        <f>IF(AS1378="1",BJ1378,0)</f>
        <v>0</v>
      </c>
      <c r="AE1378" s="56">
        <f>IF(AS1378="1",BK1378,0)</f>
        <v>0</v>
      </c>
      <c r="AF1378" s="56">
        <f>IF(AS1378="7",BJ1378,0)</f>
        <v>0</v>
      </c>
      <c r="AG1378" s="56">
        <f>IF(AS1378="7",BK1378,0)</f>
        <v>0</v>
      </c>
      <c r="AH1378" s="56">
        <f>IF(AS1378="2",BJ1378,0)</f>
        <v>0</v>
      </c>
      <c r="AI1378" s="56">
        <f>IF(AS1378="2",BK1378,0)</f>
        <v>0</v>
      </c>
      <c r="AJ1378" s="56">
        <f>IF(AS1378="0",BL1378,0)</f>
        <v>0</v>
      </c>
      <c r="AK1378" s="7" t="s">
        <v>902</v>
      </c>
      <c r="AL1378" s="80">
        <f>IF(AP1378=0,K1378,0)</f>
        <v>0</v>
      </c>
      <c r="AM1378" s="80">
        <f>IF(AP1378=15,K1378,0)</f>
        <v>0</v>
      </c>
      <c r="AN1378" s="80">
        <f>IF(AP1378=21,K1378,0)</f>
        <v>0</v>
      </c>
      <c r="AP1378" s="56">
        <v>21</v>
      </c>
      <c r="AQ1378" s="88">
        <f>H1378*1</f>
        <v>0</v>
      </c>
      <c r="AR1378" s="88">
        <f>H1378*(1-1)</f>
        <v>0</v>
      </c>
      <c r="AS1378" s="64" t="s">
        <v>2297</v>
      </c>
      <c r="AX1378" s="56">
        <f>AY1378+AZ1378</f>
        <v>0</v>
      </c>
      <c r="AY1378" s="56">
        <f>G1378*AQ1378</f>
        <v>0</v>
      </c>
      <c r="AZ1378" s="56">
        <f>G1378*AR1378</f>
        <v>0</v>
      </c>
      <c r="BA1378" s="21" t="s">
        <v>1130</v>
      </c>
      <c r="BB1378" s="21" t="s">
        <v>570</v>
      </c>
      <c r="BC1378" s="7" t="s">
        <v>2605</v>
      </c>
      <c r="BE1378" s="56">
        <f>AY1378+AZ1378</f>
        <v>0</v>
      </c>
      <c r="BF1378" s="56">
        <f>H1378/(100-BG1378)*100</f>
        <v>0</v>
      </c>
      <c r="BG1378" s="56">
        <v>0</v>
      </c>
      <c r="BH1378" s="56">
        <f>M1378</f>
        <v>0.26082</v>
      </c>
      <c r="BJ1378" s="80">
        <f>G1378*AQ1378</f>
        <v>0</v>
      </c>
      <c r="BK1378" s="80">
        <f>G1378*AR1378</f>
        <v>0</v>
      </c>
      <c r="BL1378" s="80">
        <f>G1378*H1378</f>
        <v>0</v>
      </c>
      <c r="BM1378" s="80"/>
      <c r="BN1378" s="56">
        <v>45</v>
      </c>
    </row>
    <row r="1379" spans="1:66" ht="15" customHeight="1">
      <c r="A1379" s="36"/>
      <c r="D1379" s="45" t="s">
        <v>1404</v>
      </c>
      <c r="E1379" s="104" t="s">
        <v>1597</v>
      </c>
      <c r="G1379" s="13">
        <v>7.0000000000000009</v>
      </c>
      <c r="N1379" s="19"/>
      <c r="P1379" s="592"/>
      <c r="Q1379" s="592"/>
      <c r="R1379" s="592"/>
      <c r="S1379" s="592"/>
      <c r="T1379" s="592"/>
      <c r="U1379" s="592"/>
      <c r="V1379" s="592"/>
      <c r="W1379" s="592"/>
      <c r="X1379" s="592"/>
    </row>
    <row r="1380" spans="1:66" ht="15" customHeight="1">
      <c r="A1380" s="36"/>
      <c r="D1380" s="45" t="s">
        <v>1875</v>
      </c>
      <c r="E1380" s="104" t="s">
        <v>1597</v>
      </c>
      <c r="G1380" s="13">
        <v>1.05</v>
      </c>
      <c r="N1380" s="19"/>
      <c r="P1380" s="592"/>
      <c r="Q1380" s="592"/>
      <c r="R1380" s="592"/>
      <c r="S1380" s="592"/>
      <c r="T1380" s="592"/>
      <c r="U1380" s="592"/>
      <c r="V1380" s="592"/>
      <c r="W1380" s="592"/>
      <c r="X1380" s="592"/>
    </row>
    <row r="1381" spans="1:66" ht="15" customHeight="1">
      <c r="A1381" s="24" t="s">
        <v>2187</v>
      </c>
      <c r="B1381" s="12" t="s">
        <v>902</v>
      </c>
      <c r="C1381" s="12" t="s">
        <v>245</v>
      </c>
      <c r="D1381" s="630" t="s">
        <v>1022</v>
      </c>
      <c r="E1381" s="630"/>
      <c r="F1381" s="12" t="s">
        <v>2274</v>
      </c>
      <c r="G1381" s="56">
        <v>210</v>
      </c>
      <c r="H1381" s="625"/>
      <c r="I1381" s="56">
        <f>G1381*AQ1381</f>
        <v>0</v>
      </c>
      <c r="J1381" s="56">
        <f>G1381*AR1381</f>
        <v>0</v>
      </c>
      <c r="K1381" s="56">
        <f>G1381*H1381</f>
        <v>0</v>
      </c>
      <c r="L1381" s="56">
        <v>2.5250000000000002E-2</v>
      </c>
      <c r="M1381" s="56">
        <f>G1381*L1381</f>
        <v>5.3025000000000002</v>
      </c>
      <c r="N1381" s="31" t="s">
        <v>1579</v>
      </c>
      <c r="P1381" s="592"/>
      <c r="Q1381" s="592"/>
      <c r="R1381" s="592"/>
      <c r="S1381" s="592"/>
      <c r="T1381" s="592"/>
      <c r="U1381" s="592"/>
      <c r="V1381" s="592"/>
      <c r="W1381" s="592"/>
      <c r="X1381" s="592"/>
      <c r="AB1381" s="56">
        <f>IF(AS1381="5",BL1381,0)</f>
        <v>0</v>
      </c>
      <c r="AD1381" s="56">
        <f>IF(AS1381="1",BJ1381,0)</f>
        <v>0</v>
      </c>
      <c r="AE1381" s="56">
        <f>IF(AS1381="1",BK1381,0)</f>
        <v>0</v>
      </c>
      <c r="AF1381" s="56">
        <f>IF(AS1381="7",BJ1381,0)</f>
        <v>0</v>
      </c>
      <c r="AG1381" s="56">
        <f>IF(AS1381="7",BK1381,0)</f>
        <v>0</v>
      </c>
      <c r="AH1381" s="56">
        <f>IF(AS1381="2",BJ1381,0)</f>
        <v>0</v>
      </c>
      <c r="AI1381" s="56">
        <f>IF(AS1381="2",BK1381,0)</f>
        <v>0</v>
      </c>
      <c r="AJ1381" s="56">
        <f>IF(AS1381="0",BL1381,0)</f>
        <v>0</v>
      </c>
      <c r="AK1381" s="7" t="s">
        <v>902</v>
      </c>
      <c r="AL1381" s="56">
        <f>IF(AP1381=0,K1381,0)</f>
        <v>0</v>
      </c>
      <c r="AM1381" s="56">
        <f>IF(AP1381=15,K1381,0)</f>
        <v>0</v>
      </c>
      <c r="AN1381" s="56">
        <f>IF(AP1381=21,K1381,0)</f>
        <v>0</v>
      </c>
      <c r="AP1381" s="56">
        <v>21</v>
      </c>
      <c r="AQ1381" s="88">
        <f>H1381*0.800578964297202</f>
        <v>0</v>
      </c>
      <c r="AR1381" s="88">
        <f>H1381*(1-0.800578964297202)</f>
        <v>0</v>
      </c>
      <c r="AS1381" s="21" t="s">
        <v>2297</v>
      </c>
      <c r="AX1381" s="56">
        <f>AY1381+AZ1381</f>
        <v>0</v>
      </c>
      <c r="AY1381" s="56">
        <f>G1381*AQ1381</f>
        <v>0</v>
      </c>
      <c r="AZ1381" s="56">
        <f>G1381*AR1381</f>
        <v>0</v>
      </c>
      <c r="BA1381" s="21" t="s">
        <v>1130</v>
      </c>
      <c r="BB1381" s="21" t="s">
        <v>570</v>
      </c>
      <c r="BC1381" s="7" t="s">
        <v>2605</v>
      </c>
      <c r="BE1381" s="56">
        <f>AY1381+AZ1381</f>
        <v>0</v>
      </c>
      <c r="BF1381" s="56">
        <f>H1381/(100-BG1381)*100</f>
        <v>0</v>
      </c>
      <c r="BG1381" s="56">
        <v>0</v>
      </c>
      <c r="BH1381" s="56">
        <f>M1381</f>
        <v>5.3025000000000002</v>
      </c>
      <c r="BJ1381" s="56">
        <f>G1381*AQ1381</f>
        <v>0</v>
      </c>
      <c r="BK1381" s="56">
        <f>G1381*AR1381</f>
        <v>0</v>
      </c>
      <c r="BL1381" s="56">
        <f>G1381*H1381</f>
        <v>0</v>
      </c>
      <c r="BM1381" s="56"/>
      <c r="BN1381" s="56">
        <v>45</v>
      </c>
    </row>
    <row r="1382" spans="1:66" ht="15" customHeight="1">
      <c r="A1382" s="36"/>
      <c r="D1382" s="45" t="s">
        <v>1482</v>
      </c>
      <c r="E1382" s="104" t="s">
        <v>1597</v>
      </c>
      <c r="G1382" s="13">
        <v>210.00000000000003</v>
      </c>
      <c r="N1382" s="19"/>
      <c r="P1382" s="592"/>
      <c r="Q1382" s="592"/>
      <c r="R1382" s="592"/>
      <c r="S1382" s="592"/>
      <c r="T1382" s="592"/>
      <c r="U1382" s="592"/>
      <c r="V1382" s="592"/>
      <c r="W1382" s="592"/>
      <c r="X1382" s="592"/>
    </row>
    <row r="1383" spans="1:66" ht="15" customHeight="1">
      <c r="A1383" s="24" t="s">
        <v>1196</v>
      </c>
      <c r="B1383" s="12" t="s">
        <v>902</v>
      </c>
      <c r="C1383" s="12" t="s">
        <v>147</v>
      </c>
      <c r="D1383" s="630" t="s">
        <v>2234</v>
      </c>
      <c r="E1383" s="630"/>
      <c r="F1383" s="12" t="s">
        <v>2274</v>
      </c>
      <c r="G1383" s="56">
        <v>31.08</v>
      </c>
      <c r="H1383" s="625"/>
      <c r="I1383" s="56">
        <f>G1383*AQ1383</f>
        <v>0</v>
      </c>
      <c r="J1383" s="56">
        <f>G1383*AR1383</f>
        <v>0</v>
      </c>
      <c r="K1383" s="56">
        <f>G1383*H1383</f>
        <v>0</v>
      </c>
      <c r="L1383" s="56">
        <v>0</v>
      </c>
      <c r="M1383" s="56">
        <f>G1383*L1383</f>
        <v>0</v>
      </c>
      <c r="N1383" s="31" t="s">
        <v>1579</v>
      </c>
      <c r="P1383" s="592"/>
      <c r="Q1383" s="592"/>
      <c r="R1383" s="592"/>
      <c r="S1383" s="592"/>
      <c r="T1383" s="592"/>
      <c r="U1383" s="592"/>
      <c r="V1383" s="592"/>
      <c r="W1383" s="592"/>
      <c r="X1383" s="592"/>
      <c r="AB1383" s="56">
        <f>IF(AS1383="5",BL1383,0)</f>
        <v>0</v>
      </c>
      <c r="AD1383" s="56">
        <f>IF(AS1383="1",BJ1383,0)</f>
        <v>0</v>
      </c>
      <c r="AE1383" s="56">
        <f>IF(AS1383="1",BK1383,0)</f>
        <v>0</v>
      </c>
      <c r="AF1383" s="56">
        <f>IF(AS1383="7",BJ1383,0)</f>
        <v>0</v>
      </c>
      <c r="AG1383" s="56">
        <f>IF(AS1383="7",BK1383,0)</f>
        <v>0</v>
      </c>
      <c r="AH1383" s="56">
        <f>IF(AS1383="2",BJ1383,0)</f>
        <v>0</v>
      </c>
      <c r="AI1383" s="56">
        <f>IF(AS1383="2",BK1383,0)</f>
        <v>0</v>
      </c>
      <c r="AJ1383" s="56">
        <f>IF(AS1383="0",BL1383,0)</f>
        <v>0</v>
      </c>
      <c r="AK1383" s="7" t="s">
        <v>902</v>
      </c>
      <c r="AL1383" s="56">
        <f>IF(AP1383=0,K1383,0)</f>
        <v>0</v>
      </c>
      <c r="AM1383" s="56">
        <f>IF(AP1383=15,K1383,0)</f>
        <v>0</v>
      </c>
      <c r="AN1383" s="56">
        <f>IF(AP1383=21,K1383,0)</f>
        <v>0</v>
      </c>
      <c r="AP1383" s="56">
        <v>21</v>
      </c>
      <c r="AQ1383" s="88">
        <f>H1383*0</f>
        <v>0</v>
      </c>
      <c r="AR1383" s="88">
        <f>H1383*(1-0)</f>
        <v>0</v>
      </c>
      <c r="AS1383" s="21" t="s">
        <v>2297</v>
      </c>
      <c r="AX1383" s="56">
        <f>AY1383+AZ1383</f>
        <v>0</v>
      </c>
      <c r="AY1383" s="56">
        <f>G1383*AQ1383</f>
        <v>0</v>
      </c>
      <c r="AZ1383" s="56">
        <f>G1383*AR1383</f>
        <v>0</v>
      </c>
      <c r="BA1383" s="21" t="s">
        <v>1130</v>
      </c>
      <c r="BB1383" s="21" t="s">
        <v>570</v>
      </c>
      <c r="BC1383" s="7" t="s">
        <v>2605</v>
      </c>
      <c r="BE1383" s="56">
        <f>AY1383+AZ1383</f>
        <v>0</v>
      </c>
      <c r="BF1383" s="56">
        <f>H1383/(100-BG1383)*100</f>
        <v>0</v>
      </c>
      <c r="BG1383" s="56">
        <v>0</v>
      </c>
      <c r="BH1383" s="56">
        <f>M1383</f>
        <v>0</v>
      </c>
      <c r="BJ1383" s="56">
        <f>G1383*AQ1383</f>
        <v>0</v>
      </c>
      <c r="BK1383" s="56">
        <f>G1383*AR1383</f>
        <v>0</v>
      </c>
      <c r="BL1383" s="56">
        <f>G1383*H1383</f>
        <v>0</v>
      </c>
      <c r="BM1383" s="56"/>
      <c r="BN1383" s="56">
        <v>45</v>
      </c>
    </row>
    <row r="1384" spans="1:66" ht="15" customHeight="1">
      <c r="A1384" s="36"/>
      <c r="D1384" s="45" t="s">
        <v>1680</v>
      </c>
      <c r="E1384" s="104" t="s">
        <v>1003</v>
      </c>
      <c r="G1384" s="13">
        <v>31.080000000000002</v>
      </c>
      <c r="N1384" s="19"/>
      <c r="P1384" s="592"/>
      <c r="Q1384" s="592"/>
      <c r="R1384" s="592"/>
      <c r="S1384" s="592"/>
      <c r="T1384" s="592"/>
      <c r="U1384" s="592"/>
      <c r="V1384" s="592"/>
      <c r="W1384" s="592"/>
      <c r="X1384" s="592"/>
    </row>
    <row r="1385" spans="1:66" ht="15" customHeight="1">
      <c r="A1385" s="32" t="s">
        <v>1597</v>
      </c>
      <c r="B1385" s="26" t="s">
        <v>902</v>
      </c>
      <c r="C1385" s="573" t="s">
        <v>1476</v>
      </c>
      <c r="D1385" s="709" t="s">
        <v>2651</v>
      </c>
      <c r="E1385" s="709"/>
      <c r="F1385" s="46" t="s">
        <v>2144</v>
      </c>
      <c r="G1385" s="46" t="s">
        <v>2144</v>
      </c>
      <c r="H1385" s="46" t="s">
        <v>2144</v>
      </c>
      <c r="I1385" s="17">
        <f>SUM(I1386:I1388)</f>
        <v>0</v>
      </c>
      <c r="J1385" s="17">
        <f>SUM(J1386:J1388)</f>
        <v>0</v>
      </c>
      <c r="K1385" s="572">
        <f>SUM(K1386:K1388)</f>
        <v>0</v>
      </c>
      <c r="L1385" s="7" t="s">
        <v>1597</v>
      </c>
      <c r="M1385" s="17">
        <f>SUM(M1386:M1388)</f>
        <v>0.78064</v>
      </c>
      <c r="N1385" s="20" t="s">
        <v>1597</v>
      </c>
      <c r="P1385" s="592"/>
      <c r="Q1385" s="592"/>
      <c r="R1385" s="592"/>
      <c r="S1385" s="592"/>
      <c r="T1385" s="592"/>
      <c r="U1385" s="592"/>
      <c r="V1385" s="592"/>
      <c r="W1385" s="592"/>
      <c r="X1385" s="592"/>
      <c r="AK1385" s="7" t="s">
        <v>902</v>
      </c>
      <c r="AU1385" s="17">
        <f>SUM(AL1386:AL1388)</f>
        <v>0</v>
      </c>
      <c r="AV1385" s="17">
        <f>SUM(AM1386:AM1388)</f>
        <v>0</v>
      </c>
      <c r="AW1385" s="17">
        <f>SUM(AN1386:AN1388)</f>
        <v>0</v>
      </c>
    </row>
    <row r="1386" spans="1:66" ht="15" customHeight="1">
      <c r="A1386" s="24" t="s">
        <v>1878</v>
      </c>
      <c r="B1386" s="12" t="s">
        <v>902</v>
      </c>
      <c r="C1386" s="12" t="s">
        <v>577</v>
      </c>
      <c r="D1386" s="630" t="s">
        <v>618</v>
      </c>
      <c r="E1386" s="630"/>
      <c r="F1386" s="12" t="s">
        <v>564</v>
      </c>
      <c r="G1386" s="56">
        <v>8</v>
      </c>
      <c r="H1386" s="625"/>
      <c r="I1386" s="56">
        <f>G1386*AQ1386</f>
        <v>0</v>
      </c>
      <c r="J1386" s="56">
        <f>G1386*AR1386</f>
        <v>0</v>
      </c>
      <c r="K1386" s="56">
        <f>G1386*H1386</f>
        <v>0</v>
      </c>
      <c r="L1386" s="56">
        <v>7.6630000000000004E-2</v>
      </c>
      <c r="M1386" s="56">
        <f>G1386*L1386</f>
        <v>0.61304000000000003</v>
      </c>
      <c r="N1386" s="31" t="s">
        <v>1579</v>
      </c>
      <c r="P1386" s="592"/>
      <c r="Q1386" s="592"/>
      <c r="R1386" s="592"/>
      <c r="S1386" s="592"/>
      <c r="T1386" s="592"/>
      <c r="U1386" s="592"/>
      <c r="V1386" s="592"/>
      <c r="W1386" s="592"/>
      <c r="X1386" s="592"/>
      <c r="AB1386" s="56">
        <f>IF(AS1386="5",BL1386,0)</f>
        <v>0</v>
      </c>
      <c r="AD1386" s="56">
        <f>IF(AS1386="1",BJ1386,0)</f>
        <v>0</v>
      </c>
      <c r="AE1386" s="56">
        <f>IF(AS1386="1",BK1386,0)</f>
        <v>0</v>
      </c>
      <c r="AF1386" s="56">
        <f>IF(AS1386="7",BJ1386,0)</f>
        <v>0</v>
      </c>
      <c r="AG1386" s="56">
        <f>IF(AS1386="7",BK1386,0)</f>
        <v>0</v>
      </c>
      <c r="AH1386" s="56">
        <f>IF(AS1386="2",BJ1386,0)</f>
        <v>0</v>
      </c>
      <c r="AI1386" s="56">
        <f>IF(AS1386="2",BK1386,0)</f>
        <v>0</v>
      </c>
      <c r="AJ1386" s="56">
        <f>IF(AS1386="0",BL1386,0)</f>
        <v>0</v>
      </c>
      <c r="AK1386" s="7" t="s">
        <v>902</v>
      </c>
      <c r="AL1386" s="56">
        <f>IF(AP1386=0,K1386,0)</f>
        <v>0</v>
      </c>
      <c r="AM1386" s="56">
        <f>IF(AP1386=15,K1386,0)</f>
        <v>0</v>
      </c>
      <c r="AN1386" s="56">
        <f>IF(AP1386=21,K1386,0)</f>
        <v>0</v>
      </c>
      <c r="AP1386" s="56">
        <v>21</v>
      </c>
      <c r="AQ1386" s="88">
        <f>H1386*0.925940136054422</f>
        <v>0</v>
      </c>
      <c r="AR1386" s="88">
        <f>H1386*(1-0.925940136054422)</f>
        <v>0</v>
      </c>
      <c r="AS1386" s="21" t="s">
        <v>2311</v>
      </c>
      <c r="AX1386" s="56">
        <f>AY1386+AZ1386</f>
        <v>0</v>
      </c>
      <c r="AY1386" s="56">
        <f>G1386*AQ1386</f>
        <v>0</v>
      </c>
      <c r="AZ1386" s="56">
        <f>G1386*AR1386</f>
        <v>0</v>
      </c>
      <c r="BA1386" s="21" t="s">
        <v>351</v>
      </c>
      <c r="BB1386" s="21" t="s">
        <v>512</v>
      </c>
      <c r="BC1386" s="7" t="s">
        <v>2605</v>
      </c>
      <c r="BE1386" s="56">
        <f>AY1386+AZ1386</f>
        <v>0</v>
      </c>
      <c r="BF1386" s="56">
        <f>H1386/(100-BG1386)*100</f>
        <v>0</v>
      </c>
      <c r="BG1386" s="56">
        <v>0</v>
      </c>
      <c r="BH1386" s="56">
        <f>M1386</f>
        <v>0.61304000000000003</v>
      </c>
      <c r="BJ1386" s="56">
        <f>G1386*AQ1386</f>
        <v>0</v>
      </c>
      <c r="BK1386" s="56">
        <f>G1386*AR1386</f>
        <v>0</v>
      </c>
      <c r="BL1386" s="56">
        <f>G1386*H1386</f>
        <v>0</v>
      </c>
      <c r="BM1386" s="56"/>
      <c r="BN1386" s="56">
        <v>721</v>
      </c>
    </row>
    <row r="1387" spans="1:66" ht="15" customHeight="1">
      <c r="A1387" s="36"/>
      <c r="D1387" s="45" t="s">
        <v>1829</v>
      </c>
      <c r="E1387" s="104" t="s">
        <v>2441</v>
      </c>
      <c r="G1387" s="13">
        <v>8</v>
      </c>
      <c r="N1387" s="19"/>
      <c r="P1387" s="592"/>
      <c r="Q1387" s="592"/>
      <c r="R1387" s="592"/>
      <c r="S1387" s="592"/>
      <c r="T1387" s="592"/>
      <c r="U1387" s="592"/>
      <c r="V1387" s="592"/>
      <c r="W1387" s="592"/>
      <c r="X1387" s="592"/>
    </row>
    <row r="1388" spans="1:66" ht="15" customHeight="1">
      <c r="A1388" s="24" t="s">
        <v>1496</v>
      </c>
      <c r="B1388" s="12" t="s">
        <v>902</v>
      </c>
      <c r="C1388" s="12" t="s">
        <v>1200</v>
      </c>
      <c r="D1388" s="630" t="s">
        <v>618</v>
      </c>
      <c r="E1388" s="630"/>
      <c r="F1388" s="12" t="s">
        <v>564</v>
      </c>
      <c r="G1388" s="56">
        <v>2</v>
      </c>
      <c r="H1388" s="625"/>
      <c r="I1388" s="56">
        <f>G1388*AQ1388</f>
        <v>0</v>
      </c>
      <c r="J1388" s="56">
        <f>G1388*AR1388</f>
        <v>0</v>
      </c>
      <c r="K1388" s="56">
        <f>G1388*H1388</f>
        <v>0</v>
      </c>
      <c r="L1388" s="56">
        <v>8.3799999999999999E-2</v>
      </c>
      <c r="M1388" s="56">
        <f>G1388*L1388</f>
        <v>0.1676</v>
      </c>
      <c r="N1388" s="31" t="s">
        <v>1579</v>
      </c>
      <c r="P1388" s="592"/>
      <c r="Q1388" s="592"/>
      <c r="R1388" s="592"/>
      <c r="S1388" s="592"/>
      <c r="T1388" s="592"/>
      <c r="U1388" s="592"/>
      <c r="V1388" s="592"/>
      <c r="W1388" s="592"/>
      <c r="X1388" s="592"/>
      <c r="AB1388" s="56">
        <f>IF(AS1388="5",BL1388,0)</f>
        <v>0</v>
      </c>
      <c r="AD1388" s="56">
        <f>IF(AS1388="1",BJ1388,0)</f>
        <v>0</v>
      </c>
      <c r="AE1388" s="56">
        <f>IF(AS1388="1",BK1388,0)</f>
        <v>0</v>
      </c>
      <c r="AF1388" s="56">
        <f>IF(AS1388="7",BJ1388,0)</f>
        <v>0</v>
      </c>
      <c r="AG1388" s="56">
        <f>IF(AS1388="7",BK1388,0)</f>
        <v>0</v>
      </c>
      <c r="AH1388" s="56">
        <f>IF(AS1388="2",BJ1388,0)</f>
        <v>0</v>
      </c>
      <c r="AI1388" s="56">
        <f>IF(AS1388="2",BK1388,0)</f>
        <v>0</v>
      </c>
      <c r="AJ1388" s="56">
        <f>IF(AS1388="0",BL1388,0)</f>
        <v>0</v>
      </c>
      <c r="AK1388" s="7" t="s">
        <v>902</v>
      </c>
      <c r="AL1388" s="56">
        <f>IF(AP1388=0,K1388,0)</f>
        <v>0</v>
      </c>
      <c r="AM1388" s="56">
        <f>IF(AP1388=15,K1388,0)</f>
        <v>0</v>
      </c>
      <c r="AN1388" s="56">
        <f>IF(AP1388=21,K1388,0)</f>
        <v>0</v>
      </c>
      <c r="AP1388" s="56">
        <v>21</v>
      </c>
      <c r="AQ1388" s="88">
        <f>H1388*0.940509289617486</f>
        <v>0</v>
      </c>
      <c r="AR1388" s="88">
        <f>H1388*(1-0.940509289617486)</f>
        <v>0</v>
      </c>
      <c r="AS1388" s="21" t="s">
        <v>2311</v>
      </c>
      <c r="AX1388" s="56">
        <f>AY1388+AZ1388</f>
        <v>0</v>
      </c>
      <c r="AY1388" s="56">
        <f>G1388*AQ1388</f>
        <v>0</v>
      </c>
      <c r="AZ1388" s="56">
        <f>G1388*AR1388</f>
        <v>0</v>
      </c>
      <c r="BA1388" s="21" t="s">
        <v>351</v>
      </c>
      <c r="BB1388" s="21" t="s">
        <v>512</v>
      </c>
      <c r="BC1388" s="7" t="s">
        <v>2605</v>
      </c>
      <c r="BE1388" s="56">
        <f>AY1388+AZ1388</f>
        <v>0</v>
      </c>
      <c r="BF1388" s="56">
        <f>H1388/(100-BG1388)*100</f>
        <v>0</v>
      </c>
      <c r="BG1388" s="56">
        <v>0</v>
      </c>
      <c r="BH1388" s="56">
        <f>M1388</f>
        <v>0.1676</v>
      </c>
      <c r="BJ1388" s="56">
        <f>G1388*AQ1388</f>
        <v>0</v>
      </c>
      <c r="BK1388" s="56">
        <f>G1388*AR1388</f>
        <v>0</v>
      </c>
      <c r="BL1388" s="56">
        <f>G1388*H1388</f>
        <v>0</v>
      </c>
      <c r="BM1388" s="56"/>
      <c r="BN1388" s="56">
        <v>721</v>
      </c>
    </row>
    <row r="1389" spans="1:66" ht="15" customHeight="1">
      <c r="A1389" s="36"/>
      <c r="D1389" s="45" t="s">
        <v>1589</v>
      </c>
      <c r="E1389" s="104" t="s">
        <v>2441</v>
      </c>
      <c r="G1389" s="13">
        <v>2</v>
      </c>
      <c r="N1389" s="19"/>
      <c r="P1389" s="592"/>
      <c r="Q1389" s="592"/>
      <c r="R1389" s="592"/>
      <c r="S1389" s="592"/>
      <c r="T1389" s="592"/>
      <c r="U1389" s="592"/>
      <c r="V1389" s="592"/>
      <c r="W1389" s="592"/>
      <c r="X1389" s="592"/>
    </row>
    <row r="1390" spans="1:66" ht="15" customHeight="1">
      <c r="A1390" s="32" t="s">
        <v>1597</v>
      </c>
      <c r="B1390" s="26" t="s">
        <v>902</v>
      </c>
      <c r="C1390" s="573" t="s">
        <v>2359</v>
      </c>
      <c r="D1390" s="709" t="s">
        <v>1650</v>
      </c>
      <c r="E1390" s="709"/>
      <c r="F1390" s="46" t="s">
        <v>2144</v>
      </c>
      <c r="G1390" s="46" t="s">
        <v>2144</v>
      </c>
      <c r="H1390" s="46" t="s">
        <v>2144</v>
      </c>
      <c r="I1390" s="17">
        <f>SUM(I1391:I1391)</f>
        <v>0</v>
      </c>
      <c r="J1390" s="17">
        <f>SUM(J1391:J1391)</f>
        <v>0</v>
      </c>
      <c r="K1390" s="572">
        <f>SUM(K1391:K1391)</f>
        <v>0</v>
      </c>
      <c r="L1390" s="7" t="s">
        <v>1597</v>
      </c>
      <c r="M1390" s="17">
        <f>SUM(M1391:M1391)</f>
        <v>2.48163</v>
      </c>
      <c r="N1390" s="20" t="s">
        <v>1597</v>
      </c>
      <c r="P1390" s="592"/>
      <c r="Q1390" s="592"/>
      <c r="R1390" s="592"/>
      <c r="S1390" s="592"/>
      <c r="T1390" s="592"/>
      <c r="U1390" s="592"/>
      <c r="V1390" s="592"/>
      <c r="W1390" s="592"/>
      <c r="X1390" s="592"/>
      <c r="AK1390" s="7" t="s">
        <v>902</v>
      </c>
      <c r="AU1390" s="17">
        <f>SUM(AL1391:AL1391)</f>
        <v>0</v>
      </c>
      <c r="AV1390" s="17">
        <f>SUM(AM1391:AM1391)</f>
        <v>0</v>
      </c>
      <c r="AW1390" s="17">
        <f>SUM(AN1391:AN1391)</f>
        <v>0</v>
      </c>
    </row>
    <row r="1391" spans="1:66" ht="15" customHeight="1">
      <c r="A1391" s="24" t="s">
        <v>1586</v>
      </c>
      <c r="B1391" s="12" t="s">
        <v>902</v>
      </c>
      <c r="C1391" s="12" t="s">
        <v>1614</v>
      </c>
      <c r="D1391" s="630" t="s">
        <v>50</v>
      </c>
      <c r="E1391" s="630"/>
      <c r="F1391" s="12" t="s">
        <v>564</v>
      </c>
      <c r="G1391" s="56">
        <v>1</v>
      </c>
      <c r="H1391" s="625"/>
      <c r="I1391" s="56">
        <f>G1391*AQ1391</f>
        <v>0</v>
      </c>
      <c r="J1391" s="56">
        <f>G1391*AR1391</f>
        <v>0</v>
      </c>
      <c r="K1391" s="56">
        <f>G1391*H1391</f>
        <v>0</v>
      </c>
      <c r="L1391" s="56">
        <v>2.48163</v>
      </c>
      <c r="M1391" s="56">
        <f>G1391*L1391</f>
        <v>2.48163</v>
      </c>
      <c r="N1391" s="31" t="s">
        <v>1579</v>
      </c>
      <c r="P1391" s="592"/>
      <c r="Q1391" s="592"/>
      <c r="R1391" s="592"/>
      <c r="S1391" s="592"/>
      <c r="T1391" s="592"/>
      <c r="U1391" s="592"/>
      <c r="V1391" s="592"/>
      <c r="W1391" s="592"/>
      <c r="X1391" s="592"/>
      <c r="AB1391" s="56">
        <f>IF(AS1391="5",BL1391,0)</f>
        <v>0</v>
      </c>
      <c r="AD1391" s="56">
        <f>IF(AS1391="1",BJ1391,0)</f>
        <v>0</v>
      </c>
      <c r="AE1391" s="56">
        <f>IF(AS1391="1",BK1391,0)</f>
        <v>0</v>
      </c>
      <c r="AF1391" s="56">
        <f>IF(AS1391="7",BJ1391,0)</f>
        <v>0</v>
      </c>
      <c r="AG1391" s="56">
        <f>IF(AS1391="7",BK1391,0)</f>
        <v>0</v>
      </c>
      <c r="AH1391" s="56">
        <f>IF(AS1391="2",BJ1391,0)</f>
        <v>0</v>
      </c>
      <c r="AI1391" s="56">
        <f>IF(AS1391="2",BK1391,0)</f>
        <v>0</v>
      </c>
      <c r="AJ1391" s="56">
        <f>IF(AS1391="0",BL1391,0)</f>
        <v>0</v>
      </c>
      <c r="AK1391" s="7" t="s">
        <v>902</v>
      </c>
      <c r="AL1391" s="56">
        <f>IF(AP1391=0,K1391,0)</f>
        <v>0</v>
      </c>
      <c r="AM1391" s="56">
        <f>IF(AP1391=15,K1391,0)</f>
        <v>0</v>
      </c>
      <c r="AN1391" s="56">
        <f>IF(AP1391=21,K1391,0)</f>
        <v>0</v>
      </c>
      <c r="AP1391" s="56">
        <v>21</v>
      </c>
      <c r="AQ1391" s="88">
        <f>H1391*0.588468172909088</f>
        <v>0</v>
      </c>
      <c r="AR1391" s="88">
        <f>H1391*(1-0.588468172909088)</f>
        <v>0</v>
      </c>
      <c r="AS1391" s="21" t="s">
        <v>2297</v>
      </c>
      <c r="AX1391" s="56">
        <f>AY1391+AZ1391</f>
        <v>0</v>
      </c>
      <c r="AY1391" s="56">
        <f>G1391*AQ1391</f>
        <v>0</v>
      </c>
      <c r="AZ1391" s="56">
        <f>G1391*AR1391</f>
        <v>0</v>
      </c>
      <c r="BA1391" s="21" t="s">
        <v>1451</v>
      </c>
      <c r="BB1391" s="21" t="s">
        <v>2418</v>
      </c>
      <c r="BC1391" s="7" t="s">
        <v>2605</v>
      </c>
      <c r="BE1391" s="56">
        <f>AY1391+AZ1391</f>
        <v>0</v>
      </c>
      <c r="BF1391" s="56">
        <f>H1391/(100-BG1391)*100</f>
        <v>0</v>
      </c>
      <c r="BG1391" s="56">
        <v>0</v>
      </c>
      <c r="BH1391" s="56">
        <f>M1391</f>
        <v>2.48163</v>
      </c>
      <c r="BJ1391" s="56">
        <f>G1391*AQ1391</f>
        <v>0</v>
      </c>
      <c r="BK1391" s="56">
        <f>G1391*AR1391</f>
        <v>0</v>
      </c>
      <c r="BL1391" s="56">
        <f>G1391*H1391</f>
        <v>0</v>
      </c>
      <c r="BM1391" s="56"/>
      <c r="BN1391" s="56">
        <v>83</v>
      </c>
    </row>
    <row r="1392" spans="1:66" ht="15" customHeight="1">
      <c r="A1392" s="36"/>
      <c r="D1392" s="45" t="s">
        <v>2297</v>
      </c>
      <c r="E1392" s="104" t="s">
        <v>2434</v>
      </c>
      <c r="G1392" s="13">
        <v>1</v>
      </c>
      <c r="N1392" s="19"/>
      <c r="P1392" s="592"/>
      <c r="Q1392" s="592"/>
      <c r="R1392" s="592"/>
      <c r="S1392" s="592"/>
      <c r="T1392" s="592"/>
      <c r="U1392" s="592"/>
      <c r="V1392" s="592"/>
      <c r="W1392" s="592"/>
      <c r="X1392" s="592"/>
    </row>
    <row r="1393" spans="1:66" ht="15" customHeight="1">
      <c r="A1393" s="32" t="s">
        <v>1597</v>
      </c>
      <c r="B1393" s="26" t="s">
        <v>902</v>
      </c>
      <c r="C1393" s="573" t="s">
        <v>102</v>
      </c>
      <c r="D1393" s="709" t="s">
        <v>179</v>
      </c>
      <c r="E1393" s="709"/>
      <c r="F1393" s="46" t="s">
        <v>2144</v>
      </c>
      <c r="G1393" s="46" t="s">
        <v>2144</v>
      </c>
      <c r="H1393" s="46" t="s">
        <v>2144</v>
      </c>
      <c r="I1393" s="17">
        <f>SUM(I1394:I1421)</f>
        <v>0</v>
      </c>
      <c r="J1393" s="17">
        <f>SUM(J1394:J1421)</f>
        <v>0</v>
      </c>
      <c r="K1393" s="572">
        <f>SUM(K1394:K1421)</f>
        <v>0</v>
      </c>
      <c r="L1393" s="7" t="s">
        <v>1597</v>
      </c>
      <c r="M1393" s="17">
        <f>SUM(M1394:M1421)</f>
        <v>0.41425580000000006</v>
      </c>
      <c r="N1393" s="20" t="s">
        <v>1597</v>
      </c>
      <c r="P1393" s="592"/>
      <c r="Q1393" s="592"/>
      <c r="R1393" s="592"/>
      <c r="S1393" s="592"/>
      <c r="T1393" s="592"/>
      <c r="U1393" s="592"/>
      <c r="V1393" s="592"/>
      <c r="W1393" s="592"/>
      <c r="X1393" s="592"/>
      <c r="AK1393" s="7" t="s">
        <v>902</v>
      </c>
      <c r="AU1393" s="17">
        <f>SUM(AL1394:AL1421)</f>
        <v>0</v>
      </c>
      <c r="AV1393" s="17">
        <f>SUM(AM1394:AM1421)</f>
        <v>0</v>
      </c>
      <c r="AW1393" s="17">
        <f>SUM(AN1394:AN1421)</f>
        <v>0</v>
      </c>
    </row>
    <row r="1394" spans="1:66" ht="15" customHeight="1">
      <c r="A1394" s="24" t="s">
        <v>815</v>
      </c>
      <c r="B1394" s="12" t="s">
        <v>902</v>
      </c>
      <c r="C1394" s="12" t="s">
        <v>247</v>
      </c>
      <c r="D1394" s="630" t="s">
        <v>2251</v>
      </c>
      <c r="E1394" s="630"/>
      <c r="F1394" s="12" t="s">
        <v>1923</v>
      </c>
      <c r="G1394" s="56">
        <v>142</v>
      </c>
      <c r="H1394" s="625"/>
      <c r="I1394" s="56">
        <f>G1394*AQ1394</f>
        <v>0</v>
      </c>
      <c r="J1394" s="56">
        <f>G1394*AR1394</f>
        <v>0</v>
      </c>
      <c r="K1394" s="56">
        <f>G1394*H1394</f>
        <v>0</v>
      </c>
      <c r="L1394" s="56">
        <v>0</v>
      </c>
      <c r="M1394" s="56">
        <f>G1394*L1394</f>
        <v>0</v>
      </c>
      <c r="N1394" s="31" t="s">
        <v>1579</v>
      </c>
      <c r="P1394" s="592"/>
      <c r="Q1394" s="592"/>
      <c r="R1394" s="592"/>
      <c r="S1394" s="592"/>
      <c r="T1394" s="592"/>
      <c r="U1394" s="592"/>
      <c r="V1394" s="592"/>
      <c r="W1394" s="592"/>
      <c r="X1394" s="592"/>
      <c r="AB1394" s="56">
        <f>IF(AS1394="5",BL1394,0)</f>
        <v>0</v>
      </c>
      <c r="AD1394" s="56">
        <f>IF(AS1394="1",BJ1394,0)</f>
        <v>0</v>
      </c>
      <c r="AE1394" s="56">
        <f>IF(AS1394="1",BK1394,0)</f>
        <v>0</v>
      </c>
      <c r="AF1394" s="56">
        <f>IF(AS1394="7",BJ1394,0)</f>
        <v>0</v>
      </c>
      <c r="AG1394" s="56">
        <f>IF(AS1394="7",BK1394,0)</f>
        <v>0</v>
      </c>
      <c r="AH1394" s="56">
        <f>IF(AS1394="2",BJ1394,0)</f>
        <v>0</v>
      </c>
      <c r="AI1394" s="56">
        <f>IF(AS1394="2",BK1394,0)</f>
        <v>0</v>
      </c>
      <c r="AJ1394" s="56">
        <f>IF(AS1394="0",BL1394,0)</f>
        <v>0</v>
      </c>
      <c r="AK1394" s="7" t="s">
        <v>902</v>
      </c>
      <c r="AL1394" s="56">
        <f>IF(AP1394=0,K1394,0)</f>
        <v>0</v>
      </c>
      <c r="AM1394" s="56">
        <f>IF(AP1394=15,K1394,0)</f>
        <v>0</v>
      </c>
      <c r="AN1394" s="56">
        <f>IF(AP1394=21,K1394,0)</f>
        <v>0</v>
      </c>
      <c r="AP1394" s="56">
        <v>21</v>
      </c>
      <c r="AQ1394" s="88">
        <f>H1394*0.00459770114942529</f>
        <v>0</v>
      </c>
      <c r="AR1394" s="88">
        <f>H1394*(1-0.00459770114942529)</f>
        <v>0</v>
      </c>
      <c r="AS1394" s="21" t="s">
        <v>2297</v>
      </c>
      <c r="AX1394" s="56">
        <f>AY1394+AZ1394</f>
        <v>0</v>
      </c>
      <c r="AY1394" s="56">
        <f>G1394*AQ1394</f>
        <v>0</v>
      </c>
      <c r="AZ1394" s="56">
        <f>G1394*AR1394</f>
        <v>0</v>
      </c>
      <c r="BA1394" s="21" t="s">
        <v>159</v>
      </c>
      <c r="BB1394" s="21" t="s">
        <v>2418</v>
      </c>
      <c r="BC1394" s="7" t="s">
        <v>2605</v>
      </c>
      <c r="BE1394" s="56">
        <f>AY1394+AZ1394</f>
        <v>0</v>
      </c>
      <c r="BF1394" s="56">
        <f>H1394/(100-BG1394)*100</f>
        <v>0</v>
      </c>
      <c r="BG1394" s="56">
        <v>0</v>
      </c>
      <c r="BH1394" s="56">
        <f>M1394</f>
        <v>0</v>
      </c>
      <c r="BJ1394" s="56">
        <f>G1394*AQ1394</f>
        <v>0</v>
      </c>
      <c r="BK1394" s="56">
        <f>G1394*AR1394</f>
        <v>0</v>
      </c>
      <c r="BL1394" s="56">
        <f>G1394*H1394</f>
        <v>0</v>
      </c>
      <c r="BM1394" s="56"/>
      <c r="BN1394" s="56">
        <v>87</v>
      </c>
    </row>
    <row r="1395" spans="1:66" ht="15" customHeight="1">
      <c r="A1395" s="36"/>
      <c r="D1395" s="45" t="s">
        <v>345</v>
      </c>
      <c r="E1395" s="104" t="s">
        <v>1597</v>
      </c>
      <c r="G1395" s="13">
        <v>142</v>
      </c>
      <c r="N1395" s="19"/>
      <c r="P1395" s="592"/>
      <c r="Q1395" s="592"/>
      <c r="R1395" s="592"/>
      <c r="S1395" s="592"/>
      <c r="T1395" s="592"/>
      <c r="U1395" s="592"/>
      <c r="V1395" s="592"/>
      <c r="W1395" s="592"/>
      <c r="X1395" s="592"/>
    </row>
    <row r="1396" spans="1:66" ht="15" customHeight="1">
      <c r="A1396" s="8" t="s">
        <v>498</v>
      </c>
      <c r="B1396" s="75" t="s">
        <v>902</v>
      </c>
      <c r="C1396" s="75" t="s">
        <v>2034</v>
      </c>
      <c r="D1396" s="710" t="s">
        <v>281</v>
      </c>
      <c r="E1396" s="710"/>
      <c r="F1396" s="75" t="s">
        <v>564</v>
      </c>
      <c r="G1396" s="80">
        <v>12.84</v>
      </c>
      <c r="H1396" s="626"/>
      <c r="I1396" s="80">
        <f>G1396*AQ1396</f>
        <v>0</v>
      </c>
      <c r="J1396" s="80">
        <f>G1396*AR1396</f>
        <v>0</v>
      </c>
      <c r="K1396" s="80">
        <f>G1396*H1396</f>
        <v>0</v>
      </c>
      <c r="L1396" s="80">
        <v>4.4999999999999997E-3</v>
      </c>
      <c r="M1396" s="80">
        <f>G1396*L1396</f>
        <v>5.7779999999999998E-2</v>
      </c>
      <c r="N1396" s="38" t="s">
        <v>1579</v>
      </c>
      <c r="P1396" s="592"/>
      <c r="Q1396" s="592"/>
      <c r="R1396" s="592"/>
      <c r="S1396" s="592"/>
      <c r="T1396" s="592"/>
      <c r="U1396" s="592"/>
      <c r="V1396" s="592"/>
      <c r="W1396" s="592"/>
      <c r="X1396" s="592"/>
      <c r="AB1396" s="56">
        <f>IF(AS1396="5",BL1396,0)</f>
        <v>0</v>
      </c>
      <c r="AD1396" s="56">
        <f>IF(AS1396="1",BJ1396,0)</f>
        <v>0</v>
      </c>
      <c r="AE1396" s="56">
        <f>IF(AS1396="1",BK1396,0)</f>
        <v>0</v>
      </c>
      <c r="AF1396" s="56">
        <f>IF(AS1396="7",BJ1396,0)</f>
        <v>0</v>
      </c>
      <c r="AG1396" s="56">
        <f>IF(AS1396="7",BK1396,0)</f>
        <v>0</v>
      </c>
      <c r="AH1396" s="56">
        <f>IF(AS1396="2",BJ1396,0)</f>
        <v>0</v>
      </c>
      <c r="AI1396" s="56">
        <f>IF(AS1396="2",BK1396,0)</f>
        <v>0</v>
      </c>
      <c r="AJ1396" s="56">
        <f>IF(AS1396="0",BL1396,0)</f>
        <v>0</v>
      </c>
      <c r="AK1396" s="7" t="s">
        <v>902</v>
      </c>
      <c r="AL1396" s="80">
        <f>IF(AP1396=0,K1396,0)</f>
        <v>0</v>
      </c>
      <c r="AM1396" s="80">
        <f>IF(AP1396=15,K1396,0)</f>
        <v>0</v>
      </c>
      <c r="AN1396" s="80">
        <f>IF(AP1396=21,K1396,0)</f>
        <v>0</v>
      </c>
      <c r="AP1396" s="56">
        <v>21</v>
      </c>
      <c r="AQ1396" s="88">
        <f>H1396*1</f>
        <v>0</v>
      </c>
      <c r="AR1396" s="88">
        <f>H1396*(1-1)</f>
        <v>0</v>
      </c>
      <c r="AS1396" s="64" t="s">
        <v>2297</v>
      </c>
      <c r="AX1396" s="56">
        <f>AY1396+AZ1396</f>
        <v>0</v>
      </c>
      <c r="AY1396" s="56">
        <f>G1396*AQ1396</f>
        <v>0</v>
      </c>
      <c r="AZ1396" s="56">
        <f>G1396*AR1396</f>
        <v>0</v>
      </c>
      <c r="BA1396" s="21" t="s">
        <v>159</v>
      </c>
      <c r="BB1396" s="21" t="s">
        <v>2418</v>
      </c>
      <c r="BC1396" s="7" t="s">
        <v>2605</v>
      </c>
      <c r="BE1396" s="56">
        <f>AY1396+AZ1396</f>
        <v>0</v>
      </c>
      <c r="BF1396" s="56">
        <f>H1396/(100-BG1396)*100</f>
        <v>0</v>
      </c>
      <c r="BG1396" s="56">
        <v>0</v>
      </c>
      <c r="BH1396" s="56">
        <f>M1396</f>
        <v>5.7779999999999998E-2</v>
      </c>
      <c r="BJ1396" s="80">
        <f>G1396*AQ1396</f>
        <v>0</v>
      </c>
      <c r="BK1396" s="80">
        <f>G1396*AR1396</f>
        <v>0</v>
      </c>
      <c r="BL1396" s="80">
        <f>G1396*H1396</f>
        <v>0</v>
      </c>
      <c r="BM1396" s="80"/>
      <c r="BN1396" s="56">
        <v>87</v>
      </c>
    </row>
    <row r="1397" spans="1:66" ht="15" customHeight="1">
      <c r="A1397" s="36"/>
      <c r="D1397" s="45" t="s">
        <v>1322</v>
      </c>
      <c r="E1397" s="104" t="s">
        <v>1597</v>
      </c>
      <c r="G1397" s="13">
        <v>11.670000000000002</v>
      </c>
      <c r="N1397" s="19"/>
      <c r="P1397" s="592"/>
      <c r="Q1397" s="592"/>
      <c r="R1397" s="592"/>
      <c r="S1397" s="592"/>
      <c r="T1397" s="592"/>
      <c r="U1397" s="592"/>
      <c r="V1397" s="592"/>
      <c r="W1397" s="592"/>
      <c r="X1397" s="592"/>
    </row>
    <row r="1398" spans="1:66" ht="15" customHeight="1">
      <c r="A1398" s="36"/>
      <c r="D1398" s="45" t="s">
        <v>978</v>
      </c>
      <c r="E1398" s="104" t="s">
        <v>1597</v>
      </c>
      <c r="G1398" s="13">
        <v>1.1700000000000002</v>
      </c>
      <c r="N1398" s="19"/>
      <c r="P1398" s="592"/>
      <c r="Q1398" s="592"/>
      <c r="R1398" s="592"/>
      <c r="S1398" s="592"/>
      <c r="T1398" s="592"/>
      <c r="U1398" s="592"/>
      <c r="V1398" s="592"/>
      <c r="W1398" s="592"/>
      <c r="X1398" s="592"/>
    </row>
    <row r="1399" spans="1:66" ht="15" customHeight="1">
      <c r="A1399" s="8" t="s">
        <v>2460</v>
      </c>
      <c r="B1399" s="75" t="s">
        <v>902</v>
      </c>
      <c r="C1399" s="75" t="s">
        <v>181</v>
      </c>
      <c r="D1399" s="710" t="s">
        <v>2355</v>
      </c>
      <c r="E1399" s="710"/>
      <c r="F1399" s="75" t="s">
        <v>564</v>
      </c>
      <c r="G1399" s="80">
        <v>14.3</v>
      </c>
      <c r="H1399" s="626"/>
      <c r="I1399" s="80">
        <f>G1399*AQ1399</f>
        <v>0</v>
      </c>
      <c r="J1399" s="80">
        <f>G1399*AR1399</f>
        <v>0</v>
      </c>
      <c r="K1399" s="80">
        <f>G1399*H1399</f>
        <v>0</v>
      </c>
      <c r="L1399" s="80">
        <v>1.405E-2</v>
      </c>
      <c r="M1399" s="80">
        <f>G1399*L1399</f>
        <v>0.20091500000000001</v>
      </c>
      <c r="N1399" s="38" t="s">
        <v>1579</v>
      </c>
      <c r="P1399" s="592"/>
      <c r="Q1399" s="592"/>
      <c r="R1399" s="592"/>
      <c r="S1399" s="592"/>
      <c r="T1399" s="592"/>
      <c r="U1399" s="592"/>
      <c r="V1399" s="592"/>
      <c r="W1399" s="592"/>
      <c r="X1399" s="592"/>
      <c r="AB1399" s="56">
        <f>IF(AS1399="5",BL1399,0)</f>
        <v>0</v>
      </c>
      <c r="AD1399" s="56">
        <f>IF(AS1399="1",BJ1399,0)</f>
        <v>0</v>
      </c>
      <c r="AE1399" s="56">
        <f>IF(AS1399="1",BK1399,0)</f>
        <v>0</v>
      </c>
      <c r="AF1399" s="56">
        <f>IF(AS1399="7",BJ1399,0)</f>
        <v>0</v>
      </c>
      <c r="AG1399" s="56">
        <f>IF(AS1399="7",BK1399,0)</f>
        <v>0</v>
      </c>
      <c r="AH1399" s="56">
        <f>IF(AS1399="2",BJ1399,0)</f>
        <v>0</v>
      </c>
      <c r="AI1399" s="56">
        <f>IF(AS1399="2",BK1399,0)</f>
        <v>0</v>
      </c>
      <c r="AJ1399" s="56">
        <f>IF(AS1399="0",BL1399,0)</f>
        <v>0</v>
      </c>
      <c r="AK1399" s="7" t="s">
        <v>902</v>
      </c>
      <c r="AL1399" s="80">
        <f>IF(AP1399=0,K1399,0)</f>
        <v>0</v>
      </c>
      <c r="AM1399" s="80">
        <f>IF(AP1399=15,K1399,0)</f>
        <v>0</v>
      </c>
      <c r="AN1399" s="80">
        <f>IF(AP1399=21,K1399,0)</f>
        <v>0</v>
      </c>
      <c r="AP1399" s="56">
        <v>21</v>
      </c>
      <c r="AQ1399" s="88">
        <f>H1399*1</f>
        <v>0</v>
      </c>
      <c r="AR1399" s="88">
        <f>H1399*(1-1)</f>
        <v>0</v>
      </c>
      <c r="AS1399" s="64" t="s">
        <v>2297</v>
      </c>
      <c r="AX1399" s="56">
        <f>AY1399+AZ1399</f>
        <v>0</v>
      </c>
      <c r="AY1399" s="56">
        <f>G1399*AQ1399</f>
        <v>0</v>
      </c>
      <c r="AZ1399" s="56">
        <f>G1399*AR1399</f>
        <v>0</v>
      </c>
      <c r="BA1399" s="21" t="s">
        <v>159</v>
      </c>
      <c r="BB1399" s="21" t="s">
        <v>2418</v>
      </c>
      <c r="BC1399" s="7" t="s">
        <v>2605</v>
      </c>
      <c r="BE1399" s="56">
        <f>AY1399+AZ1399</f>
        <v>0</v>
      </c>
      <c r="BF1399" s="56">
        <f>H1399/(100-BG1399)*100</f>
        <v>0</v>
      </c>
      <c r="BG1399" s="56">
        <v>0</v>
      </c>
      <c r="BH1399" s="56">
        <f>M1399</f>
        <v>0.20091500000000001</v>
      </c>
      <c r="BJ1399" s="80">
        <f>G1399*AQ1399</f>
        <v>0</v>
      </c>
      <c r="BK1399" s="80">
        <f>G1399*AR1399</f>
        <v>0</v>
      </c>
      <c r="BL1399" s="80">
        <f>G1399*H1399</f>
        <v>0</v>
      </c>
      <c r="BM1399" s="80"/>
      <c r="BN1399" s="56">
        <v>87</v>
      </c>
    </row>
    <row r="1400" spans="1:66" ht="15" customHeight="1">
      <c r="A1400" s="36"/>
      <c r="D1400" s="45" t="s">
        <v>871</v>
      </c>
      <c r="E1400" s="104" t="s">
        <v>1597</v>
      </c>
      <c r="G1400" s="13">
        <v>13.000000000000002</v>
      </c>
      <c r="N1400" s="19"/>
      <c r="P1400" s="592"/>
      <c r="Q1400" s="592"/>
      <c r="R1400" s="592"/>
      <c r="S1400" s="592"/>
      <c r="T1400" s="592"/>
      <c r="U1400" s="592"/>
      <c r="V1400" s="592"/>
      <c r="W1400" s="592"/>
      <c r="X1400" s="592"/>
    </row>
    <row r="1401" spans="1:66" ht="15" customHeight="1">
      <c r="A1401" s="36"/>
      <c r="D1401" s="45" t="s">
        <v>49</v>
      </c>
      <c r="E1401" s="104" t="s">
        <v>1597</v>
      </c>
      <c r="G1401" s="13">
        <v>1.3</v>
      </c>
      <c r="N1401" s="19"/>
      <c r="P1401" s="592"/>
      <c r="Q1401" s="592"/>
      <c r="R1401" s="592"/>
      <c r="S1401" s="592"/>
      <c r="T1401" s="592"/>
      <c r="U1401" s="592"/>
      <c r="V1401" s="592"/>
      <c r="W1401" s="592"/>
      <c r="X1401" s="592"/>
    </row>
    <row r="1402" spans="1:66" ht="15" customHeight="1">
      <c r="A1402" s="8" t="s">
        <v>148</v>
      </c>
      <c r="B1402" s="75" t="s">
        <v>902</v>
      </c>
      <c r="C1402" s="75" t="s">
        <v>99</v>
      </c>
      <c r="D1402" s="710" t="s">
        <v>1114</v>
      </c>
      <c r="E1402" s="710"/>
      <c r="F1402" s="75" t="s">
        <v>564</v>
      </c>
      <c r="G1402" s="80">
        <v>9.24</v>
      </c>
      <c r="H1402" s="626"/>
      <c r="I1402" s="80">
        <f>G1402*AQ1402</f>
        <v>0</v>
      </c>
      <c r="J1402" s="80">
        <f>G1402*AR1402</f>
        <v>0</v>
      </c>
      <c r="K1402" s="80">
        <f>G1402*H1402</f>
        <v>0</v>
      </c>
      <c r="L1402" s="80">
        <v>1.4919999999999999E-2</v>
      </c>
      <c r="M1402" s="80">
        <f>G1402*L1402</f>
        <v>0.13786080000000001</v>
      </c>
      <c r="N1402" s="38" t="s">
        <v>1579</v>
      </c>
      <c r="P1402" s="592"/>
      <c r="Q1402" s="592"/>
      <c r="R1402" s="592"/>
      <c r="S1402" s="592"/>
      <c r="T1402" s="592"/>
      <c r="U1402" s="592"/>
      <c r="V1402" s="592"/>
      <c r="W1402" s="592"/>
      <c r="X1402" s="592"/>
      <c r="AB1402" s="56">
        <f>IF(AS1402="5",BL1402,0)</f>
        <v>0</v>
      </c>
      <c r="AD1402" s="56">
        <f>IF(AS1402="1",BJ1402,0)</f>
        <v>0</v>
      </c>
      <c r="AE1402" s="56">
        <f>IF(AS1402="1",BK1402,0)</f>
        <v>0</v>
      </c>
      <c r="AF1402" s="56">
        <f>IF(AS1402="7",BJ1402,0)</f>
        <v>0</v>
      </c>
      <c r="AG1402" s="56">
        <f>IF(AS1402="7",BK1402,0)</f>
        <v>0</v>
      </c>
      <c r="AH1402" s="56">
        <f>IF(AS1402="2",BJ1402,0)</f>
        <v>0</v>
      </c>
      <c r="AI1402" s="56">
        <f>IF(AS1402="2",BK1402,0)</f>
        <v>0</v>
      </c>
      <c r="AJ1402" s="56">
        <f>IF(AS1402="0",BL1402,0)</f>
        <v>0</v>
      </c>
      <c r="AK1402" s="7" t="s">
        <v>902</v>
      </c>
      <c r="AL1402" s="80">
        <f>IF(AP1402=0,K1402,0)</f>
        <v>0</v>
      </c>
      <c r="AM1402" s="80">
        <f>IF(AP1402=15,K1402,0)</f>
        <v>0</v>
      </c>
      <c r="AN1402" s="80">
        <f>IF(AP1402=21,K1402,0)</f>
        <v>0</v>
      </c>
      <c r="AP1402" s="56">
        <v>21</v>
      </c>
      <c r="AQ1402" s="88">
        <f>H1402*1</f>
        <v>0</v>
      </c>
      <c r="AR1402" s="88">
        <f>H1402*(1-1)</f>
        <v>0</v>
      </c>
      <c r="AS1402" s="64" t="s">
        <v>2297</v>
      </c>
      <c r="AX1402" s="56">
        <f>AY1402+AZ1402</f>
        <v>0</v>
      </c>
      <c r="AY1402" s="56">
        <f>G1402*AQ1402</f>
        <v>0</v>
      </c>
      <c r="AZ1402" s="56">
        <f>G1402*AR1402</f>
        <v>0</v>
      </c>
      <c r="BA1402" s="21" t="s">
        <v>159</v>
      </c>
      <c r="BB1402" s="21" t="s">
        <v>2418</v>
      </c>
      <c r="BC1402" s="7" t="s">
        <v>2605</v>
      </c>
      <c r="BE1402" s="56">
        <f>AY1402+AZ1402</f>
        <v>0</v>
      </c>
      <c r="BF1402" s="56">
        <f>H1402/(100-BG1402)*100</f>
        <v>0</v>
      </c>
      <c r="BG1402" s="56">
        <v>0</v>
      </c>
      <c r="BH1402" s="56">
        <f>M1402</f>
        <v>0.13786080000000001</v>
      </c>
      <c r="BJ1402" s="80">
        <f>G1402*AQ1402</f>
        <v>0</v>
      </c>
      <c r="BK1402" s="80">
        <f>G1402*AR1402</f>
        <v>0</v>
      </c>
      <c r="BL1402" s="80">
        <f>G1402*H1402</f>
        <v>0</v>
      </c>
      <c r="BM1402" s="80"/>
      <c r="BN1402" s="56">
        <v>87</v>
      </c>
    </row>
    <row r="1403" spans="1:66" ht="15" customHeight="1">
      <c r="A1403" s="36"/>
      <c r="D1403" s="45" t="s">
        <v>198</v>
      </c>
      <c r="E1403" s="104" t="s">
        <v>1597</v>
      </c>
      <c r="G1403" s="13">
        <v>8.4</v>
      </c>
      <c r="N1403" s="19"/>
      <c r="P1403" s="592"/>
      <c r="Q1403" s="592"/>
      <c r="R1403" s="592"/>
      <c r="S1403" s="592"/>
      <c r="T1403" s="592"/>
      <c r="U1403" s="592"/>
      <c r="V1403" s="592"/>
      <c r="W1403" s="592"/>
      <c r="X1403" s="592"/>
    </row>
    <row r="1404" spans="1:66" ht="15" customHeight="1">
      <c r="A1404" s="36"/>
      <c r="D1404" s="45" t="s">
        <v>446</v>
      </c>
      <c r="E1404" s="104" t="s">
        <v>1597</v>
      </c>
      <c r="G1404" s="13">
        <v>0.84000000000000008</v>
      </c>
      <c r="N1404" s="19"/>
      <c r="P1404" s="592"/>
      <c r="Q1404" s="592"/>
      <c r="R1404" s="592"/>
      <c r="S1404" s="592"/>
      <c r="T1404" s="592"/>
      <c r="U1404" s="592"/>
      <c r="V1404" s="592"/>
      <c r="W1404" s="592"/>
      <c r="X1404" s="592"/>
    </row>
    <row r="1405" spans="1:66" ht="15" customHeight="1">
      <c r="A1405" s="24" t="s">
        <v>933</v>
      </c>
      <c r="B1405" s="12" t="s">
        <v>902</v>
      </c>
      <c r="C1405" s="12" t="s">
        <v>2285</v>
      </c>
      <c r="D1405" s="630" t="s">
        <v>136</v>
      </c>
      <c r="E1405" s="630"/>
      <c r="F1405" s="12" t="s">
        <v>564</v>
      </c>
      <c r="G1405" s="56">
        <v>34</v>
      </c>
      <c r="H1405" s="625"/>
      <c r="I1405" s="56">
        <f>G1405*AQ1405</f>
        <v>0</v>
      </c>
      <c r="J1405" s="56">
        <f>G1405*AR1405</f>
        <v>0</v>
      </c>
      <c r="K1405" s="56">
        <f>G1405*H1405</f>
        <v>0</v>
      </c>
      <c r="L1405" s="56">
        <v>1.0000000000000001E-5</v>
      </c>
      <c r="M1405" s="56">
        <f>G1405*L1405</f>
        <v>3.4000000000000002E-4</v>
      </c>
      <c r="N1405" s="31" t="s">
        <v>1579</v>
      </c>
      <c r="P1405" s="592"/>
      <c r="Q1405" s="592"/>
      <c r="R1405" s="592"/>
      <c r="S1405" s="592"/>
      <c r="T1405" s="592"/>
      <c r="U1405" s="592"/>
      <c r="V1405" s="592"/>
      <c r="W1405" s="592"/>
      <c r="X1405" s="592"/>
      <c r="AB1405" s="56">
        <f>IF(AS1405="5",BL1405,0)</f>
        <v>0</v>
      </c>
      <c r="AD1405" s="56">
        <f>IF(AS1405="1",BJ1405,0)</f>
        <v>0</v>
      </c>
      <c r="AE1405" s="56">
        <f>IF(AS1405="1",BK1405,0)</f>
        <v>0</v>
      </c>
      <c r="AF1405" s="56">
        <f>IF(AS1405="7",BJ1405,0)</f>
        <v>0</v>
      </c>
      <c r="AG1405" s="56">
        <f>IF(AS1405="7",BK1405,0)</f>
        <v>0</v>
      </c>
      <c r="AH1405" s="56">
        <f>IF(AS1405="2",BJ1405,0)</f>
        <v>0</v>
      </c>
      <c r="AI1405" s="56">
        <f>IF(AS1405="2",BK1405,0)</f>
        <v>0</v>
      </c>
      <c r="AJ1405" s="56">
        <f>IF(AS1405="0",BL1405,0)</f>
        <v>0</v>
      </c>
      <c r="AK1405" s="7" t="s">
        <v>902</v>
      </c>
      <c r="AL1405" s="56">
        <f>IF(AP1405=0,K1405,0)</f>
        <v>0</v>
      </c>
      <c r="AM1405" s="56">
        <f>IF(AP1405=15,K1405,0)</f>
        <v>0</v>
      </c>
      <c r="AN1405" s="56">
        <f>IF(AP1405=21,K1405,0)</f>
        <v>0</v>
      </c>
      <c r="AP1405" s="56">
        <v>21</v>
      </c>
      <c r="AQ1405" s="88">
        <f>H1405*0.00526881720430108</f>
        <v>0</v>
      </c>
      <c r="AR1405" s="88">
        <f>H1405*(1-0.00526881720430108)</f>
        <v>0</v>
      </c>
      <c r="AS1405" s="21" t="s">
        <v>2297</v>
      </c>
      <c r="AX1405" s="56">
        <f>AY1405+AZ1405</f>
        <v>0</v>
      </c>
      <c r="AY1405" s="56">
        <f>G1405*AQ1405</f>
        <v>0</v>
      </c>
      <c r="AZ1405" s="56">
        <f>G1405*AR1405</f>
        <v>0</v>
      </c>
      <c r="BA1405" s="21" t="s">
        <v>159</v>
      </c>
      <c r="BB1405" s="21" t="s">
        <v>2418</v>
      </c>
      <c r="BC1405" s="7" t="s">
        <v>2605</v>
      </c>
      <c r="BE1405" s="56">
        <f>AY1405+AZ1405</f>
        <v>0</v>
      </c>
      <c r="BF1405" s="56">
        <f>H1405/(100-BG1405)*100</f>
        <v>0</v>
      </c>
      <c r="BG1405" s="56">
        <v>0</v>
      </c>
      <c r="BH1405" s="56">
        <f>M1405</f>
        <v>3.4000000000000002E-4</v>
      </c>
      <c r="BJ1405" s="56">
        <f>G1405*AQ1405</f>
        <v>0</v>
      </c>
      <c r="BK1405" s="56">
        <f>G1405*AR1405</f>
        <v>0</v>
      </c>
      <c r="BL1405" s="56">
        <f>G1405*H1405</f>
        <v>0</v>
      </c>
      <c r="BM1405" s="56"/>
      <c r="BN1405" s="56">
        <v>87</v>
      </c>
    </row>
    <row r="1406" spans="1:66" ht="15" customHeight="1">
      <c r="A1406" s="36"/>
      <c r="D1406" s="45" t="s">
        <v>479</v>
      </c>
      <c r="E1406" s="104" t="s">
        <v>1597</v>
      </c>
      <c r="G1406" s="13">
        <v>34</v>
      </c>
      <c r="N1406" s="19"/>
      <c r="P1406" s="592"/>
      <c r="Q1406" s="592"/>
      <c r="R1406" s="592"/>
      <c r="S1406" s="592"/>
      <c r="T1406" s="592"/>
      <c r="U1406" s="592"/>
      <c r="V1406" s="592"/>
      <c r="W1406" s="592"/>
      <c r="X1406" s="592"/>
    </row>
    <row r="1407" spans="1:66" ht="15" customHeight="1">
      <c r="A1407" s="8" t="s">
        <v>1298</v>
      </c>
      <c r="B1407" s="75" t="s">
        <v>902</v>
      </c>
      <c r="C1407" s="75" t="s">
        <v>1115</v>
      </c>
      <c r="D1407" s="710" t="s">
        <v>1987</v>
      </c>
      <c r="E1407" s="710"/>
      <c r="F1407" s="75" t="s">
        <v>564</v>
      </c>
      <c r="G1407" s="80">
        <v>2</v>
      </c>
      <c r="H1407" s="626"/>
      <c r="I1407" s="80">
        <f>G1407*AQ1407</f>
        <v>0</v>
      </c>
      <c r="J1407" s="80">
        <f>G1407*AR1407</f>
        <v>0</v>
      </c>
      <c r="K1407" s="80">
        <f>G1407*H1407</f>
        <v>0</v>
      </c>
      <c r="L1407" s="80">
        <v>6.6E-4</v>
      </c>
      <c r="M1407" s="80">
        <f>G1407*L1407</f>
        <v>1.32E-3</v>
      </c>
      <c r="N1407" s="38" t="s">
        <v>1579</v>
      </c>
      <c r="P1407" s="592"/>
      <c r="Q1407" s="592"/>
      <c r="R1407" s="592"/>
      <c r="S1407" s="592"/>
      <c r="T1407" s="592"/>
      <c r="U1407" s="592"/>
      <c r="V1407" s="592"/>
      <c r="W1407" s="592"/>
      <c r="X1407" s="592"/>
      <c r="AB1407" s="56">
        <f>IF(AS1407="5",BL1407,0)</f>
        <v>0</v>
      </c>
      <c r="AD1407" s="56">
        <f>IF(AS1407="1",BJ1407,0)</f>
        <v>0</v>
      </c>
      <c r="AE1407" s="56">
        <f>IF(AS1407="1",BK1407,0)</f>
        <v>0</v>
      </c>
      <c r="AF1407" s="56">
        <f>IF(AS1407="7",BJ1407,0)</f>
        <v>0</v>
      </c>
      <c r="AG1407" s="56">
        <f>IF(AS1407="7",BK1407,0)</f>
        <v>0</v>
      </c>
      <c r="AH1407" s="56">
        <f>IF(AS1407="2",BJ1407,0)</f>
        <v>0</v>
      </c>
      <c r="AI1407" s="56">
        <f>IF(AS1407="2",BK1407,0)</f>
        <v>0</v>
      </c>
      <c r="AJ1407" s="56">
        <f>IF(AS1407="0",BL1407,0)</f>
        <v>0</v>
      </c>
      <c r="AK1407" s="7" t="s">
        <v>902</v>
      </c>
      <c r="AL1407" s="80">
        <f>IF(AP1407=0,K1407,0)</f>
        <v>0</v>
      </c>
      <c r="AM1407" s="80">
        <f>IF(AP1407=15,K1407,0)</f>
        <v>0</v>
      </c>
      <c r="AN1407" s="80">
        <f>IF(AP1407=21,K1407,0)</f>
        <v>0</v>
      </c>
      <c r="AP1407" s="56">
        <v>21</v>
      </c>
      <c r="AQ1407" s="88">
        <f>H1407*1</f>
        <v>0</v>
      </c>
      <c r="AR1407" s="88">
        <f>H1407*(1-1)</f>
        <v>0</v>
      </c>
      <c r="AS1407" s="64" t="s">
        <v>2297</v>
      </c>
      <c r="AX1407" s="56">
        <f>AY1407+AZ1407</f>
        <v>0</v>
      </c>
      <c r="AY1407" s="56">
        <f>G1407*AQ1407</f>
        <v>0</v>
      </c>
      <c r="AZ1407" s="56">
        <f>G1407*AR1407</f>
        <v>0</v>
      </c>
      <c r="BA1407" s="21" t="s">
        <v>159</v>
      </c>
      <c r="BB1407" s="21" t="s">
        <v>2418</v>
      </c>
      <c r="BC1407" s="7" t="s">
        <v>2605</v>
      </c>
      <c r="BE1407" s="56">
        <f>AY1407+AZ1407</f>
        <v>0</v>
      </c>
      <c r="BF1407" s="56">
        <f>H1407/(100-BG1407)*100</f>
        <v>0</v>
      </c>
      <c r="BG1407" s="56">
        <v>0</v>
      </c>
      <c r="BH1407" s="56">
        <f>M1407</f>
        <v>1.32E-3</v>
      </c>
      <c r="BJ1407" s="80">
        <f>G1407*AQ1407</f>
        <v>0</v>
      </c>
      <c r="BK1407" s="80">
        <f>G1407*AR1407</f>
        <v>0</v>
      </c>
      <c r="BL1407" s="80">
        <f>G1407*H1407</f>
        <v>0</v>
      </c>
      <c r="BM1407" s="80"/>
      <c r="BN1407" s="56">
        <v>87</v>
      </c>
    </row>
    <row r="1408" spans="1:66" ht="15" customHeight="1">
      <c r="A1408" s="36"/>
      <c r="D1408" s="45" t="s">
        <v>1589</v>
      </c>
      <c r="E1408" s="104" t="s">
        <v>1597</v>
      </c>
      <c r="G1408" s="13">
        <v>2</v>
      </c>
      <c r="N1408" s="19"/>
      <c r="P1408" s="592"/>
      <c r="Q1408" s="592"/>
      <c r="R1408" s="592"/>
      <c r="S1408" s="592"/>
      <c r="T1408" s="592"/>
      <c r="U1408" s="592"/>
      <c r="V1408" s="592"/>
      <c r="W1408" s="592"/>
      <c r="X1408" s="592"/>
    </row>
    <row r="1409" spans="1:66" ht="15" customHeight="1">
      <c r="A1409" s="8" t="s">
        <v>1695</v>
      </c>
      <c r="B1409" s="75" t="s">
        <v>902</v>
      </c>
      <c r="C1409" s="75" t="s">
        <v>1726</v>
      </c>
      <c r="D1409" s="710" t="s">
        <v>787</v>
      </c>
      <c r="E1409" s="710"/>
      <c r="F1409" s="75" t="s">
        <v>564</v>
      </c>
      <c r="G1409" s="80">
        <v>6</v>
      </c>
      <c r="H1409" s="626"/>
      <c r="I1409" s="80">
        <f>G1409*AQ1409</f>
        <v>0</v>
      </c>
      <c r="J1409" s="80">
        <f>G1409*AR1409</f>
        <v>0</v>
      </c>
      <c r="K1409" s="80">
        <f>G1409*H1409</f>
        <v>0</v>
      </c>
      <c r="L1409" s="80">
        <v>3.8000000000000002E-4</v>
      </c>
      <c r="M1409" s="80">
        <f>G1409*L1409</f>
        <v>2.2799999999999999E-3</v>
      </c>
      <c r="N1409" s="38" t="s">
        <v>1579</v>
      </c>
      <c r="P1409" s="592"/>
      <c r="Q1409" s="592"/>
      <c r="R1409" s="592"/>
      <c r="S1409" s="592"/>
      <c r="T1409" s="592"/>
      <c r="U1409" s="592"/>
      <c r="V1409" s="592"/>
      <c r="W1409" s="592"/>
      <c r="X1409" s="592"/>
      <c r="AB1409" s="56">
        <f>IF(AS1409="5",BL1409,0)</f>
        <v>0</v>
      </c>
      <c r="AD1409" s="56">
        <f>IF(AS1409="1",BJ1409,0)</f>
        <v>0</v>
      </c>
      <c r="AE1409" s="56">
        <f>IF(AS1409="1",BK1409,0)</f>
        <v>0</v>
      </c>
      <c r="AF1409" s="56">
        <f>IF(AS1409="7",BJ1409,0)</f>
        <v>0</v>
      </c>
      <c r="AG1409" s="56">
        <f>IF(AS1409="7",BK1409,0)</f>
        <v>0</v>
      </c>
      <c r="AH1409" s="56">
        <f>IF(AS1409="2",BJ1409,0)</f>
        <v>0</v>
      </c>
      <c r="AI1409" s="56">
        <f>IF(AS1409="2",BK1409,0)</f>
        <v>0</v>
      </c>
      <c r="AJ1409" s="56">
        <f>IF(AS1409="0",BL1409,0)</f>
        <v>0</v>
      </c>
      <c r="AK1409" s="7" t="s">
        <v>902</v>
      </c>
      <c r="AL1409" s="80">
        <f>IF(AP1409=0,K1409,0)</f>
        <v>0</v>
      </c>
      <c r="AM1409" s="80">
        <f>IF(AP1409=15,K1409,0)</f>
        <v>0</v>
      </c>
      <c r="AN1409" s="80">
        <f>IF(AP1409=21,K1409,0)</f>
        <v>0</v>
      </c>
      <c r="AP1409" s="56">
        <v>21</v>
      </c>
      <c r="AQ1409" s="88">
        <f>H1409*1</f>
        <v>0</v>
      </c>
      <c r="AR1409" s="88">
        <f>H1409*(1-1)</f>
        <v>0</v>
      </c>
      <c r="AS1409" s="64" t="s">
        <v>2297</v>
      </c>
      <c r="AX1409" s="56">
        <f>AY1409+AZ1409</f>
        <v>0</v>
      </c>
      <c r="AY1409" s="56">
        <f>G1409*AQ1409</f>
        <v>0</v>
      </c>
      <c r="AZ1409" s="56">
        <f>G1409*AR1409</f>
        <v>0</v>
      </c>
      <c r="BA1409" s="21" t="s">
        <v>159</v>
      </c>
      <c r="BB1409" s="21" t="s">
        <v>2418</v>
      </c>
      <c r="BC1409" s="7" t="s">
        <v>2605</v>
      </c>
      <c r="BE1409" s="56">
        <f>AY1409+AZ1409</f>
        <v>0</v>
      </c>
      <c r="BF1409" s="56">
        <f>H1409/(100-BG1409)*100</f>
        <v>0</v>
      </c>
      <c r="BG1409" s="56">
        <v>0</v>
      </c>
      <c r="BH1409" s="56">
        <f>M1409</f>
        <v>2.2799999999999999E-3</v>
      </c>
      <c r="BJ1409" s="80">
        <f>G1409*AQ1409</f>
        <v>0</v>
      </c>
      <c r="BK1409" s="80">
        <f>G1409*AR1409</f>
        <v>0</v>
      </c>
      <c r="BL1409" s="80">
        <f>G1409*H1409</f>
        <v>0</v>
      </c>
      <c r="BM1409" s="80"/>
      <c r="BN1409" s="56">
        <v>87</v>
      </c>
    </row>
    <row r="1410" spans="1:66" ht="15" customHeight="1">
      <c r="A1410" s="36"/>
      <c r="D1410" s="45" t="s">
        <v>390</v>
      </c>
      <c r="E1410" s="104" t="s">
        <v>1597</v>
      </c>
      <c r="G1410" s="13">
        <v>6.0000000000000009</v>
      </c>
      <c r="N1410" s="19"/>
      <c r="P1410" s="592"/>
      <c r="Q1410" s="592"/>
      <c r="R1410" s="592"/>
      <c r="S1410" s="592"/>
      <c r="T1410" s="592"/>
      <c r="U1410" s="592"/>
      <c r="V1410" s="592"/>
      <c r="W1410" s="592"/>
      <c r="X1410" s="592"/>
    </row>
    <row r="1411" spans="1:66" ht="15" customHeight="1">
      <c r="A1411" s="8" t="s">
        <v>3</v>
      </c>
      <c r="B1411" s="75" t="s">
        <v>902</v>
      </c>
      <c r="C1411" s="75" t="s">
        <v>1291</v>
      </c>
      <c r="D1411" s="710" t="s">
        <v>2396</v>
      </c>
      <c r="E1411" s="710"/>
      <c r="F1411" s="75" t="s">
        <v>564</v>
      </c>
      <c r="G1411" s="80">
        <v>2</v>
      </c>
      <c r="H1411" s="626"/>
      <c r="I1411" s="80">
        <f>G1411*AQ1411</f>
        <v>0</v>
      </c>
      <c r="J1411" s="80">
        <f>G1411*AR1411</f>
        <v>0</v>
      </c>
      <c r="K1411" s="80">
        <f>G1411*H1411</f>
        <v>0</v>
      </c>
      <c r="L1411" s="80">
        <v>2.4000000000000001E-4</v>
      </c>
      <c r="M1411" s="80">
        <f>G1411*L1411</f>
        <v>4.8000000000000001E-4</v>
      </c>
      <c r="N1411" s="38" t="s">
        <v>1579</v>
      </c>
      <c r="P1411" s="592"/>
      <c r="Q1411" s="592"/>
      <c r="R1411" s="592"/>
      <c r="S1411" s="592"/>
      <c r="T1411" s="592"/>
      <c r="U1411" s="592"/>
      <c r="V1411" s="592"/>
      <c r="W1411" s="592"/>
      <c r="X1411" s="592"/>
      <c r="AB1411" s="56">
        <f>IF(AS1411="5",BL1411,0)</f>
        <v>0</v>
      </c>
      <c r="AD1411" s="56">
        <f>IF(AS1411="1",BJ1411,0)</f>
        <v>0</v>
      </c>
      <c r="AE1411" s="56">
        <f>IF(AS1411="1",BK1411,0)</f>
        <v>0</v>
      </c>
      <c r="AF1411" s="56">
        <f>IF(AS1411="7",BJ1411,0)</f>
        <v>0</v>
      </c>
      <c r="AG1411" s="56">
        <f>IF(AS1411="7",BK1411,0)</f>
        <v>0</v>
      </c>
      <c r="AH1411" s="56">
        <f>IF(AS1411="2",BJ1411,0)</f>
        <v>0</v>
      </c>
      <c r="AI1411" s="56">
        <f>IF(AS1411="2",BK1411,0)</f>
        <v>0</v>
      </c>
      <c r="AJ1411" s="56">
        <f>IF(AS1411="0",BL1411,0)</f>
        <v>0</v>
      </c>
      <c r="AK1411" s="7" t="s">
        <v>902</v>
      </c>
      <c r="AL1411" s="80">
        <f>IF(AP1411=0,K1411,0)</f>
        <v>0</v>
      </c>
      <c r="AM1411" s="80">
        <f>IF(AP1411=15,K1411,0)</f>
        <v>0</v>
      </c>
      <c r="AN1411" s="80">
        <f>IF(AP1411=21,K1411,0)</f>
        <v>0</v>
      </c>
      <c r="AP1411" s="56">
        <v>21</v>
      </c>
      <c r="AQ1411" s="88">
        <f>H1411*1</f>
        <v>0</v>
      </c>
      <c r="AR1411" s="88">
        <f>H1411*(1-1)</f>
        <v>0</v>
      </c>
      <c r="AS1411" s="64" t="s">
        <v>2297</v>
      </c>
      <c r="AX1411" s="56">
        <f>AY1411+AZ1411</f>
        <v>0</v>
      </c>
      <c r="AY1411" s="56">
        <f>G1411*AQ1411</f>
        <v>0</v>
      </c>
      <c r="AZ1411" s="56">
        <f>G1411*AR1411</f>
        <v>0</v>
      </c>
      <c r="BA1411" s="21" t="s">
        <v>159</v>
      </c>
      <c r="BB1411" s="21" t="s">
        <v>2418</v>
      </c>
      <c r="BC1411" s="7" t="s">
        <v>2605</v>
      </c>
      <c r="BE1411" s="56">
        <f>AY1411+AZ1411</f>
        <v>0</v>
      </c>
      <c r="BF1411" s="56">
        <f>H1411/(100-BG1411)*100</f>
        <v>0</v>
      </c>
      <c r="BG1411" s="56">
        <v>0</v>
      </c>
      <c r="BH1411" s="56">
        <f>M1411</f>
        <v>4.8000000000000001E-4</v>
      </c>
      <c r="BJ1411" s="80">
        <f>G1411*AQ1411</f>
        <v>0</v>
      </c>
      <c r="BK1411" s="80">
        <f>G1411*AR1411</f>
        <v>0</v>
      </c>
      <c r="BL1411" s="80">
        <f>G1411*H1411</f>
        <v>0</v>
      </c>
      <c r="BM1411" s="80"/>
      <c r="BN1411" s="56">
        <v>87</v>
      </c>
    </row>
    <row r="1412" spans="1:66" ht="15" customHeight="1">
      <c r="A1412" s="36"/>
      <c r="D1412" s="45" t="s">
        <v>1589</v>
      </c>
      <c r="E1412" s="104" t="s">
        <v>1597</v>
      </c>
      <c r="G1412" s="13">
        <v>2</v>
      </c>
      <c r="N1412" s="19"/>
      <c r="P1412" s="592"/>
      <c r="Q1412" s="592"/>
      <c r="R1412" s="592"/>
      <c r="S1412" s="592"/>
      <c r="T1412" s="592"/>
      <c r="U1412" s="592"/>
      <c r="V1412" s="592"/>
      <c r="W1412" s="592"/>
      <c r="X1412" s="592"/>
    </row>
    <row r="1413" spans="1:66" ht="15" customHeight="1">
      <c r="A1413" s="8" t="s">
        <v>2406</v>
      </c>
      <c r="B1413" s="75" t="s">
        <v>902</v>
      </c>
      <c r="C1413" s="75" t="s">
        <v>575</v>
      </c>
      <c r="D1413" s="710" t="s">
        <v>1969</v>
      </c>
      <c r="E1413" s="710"/>
      <c r="F1413" s="75" t="s">
        <v>564</v>
      </c>
      <c r="G1413" s="80">
        <v>24</v>
      </c>
      <c r="H1413" s="626"/>
      <c r="I1413" s="80">
        <f>G1413*AQ1413</f>
        <v>0</v>
      </c>
      <c r="J1413" s="80">
        <f>G1413*AR1413</f>
        <v>0</v>
      </c>
      <c r="K1413" s="80">
        <f>G1413*H1413</f>
        <v>0</v>
      </c>
      <c r="L1413" s="80">
        <v>2.9E-4</v>
      </c>
      <c r="M1413" s="80">
        <f>G1413*L1413</f>
        <v>6.96E-3</v>
      </c>
      <c r="N1413" s="38" t="s">
        <v>1579</v>
      </c>
      <c r="P1413" s="592"/>
      <c r="Q1413" s="592"/>
      <c r="R1413" s="592"/>
      <c r="S1413" s="592"/>
      <c r="T1413" s="592"/>
      <c r="U1413" s="592"/>
      <c r="V1413" s="592"/>
      <c r="W1413" s="592"/>
      <c r="X1413" s="592"/>
      <c r="AB1413" s="56">
        <f>IF(AS1413="5",BL1413,0)</f>
        <v>0</v>
      </c>
      <c r="AD1413" s="56">
        <f>IF(AS1413="1",BJ1413,0)</f>
        <v>0</v>
      </c>
      <c r="AE1413" s="56">
        <f>IF(AS1413="1",BK1413,0)</f>
        <v>0</v>
      </c>
      <c r="AF1413" s="56">
        <f>IF(AS1413="7",BJ1413,0)</f>
        <v>0</v>
      </c>
      <c r="AG1413" s="56">
        <f>IF(AS1413="7",BK1413,0)</f>
        <v>0</v>
      </c>
      <c r="AH1413" s="56">
        <f>IF(AS1413="2",BJ1413,0)</f>
        <v>0</v>
      </c>
      <c r="AI1413" s="56">
        <f>IF(AS1413="2",BK1413,0)</f>
        <v>0</v>
      </c>
      <c r="AJ1413" s="56">
        <f>IF(AS1413="0",BL1413,0)</f>
        <v>0</v>
      </c>
      <c r="AK1413" s="7" t="s">
        <v>902</v>
      </c>
      <c r="AL1413" s="80">
        <f>IF(AP1413=0,K1413,0)</f>
        <v>0</v>
      </c>
      <c r="AM1413" s="80">
        <f>IF(AP1413=15,K1413,0)</f>
        <v>0</v>
      </c>
      <c r="AN1413" s="80">
        <f>IF(AP1413=21,K1413,0)</f>
        <v>0</v>
      </c>
      <c r="AP1413" s="56">
        <v>21</v>
      </c>
      <c r="AQ1413" s="88">
        <f>H1413*1</f>
        <v>0</v>
      </c>
      <c r="AR1413" s="88">
        <f>H1413*(1-1)</f>
        <v>0</v>
      </c>
      <c r="AS1413" s="64" t="s">
        <v>2297</v>
      </c>
      <c r="AX1413" s="56">
        <f>AY1413+AZ1413</f>
        <v>0</v>
      </c>
      <c r="AY1413" s="56">
        <f>G1413*AQ1413</f>
        <v>0</v>
      </c>
      <c r="AZ1413" s="56">
        <f>G1413*AR1413</f>
        <v>0</v>
      </c>
      <c r="BA1413" s="21" t="s">
        <v>159</v>
      </c>
      <c r="BB1413" s="21" t="s">
        <v>2418</v>
      </c>
      <c r="BC1413" s="7" t="s">
        <v>2605</v>
      </c>
      <c r="BE1413" s="56">
        <f>AY1413+AZ1413</f>
        <v>0</v>
      </c>
      <c r="BF1413" s="56">
        <f>H1413/(100-BG1413)*100</f>
        <v>0</v>
      </c>
      <c r="BG1413" s="56">
        <v>0</v>
      </c>
      <c r="BH1413" s="56">
        <f>M1413</f>
        <v>6.96E-3</v>
      </c>
      <c r="BJ1413" s="80">
        <f>G1413*AQ1413</f>
        <v>0</v>
      </c>
      <c r="BK1413" s="80">
        <f>G1413*AR1413</f>
        <v>0</v>
      </c>
      <c r="BL1413" s="80">
        <f>G1413*H1413</f>
        <v>0</v>
      </c>
      <c r="BM1413" s="80"/>
      <c r="BN1413" s="56">
        <v>87</v>
      </c>
    </row>
    <row r="1414" spans="1:66" ht="15" customHeight="1">
      <c r="A1414" s="36"/>
      <c r="D1414" s="45" t="s">
        <v>222</v>
      </c>
      <c r="E1414" s="104" t="s">
        <v>1597</v>
      </c>
      <c r="G1414" s="13">
        <v>24.000000000000004</v>
      </c>
      <c r="N1414" s="19"/>
      <c r="P1414" s="592"/>
      <c r="Q1414" s="592"/>
      <c r="R1414" s="592"/>
      <c r="S1414" s="592"/>
      <c r="T1414" s="592"/>
      <c r="U1414" s="592"/>
      <c r="V1414" s="592"/>
      <c r="W1414" s="592"/>
      <c r="X1414" s="592"/>
    </row>
    <row r="1415" spans="1:66" ht="15" customHeight="1">
      <c r="A1415" s="24" t="s">
        <v>681</v>
      </c>
      <c r="B1415" s="12" t="s">
        <v>902</v>
      </c>
      <c r="C1415" s="12" t="s">
        <v>882</v>
      </c>
      <c r="D1415" s="630" t="s">
        <v>1974</v>
      </c>
      <c r="E1415" s="630"/>
      <c r="F1415" s="12" t="s">
        <v>564</v>
      </c>
      <c r="G1415" s="56">
        <v>8</v>
      </c>
      <c r="H1415" s="625"/>
      <c r="I1415" s="56">
        <f>G1415*AQ1415</f>
        <v>0</v>
      </c>
      <c r="J1415" s="56">
        <f>G1415*AR1415</f>
        <v>0</v>
      </c>
      <c r="K1415" s="56">
        <f>G1415*H1415</f>
        <v>0</v>
      </c>
      <c r="L1415" s="56">
        <v>3.0000000000000001E-5</v>
      </c>
      <c r="M1415" s="56">
        <f>G1415*L1415</f>
        <v>2.4000000000000001E-4</v>
      </c>
      <c r="N1415" s="31" t="s">
        <v>1579</v>
      </c>
      <c r="P1415" s="592"/>
      <c r="Q1415" s="592"/>
      <c r="R1415" s="592"/>
      <c r="S1415" s="592"/>
      <c r="T1415" s="592"/>
      <c r="U1415" s="592"/>
      <c r="V1415" s="592"/>
      <c r="W1415" s="592"/>
      <c r="X1415" s="592"/>
      <c r="AB1415" s="56">
        <f>IF(AS1415="5",BL1415,0)</f>
        <v>0</v>
      </c>
      <c r="AD1415" s="56">
        <f>IF(AS1415="1",BJ1415,0)</f>
        <v>0</v>
      </c>
      <c r="AE1415" s="56">
        <f>IF(AS1415="1",BK1415,0)</f>
        <v>0</v>
      </c>
      <c r="AF1415" s="56">
        <f>IF(AS1415="7",BJ1415,0)</f>
        <v>0</v>
      </c>
      <c r="AG1415" s="56">
        <f>IF(AS1415="7",BK1415,0)</f>
        <v>0</v>
      </c>
      <c r="AH1415" s="56">
        <f>IF(AS1415="2",BJ1415,0)</f>
        <v>0</v>
      </c>
      <c r="AI1415" s="56">
        <f>IF(AS1415="2",BK1415,0)</f>
        <v>0</v>
      </c>
      <c r="AJ1415" s="56">
        <f>IF(AS1415="0",BL1415,0)</f>
        <v>0</v>
      </c>
      <c r="AK1415" s="7" t="s">
        <v>902</v>
      </c>
      <c r="AL1415" s="56">
        <f>IF(AP1415=0,K1415,0)</f>
        <v>0</v>
      </c>
      <c r="AM1415" s="56">
        <f>IF(AP1415=15,K1415,0)</f>
        <v>0</v>
      </c>
      <c r="AN1415" s="56">
        <f>IF(AP1415=21,K1415,0)</f>
        <v>0</v>
      </c>
      <c r="AP1415" s="56">
        <v>21</v>
      </c>
      <c r="AQ1415" s="88">
        <f>H1415*0.0068</f>
        <v>0</v>
      </c>
      <c r="AR1415" s="88">
        <f>H1415*(1-0.0068)</f>
        <v>0</v>
      </c>
      <c r="AS1415" s="21" t="s">
        <v>2297</v>
      </c>
      <c r="AX1415" s="56">
        <f>AY1415+AZ1415</f>
        <v>0</v>
      </c>
      <c r="AY1415" s="56">
        <f>G1415*AQ1415</f>
        <v>0</v>
      </c>
      <c r="AZ1415" s="56">
        <f>G1415*AR1415</f>
        <v>0</v>
      </c>
      <c r="BA1415" s="21" t="s">
        <v>159</v>
      </c>
      <c r="BB1415" s="21" t="s">
        <v>2418</v>
      </c>
      <c r="BC1415" s="7" t="s">
        <v>2605</v>
      </c>
      <c r="BE1415" s="56">
        <f>AY1415+AZ1415</f>
        <v>0</v>
      </c>
      <c r="BF1415" s="56">
        <f>H1415/(100-BG1415)*100</f>
        <v>0</v>
      </c>
      <c r="BG1415" s="56">
        <v>0</v>
      </c>
      <c r="BH1415" s="56">
        <f>M1415</f>
        <v>2.4000000000000001E-4</v>
      </c>
      <c r="BJ1415" s="56">
        <f>G1415*AQ1415</f>
        <v>0</v>
      </c>
      <c r="BK1415" s="56">
        <f>G1415*AR1415</f>
        <v>0</v>
      </c>
      <c r="BL1415" s="56">
        <f>G1415*H1415</f>
        <v>0</v>
      </c>
      <c r="BM1415" s="56"/>
      <c r="BN1415" s="56">
        <v>87</v>
      </c>
    </row>
    <row r="1416" spans="1:66" ht="15" customHeight="1">
      <c r="A1416" s="36"/>
      <c r="D1416" s="45" t="s">
        <v>1109</v>
      </c>
      <c r="E1416" s="104" t="s">
        <v>1597</v>
      </c>
      <c r="G1416" s="13">
        <v>8</v>
      </c>
      <c r="N1416" s="19"/>
      <c r="P1416" s="592"/>
      <c r="Q1416" s="592"/>
      <c r="R1416" s="592"/>
      <c r="S1416" s="592"/>
      <c r="T1416" s="592"/>
      <c r="U1416" s="592"/>
      <c r="V1416" s="592"/>
      <c r="W1416" s="592"/>
      <c r="X1416" s="592"/>
    </row>
    <row r="1417" spans="1:66" ht="15" customHeight="1">
      <c r="A1417" s="8" t="s">
        <v>1699</v>
      </c>
      <c r="B1417" s="75" t="s">
        <v>902</v>
      </c>
      <c r="C1417" s="75" t="s">
        <v>553</v>
      </c>
      <c r="D1417" s="710" t="s">
        <v>2606</v>
      </c>
      <c r="E1417" s="710"/>
      <c r="F1417" s="75" t="s">
        <v>564</v>
      </c>
      <c r="G1417" s="80">
        <v>1</v>
      </c>
      <c r="H1417" s="626"/>
      <c r="I1417" s="80">
        <f>G1417*AQ1417</f>
        <v>0</v>
      </c>
      <c r="J1417" s="80">
        <f>G1417*AR1417</f>
        <v>0</v>
      </c>
      <c r="K1417" s="80">
        <f>G1417*H1417</f>
        <v>0</v>
      </c>
      <c r="L1417" s="80">
        <v>8.4999999999999995E-4</v>
      </c>
      <c r="M1417" s="80">
        <f>G1417*L1417</f>
        <v>8.4999999999999995E-4</v>
      </c>
      <c r="N1417" s="38" t="s">
        <v>1579</v>
      </c>
      <c r="P1417" s="592"/>
      <c r="Q1417" s="592"/>
      <c r="R1417" s="592"/>
      <c r="S1417" s="592"/>
      <c r="T1417" s="592"/>
      <c r="U1417" s="592"/>
      <c r="V1417" s="592"/>
      <c r="W1417" s="592"/>
      <c r="X1417" s="592"/>
      <c r="AB1417" s="56">
        <f>IF(AS1417="5",BL1417,0)</f>
        <v>0</v>
      </c>
      <c r="AD1417" s="56">
        <f>IF(AS1417="1",BJ1417,0)</f>
        <v>0</v>
      </c>
      <c r="AE1417" s="56">
        <f>IF(AS1417="1",BK1417,0)</f>
        <v>0</v>
      </c>
      <c r="AF1417" s="56">
        <f>IF(AS1417="7",BJ1417,0)</f>
        <v>0</v>
      </c>
      <c r="AG1417" s="56">
        <f>IF(AS1417="7",BK1417,0)</f>
        <v>0</v>
      </c>
      <c r="AH1417" s="56">
        <f>IF(AS1417="2",BJ1417,0)</f>
        <v>0</v>
      </c>
      <c r="AI1417" s="56">
        <f>IF(AS1417="2",BK1417,0)</f>
        <v>0</v>
      </c>
      <c r="AJ1417" s="56">
        <f>IF(AS1417="0",BL1417,0)</f>
        <v>0</v>
      </c>
      <c r="AK1417" s="7" t="s">
        <v>902</v>
      </c>
      <c r="AL1417" s="80">
        <f>IF(AP1417=0,K1417,0)</f>
        <v>0</v>
      </c>
      <c r="AM1417" s="80">
        <f>IF(AP1417=15,K1417,0)</f>
        <v>0</v>
      </c>
      <c r="AN1417" s="80">
        <f>IF(AP1417=21,K1417,0)</f>
        <v>0</v>
      </c>
      <c r="AP1417" s="56">
        <v>21</v>
      </c>
      <c r="AQ1417" s="88">
        <f>H1417*1</f>
        <v>0</v>
      </c>
      <c r="AR1417" s="88">
        <f>H1417*(1-1)</f>
        <v>0</v>
      </c>
      <c r="AS1417" s="64" t="s">
        <v>2297</v>
      </c>
      <c r="AX1417" s="56">
        <f>AY1417+AZ1417</f>
        <v>0</v>
      </c>
      <c r="AY1417" s="56">
        <f>G1417*AQ1417</f>
        <v>0</v>
      </c>
      <c r="AZ1417" s="56">
        <f>G1417*AR1417</f>
        <v>0</v>
      </c>
      <c r="BA1417" s="21" t="s">
        <v>159</v>
      </c>
      <c r="BB1417" s="21" t="s">
        <v>2418</v>
      </c>
      <c r="BC1417" s="7" t="s">
        <v>2605</v>
      </c>
      <c r="BE1417" s="56">
        <f>AY1417+AZ1417</f>
        <v>0</v>
      </c>
      <c r="BF1417" s="56">
        <f>H1417/(100-BG1417)*100</f>
        <v>0</v>
      </c>
      <c r="BG1417" s="56">
        <v>0</v>
      </c>
      <c r="BH1417" s="56">
        <f>M1417</f>
        <v>8.4999999999999995E-4</v>
      </c>
      <c r="BJ1417" s="80">
        <f>G1417*AQ1417</f>
        <v>0</v>
      </c>
      <c r="BK1417" s="80">
        <f>G1417*AR1417</f>
        <v>0</v>
      </c>
      <c r="BL1417" s="80">
        <f>G1417*H1417</f>
        <v>0</v>
      </c>
      <c r="BM1417" s="80"/>
      <c r="BN1417" s="56">
        <v>87</v>
      </c>
    </row>
    <row r="1418" spans="1:66" ht="15" customHeight="1">
      <c r="A1418" s="36"/>
      <c r="D1418" s="45" t="s">
        <v>2297</v>
      </c>
      <c r="E1418" s="104" t="s">
        <v>1597</v>
      </c>
      <c r="G1418" s="13">
        <v>1</v>
      </c>
      <c r="N1418" s="19"/>
      <c r="P1418" s="592"/>
      <c r="Q1418" s="592"/>
      <c r="R1418" s="592"/>
      <c r="S1418" s="592"/>
      <c r="T1418" s="592"/>
      <c r="U1418" s="592"/>
      <c r="V1418" s="592"/>
      <c r="W1418" s="592"/>
      <c r="X1418" s="592"/>
    </row>
    <row r="1419" spans="1:66" ht="15" customHeight="1">
      <c r="A1419" s="8" t="s">
        <v>1500</v>
      </c>
      <c r="B1419" s="75" t="s">
        <v>902</v>
      </c>
      <c r="C1419" s="75" t="s">
        <v>745</v>
      </c>
      <c r="D1419" s="710" t="s">
        <v>199</v>
      </c>
      <c r="E1419" s="710"/>
      <c r="F1419" s="75" t="s">
        <v>564</v>
      </c>
      <c r="G1419" s="80">
        <v>6</v>
      </c>
      <c r="H1419" s="626"/>
      <c r="I1419" s="80">
        <f>G1419*AQ1419</f>
        <v>0</v>
      </c>
      <c r="J1419" s="80">
        <f>G1419*AR1419</f>
        <v>0</v>
      </c>
      <c r="K1419" s="80">
        <f>G1419*H1419</f>
        <v>0</v>
      </c>
      <c r="L1419" s="80">
        <v>7.6000000000000004E-4</v>
      </c>
      <c r="M1419" s="80">
        <f>G1419*L1419</f>
        <v>4.5599999999999998E-3</v>
      </c>
      <c r="N1419" s="38" t="s">
        <v>1579</v>
      </c>
      <c r="P1419" s="592"/>
      <c r="Q1419" s="592"/>
      <c r="R1419" s="592"/>
      <c r="S1419" s="592"/>
      <c r="T1419" s="592"/>
      <c r="U1419" s="592"/>
      <c r="V1419" s="592"/>
      <c r="W1419" s="592"/>
      <c r="X1419" s="592"/>
      <c r="AB1419" s="56">
        <f>IF(AS1419="5",BL1419,0)</f>
        <v>0</v>
      </c>
      <c r="AD1419" s="56">
        <f>IF(AS1419="1",BJ1419,0)</f>
        <v>0</v>
      </c>
      <c r="AE1419" s="56">
        <f>IF(AS1419="1",BK1419,0)</f>
        <v>0</v>
      </c>
      <c r="AF1419" s="56">
        <f>IF(AS1419="7",BJ1419,0)</f>
        <v>0</v>
      </c>
      <c r="AG1419" s="56">
        <f>IF(AS1419="7",BK1419,0)</f>
        <v>0</v>
      </c>
      <c r="AH1419" s="56">
        <f>IF(AS1419="2",BJ1419,0)</f>
        <v>0</v>
      </c>
      <c r="AI1419" s="56">
        <f>IF(AS1419="2",BK1419,0)</f>
        <v>0</v>
      </c>
      <c r="AJ1419" s="56">
        <f>IF(AS1419="0",BL1419,0)</f>
        <v>0</v>
      </c>
      <c r="AK1419" s="7" t="s">
        <v>902</v>
      </c>
      <c r="AL1419" s="80">
        <f>IF(AP1419=0,K1419,0)</f>
        <v>0</v>
      </c>
      <c r="AM1419" s="80">
        <f>IF(AP1419=15,K1419,0)</f>
        <v>0</v>
      </c>
      <c r="AN1419" s="80">
        <f>IF(AP1419=21,K1419,0)</f>
        <v>0</v>
      </c>
      <c r="AP1419" s="56">
        <v>21</v>
      </c>
      <c r="AQ1419" s="88">
        <f>H1419*1</f>
        <v>0</v>
      </c>
      <c r="AR1419" s="88">
        <f>H1419*(1-1)</f>
        <v>0</v>
      </c>
      <c r="AS1419" s="64" t="s">
        <v>2297</v>
      </c>
      <c r="AX1419" s="56">
        <f>AY1419+AZ1419</f>
        <v>0</v>
      </c>
      <c r="AY1419" s="56">
        <f>G1419*AQ1419</f>
        <v>0</v>
      </c>
      <c r="AZ1419" s="56">
        <f>G1419*AR1419</f>
        <v>0</v>
      </c>
      <c r="BA1419" s="21" t="s">
        <v>159</v>
      </c>
      <c r="BB1419" s="21" t="s">
        <v>2418</v>
      </c>
      <c r="BC1419" s="7" t="s">
        <v>2605</v>
      </c>
      <c r="BE1419" s="56">
        <f>AY1419+AZ1419</f>
        <v>0</v>
      </c>
      <c r="BF1419" s="56">
        <f>H1419/(100-BG1419)*100</f>
        <v>0</v>
      </c>
      <c r="BG1419" s="56">
        <v>0</v>
      </c>
      <c r="BH1419" s="56">
        <f>M1419</f>
        <v>4.5599999999999998E-3</v>
      </c>
      <c r="BJ1419" s="80">
        <f>G1419*AQ1419</f>
        <v>0</v>
      </c>
      <c r="BK1419" s="80">
        <f>G1419*AR1419</f>
        <v>0</v>
      </c>
      <c r="BL1419" s="80">
        <f>G1419*H1419</f>
        <v>0</v>
      </c>
      <c r="BM1419" s="80"/>
      <c r="BN1419" s="56">
        <v>87</v>
      </c>
    </row>
    <row r="1420" spans="1:66" ht="15" customHeight="1">
      <c r="A1420" s="36"/>
      <c r="D1420" s="45" t="s">
        <v>390</v>
      </c>
      <c r="E1420" s="104" t="s">
        <v>1597</v>
      </c>
      <c r="G1420" s="13">
        <v>6.0000000000000009</v>
      </c>
      <c r="N1420" s="19"/>
      <c r="P1420" s="592"/>
      <c r="Q1420" s="592"/>
      <c r="R1420" s="592"/>
      <c r="S1420" s="592"/>
      <c r="T1420" s="592"/>
      <c r="U1420" s="592"/>
      <c r="V1420" s="592"/>
      <c r="W1420" s="592"/>
      <c r="X1420" s="592"/>
    </row>
    <row r="1421" spans="1:66" ht="15" customHeight="1">
      <c r="A1421" s="8" t="s">
        <v>1345</v>
      </c>
      <c r="B1421" s="75" t="s">
        <v>902</v>
      </c>
      <c r="C1421" s="75" t="s">
        <v>1338</v>
      </c>
      <c r="D1421" s="710" t="s">
        <v>2156</v>
      </c>
      <c r="E1421" s="710"/>
      <c r="F1421" s="75" t="s">
        <v>564</v>
      </c>
      <c r="G1421" s="80">
        <v>1</v>
      </c>
      <c r="H1421" s="626"/>
      <c r="I1421" s="80">
        <f>G1421*AQ1421</f>
        <v>0</v>
      </c>
      <c r="J1421" s="80">
        <f>G1421*AR1421</f>
        <v>0</v>
      </c>
      <c r="K1421" s="80">
        <f>G1421*H1421</f>
        <v>0</v>
      </c>
      <c r="L1421" s="80">
        <v>6.7000000000000002E-4</v>
      </c>
      <c r="M1421" s="80">
        <f>G1421*L1421</f>
        <v>6.7000000000000002E-4</v>
      </c>
      <c r="N1421" s="38" t="s">
        <v>1579</v>
      </c>
      <c r="P1421" s="592"/>
      <c r="Q1421" s="592"/>
      <c r="R1421" s="592"/>
      <c r="S1421" s="592"/>
      <c r="T1421" s="592"/>
      <c r="U1421" s="592"/>
      <c r="V1421" s="592"/>
      <c r="W1421" s="592"/>
      <c r="X1421" s="592"/>
      <c r="AB1421" s="56">
        <f>IF(AS1421="5",BL1421,0)</f>
        <v>0</v>
      </c>
      <c r="AD1421" s="56">
        <f>IF(AS1421="1",BJ1421,0)</f>
        <v>0</v>
      </c>
      <c r="AE1421" s="56">
        <f>IF(AS1421="1",BK1421,0)</f>
        <v>0</v>
      </c>
      <c r="AF1421" s="56">
        <f>IF(AS1421="7",BJ1421,0)</f>
        <v>0</v>
      </c>
      <c r="AG1421" s="56">
        <f>IF(AS1421="7",BK1421,0)</f>
        <v>0</v>
      </c>
      <c r="AH1421" s="56">
        <f>IF(AS1421="2",BJ1421,0)</f>
        <v>0</v>
      </c>
      <c r="AI1421" s="56">
        <f>IF(AS1421="2",BK1421,0)</f>
        <v>0</v>
      </c>
      <c r="AJ1421" s="56">
        <f>IF(AS1421="0",BL1421,0)</f>
        <v>0</v>
      </c>
      <c r="AK1421" s="7" t="s">
        <v>902</v>
      </c>
      <c r="AL1421" s="80">
        <f>IF(AP1421=0,K1421,0)</f>
        <v>0</v>
      </c>
      <c r="AM1421" s="80">
        <f>IF(AP1421=15,K1421,0)</f>
        <v>0</v>
      </c>
      <c r="AN1421" s="80">
        <f>IF(AP1421=21,K1421,0)</f>
        <v>0</v>
      </c>
      <c r="AP1421" s="56">
        <v>21</v>
      </c>
      <c r="AQ1421" s="88">
        <f>H1421*1</f>
        <v>0</v>
      </c>
      <c r="AR1421" s="88">
        <f>H1421*(1-1)</f>
        <v>0</v>
      </c>
      <c r="AS1421" s="64" t="s">
        <v>2297</v>
      </c>
      <c r="AX1421" s="56">
        <f>AY1421+AZ1421</f>
        <v>0</v>
      </c>
      <c r="AY1421" s="56">
        <f>G1421*AQ1421</f>
        <v>0</v>
      </c>
      <c r="AZ1421" s="56">
        <f>G1421*AR1421</f>
        <v>0</v>
      </c>
      <c r="BA1421" s="21" t="s">
        <v>159</v>
      </c>
      <c r="BB1421" s="21" t="s">
        <v>2418</v>
      </c>
      <c r="BC1421" s="7" t="s">
        <v>2605</v>
      </c>
      <c r="BE1421" s="56">
        <f>AY1421+AZ1421</f>
        <v>0</v>
      </c>
      <c r="BF1421" s="56">
        <f>H1421/(100-BG1421)*100</f>
        <v>0</v>
      </c>
      <c r="BG1421" s="56">
        <v>0</v>
      </c>
      <c r="BH1421" s="56">
        <f>M1421</f>
        <v>6.7000000000000002E-4</v>
      </c>
      <c r="BJ1421" s="80">
        <f>G1421*AQ1421</f>
        <v>0</v>
      </c>
      <c r="BK1421" s="80">
        <f>G1421*AR1421</f>
        <v>0</v>
      </c>
      <c r="BL1421" s="80">
        <f>G1421*H1421</f>
        <v>0</v>
      </c>
      <c r="BM1421" s="80"/>
      <c r="BN1421" s="56">
        <v>87</v>
      </c>
    </row>
    <row r="1422" spans="1:66" ht="15" customHeight="1">
      <c r="A1422" s="36"/>
      <c r="D1422" s="45" t="s">
        <v>2297</v>
      </c>
      <c r="E1422" s="104" t="s">
        <v>1597</v>
      </c>
      <c r="G1422" s="13">
        <v>1</v>
      </c>
      <c r="N1422" s="19"/>
      <c r="P1422" s="592"/>
      <c r="Q1422" s="592"/>
      <c r="R1422" s="592"/>
      <c r="S1422" s="592"/>
      <c r="T1422" s="592"/>
      <c r="U1422" s="592"/>
      <c r="V1422" s="592"/>
      <c r="W1422" s="592"/>
      <c r="X1422" s="592"/>
    </row>
    <row r="1423" spans="1:66" ht="15" customHeight="1">
      <c r="A1423" s="32" t="s">
        <v>1597</v>
      </c>
      <c r="B1423" s="26" t="s">
        <v>902</v>
      </c>
      <c r="C1423" s="573" t="s">
        <v>2476</v>
      </c>
      <c r="D1423" s="709" t="s">
        <v>1489</v>
      </c>
      <c r="E1423" s="709"/>
      <c r="F1423" s="46" t="s">
        <v>2144</v>
      </c>
      <c r="G1423" s="46" t="s">
        <v>2144</v>
      </c>
      <c r="H1423" s="46" t="s">
        <v>2144</v>
      </c>
      <c r="I1423" s="17">
        <f>SUM(I1424:I1438)</f>
        <v>0</v>
      </c>
      <c r="J1423" s="17">
        <f>SUM(J1424:J1438)</f>
        <v>0</v>
      </c>
      <c r="K1423" s="572">
        <f>SUM(K1424:K1438)</f>
        <v>0</v>
      </c>
      <c r="L1423" s="7" t="s">
        <v>1597</v>
      </c>
      <c r="M1423" s="17">
        <f>SUM(M1424:M1438)</f>
        <v>0.72248000000000001</v>
      </c>
      <c r="N1423" s="20" t="s">
        <v>1597</v>
      </c>
      <c r="P1423" s="592"/>
      <c r="Q1423" s="592"/>
      <c r="R1423" s="592"/>
      <c r="S1423" s="592"/>
      <c r="T1423" s="592"/>
      <c r="U1423" s="592"/>
      <c r="V1423" s="592"/>
      <c r="W1423" s="592"/>
      <c r="X1423" s="592"/>
      <c r="AK1423" s="7" t="s">
        <v>902</v>
      </c>
      <c r="AU1423" s="17">
        <f>SUM(AL1424:AL1438)</f>
        <v>0</v>
      </c>
      <c r="AV1423" s="17">
        <f>SUM(AM1424:AM1438)</f>
        <v>0</v>
      </c>
      <c r="AW1423" s="17">
        <f>SUM(AN1424:AN1438)</f>
        <v>0</v>
      </c>
    </row>
    <row r="1424" spans="1:66" ht="15" customHeight="1">
      <c r="A1424" s="24" t="s">
        <v>2069</v>
      </c>
      <c r="B1424" s="12" t="s">
        <v>902</v>
      </c>
      <c r="C1424" s="12" t="s">
        <v>2473</v>
      </c>
      <c r="D1424" s="630" t="s">
        <v>2649</v>
      </c>
      <c r="E1424" s="630"/>
      <c r="F1424" s="12" t="s">
        <v>1923</v>
      </c>
      <c r="G1424" s="56">
        <v>142</v>
      </c>
      <c r="H1424" s="625"/>
      <c r="I1424" s="56">
        <f>G1424*AQ1424</f>
        <v>0</v>
      </c>
      <c r="J1424" s="56">
        <f>G1424*AR1424</f>
        <v>0</v>
      </c>
      <c r="K1424" s="56">
        <f>G1424*H1424</f>
        <v>0</v>
      </c>
      <c r="L1424" s="56">
        <v>0</v>
      </c>
      <c r="M1424" s="56">
        <f>G1424*L1424</f>
        <v>0</v>
      </c>
      <c r="N1424" s="31" t="s">
        <v>1579</v>
      </c>
      <c r="P1424" s="592"/>
      <c r="Q1424" s="592"/>
      <c r="R1424" s="592"/>
      <c r="S1424" s="592"/>
      <c r="T1424" s="592"/>
      <c r="U1424" s="592"/>
      <c r="V1424" s="592"/>
      <c r="W1424" s="592"/>
      <c r="X1424" s="592"/>
      <c r="AB1424" s="56">
        <f>IF(AS1424="5",BL1424,0)</f>
        <v>0</v>
      </c>
      <c r="AD1424" s="56">
        <f>IF(AS1424="1",BJ1424,0)</f>
        <v>0</v>
      </c>
      <c r="AE1424" s="56">
        <f>IF(AS1424="1",BK1424,0)</f>
        <v>0</v>
      </c>
      <c r="AF1424" s="56">
        <f>IF(AS1424="7",BJ1424,0)</f>
        <v>0</v>
      </c>
      <c r="AG1424" s="56">
        <f>IF(AS1424="7",BK1424,0)</f>
        <v>0</v>
      </c>
      <c r="AH1424" s="56">
        <f>IF(AS1424="2",BJ1424,0)</f>
        <v>0</v>
      </c>
      <c r="AI1424" s="56">
        <f>IF(AS1424="2",BK1424,0)</f>
        <v>0</v>
      </c>
      <c r="AJ1424" s="56">
        <f>IF(AS1424="0",BL1424,0)</f>
        <v>0</v>
      </c>
      <c r="AK1424" s="7" t="s">
        <v>902</v>
      </c>
      <c r="AL1424" s="56">
        <f>IF(AP1424=0,K1424,0)</f>
        <v>0</v>
      </c>
      <c r="AM1424" s="56">
        <f>IF(AP1424=15,K1424,0)</f>
        <v>0</v>
      </c>
      <c r="AN1424" s="56">
        <f>IF(AP1424=21,K1424,0)</f>
        <v>0</v>
      </c>
      <c r="AP1424" s="56">
        <v>21</v>
      </c>
      <c r="AQ1424" s="88">
        <f>H1424*0.0288</f>
        <v>0</v>
      </c>
      <c r="AR1424" s="88">
        <f>H1424*(1-0.0288)</f>
        <v>0</v>
      </c>
      <c r="AS1424" s="21" t="s">
        <v>2297</v>
      </c>
      <c r="AX1424" s="56">
        <f>AY1424+AZ1424</f>
        <v>0</v>
      </c>
      <c r="AY1424" s="56">
        <f>G1424*AQ1424</f>
        <v>0</v>
      </c>
      <c r="AZ1424" s="56">
        <f>G1424*AR1424</f>
        <v>0</v>
      </c>
      <c r="BA1424" s="21" t="s">
        <v>192</v>
      </c>
      <c r="BB1424" s="21" t="s">
        <v>2418</v>
      </c>
      <c r="BC1424" s="7" t="s">
        <v>2605</v>
      </c>
      <c r="BE1424" s="56">
        <f>AY1424+AZ1424</f>
        <v>0</v>
      </c>
      <c r="BF1424" s="56">
        <f>H1424/(100-BG1424)*100</f>
        <v>0</v>
      </c>
      <c r="BG1424" s="56">
        <v>0</v>
      </c>
      <c r="BH1424" s="56">
        <f>M1424</f>
        <v>0</v>
      </c>
      <c r="BJ1424" s="56">
        <f>G1424*AQ1424</f>
        <v>0</v>
      </c>
      <c r="BK1424" s="56">
        <f>G1424*AR1424</f>
        <v>0</v>
      </c>
      <c r="BL1424" s="56">
        <f>G1424*H1424</f>
        <v>0</v>
      </c>
      <c r="BM1424" s="56"/>
      <c r="BN1424" s="56">
        <v>89</v>
      </c>
    </row>
    <row r="1425" spans="1:66" ht="15" customHeight="1">
      <c r="A1425" s="36"/>
      <c r="D1425" s="45" t="s">
        <v>345</v>
      </c>
      <c r="E1425" s="104" t="s">
        <v>1597</v>
      </c>
      <c r="G1425" s="13">
        <v>142</v>
      </c>
      <c r="N1425" s="19"/>
      <c r="P1425" s="592"/>
      <c r="Q1425" s="592"/>
      <c r="R1425" s="592"/>
      <c r="S1425" s="592"/>
      <c r="T1425" s="592"/>
      <c r="U1425" s="592"/>
      <c r="V1425" s="592"/>
      <c r="W1425" s="592"/>
      <c r="X1425" s="592"/>
    </row>
    <row r="1426" spans="1:66" ht="15" customHeight="1">
      <c r="A1426" s="24" t="s">
        <v>1612</v>
      </c>
      <c r="B1426" s="12" t="s">
        <v>902</v>
      </c>
      <c r="C1426" s="12" t="s">
        <v>1434</v>
      </c>
      <c r="D1426" s="630" t="s">
        <v>1177</v>
      </c>
      <c r="E1426" s="630"/>
      <c r="F1426" s="12" t="s">
        <v>564</v>
      </c>
      <c r="G1426" s="56">
        <v>6</v>
      </c>
      <c r="H1426" s="625"/>
      <c r="I1426" s="56">
        <f>G1426*AQ1426</f>
        <v>0</v>
      </c>
      <c r="J1426" s="56">
        <f>G1426*AR1426</f>
        <v>0</v>
      </c>
      <c r="K1426" s="56">
        <f>G1426*H1426</f>
        <v>0</v>
      </c>
      <c r="L1426" s="56">
        <v>0</v>
      </c>
      <c r="M1426" s="56">
        <f>G1426*L1426</f>
        <v>0</v>
      </c>
      <c r="N1426" s="31" t="s">
        <v>1579</v>
      </c>
      <c r="P1426" s="592"/>
      <c r="Q1426" s="592"/>
      <c r="R1426" s="592"/>
      <c r="S1426" s="592"/>
      <c r="T1426" s="592"/>
      <c r="U1426" s="592"/>
      <c r="V1426" s="592"/>
      <c r="W1426" s="592"/>
      <c r="X1426" s="592"/>
      <c r="AB1426" s="56">
        <f>IF(AS1426="5",BL1426,0)</f>
        <v>0</v>
      </c>
      <c r="AD1426" s="56">
        <f>IF(AS1426="1",BJ1426,0)</f>
        <v>0</v>
      </c>
      <c r="AE1426" s="56">
        <f>IF(AS1426="1",BK1426,0)</f>
        <v>0</v>
      </c>
      <c r="AF1426" s="56">
        <f>IF(AS1426="7",BJ1426,0)</f>
        <v>0</v>
      </c>
      <c r="AG1426" s="56">
        <f>IF(AS1426="7",BK1426,0)</f>
        <v>0</v>
      </c>
      <c r="AH1426" s="56">
        <f>IF(AS1426="2",BJ1426,0)</f>
        <v>0</v>
      </c>
      <c r="AI1426" s="56">
        <f>IF(AS1426="2",BK1426,0)</f>
        <v>0</v>
      </c>
      <c r="AJ1426" s="56">
        <f>IF(AS1426="0",BL1426,0)</f>
        <v>0</v>
      </c>
      <c r="AK1426" s="7" t="s">
        <v>902</v>
      </c>
      <c r="AL1426" s="56">
        <f>IF(AP1426=0,K1426,0)</f>
        <v>0</v>
      </c>
      <c r="AM1426" s="56">
        <f>IF(AP1426=15,K1426,0)</f>
        <v>0</v>
      </c>
      <c r="AN1426" s="56">
        <f>IF(AP1426=21,K1426,0)</f>
        <v>0</v>
      </c>
      <c r="AP1426" s="56">
        <v>21</v>
      </c>
      <c r="AQ1426" s="88">
        <f>H1426*0</f>
        <v>0</v>
      </c>
      <c r="AR1426" s="88">
        <f>H1426*(1-0)</f>
        <v>0</v>
      </c>
      <c r="AS1426" s="21" t="s">
        <v>2297</v>
      </c>
      <c r="AX1426" s="56">
        <f>AY1426+AZ1426</f>
        <v>0</v>
      </c>
      <c r="AY1426" s="56">
        <f>G1426*AQ1426</f>
        <v>0</v>
      </c>
      <c r="AZ1426" s="56">
        <f>G1426*AR1426</f>
        <v>0</v>
      </c>
      <c r="BA1426" s="21" t="s">
        <v>192</v>
      </c>
      <c r="BB1426" s="21" t="s">
        <v>2418</v>
      </c>
      <c r="BC1426" s="7" t="s">
        <v>2605</v>
      </c>
      <c r="BE1426" s="56">
        <f>AY1426+AZ1426</f>
        <v>0</v>
      </c>
      <c r="BF1426" s="56">
        <f>H1426/(100-BG1426)*100</f>
        <v>0</v>
      </c>
      <c r="BG1426" s="56">
        <v>0</v>
      </c>
      <c r="BH1426" s="56">
        <f>M1426</f>
        <v>0</v>
      </c>
      <c r="BJ1426" s="56">
        <f>G1426*AQ1426</f>
        <v>0</v>
      </c>
      <c r="BK1426" s="56">
        <f>G1426*AR1426</f>
        <v>0</v>
      </c>
      <c r="BL1426" s="56">
        <f>G1426*H1426</f>
        <v>0</v>
      </c>
      <c r="BM1426" s="56"/>
      <c r="BN1426" s="56">
        <v>89</v>
      </c>
    </row>
    <row r="1427" spans="1:66" ht="15" customHeight="1">
      <c r="A1427" s="36"/>
      <c r="D1427" s="45" t="s">
        <v>390</v>
      </c>
      <c r="E1427" s="104" t="s">
        <v>1597</v>
      </c>
      <c r="G1427" s="13">
        <v>6.0000000000000009</v>
      </c>
      <c r="N1427" s="19"/>
      <c r="P1427" s="592"/>
      <c r="Q1427" s="592"/>
      <c r="R1427" s="592"/>
      <c r="S1427" s="592"/>
      <c r="T1427" s="592"/>
      <c r="U1427" s="592"/>
      <c r="V1427" s="592"/>
      <c r="W1427" s="592"/>
      <c r="X1427" s="592"/>
    </row>
    <row r="1428" spans="1:66" ht="15" customHeight="1">
      <c r="A1428" s="8" t="s">
        <v>2635</v>
      </c>
      <c r="B1428" s="75" t="s">
        <v>902</v>
      </c>
      <c r="C1428" s="75" t="s">
        <v>1909</v>
      </c>
      <c r="D1428" s="710" t="s">
        <v>2670</v>
      </c>
      <c r="E1428" s="710"/>
      <c r="F1428" s="75" t="s">
        <v>564</v>
      </c>
      <c r="G1428" s="80">
        <v>6</v>
      </c>
      <c r="H1428" s="626"/>
      <c r="I1428" s="80">
        <f>G1428*AQ1428</f>
        <v>0</v>
      </c>
      <c r="J1428" s="80">
        <f>G1428*AR1428</f>
        <v>0</v>
      </c>
      <c r="K1428" s="80">
        <f>G1428*H1428</f>
        <v>0</v>
      </c>
      <c r="L1428" s="80">
        <v>1.2E-2</v>
      </c>
      <c r="M1428" s="80">
        <f>G1428*L1428</f>
        <v>7.2000000000000008E-2</v>
      </c>
      <c r="N1428" s="38" t="s">
        <v>1579</v>
      </c>
      <c r="P1428" s="592"/>
      <c r="Q1428" s="592"/>
      <c r="R1428" s="592"/>
      <c r="S1428" s="592"/>
      <c r="T1428" s="592"/>
      <c r="U1428" s="592"/>
      <c r="V1428" s="592"/>
      <c r="W1428" s="592"/>
      <c r="X1428" s="592"/>
      <c r="AB1428" s="56">
        <f>IF(AS1428="5",BL1428,0)</f>
        <v>0</v>
      </c>
      <c r="AD1428" s="56">
        <f>IF(AS1428="1",BJ1428,0)</f>
        <v>0</v>
      </c>
      <c r="AE1428" s="56">
        <f>IF(AS1428="1",BK1428,0)</f>
        <v>0</v>
      </c>
      <c r="AF1428" s="56">
        <f>IF(AS1428="7",BJ1428,0)</f>
        <v>0</v>
      </c>
      <c r="AG1428" s="56">
        <f>IF(AS1428="7",BK1428,0)</f>
        <v>0</v>
      </c>
      <c r="AH1428" s="56">
        <f>IF(AS1428="2",BJ1428,0)</f>
        <v>0</v>
      </c>
      <c r="AI1428" s="56">
        <f>IF(AS1428="2",BK1428,0)</f>
        <v>0</v>
      </c>
      <c r="AJ1428" s="56">
        <f>IF(AS1428="0",BL1428,0)</f>
        <v>0</v>
      </c>
      <c r="AK1428" s="7" t="s">
        <v>902</v>
      </c>
      <c r="AL1428" s="80">
        <f>IF(AP1428=0,K1428,0)</f>
        <v>0</v>
      </c>
      <c r="AM1428" s="80">
        <f>IF(AP1428=15,K1428,0)</f>
        <v>0</v>
      </c>
      <c r="AN1428" s="80">
        <f>IF(AP1428=21,K1428,0)</f>
        <v>0</v>
      </c>
      <c r="AP1428" s="56">
        <v>21</v>
      </c>
      <c r="AQ1428" s="88">
        <f>H1428*1</f>
        <v>0</v>
      </c>
      <c r="AR1428" s="88">
        <f>H1428*(1-1)</f>
        <v>0</v>
      </c>
      <c r="AS1428" s="64" t="s">
        <v>2297</v>
      </c>
      <c r="AX1428" s="56">
        <f>AY1428+AZ1428</f>
        <v>0</v>
      </c>
      <c r="AY1428" s="56">
        <f>G1428*AQ1428</f>
        <v>0</v>
      </c>
      <c r="AZ1428" s="56">
        <f>G1428*AR1428</f>
        <v>0</v>
      </c>
      <c r="BA1428" s="21" t="s">
        <v>192</v>
      </c>
      <c r="BB1428" s="21" t="s">
        <v>2418</v>
      </c>
      <c r="BC1428" s="7" t="s">
        <v>2605</v>
      </c>
      <c r="BE1428" s="56">
        <f>AY1428+AZ1428</f>
        <v>0</v>
      </c>
      <c r="BF1428" s="56">
        <f>H1428/(100-BG1428)*100</f>
        <v>0</v>
      </c>
      <c r="BG1428" s="56">
        <v>0</v>
      </c>
      <c r="BH1428" s="56">
        <f>M1428</f>
        <v>7.2000000000000008E-2</v>
      </c>
      <c r="BJ1428" s="80">
        <f>G1428*AQ1428</f>
        <v>0</v>
      </c>
      <c r="BK1428" s="80">
        <f>G1428*AR1428</f>
        <v>0</v>
      </c>
      <c r="BL1428" s="80">
        <f>G1428*H1428</f>
        <v>0</v>
      </c>
      <c r="BM1428" s="80"/>
      <c r="BN1428" s="56">
        <v>89</v>
      </c>
    </row>
    <row r="1429" spans="1:66" ht="15" customHeight="1">
      <c r="A1429" s="36"/>
      <c r="D1429" s="45" t="s">
        <v>390</v>
      </c>
      <c r="E1429" s="104" t="s">
        <v>1597</v>
      </c>
      <c r="G1429" s="13">
        <v>6.0000000000000009</v>
      </c>
      <c r="N1429" s="19"/>
      <c r="P1429" s="592"/>
      <c r="Q1429" s="592"/>
      <c r="R1429" s="592"/>
      <c r="S1429" s="592"/>
      <c r="T1429" s="592"/>
      <c r="U1429" s="592"/>
      <c r="V1429" s="592"/>
      <c r="W1429" s="592"/>
      <c r="X1429" s="592"/>
    </row>
    <row r="1430" spans="1:66" ht="15" customHeight="1">
      <c r="A1430" s="8" t="s">
        <v>1160</v>
      </c>
      <c r="B1430" s="75" t="s">
        <v>902</v>
      </c>
      <c r="C1430" s="75" t="s">
        <v>1977</v>
      </c>
      <c r="D1430" s="710" t="s">
        <v>1590</v>
      </c>
      <c r="E1430" s="710"/>
      <c r="F1430" s="75" t="s">
        <v>564</v>
      </c>
      <c r="G1430" s="80">
        <v>6</v>
      </c>
      <c r="H1430" s="626"/>
      <c r="I1430" s="80">
        <f>G1430*AQ1430</f>
        <v>0</v>
      </c>
      <c r="J1430" s="80">
        <f>G1430*AR1430</f>
        <v>0</v>
      </c>
      <c r="K1430" s="80">
        <f>G1430*H1430</f>
        <v>0</v>
      </c>
      <c r="L1430" s="80">
        <v>6.4999999999999997E-3</v>
      </c>
      <c r="M1430" s="80">
        <f>G1430*L1430</f>
        <v>3.9E-2</v>
      </c>
      <c r="N1430" s="38" t="s">
        <v>1579</v>
      </c>
      <c r="P1430" s="592"/>
      <c r="Q1430" s="592"/>
      <c r="R1430" s="592"/>
      <c r="S1430" s="592"/>
      <c r="T1430" s="592"/>
      <c r="U1430" s="592"/>
      <c r="V1430" s="592"/>
      <c r="W1430" s="592"/>
      <c r="X1430" s="592"/>
      <c r="AB1430" s="56">
        <f>IF(AS1430="5",BL1430,0)</f>
        <v>0</v>
      </c>
      <c r="AD1430" s="56">
        <f>IF(AS1430="1",BJ1430,0)</f>
        <v>0</v>
      </c>
      <c r="AE1430" s="56">
        <f>IF(AS1430="1",BK1430,0)</f>
        <v>0</v>
      </c>
      <c r="AF1430" s="56">
        <f>IF(AS1430="7",BJ1430,0)</f>
        <v>0</v>
      </c>
      <c r="AG1430" s="56">
        <f>IF(AS1430="7",BK1430,0)</f>
        <v>0</v>
      </c>
      <c r="AH1430" s="56">
        <f>IF(AS1430="2",BJ1430,0)</f>
        <v>0</v>
      </c>
      <c r="AI1430" s="56">
        <f>IF(AS1430="2",BK1430,0)</f>
        <v>0</v>
      </c>
      <c r="AJ1430" s="56">
        <f>IF(AS1430="0",BL1430,0)</f>
        <v>0</v>
      </c>
      <c r="AK1430" s="7" t="s">
        <v>902</v>
      </c>
      <c r="AL1430" s="80">
        <f>IF(AP1430=0,K1430,0)</f>
        <v>0</v>
      </c>
      <c r="AM1430" s="80">
        <f>IF(AP1430=15,K1430,0)</f>
        <v>0</v>
      </c>
      <c r="AN1430" s="80">
        <f>IF(AP1430=21,K1430,0)</f>
        <v>0</v>
      </c>
      <c r="AP1430" s="56">
        <v>21</v>
      </c>
      <c r="AQ1430" s="88">
        <f>H1430*1</f>
        <v>0</v>
      </c>
      <c r="AR1430" s="88">
        <f>H1430*(1-1)</f>
        <v>0</v>
      </c>
      <c r="AS1430" s="64" t="s">
        <v>2297</v>
      </c>
      <c r="AX1430" s="56">
        <f>AY1430+AZ1430</f>
        <v>0</v>
      </c>
      <c r="AY1430" s="56">
        <f>G1430*AQ1430</f>
        <v>0</v>
      </c>
      <c r="AZ1430" s="56">
        <f>G1430*AR1430</f>
        <v>0</v>
      </c>
      <c r="BA1430" s="21" t="s">
        <v>192</v>
      </c>
      <c r="BB1430" s="21" t="s">
        <v>2418</v>
      </c>
      <c r="BC1430" s="7" t="s">
        <v>2605</v>
      </c>
      <c r="BE1430" s="56">
        <f>AY1430+AZ1430</f>
        <v>0</v>
      </c>
      <c r="BF1430" s="56">
        <f>H1430/(100-BG1430)*100</f>
        <v>0</v>
      </c>
      <c r="BG1430" s="56">
        <v>0</v>
      </c>
      <c r="BH1430" s="56">
        <f>M1430</f>
        <v>3.9E-2</v>
      </c>
      <c r="BJ1430" s="80">
        <f>G1430*AQ1430</f>
        <v>0</v>
      </c>
      <c r="BK1430" s="80">
        <f>G1430*AR1430</f>
        <v>0</v>
      </c>
      <c r="BL1430" s="80">
        <f>G1430*H1430</f>
        <v>0</v>
      </c>
      <c r="BM1430" s="80"/>
      <c r="BN1430" s="56">
        <v>89</v>
      </c>
    </row>
    <row r="1431" spans="1:66" ht="15" customHeight="1">
      <c r="A1431" s="36"/>
      <c r="D1431" s="45" t="s">
        <v>390</v>
      </c>
      <c r="E1431" s="104" t="s">
        <v>1597</v>
      </c>
      <c r="G1431" s="13">
        <v>6.0000000000000009</v>
      </c>
      <c r="N1431" s="19"/>
      <c r="P1431" s="592"/>
      <c r="Q1431" s="592"/>
      <c r="R1431" s="592"/>
      <c r="S1431" s="592"/>
      <c r="T1431" s="592"/>
      <c r="U1431" s="592"/>
      <c r="V1431" s="592"/>
      <c r="W1431" s="592"/>
      <c r="X1431" s="592"/>
    </row>
    <row r="1432" spans="1:66" ht="15" customHeight="1">
      <c r="A1432" s="24" t="s">
        <v>610</v>
      </c>
      <c r="B1432" s="12" t="s">
        <v>902</v>
      </c>
      <c r="C1432" s="12" t="s">
        <v>1292</v>
      </c>
      <c r="D1432" s="630" t="s">
        <v>240</v>
      </c>
      <c r="E1432" s="630"/>
      <c r="F1432" s="12" t="s">
        <v>564</v>
      </c>
      <c r="G1432" s="56">
        <v>6</v>
      </c>
      <c r="H1432" s="625"/>
      <c r="I1432" s="56">
        <f>G1432*AQ1432</f>
        <v>0</v>
      </c>
      <c r="J1432" s="56">
        <f>G1432*AR1432</f>
        <v>0</v>
      </c>
      <c r="K1432" s="56">
        <f>G1432*H1432</f>
        <v>0</v>
      </c>
      <c r="L1432" s="56">
        <v>4.6800000000000001E-3</v>
      </c>
      <c r="M1432" s="56">
        <f>G1432*L1432</f>
        <v>2.8080000000000001E-2</v>
      </c>
      <c r="N1432" s="31" t="s">
        <v>1579</v>
      </c>
      <c r="P1432" s="592"/>
      <c r="Q1432" s="592"/>
      <c r="R1432" s="592"/>
      <c r="S1432" s="592"/>
      <c r="T1432" s="592"/>
      <c r="U1432" s="592"/>
      <c r="V1432" s="592"/>
      <c r="W1432" s="592"/>
      <c r="X1432" s="592"/>
      <c r="AB1432" s="56">
        <f>IF(AS1432="5",BL1432,0)</f>
        <v>0</v>
      </c>
      <c r="AD1432" s="56">
        <f>IF(AS1432="1",BJ1432,0)</f>
        <v>0</v>
      </c>
      <c r="AE1432" s="56">
        <f>IF(AS1432="1",BK1432,0)</f>
        <v>0</v>
      </c>
      <c r="AF1432" s="56">
        <f>IF(AS1432="7",BJ1432,0)</f>
        <v>0</v>
      </c>
      <c r="AG1432" s="56">
        <f>IF(AS1432="7",BK1432,0)</f>
        <v>0</v>
      </c>
      <c r="AH1432" s="56">
        <f>IF(AS1432="2",BJ1432,0)</f>
        <v>0</v>
      </c>
      <c r="AI1432" s="56">
        <f>IF(AS1432="2",BK1432,0)</f>
        <v>0</v>
      </c>
      <c r="AJ1432" s="56">
        <f>IF(AS1432="0",BL1432,0)</f>
        <v>0</v>
      </c>
      <c r="AK1432" s="7" t="s">
        <v>902</v>
      </c>
      <c r="AL1432" s="56">
        <f>IF(AP1432=0,K1432,0)</f>
        <v>0</v>
      </c>
      <c r="AM1432" s="56">
        <f>IF(AP1432=15,K1432,0)</f>
        <v>0</v>
      </c>
      <c r="AN1432" s="56">
        <f>IF(AP1432=21,K1432,0)</f>
        <v>0</v>
      </c>
      <c r="AP1432" s="56">
        <v>21</v>
      </c>
      <c r="AQ1432" s="88">
        <f>H1432*0.0177575757575758</f>
        <v>0</v>
      </c>
      <c r="AR1432" s="88">
        <f>H1432*(1-0.0177575757575758)</f>
        <v>0</v>
      </c>
      <c r="AS1432" s="21" t="s">
        <v>2297</v>
      </c>
      <c r="AX1432" s="56">
        <f>AY1432+AZ1432</f>
        <v>0</v>
      </c>
      <c r="AY1432" s="56">
        <f>G1432*AQ1432</f>
        <v>0</v>
      </c>
      <c r="AZ1432" s="56">
        <f>G1432*AR1432</f>
        <v>0</v>
      </c>
      <c r="BA1432" s="21" t="s">
        <v>192</v>
      </c>
      <c r="BB1432" s="21" t="s">
        <v>2418</v>
      </c>
      <c r="BC1432" s="7" t="s">
        <v>2605</v>
      </c>
      <c r="BE1432" s="56">
        <f>AY1432+AZ1432</f>
        <v>0</v>
      </c>
      <c r="BF1432" s="56">
        <f>H1432/(100-BG1432)*100</f>
        <v>0</v>
      </c>
      <c r="BG1432" s="56">
        <v>0</v>
      </c>
      <c r="BH1432" s="56">
        <f>M1432</f>
        <v>2.8080000000000001E-2</v>
      </c>
      <c r="BJ1432" s="56">
        <f>G1432*AQ1432</f>
        <v>0</v>
      </c>
      <c r="BK1432" s="56">
        <f>G1432*AR1432</f>
        <v>0</v>
      </c>
      <c r="BL1432" s="56">
        <f>G1432*H1432</f>
        <v>0</v>
      </c>
      <c r="BM1432" s="56"/>
      <c r="BN1432" s="56">
        <v>89</v>
      </c>
    </row>
    <row r="1433" spans="1:66" ht="15" customHeight="1">
      <c r="A1433" s="36"/>
      <c r="D1433" s="45" t="s">
        <v>390</v>
      </c>
      <c r="E1433" s="104" t="s">
        <v>1597</v>
      </c>
      <c r="G1433" s="13">
        <v>6.0000000000000009</v>
      </c>
      <c r="N1433" s="19"/>
      <c r="P1433" s="592"/>
      <c r="Q1433" s="592"/>
      <c r="R1433" s="592"/>
      <c r="S1433" s="592"/>
      <c r="T1433" s="592"/>
      <c r="U1433" s="592"/>
      <c r="V1433" s="592"/>
      <c r="W1433" s="592"/>
      <c r="X1433" s="592"/>
    </row>
    <row r="1434" spans="1:66" ht="15" customHeight="1">
      <c r="A1434" s="8" t="s">
        <v>763</v>
      </c>
      <c r="B1434" s="75" t="s">
        <v>902</v>
      </c>
      <c r="C1434" s="75" t="s">
        <v>1312</v>
      </c>
      <c r="D1434" s="710" t="s">
        <v>2178</v>
      </c>
      <c r="E1434" s="710"/>
      <c r="F1434" s="75" t="s">
        <v>564</v>
      </c>
      <c r="G1434" s="80">
        <v>6</v>
      </c>
      <c r="H1434" s="626"/>
      <c r="I1434" s="80">
        <f>G1434*AQ1434</f>
        <v>0</v>
      </c>
      <c r="J1434" s="80">
        <f>G1434*AR1434</f>
        <v>0</v>
      </c>
      <c r="K1434" s="80">
        <f>G1434*H1434</f>
        <v>0</v>
      </c>
      <c r="L1434" s="80">
        <v>5.5E-2</v>
      </c>
      <c r="M1434" s="80">
        <f>G1434*L1434</f>
        <v>0.33</v>
      </c>
      <c r="N1434" s="38" t="s">
        <v>1579</v>
      </c>
      <c r="P1434" s="592"/>
      <c r="Q1434" s="592"/>
      <c r="R1434" s="592"/>
      <c r="S1434" s="592"/>
      <c r="T1434" s="592"/>
      <c r="U1434" s="592"/>
      <c r="V1434" s="592"/>
      <c r="W1434" s="592"/>
      <c r="X1434" s="592"/>
      <c r="AB1434" s="56">
        <f>IF(AS1434="5",BL1434,0)</f>
        <v>0</v>
      </c>
      <c r="AD1434" s="56">
        <f>IF(AS1434="1",BJ1434,0)</f>
        <v>0</v>
      </c>
      <c r="AE1434" s="56">
        <f>IF(AS1434="1",BK1434,0)</f>
        <v>0</v>
      </c>
      <c r="AF1434" s="56">
        <f>IF(AS1434="7",BJ1434,0)</f>
        <v>0</v>
      </c>
      <c r="AG1434" s="56">
        <f>IF(AS1434="7",BK1434,0)</f>
        <v>0</v>
      </c>
      <c r="AH1434" s="56">
        <f>IF(AS1434="2",BJ1434,0)</f>
        <v>0</v>
      </c>
      <c r="AI1434" s="56">
        <f>IF(AS1434="2",BK1434,0)</f>
        <v>0</v>
      </c>
      <c r="AJ1434" s="56">
        <f>IF(AS1434="0",BL1434,0)</f>
        <v>0</v>
      </c>
      <c r="AK1434" s="7" t="s">
        <v>902</v>
      </c>
      <c r="AL1434" s="80">
        <f>IF(AP1434=0,K1434,0)</f>
        <v>0</v>
      </c>
      <c r="AM1434" s="80">
        <f>IF(AP1434=15,K1434,0)</f>
        <v>0</v>
      </c>
      <c r="AN1434" s="80">
        <f>IF(AP1434=21,K1434,0)</f>
        <v>0</v>
      </c>
      <c r="AP1434" s="56">
        <v>21</v>
      </c>
      <c r="AQ1434" s="88">
        <f>H1434*1</f>
        <v>0</v>
      </c>
      <c r="AR1434" s="88">
        <f>H1434*(1-1)</f>
        <v>0</v>
      </c>
      <c r="AS1434" s="64" t="s">
        <v>2297</v>
      </c>
      <c r="AX1434" s="56">
        <f>AY1434+AZ1434</f>
        <v>0</v>
      </c>
      <c r="AY1434" s="56">
        <f>G1434*AQ1434</f>
        <v>0</v>
      </c>
      <c r="AZ1434" s="56">
        <f>G1434*AR1434</f>
        <v>0</v>
      </c>
      <c r="BA1434" s="21" t="s">
        <v>192</v>
      </c>
      <c r="BB1434" s="21" t="s">
        <v>2418</v>
      </c>
      <c r="BC1434" s="7" t="s">
        <v>2605</v>
      </c>
      <c r="BE1434" s="56">
        <f>AY1434+AZ1434</f>
        <v>0</v>
      </c>
      <c r="BF1434" s="56">
        <f>H1434/(100-BG1434)*100</f>
        <v>0</v>
      </c>
      <c r="BG1434" s="56">
        <v>0</v>
      </c>
      <c r="BH1434" s="56">
        <f>M1434</f>
        <v>0.33</v>
      </c>
      <c r="BJ1434" s="80">
        <f>G1434*AQ1434</f>
        <v>0</v>
      </c>
      <c r="BK1434" s="80">
        <f>G1434*AR1434</f>
        <v>0</v>
      </c>
      <c r="BL1434" s="80">
        <f>G1434*H1434</f>
        <v>0</v>
      </c>
      <c r="BM1434" s="80"/>
      <c r="BN1434" s="56">
        <v>89</v>
      </c>
    </row>
    <row r="1435" spans="1:66" ht="15" customHeight="1">
      <c r="A1435" s="36"/>
      <c r="D1435" s="45" t="s">
        <v>390</v>
      </c>
      <c r="E1435" s="104" t="s">
        <v>1597</v>
      </c>
      <c r="G1435" s="13">
        <v>6.0000000000000009</v>
      </c>
      <c r="N1435" s="19"/>
      <c r="P1435" s="592"/>
      <c r="Q1435" s="592"/>
      <c r="R1435" s="592"/>
      <c r="S1435" s="592"/>
      <c r="T1435" s="592"/>
      <c r="U1435" s="592"/>
      <c r="V1435" s="592"/>
      <c r="W1435" s="592"/>
      <c r="X1435" s="592"/>
    </row>
    <row r="1436" spans="1:66" ht="15" customHeight="1">
      <c r="A1436" s="24" t="s">
        <v>2450</v>
      </c>
      <c r="B1436" s="12" t="s">
        <v>902</v>
      </c>
      <c r="C1436" s="12" t="s">
        <v>344</v>
      </c>
      <c r="D1436" s="630" t="s">
        <v>2188</v>
      </c>
      <c r="E1436" s="630"/>
      <c r="F1436" s="12" t="s">
        <v>564</v>
      </c>
      <c r="G1436" s="56">
        <v>1</v>
      </c>
      <c r="H1436" s="625"/>
      <c r="I1436" s="56">
        <f>G1436*AQ1436</f>
        <v>0</v>
      </c>
      <c r="J1436" s="56">
        <f>G1436*AR1436</f>
        <v>0</v>
      </c>
      <c r="K1436" s="56">
        <f>G1436*H1436</f>
        <v>0</v>
      </c>
      <c r="L1436" s="56">
        <v>1.34E-2</v>
      </c>
      <c r="M1436" s="56">
        <f>G1436*L1436</f>
        <v>1.34E-2</v>
      </c>
      <c r="N1436" s="31" t="s">
        <v>1579</v>
      </c>
      <c r="P1436" s="592"/>
      <c r="Q1436" s="592"/>
      <c r="R1436" s="592"/>
      <c r="S1436" s="592"/>
      <c r="T1436" s="592"/>
      <c r="U1436" s="592"/>
      <c r="V1436" s="592"/>
      <c r="W1436" s="592"/>
      <c r="X1436" s="592"/>
      <c r="AB1436" s="56">
        <f>IF(AS1436="5",BL1436,0)</f>
        <v>0</v>
      </c>
      <c r="AD1436" s="56">
        <f>IF(AS1436="1",BJ1436,0)</f>
        <v>0</v>
      </c>
      <c r="AE1436" s="56">
        <f>IF(AS1436="1",BK1436,0)</f>
        <v>0</v>
      </c>
      <c r="AF1436" s="56">
        <f>IF(AS1436="7",BJ1436,0)</f>
        <v>0</v>
      </c>
      <c r="AG1436" s="56">
        <f>IF(AS1436="7",BK1436,0)</f>
        <v>0</v>
      </c>
      <c r="AH1436" s="56">
        <f>IF(AS1436="2",BJ1436,0)</f>
        <v>0</v>
      </c>
      <c r="AI1436" s="56">
        <f>IF(AS1436="2",BK1436,0)</f>
        <v>0</v>
      </c>
      <c r="AJ1436" s="56">
        <f>IF(AS1436="0",BL1436,0)</f>
        <v>0</v>
      </c>
      <c r="AK1436" s="7" t="s">
        <v>902</v>
      </c>
      <c r="AL1436" s="56">
        <f>IF(AP1436=0,K1436,0)</f>
        <v>0</v>
      </c>
      <c r="AM1436" s="56">
        <f>IF(AP1436=15,K1436,0)</f>
        <v>0</v>
      </c>
      <c r="AN1436" s="56">
        <f>IF(AP1436=21,K1436,0)</f>
        <v>0</v>
      </c>
      <c r="AP1436" s="56">
        <v>21</v>
      </c>
      <c r="AQ1436" s="88">
        <f>H1436*0.135936059330527</f>
        <v>0</v>
      </c>
      <c r="AR1436" s="88">
        <f>H1436*(1-0.135936059330527)</f>
        <v>0</v>
      </c>
      <c r="AS1436" s="21" t="s">
        <v>2297</v>
      </c>
      <c r="AX1436" s="56">
        <f>AY1436+AZ1436</f>
        <v>0</v>
      </c>
      <c r="AY1436" s="56">
        <f>G1436*AQ1436</f>
        <v>0</v>
      </c>
      <c r="AZ1436" s="56">
        <f>G1436*AR1436</f>
        <v>0</v>
      </c>
      <c r="BA1436" s="21" t="s">
        <v>192</v>
      </c>
      <c r="BB1436" s="21" t="s">
        <v>2418</v>
      </c>
      <c r="BC1436" s="7" t="s">
        <v>2605</v>
      </c>
      <c r="BE1436" s="56">
        <f>AY1436+AZ1436</f>
        <v>0</v>
      </c>
      <c r="BF1436" s="56">
        <f>H1436/(100-BG1436)*100</f>
        <v>0</v>
      </c>
      <c r="BG1436" s="56">
        <v>0</v>
      </c>
      <c r="BH1436" s="56">
        <f>M1436</f>
        <v>1.34E-2</v>
      </c>
      <c r="BJ1436" s="56">
        <f>G1436*AQ1436</f>
        <v>0</v>
      </c>
      <c r="BK1436" s="56">
        <f>G1436*AR1436</f>
        <v>0</v>
      </c>
      <c r="BL1436" s="56">
        <f>G1436*H1436</f>
        <v>0</v>
      </c>
      <c r="BM1436" s="56"/>
      <c r="BN1436" s="56">
        <v>89</v>
      </c>
    </row>
    <row r="1437" spans="1:66" ht="15" customHeight="1">
      <c r="A1437" s="36"/>
      <c r="D1437" s="45" t="s">
        <v>2297</v>
      </c>
      <c r="E1437" s="104" t="s">
        <v>1597</v>
      </c>
      <c r="G1437" s="13">
        <v>1</v>
      </c>
      <c r="N1437" s="19"/>
      <c r="P1437" s="592"/>
      <c r="Q1437" s="592"/>
      <c r="R1437" s="592"/>
      <c r="S1437" s="592"/>
      <c r="T1437" s="592"/>
      <c r="U1437" s="592"/>
      <c r="V1437" s="592"/>
      <c r="W1437" s="592"/>
      <c r="X1437" s="592"/>
    </row>
    <row r="1438" spans="1:66" ht="15" customHeight="1">
      <c r="A1438" s="8" t="s">
        <v>557</v>
      </c>
      <c r="B1438" s="75" t="s">
        <v>902</v>
      </c>
      <c r="C1438" s="75" t="s">
        <v>2503</v>
      </c>
      <c r="D1438" s="710" t="s">
        <v>2211</v>
      </c>
      <c r="E1438" s="710"/>
      <c r="F1438" s="75" t="s">
        <v>564</v>
      </c>
      <c r="G1438" s="80">
        <v>1</v>
      </c>
      <c r="H1438" s="626"/>
      <c r="I1438" s="80">
        <f>G1438*AQ1438</f>
        <v>0</v>
      </c>
      <c r="J1438" s="80">
        <f>G1438*AR1438</f>
        <v>0</v>
      </c>
      <c r="K1438" s="80">
        <f>G1438*H1438</f>
        <v>0</v>
      </c>
      <c r="L1438" s="80">
        <v>0.24</v>
      </c>
      <c r="M1438" s="80">
        <f>G1438*L1438</f>
        <v>0.24</v>
      </c>
      <c r="N1438" s="38" t="s">
        <v>1579</v>
      </c>
      <c r="P1438" s="592"/>
      <c r="Q1438" s="592"/>
      <c r="R1438" s="592"/>
      <c r="S1438" s="592"/>
      <c r="T1438" s="592"/>
      <c r="U1438" s="592"/>
      <c r="V1438" s="592"/>
      <c r="W1438" s="592"/>
      <c r="X1438" s="592"/>
      <c r="AB1438" s="56">
        <f>IF(AS1438="5",BL1438,0)</f>
        <v>0</v>
      </c>
      <c r="AD1438" s="56">
        <f>IF(AS1438="1",BJ1438,0)</f>
        <v>0</v>
      </c>
      <c r="AE1438" s="56">
        <f>IF(AS1438="1",BK1438,0)</f>
        <v>0</v>
      </c>
      <c r="AF1438" s="56">
        <f>IF(AS1438="7",BJ1438,0)</f>
        <v>0</v>
      </c>
      <c r="AG1438" s="56">
        <f>IF(AS1438="7",BK1438,0)</f>
        <v>0</v>
      </c>
      <c r="AH1438" s="56">
        <f>IF(AS1438="2",BJ1438,0)</f>
        <v>0</v>
      </c>
      <c r="AI1438" s="56">
        <f>IF(AS1438="2",BK1438,0)</f>
        <v>0</v>
      </c>
      <c r="AJ1438" s="56">
        <f>IF(AS1438="0",BL1438,0)</f>
        <v>0</v>
      </c>
      <c r="AK1438" s="7" t="s">
        <v>902</v>
      </c>
      <c r="AL1438" s="80">
        <f>IF(AP1438=0,K1438,0)</f>
        <v>0</v>
      </c>
      <c r="AM1438" s="80">
        <f>IF(AP1438=15,K1438,0)</f>
        <v>0</v>
      </c>
      <c r="AN1438" s="80">
        <f>IF(AP1438=21,K1438,0)</f>
        <v>0</v>
      </c>
      <c r="AP1438" s="56">
        <v>21</v>
      </c>
      <c r="AQ1438" s="88">
        <f>H1438*1</f>
        <v>0</v>
      </c>
      <c r="AR1438" s="88">
        <f>H1438*(1-1)</f>
        <v>0</v>
      </c>
      <c r="AS1438" s="64" t="s">
        <v>2297</v>
      </c>
      <c r="AX1438" s="56">
        <f>AY1438+AZ1438</f>
        <v>0</v>
      </c>
      <c r="AY1438" s="56">
        <f>G1438*AQ1438</f>
        <v>0</v>
      </c>
      <c r="AZ1438" s="56">
        <f>G1438*AR1438</f>
        <v>0</v>
      </c>
      <c r="BA1438" s="21" t="s">
        <v>192</v>
      </c>
      <c r="BB1438" s="21" t="s">
        <v>2418</v>
      </c>
      <c r="BC1438" s="7" t="s">
        <v>2605</v>
      </c>
      <c r="BE1438" s="56">
        <f>AY1438+AZ1438</f>
        <v>0</v>
      </c>
      <c r="BF1438" s="56">
        <f>H1438/(100-BG1438)*100</f>
        <v>0</v>
      </c>
      <c r="BG1438" s="56">
        <v>0</v>
      </c>
      <c r="BH1438" s="56">
        <f>M1438</f>
        <v>0.24</v>
      </c>
      <c r="BJ1438" s="80">
        <f>G1438*AQ1438</f>
        <v>0</v>
      </c>
      <c r="BK1438" s="80">
        <f>G1438*AR1438</f>
        <v>0</v>
      </c>
      <c r="BL1438" s="80">
        <f>G1438*H1438</f>
        <v>0</v>
      </c>
      <c r="BM1438" s="80"/>
      <c r="BN1438" s="56">
        <v>89</v>
      </c>
    </row>
    <row r="1439" spans="1:66" ht="15" customHeight="1">
      <c r="A1439" s="36"/>
      <c r="D1439" s="45" t="s">
        <v>2297</v>
      </c>
      <c r="E1439" s="104" t="s">
        <v>2207</v>
      </c>
      <c r="G1439" s="13">
        <v>1</v>
      </c>
      <c r="N1439" s="19"/>
      <c r="P1439" s="592"/>
      <c r="Q1439" s="592"/>
      <c r="R1439" s="592"/>
      <c r="S1439" s="592"/>
      <c r="T1439" s="592"/>
      <c r="U1439" s="592"/>
      <c r="V1439" s="592"/>
      <c r="W1439" s="592"/>
      <c r="X1439" s="592"/>
    </row>
    <row r="1440" spans="1:66" ht="15" customHeight="1">
      <c r="A1440" s="32" t="s">
        <v>1597</v>
      </c>
      <c r="B1440" s="26" t="s">
        <v>902</v>
      </c>
      <c r="C1440" s="573" t="s">
        <v>1313</v>
      </c>
      <c r="D1440" s="709" t="s">
        <v>1253</v>
      </c>
      <c r="E1440" s="709"/>
      <c r="F1440" s="46" t="s">
        <v>2144</v>
      </c>
      <c r="G1440" s="46" t="s">
        <v>2144</v>
      </c>
      <c r="H1440" s="46" t="s">
        <v>2144</v>
      </c>
      <c r="I1440" s="17">
        <f>SUM(I1441:I1441)</f>
        <v>0</v>
      </c>
      <c r="J1440" s="17">
        <f>SUM(J1441:J1441)</f>
        <v>0</v>
      </c>
      <c r="K1440" s="572">
        <f>SUM(K1441:K1441)</f>
        <v>0</v>
      </c>
      <c r="L1440" s="7" t="s">
        <v>1597</v>
      </c>
      <c r="M1440" s="17">
        <f>SUM(M1441:M1441)</f>
        <v>0</v>
      </c>
      <c r="N1440" s="20" t="s">
        <v>1597</v>
      </c>
      <c r="P1440" s="592"/>
      <c r="Q1440" s="592"/>
      <c r="R1440" s="592"/>
      <c r="S1440" s="592"/>
      <c r="T1440" s="592"/>
      <c r="U1440" s="592"/>
      <c r="V1440" s="592"/>
      <c r="W1440" s="592"/>
      <c r="X1440" s="592"/>
      <c r="AK1440" s="7" t="s">
        <v>902</v>
      </c>
      <c r="AU1440" s="17">
        <f>SUM(AL1441:AL1441)</f>
        <v>0</v>
      </c>
      <c r="AV1440" s="17">
        <f>SUM(AM1441:AM1441)</f>
        <v>0</v>
      </c>
      <c r="AW1440" s="17">
        <f>SUM(AN1441:AN1441)</f>
        <v>0</v>
      </c>
    </row>
    <row r="1441" spans="1:66" ht="15" customHeight="1">
      <c r="A1441" s="24" t="s">
        <v>2416</v>
      </c>
      <c r="B1441" s="12" t="s">
        <v>902</v>
      </c>
      <c r="C1441" s="12" t="s">
        <v>2031</v>
      </c>
      <c r="D1441" s="630" t="s">
        <v>1567</v>
      </c>
      <c r="E1441" s="630"/>
      <c r="F1441" s="12" t="s">
        <v>1074</v>
      </c>
      <c r="G1441" s="56">
        <v>88.4</v>
      </c>
      <c r="H1441" s="625"/>
      <c r="I1441" s="56">
        <f>G1441*AQ1441</f>
        <v>0</v>
      </c>
      <c r="J1441" s="56">
        <f>G1441*AR1441</f>
        <v>0</v>
      </c>
      <c r="K1441" s="56">
        <f>G1441*H1441</f>
        <v>0</v>
      </c>
      <c r="L1441" s="56">
        <v>0</v>
      </c>
      <c r="M1441" s="56">
        <f>G1441*L1441</f>
        <v>0</v>
      </c>
      <c r="N1441" s="31" t="s">
        <v>1579</v>
      </c>
      <c r="P1441" s="592"/>
      <c r="Q1441" s="592"/>
      <c r="R1441" s="592"/>
      <c r="S1441" s="592"/>
      <c r="T1441" s="592"/>
      <c r="U1441" s="592"/>
      <c r="V1441" s="592"/>
      <c r="W1441" s="592"/>
      <c r="X1441" s="592"/>
      <c r="AB1441" s="56">
        <f>IF(AS1441="5",BL1441,0)</f>
        <v>0</v>
      </c>
      <c r="AD1441" s="56">
        <f>IF(AS1441="1",BJ1441,0)</f>
        <v>0</v>
      </c>
      <c r="AE1441" s="56">
        <f>IF(AS1441="1",BK1441,0)</f>
        <v>0</v>
      </c>
      <c r="AF1441" s="56">
        <f>IF(AS1441="7",BJ1441,0)</f>
        <v>0</v>
      </c>
      <c r="AG1441" s="56">
        <f>IF(AS1441="7",BK1441,0)</f>
        <v>0</v>
      </c>
      <c r="AH1441" s="56">
        <f>IF(AS1441="2",BJ1441,0)</f>
        <v>0</v>
      </c>
      <c r="AI1441" s="56">
        <f>IF(AS1441="2",BK1441,0)</f>
        <v>0</v>
      </c>
      <c r="AJ1441" s="56">
        <f>IF(AS1441="0",BL1441,0)</f>
        <v>0</v>
      </c>
      <c r="AK1441" s="7" t="s">
        <v>902</v>
      </c>
      <c r="AL1441" s="56">
        <f>IF(AP1441=0,K1441,0)</f>
        <v>0</v>
      </c>
      <c r="AM1441" s="56">
        <f>IF(AP1441=15,K1441,0)</f>
        <v>0</v>
      </c>
      <c r="AN1441" s="56">
        <f>IF(AP1441=21,K1441,0)</f>
        <v>0</v>
      </c>
      <c r="AP1441" s="56">
        <v>21</v>
      </c>
      <c r="AQ1441" s="88">
        <f>H1441*0</f>
        <v>0</v>
      </c>
      <c r="AR1441" s="88">
        <f>H1441*(1-0)</f>
        <v>0</v>
      </c>
      <c r="AS1441" s="21" t="s">
        <v>1227</v>
      </c>
      <c r="AX1441" s="56">
        <f>AY1441+AZ1441</f>
        <v>0</v>
      </c>
      <c r="AY1441" s="56">
        <f>G1441*AQ1441</f>
        <v>0</v>
      </c>
      <c r="AZ1441" s="56">
        <f>G1441*AR1441</f>
        <v>0</v>
      </c>
      <c r="BA1441" s="21" t="s">
        <v>710</v>
      </c>
      <c r="BB1441" s="21" t="s">
        <v>1189</v>
      </c>
      <c r="BC1441" s="7" t="s">
        <v>2605</v>
      </c>
      <c r="BE1441" s="56">
        <f>AY1441+AZ1441</f>
        <v>0</v>
      </c>
      <c r="BF1441" s="56">
        <f>H1441/(100-BG1441)*100</f>
        <v>0</v>
      </c>
      <c r="BG1441" s="56">
        <v>0</v>
      </c>
      <c r="BH1441" s="56">
        <f>M1441</f>
        <v>0</v>
      </c>
      <c r="BJ1441" s="56">
        <f>G1441*AQ1441</f>
        <v>0</v>
      </c>
      <c r="BK1441" s="56">
        <f>G1441*AR1441</f>
        <v>0</v>
      </c>
      <c r="BL1441" s="56">
        <f>G1441*H1441</f>
        <v>0</v>
      </c>
      <c r="BM1441" s="56"/>
      <c r="BN1441" s="56"/>
    </row>
    <row r="1442" spans="1:66" ht="15" customHeight="1">
      <c r="A1442" s="36"/>
      <c r="D1442" s="45" t="s">
        <v>1078</v>
      </c>
      <c r="E1442" s="104" t="s">
        <v>1597</v>
      </c>
      <c r="G1442" s="13">
        <v>88.4</v>
      </c>
      <c r="N1442" s="19"/>
      <c r="P1442" s="592"/>
      <c r="Q1442" s="592"/>
      <c r="R1442" s="592"/>
      <c r="S1442" s="592"/>
      <c r="T1442" s="592"/>
      <c r="U1442" s="592"/>
      <c r="V1442" s="592"/>
      <c r="W1442" s="592"/>
      <c r="X1442" s="592"/>
    </row>
    <row r="1443" spans="1:66" ht="15" customHeight="1">
      <c r="A1443" s="32" t="s">
        <v>1597</v>
      </c>
      <c r="B1443" s="26" t="s">
        <v>902</v>
      </c>
      <c r="C1443" s="573" t="s">
        <v>765</v>
      </c>
      <c r="D1443" s="709" t="s">
        <v>985</v>
      </c>
      <c r="E1443" s="709"/>
      <c r="F1443" s="46" t="s">
        <v>2144</v>
      </c>
      <c r="G1443" s="46" t="s">
        <v>2144</v>
      </c>
      <c r="H1443" s="46" t="s">
        <v>2144</v>
      </c>
      <c r="I1443" s="17">
        <f>SUM(I1444:I1444)</f>
        <v>0</v>
      </c>
      <c r="J1443" s="17">
        <f>SUM(J1444:J1444)</f>
        <v>0</v>
      </c>
      <c r="K1443" s="572">
        <f>SUM(K1444:K1444)</f>
        <v>0</v>
      </c>
      <c r="L1443" s="7" t="s">
        <v>1597</v>
      </c>
      <c r="M1443" s="17">
        <f>SUM(M1444:M1444)</f>
        <v>0</v>
      </c>
      <c r="N1443" s="20" t="s">
        <v>1597</v>
      </c>
      <c r="P1443" s="592"/>
      <c r="Q1443" s="592"/>
      <c r="R1443" s="592"/>
      <c r="S1443" s="592"/>
      <c r="T1443" s="592"/>
      <c r="U1443" s="592"/>
      <c r="V1443" s="592"/>
      <c r="W1443" s="592"/>
      <c r="X1443" s="592"/>
      <c r="AK1443" s="7" t="s">
        <v>902</v>
      </c>
      <c r="AU1443" s="17">
        <f>SUM(AL1444:AL1444)</f>
        <v>0</v>
      </c>
      <c r="AV1443" s="17">
        <f>SUM(AM1444:AM1444)</f>
        <v>0</v>
      </c>
      <c r="AW1443" s="17">
        <f>SUM(AN1444:AN1444)</f>
        <v>0</v>
      </c>
    </row>
    <row r="1444" spans="1:66" ht="15" customHeight="1">
      <c r="A1444" s="24" t="s">
        <v>413</v>
      </c>
      <c r="B1444" s="12" t="s">
        <v>902</v>
      </c>
      <c r="C1444" s="12" t="s">
        <v>410</v>
      </c>
      <c r="D1444" s="630" t="s">
        <v>116</v>
      </c>
      <c r="E1444" s="630"/>
      <c r="F1444" s="12" t="s">
        <v>1074</v>
      </c>
      <c r="G1444" s="56">
        <v>156.41999999999999</v>
      </c>
      <c r="H1444" s="625"/>
      <c r="I1444" s="56">
        <f>G1444*AQ1444</f>
        <v>0</v>
      </c>
      <c r="J1444" s="56">
        <f>G1444*AR1444</f>
        <v>0</v>
      </c>
      <c r="K1444" s="56">
        <f>G1444*H1444</f>
        <v>0</v>
      </c>
      <c r="L1444" s="56">
        <v>0</v>
      </c>
      <c r="M1444" s="56">
        <f>G1444*L1444</f>
        <v>0</v>
      </c>
      <c r="N1444" s="31" t="s">
        <v>1579</v>
      </c>
      <c r="P1444" s="592"/>
      <c r="Q1444" s="592"/>
      <c r="R1444" s="592"/>
      <c r="S1444" s="592"/>
      <c r="T1444" s="592"/>
      <c r="U1444" s="592"/>
      <c r="V1444" s="592"/>
      <c r="W1444" s="592"/>
      <c r="X1444" s="592"/>
      <c r="AB1444" s="56">
        <f>IF(AS1444="5",BL1444,0)</f>
        <v>0</v>
      </c>
      <c r="AD1444" s="56">
        <f>IF(AS1444="1",BJ1444,0)</f>
        <v>0</v>
      </c>
      <c r="AE1444" s="56">
        <f>IF(AS1444="1",BK1444,0)</f>
        <v>0</v>
      </c>
      <c r="AF1444" s="56">
        <f>IF(AS1444="7",BJ1444,0)</f>
        <v>0</v>
      </c>
      <c r="AG1444" s="56">
        <f>IF(AS1444="7",BK1444,0)</f>
        <v>0</v>
      </c>
      <c r="AH1444" s="56">
        <f>IF(AS1444="2",BJ1444,0)</f>
        <v>0</v>
      </c>
      <c r="AI1444" s="56">
        <f>IF(AS1444="2",BK1444,0)</f>
        <v>0</v>
      </c>
      <c r="AJ1444" s="56">
        <f>IF(AS1444="0",BL1444,0)</f>
        <v>0</v>
      </c>
      <c r="AK1444" s="7" t="s">
        <v>902</v>
      </c>
      <c r="AL1444" s="56">
        <f>IF(AP1444=0,K1444,0)</f>
        <v>0</v>
      </c>
      <c r="AM1444" s="56">
        <f>IF(AP1444=15,K1444,0)</f>
        <v>0</v>
      </c>
      <c r="AN1444" s="56">
        <f>IF(AP1444=21,K1444,0)</f>
        <v>0</v>
      </c>
      <c r="AP1444" s="56">
        <v>21</v>
      </c>
      <c r="AQ1444" s="88">
        <f>H1444*0</f>
        <v>0</v>
      </c>
      <c r="AR1444" s="88">
        <f>H1444*(1-0)</f>
        <v>0</v>
      </c>
      <c r="AS1444" s="21" t="s">
        <v>1227</v>
      </c>
      <c r="AX1444" s="56">
        <f>AY1444+AZ1444</f>
        <v>0</v>
      </c>
      <c r="AY1444" s="56">
        <f>G1444*AQ1444</f>
        <v>0</v>
      </c>
      <c r="AZ1444" s="56">
        <f>G1444*AR1444</f>
        <v>0</v>
      </c>
      <c r="BA1444" s="21" t="s">
        <v>942</v>
      </c>
      <c r="BB1444" s="21" t="s">
        <v>1189</v>
      </c>
      <c r="BC1444" s="7" t="s">
        <v>2605</v>
      </c>
      <c r="BE1444" s="56">
        <f>AY1444+AZ1444</f>
        <v>0</v>
      </c>
      <c r="BF1444" s="56">
        <f>H1444/(100-BG1444)*100</f>
        <v>0</v>
      </c>
      <c r="BG1444" s="56">
        <v>0</v>
      </c>
      <c r="BH1444" s="56">
        <f>M1444</f>
        <v>0</v>
      </c>
      <c r="BJ1444" s="56">
        <f>G1444*AQ1444</f>
        <v>0</v>
      </c>
      <c r="BK1444" s="56">
        <f>G1444*AR1444</f>
        <v>0</v>
      </c>
      <c r="BL1444" s="56">
        <f>G1444*H1444</f>
        <v>0</v>
      </c>
      <c r="BM1444" s="56"/>
      <c r="BN1444" s="56"/>
    </row>
    <row r="1445" spans="1:66" ht="15" customHeight="1">
      <c r="A1445" s="36"/>
      <c r="D1445" s="45" t="s">
        <v>196</v>
      </c>
      <c r="E1445" s="104" t="s">
        <v>1597</v>
      </c>
      <c r="G1445" s="13">
        <v>156.42000000000002</v>
      </c>
      <c r="N1445" s="19"/>
      <c r="P1445" s="592"/>
      <c r="Q1445" s="592"/>
      <c r="R1445" s="592"/>
      <c r="S1445" s="592"/>
      <c r="T1445" s="592"/>
      <c r="U1445" s="592"/>
      <c r="V1445" s="592"/>
      <c r="W1445" s="592"/>
      <c r="X1445" s="592"/>
    </row>
    <row r="1446" spans="1:66" ht="15" customHeight="1">
      <c r="A1446" s="67" t="s">
        <v>1597</v>
      </c>
      <c r="B1446" s="65" t="s">
        <v>119</v>
      </c>
      <c r="C1446" s="529" t="s">
        <v>1597</v>
      </c>
      <c r="D1446" s="708" t="s">
        <v>466</v>
      </c>
      <c r="E1446" s="708"/>
      <c r="F1446" s="78" t="s">
        <v>2144</v>
      </c>
      <c r="G1446" s="78" t="s">
        <v>2144</v>
      </c>
      <c r="H1446" s="78" t="s">
        <v>2144</v>
      </c>
      <c r="I1446" s="11">
        <f>I1447+I1452+I1455+I1460+I1465+I1468+I1475+I1478+I1483+I1490+I1495+I1505+I1538+I1543+I1546</f>
        <v>0</v>
      </c>
      <c r="J1446" s="11">
        <f>J1447+J1452+J1455+J1460+J1465+J1468+J1475+J1478+J1483+J1490+J1495+J1505+J1538+J1543+J1546</f>
        <v>0</v>
      </c>
      <c r="K1446" s="530">
        <f>K1447+K1452+K1455+K1460+K1465+K1468+K1475+K1478+K1483+K1490+K1495+K1505+K1538+K1543+K1546</f>
        <v>0</v>
      </c>
      <c r="L1446" s="44" t="s">
        <v>1597</v>
      </c>
      <c r="M1446" s="11">
        <f>M1447+M1452+M1455+M1460+M1465+M1468+M1475+M1478+M1483+M1490+M1495+M1505+M1538+M1543+M1546</f>
        <v>40.253705200000006</v>
      </c>
      <c r="N1446" s="5" t="s">
        <v>1597</v>
      </c>
      <c r="P1446" s="592"/>
      <c r="Q1446" s="592">
        <f>K1446</f>
        <v>0</v>
      </c>
      <c r="R1446" s="592"/>
      <c r="S1446" s="592"/>
      <c r="T1446" s="592"/>
      <c r="U1446" s="592"/>
      <c r="V1446" s="592"/>
      <c r="W1446" s="592"/>
      <c r="X1446" s="592"/>
    </row>
    <row r="1447" spans="1:66" ht="15" customHeight="1">
      <c r="A1447" s="32" t="s">
        <v>1597</v>
      </c>
      <c r="B1447" s="26" t="s">
        <v>119</v>
      </c>
      <c r="C1447" s="26" t="s">
        <v>1939</v>
      </c>
      <c r="D1447" s="709" t="s">
        <v>1265</v>
      </c>
      <c r="E1447" s="709"/>
      <c r="F1447" s="46" t="s">
        <v>2144</v>
      </c>
      <c r="G1447" s="46" t="s">
        <v>2144</v>
      </c>
      <c r="H1447" s="46" t="s">
        <v>2144</v>
      </c>
      <c r="I1447" s="17">
        <f>SUM(I1448:I1450)</f>
        <v>0</v>
      </c>
      <c r="J1447" s="17">
        <f>SUM(J1448:J1450)</f>
        <v>0</v>
      </c>
      <c r="K1447" s="17">
        <f>SUM(K1448:K1450)</f>
        <v>0</v>
      </c>
      <c r="L1447" s="7" t="s">
        <v>1597</v>
      </c>
      <c r="M1447" s="17">
        <f>SUM(M1448:M1450)</f>
        <v>5.5</v>
      </c>
      <c r="N1447" s="20" t="s">
        <v>1597</v>
      </c>
      <c r="P1447" s="592"/>
      <c r="Q1447" s="592"/>
      <c r="R1447" s="592"/>
      <c r="S1447" s="592"/>
      <c r="T1447" s="592"/>
      <c r="U1447" s="592"/>
      <c r="V1447" s="592"/>
      <c r="W1447" s="592"/>
      <c r="X1447" s="592"/>
      <c r="AK1447" s="7" t="s">
        <v>119</v>
      </c>
      <c r="AU1447" s="17">
        <f>SUM(AL1448:AL1450)</f>
        <v>0</v>
      </c>
      <c r="AV1447" s="17">
        <f>SUM(AM1448:AM1450)</f>
        <v>0</v>
      </c>
      <c r="AW1447" s="17">
        <f>SUM(AN1448:AN1450)</f>
        <v>0</v>
      </c>
    </row>
    <row r="1448" spans="1:66" ht="15" customHeight="1">
      <c r="A1448" s="24" t="s">
        <v>1565</v>
      </c>
      <c r="B1448" s="12" t="s">
        <v>119</v>
      </c>
      <c r="C1448" s="12" t="s">
        <v>903</v>
      </c>
      <c r="D1448" s="630" t="s">
        <v>789</v>
      </c>
      <c r="E1448" s="630"/>
      <c r="F1448" s="12" t="s">
        <v>2274</v>
      </c>
      <c r="G1448" s="56">
        <v>10</v>
      </c>
      <c r="H1448" s="625"/>
      <c r="I1448" s="56">
        <f>G1448*AQ1448</f>
        <v>0</v>
      </c>
      <c r="J1448" s="56">
        <f>G1448*AR1448</f>
        <v>0</v>
      </c>
      <c r="K1448" s="56">
        <f>G1448*H1448</f>
        <v>0</v>
      </c>
      <c r="L1448" s="56">
        <v>0.22</v>
      </c>
      <c r="M1448" s="56">
        <f>G1448*L1448</f>
        <v>2.2000000000000002</v>
      </c>
      <c r="N1448" s="31" t="s">
        <v>1579</v>
      </c>
      <c r="P1448" s="592"/>
      <c r="Q1448" s="592"/>
      <c r="R1448" s="592"/>
      <c r="S1448" s="592"/>
      <c r="T1448" s="592"/>
      <c r="U1448" s="592"/>
      <c r="V1448" s="592"/>
      <c r="W1448" s="592"/>
      <c r="X1448" s="592"/>
      <c r="AB1448" s="56">
        <f>IF(AS1448="5",BL1448,0)</f>
        <v>0</v>
      </c>
      <c r="AD1448" s="56">
        <f>IF(AS1448="1",BJ1448,0)</f>
        <v>0</v>
      </c>
      <c r="AE1448" s="56">
        <f>IF(AS1448="1",BK1448,0)</f>
        <v>0</v>
      </c>
      <c r="AF1448" s="56">
        <f>IF(AS1448="7",BJ1448,0)</f>
        <v>0</v>
      </c>
      <c r="AG1448" s="56">
        <f>IF(AS1448="7",BK1448,0)</f>
        <v>0</v>
      </c>
      <c r="AH1448" s="56">
        <f>IF(AS1448="2",BJ1448,0)</f>
        <v>0</v>
      </c>
      <c r="AI1448" s="56">
        <f>IF(AS1448="2",BK1448,0)</f>
        <v>0</v>
      </c>
      <c r="AJ1448" s="56">
        <f>IF(AS1448="0",BL1448,0)</f>
        <v>0</v>
      </c>
      <c r="AK1448" s="7" t="s">
        <v>119</v>
      </c>
      <c r="AL1448" s="56">
        <f>IF(AP1448=0,K1448,0)</f>
        <v>0</v>
      </c>
      <c r="AM1448" s="56">
        <f>IF(AP1448=15,K1448,0)</f>
        <v>0</v>
      </c>
      <c r="AN1448" s="56">
        <f>IF(AP1448=21,K1448,0)</f>
        <v>0</v>
      </c>
      <c r="AP1448" s="56">
        <v>21</v>
      </c>
      <c r="AQ1448" s="88">
        <f>H1448*0</f>
        <v>0</v>
      </c>
      <c r="AR1448" s="88">
        <f>H1448*(1-0)</f>
        <v>0</v>
      </c>
      <c r="AS1448" s="21" t="s">
        <v>2297</v>
      </c>
      <c r="AX1448" s="56">
        <f>AY1448+AZ1448</f>
        <v>0</v>
      </c>
      <c r="AY1448" s="56">
        <f>G1448*AQ1448</f>
        <v>0</v>
      </c>
      <c r="AZ1448" s="56">
        <f>G1448*AR1448</f>
        <v>0</v>
      </c>
      <c r="BA1448" s="21" t="s">
        <v>246</v>
      </c>
      <c r="BB1448" s="21" t="s">
        <v>5</v>
      </c>
      <c r="BC1448" s="7" t="s">
        <v>307</v>
      </c>
      <c r="BE1448" s="56">
        <f>AY1448+AZ1448</f>
        <v>0</v>
      </c>
      <c r="BF1448" s="56">
        <f>H1448/(100-BG1448)*100</f>
        <v>0</v>
      </c>
      <c r="BG1448" s="56">
        <v>0</v>
      </c>
      <c r="BH1448" s="56">
        <f>M1448</f>
        <v>2.2000000000000002</v>
      </c>
      <c r="BJ1448" s="56">
        <f>G1448*AQ1448</f>
        <v>0</v>
      </c>
      <c r="BK1448" s="56">
        <f>G1448*AR1448</f>
        <v>0</v>
      </c>
      <c r="BL1448" s="56">
        <f>G1448*H1448</f>
        <v>0</v>
      </c>
      <c r="BM1448" s="56"/>
      <c r="BN1448" s="56">
        <v>11</v>
      </c>
    </row>
    <row r="1449" spans="1:66" ht="15" customHeight="1">
      <c r="A1449" s="36"/>
      <c r="D1449" s="45" t="s">
        <v>2077</v>
      </c>
      <c r="E1449" s="104" t="s">
        <v>1597</v>
      </c>
      <c r="G1449" s="13">
        <v>10</v>
      </c>
      <c r="N1449" s="19"/>
      <c r="P1449" s="592"/>
      <c r="Q1449" s="592"/>
      <c r="R1449" s="592"/>
      <c r="S1449" s="592"/>
      <c r="T1449" s="592"/>
      <c r="U1449" s="592"/>
      <c r="V1449" s="592"/>
      <c r="W1449" s="592"/>
      <c r="X1449" s="592"/>
    </row>
    <row r="1450" spans="1:66" ht="15" customHeight="1">
      <c r="A1450" s="24" t="s">
        <v>2006</v>
      </c>
      <c r="B1450" s="12" t="s">
        <v>119</v>
      </c>
      <c r="C1450" s="12" t="s">
        <v>1894</v>
      </c>
      <c r="D1450" s="630" t="s">
        <v>1944</v>
      </c>
      <c r="E1450" s="630"/>
      <c r="F1450" s="12" t="s">
        <v>2274</v>
      </c>
      <c r="G1450" s="56">
        <v>15</v>
      </c>
      <c r="H1450" s="625"/>
      <c r="I1450" s="56">
        <f>G1450*AQ1450</f>
        <v>0</v>
      </c>
      <c r="J1450" s="56">
        <f>G1450*AR1450</f>
        <v>0</v>
      </c>
      <c r="K1450" s="56">
        <f>G1450*H1450</f>
        <v>0</v>
      </c>
      <c r="L1450" s="56">
        <v>0.22</v>
      </c>
      <c r="M1450" s="56">
        <f>G1450*L1450</f>
        <v>3.3</v>
      </c>
      <c r="N1450" s="31" t="s">
        <v>1579</v>
      </c>
      <c r="P1450" s="592"/>
      <c r="Q1450" s="592"/>
      <c r="R1450" s="592"/>
      <c r="S1450" s="592"/>
      <c r="T1450" s="592"/>
      <c r="U1450" s="592"/>
      <c r="V1450" s="592"/>
      <c r="W1450" s="592"/>
      <c r="X1450" s="592"/>
      <c r="AB1450" s="56">
        <f>IF(AS1450="5",BL1450,0)</f>
        <v>0</v>
      </c>
      <c r="AD1450" s="56">
        <f>IF(AS1450="1",BJ1450,0)</f>
        <v>0</v>
      </c>
      <c r="AE1450" s="56">
        <f>IF(AS1450="1",BK1450,0)</f>
        <v>0</v>
      </c>
      <c r="AF1450" s="56">
        <f>IF(AS1450="7",BJ1450,0)</f>
        <v>0</v>
      </c>
      <c r="AG1450" s="56">
        <f>IF(AS1450="7",BK1450,0)</f>
        <v>0</v>
      </c>
      <c r="AH1450" s="56">
        <f>IF(AS1450="2",BJ1450,0)</f>
        <v>0</v>
      </c>
      <c r="AI1450" s="56">
        <f>IF(AS1450="2",BK1450,0)</f>
        <v>0</v>
      </c>
      <c r="AJ1450" s="56">
        <f>IF(AS1450="0",BL1450,0)</f>
        <v>0</v>
      </c>
      <c r="AK1450" s="7" t="s">
        <v>119</v>
      </c>
      <c r="AL1450" s="56">
        <f>IF(AP1450=0,K1450,0)</f>
        <v>0</v>
      </c>
      <c r="AM1450" s="56">
        <f>IF(AP1450=15,K1450,0)</f>
        <v>0</v>
      </c>
      <c r="AN1450" s="56">
        <f>IF(AP1450=21,K1450,0)</f>
        <v>0</v>
      </c>
      <c r="AP1450" s="56">
        <v>21</v>
      </c>
      <c r="AQ1450" s="88">
        <f>H1450*0</f>
        <v>0</v>
      </c>
      <c r="AR1450" s="88">
        <f>H1450*(1-0)</f>
        <v>0</v>
      </c>
      <c r="AS1450" s="21" t="s">
        <v>2297</v>
      </c>
      <c r="AX1450" s="56">
        <f>AY1450+AZ1450</f>
        <v>0</v>
      </c>
      <c r="AY1450" s="56">
        <f>G1450*AQ1450</f>
        <v>0</v>
      </c>
      <c r="AZ1450" s="56">
        <f>G1450*AR1450</f>
        <v>0</v>
      </c>
      <c r="BA1450" s="21" t="s">
        <v>246</v>
      </c>
      <c r="BB1450" s="21" t="s">
        <v>5</v>
      </c>
      <c r="BC1450" s="7" t="s">
        <v>307</v>
      </c>
      <c r="BE1450" s="56">
        <f>AY1450+AZ1450</f>
        <v>0</v>
      </c>
      <c r="BF1450" s="56">
        <f>H1450/(100-BG1450)*100</f>
        <v>0</v>
      </c>
      <c r="BG1450" s="56">
        <v>0</v>
      </c>
      <c r="BH1450" s="56">
        <f>M1450</f>
        <v>3.3</v>
      </c>
      <c r="BJ1450" s="56">
        <f>G1450*AQ1450</f>
        <v>0</v>
      </c>
      <c r="BK1450" s="56">
        <f>G1450*AR1450</f>
        <v>0</v>
      </c>
      <c r="BL1450" s="56">
        <f>G1450*H1450</f>
        <v>0</v>
      </c>
      <c r="BM1450" s="56"/>
      <c r="BN1450" s="56">
        <v>11</v>
      </c>
    </row>
    <row r="1451" spans="1:66" ht="15" customHeight="1">
      <c r="A1451" s="36"/>
      <c r="D1451" s="45" t="s">
        <v>945</v>
      </c>
      <c r="E1451" s="104" t="s">
        <v>881</v>
      </c>
      <c r="G1451" s="13">
        <v>15.000000000000002</v>
      </c>
      <c r="N1451" s="19"/>
      <c r="P1451" s="592"/>
      <c r="Q1451" s="592"/>
      <c r="R1451" s="592"/>
      <c r="S1451" s="592"/>
      <c r="T1451" s="592"/>
      <c r="U1451" s="592"/>
      <c r="V1451" s="592"/>
      <c r="W1451" s="592"/>
      <c r="X1451" s="592"/>
    </row>
    <row r="1452" spans="1:66" ht="15" customHeight="1">
      <c r="A1452" s="32" t="s">
        <v>1597</v>
      </c>
      <c r="B1452" s="26" t="s">
        <v>119</v>
      </c>
      <c r="C1452" s="26" t="s">
        <v>1697</v>
      </c>
      <c r="D1452" s="709" t="s">
        <v>568</v>
      </c>
      <c r="E1452" s="709"/>
      <c r="F1452" s="46" t="s">
        <v>2144</v>
      </c>
      <c r="G1452" s="46" t="s">
        <v>2144</v>
      </c>
      <c r="H1452" s="46" t="s">
        <v>2144</v>
      </c>
      <c r="I1452" s="17">
        <f>SUM(I1453:I1453)</f>
        <v>0</v>
      </c>
      <c r="J1452" s="17">
        <f>SUM(J1453:J1453)</f>
        <v>0</v>
      </c>
      <c r="K1452" s="17">
        <f>SUM(K1453:K1453)</f>
        <v>0</v>
      </c>
      <c r="L1452" s="7" t="s">
        <v>1597</v>
      </c>
      <c r="M1452" s="17">
        <f>SUM(M1453:M1453)</f>
        <v>0</v>
      </c>
      <c r="N1452" s="20" t="s">
        <v>1597</v>
      </c>
      <c r="P1452" s="592"/>
      <c r="Q1452" s="592"/>
      <c r="R1452" s="592"/>
      <c r="S1452" s="592"/>
      <c r="T1452" s="592"/>
      <c r="U1452" s="592"/>
      <c r="V1452" s="592"/>
      <c r="W1452" s="592"/>
      <c r="X1452" s="592"/>
      <c r="AK1452" s="7" t="s">
        <v>119</v>
      </c>
      <c r="AU1452" s="17">
        <f>SUM(AL1453:AL1453)</f>
        <v>0</v>
      </c>
      <c r="AV1452" s="17">
        <f>SUM(AM1453:AM1453)</f>
        <v>0</v>
      </c>
      <c r="AW1452" s="17">
        <f>SUM(AN1453:AN1453)</f>
        <v>0</v>
      </c>
    </row>
    <row r="1453" spans="1:66" ht="15" customHeight="1">
      <c r="A1453" s="24" t="s">
        <v>287</v>
      </c>
      <c r="B1453" s="12" t="s">
        <v>119</v>
      </c>
      <c r="C1453" s="12" t="s">
        <v>793</v>
      </c>
      <c r="D1453" s="630" t="s">
        <v>150</v>
      </c>
      <c r="E1453" s="630"/>
      <c r="F1453" s="12" t="s">
        <v>2236</v>
      </c>
      <c r="G1453" s="56">
        <v>9.9</v>
      </c>
      <c r="H1453" s="625"/>
      <c r="I1453" s="56">
        <f>G1453*AQ1453</f>
        <v>0</v>
      </c>
      <c r="J1453" s="56">
        <f>G1453*AR1453</f>
        <v>0</v>
      </c>
      <c r="K1453" s="56">
        <f>G1453*H1453</f>
        <v>0</v>
      </c>
      <c r="L1453" s="56">
        <v>0</v>
      </c>
      <c r="M1453" s="56">
        <f>G1453*L1453</f>
        <v>0</v>
      </c>
      <c r="N1453" s="31" t="s">
        <v>1579</v>
      </c>
      <c r="P1453" s="592"/>
      <c r="Q1453" s="592"/>
      <c r="R1453" s="592"/>
      <c r="S1453" s="592"/>
      <c r="T1453" s="592"/>
      <c r="U1453" s="592"/>
      <c r="V1453" s="592"/>
      <c r="W1453" s="592"/>
      <c r="X1453" s="592"/>
      <c r="AB1453" s="56">
        <f>IF(AS1453="5",BL1453,0)</f>
        <v>0</v>
      </c>
      <c r="AD1453" s="56">
        <f>IF(AS1453="1",BJ1453,0)</f>
        <v>0</v>
      </c>
      <c r="AE1453" s="56">
        <f>IF(AS1453="1",BK1453,0)</f>
        <v>0</v>
      </c>
      <c r="AF1453" s="56">
        <f>IF(AS1453="7",BJ1453,0)</f>
        <v>0</v>
      </c>
      <c r="AG1453" s="56">
        <f>IF(AS1453="7",BK1453,0)</f>
        <v>0</v>
      </c>
      <c r="AH1453" s="56">
        <f>IF(AS1453="2",BJ1453,0)</f>
        <v>0</v>
      </c>
      <c r="AI1453" s="56">
        <f>IF(AS1453="2",BK1453,0)</f>
        <v>0</v>
      </c>
      <c r="AJ1453" s="56">
        <f>IF(AS1453="0",BL1453,0)</f>
        <v>0</v>
      </c>
      <c r="AK1453" s="7" t="s">
        <v>119</v>
      </c>
      <c r="AL1453" s="56">
        <f>IF(AP1453=0,K1453,0)</f>
        <v>0</v>
      </c>
      <c r="AM1453" s="56">
        <f>IF(AP1453=15,K1453,0)</f>
        <v>0</v>
      </c>
      <c r="AN1453" s="56">
        <f>IF(AP1453=21,K1453,0)</f>
        <v>0</v>
      </c>
      <c r="AP1453" s="56">
        <v>21</v>
      </c>
      <c r="AQ1453" s="88">
        <f>H1453*0</f>
        <v>0</v>
      </c>
      <c r="AR1453" s="88">
        <f>H1453*(1-0)</f>
        <v>0</v>
      </c>
      <c r="AS1453" s="21" t="s">
        <v>2297</v>
      </c>
      <c r="AX1453" s="56">
        <f>AY1453+AZ1453</f>
        <v>0</v>
      </c>
      <c r="AY1453" s="56">
        <f>G1453*AQ1453</f>
        <v>0</v>
      </c>
      <c r="AZ1453" s="56">
        <f>G1453*AR1453</f>
        <v>0</v>
      </c>
      <c r="BA1453" s="21" t="s">
        <v>1171</v>
      </c>
      <c r="BB1453" s="21" t="s">
        <v>5</v>
      </c>
      <c r="BC1453" s="7" t="s">
        <v>307</v>
      </c>
      <c r="BE1453" s="56">
        <f>AY1453+AZ1453</f>
        <v>0</v>
      </c>
      <c r="BF1453" s="56">
        <f>H1453/(100-BG1453)*100</f>
        <v>0</v>
      </c>
      <c r="BG1453" s="56">
        <v>0</v>
      </c>
      <c r="BH1453" s="56">
        <f>M1453</f>
        <v>0</v>
      </c>
      <c r="BJ1453" s="56">
        <f>G1453*AQ1453</f>
        <v>0</v>
      </c>
      <c r="BK1453" s="56">
        <f>G1453*AR1453</f>
        <v>0</v>
      </c>
      <c r="BL1453" s="56">
        <f>G1453*H1453</f>
        <v>0</v>
      </c>
      <c r="BM1453" s="56"/>
      <c r="BN1453" s="56">
        <v>12</v>
      </c>
    </row>
    <row r="1454" spans="1:66" ht="15" customHeight="1">
      <c r="A1454" s="36"/>
      <c r="D1454" s="45" t="s">
        <v>501</v>
      </c>
      <c r="E1454" s="104" t="s">
        <v>1083</v>
      </c>
      <c r="G1454" s="13">
        <v>9.9</v>
      </c>
      <c r="N1454" s="19"/>
      <c r="P1454" s="592"/>
      <c r="Q1454" s="592"/>
      <c r="R1454" s="592"/>
      <c r="S1454" s="592"/>
      <c r="T1454" s="592"/>
      <c r="U1454" s="592"/>
      <c r="V1454" s="592"/>
      <c r="W1454" s="592"/>
      <c r="X1454" s="592"/>
    </row>
    <row r="1455" spans="1:66" ht="15" customHeight="1">
      <c r="A1455" s="32" t="s">
        <v>1597</v>
      </c>
      <c r="B1455" s="26" t="s">
        <v>119</v>
      </c>
      <c r="C1455" s="26" t="s">
        <v>668</v>
      </c>
      <c r="D1455" s="709" t="s">
        <v>16</v>
      </c>
      <c r="E1455" s="709"/>
      <c r="F1455" s="46" t="s">
        <v>2144</v>
      </c>
      <c r="G1455" s="46" t="s">
        <v>2144</v>
      </c>
      <c r="H1455" s="46" t="s">
        <v>2144</v>
      </c>
      <c r="I1455" s="17">
        <f>SUM(I1456:I1458)</f>
        <v>0</v>
      </c>
      <c r="J1455" s="17">
        <f>SUM(J1456:J1458)</f>
        <v>0</v>
      </c>
      <c r="K1455" s="17">
        <f>SUM(K1456:K1458)</f>
        <v>0</v>
      </c>
      <c r="L1455" s="7" t="s">
        <v>1597</v>
      </c>
      <c r="M1455" s="17">
        <f>SUM(M1456:M1458)</f>
        <v>0</v>
      </c>
      <c r="N1455" s="20" t="s">
        <v>1597</v>
      </c>
      <c r="P1455" s="592"/>
      <c r="Q1455" s="592"/>
      <c r="R1455" s="592"/>
      <c r="S1455" s="592"/>
      <c r="T1455" s="592"/>
      <c r="U1455" s="592"/>
      <c r="V1455" s="592"/>
      <c r="W1455" s="592"/>
      <c r="X1455" s="592"/>
      <c r="AK1455" s="7" t="s">
        <v>119</v>
      </c>
      <c r="AU1455" s="17">
        <f>SUM(AL1456:AL1458)</f>
        <v>0</v>
      </c>
      <c r="AV1455" s="17">
        <f>SUM(AM1456:AM1458)</f>
        <v>0</v>
      </c>
      <c r="AW1455" s="17">
        <f>SUM(AN1456:AN1458)</f>
        <v>0</v>
      </c>
    </row>
    <row r="1456" spans="1:66" ht="15" customHeight="1">
      <c r="A1456" s="24" t="s">
        <v>1585</v>
      </c>
      <c r="B1456" s="12" t="s">
        <v>119</v>
      </c>
      <c r="C1456" s="12" t="s">
        <v>1979</v>
      </c>
      <c r="D1456" s="630" t="s">
        <v>1175</v>
      </c>
      <c r="E1456" s="630"/>
      <c r="F1456" s="12" t="s">
        <v>2236</v>
      </c>
      <c r="G1456" s="56">
        <v>33.5</v>
      </c>
      <c r="H1456" s="625"/>
      <c r="I1456" s="56">
        <f>G1456*AQ1456</f>
        <v>0</v>
      </c>
      <c r="J1456" s="56">
        <f>G1456*AR1456</f>
        <v>0</v>
      </c>
      <c r="K1456" s="56">
        <f>G1456*H1456</f>
        <v>0</v>
      </c>
      <c r="L1456" s="56">
        <v>0</v>
      </c>
      <c r="M1456" s="56">
        <f>G1456*L1456</f>
        <v>0</v>
      </c>
      <c r="N1456" s="31" t="s">
        <v>1579</v>
      </c>
      <c r="P1456" s="592"/>
      <c r="Q1456" s="592"/>
      <c r="R1456" s="592"/>
      <c r="S1456" s="592"/>
      <c r="T1456" s="592"/>
      <c r="U1456" s="592"/>
      <c r="V1456" s="592"/>
      <c r="W1456" s="592"/>
      <c r="X1456" s="592"/>
      <c r="AB1456" s="56">
        <f>IF(AS1456="5",BL1456,0)</f>
        <v>0</v>
      </c>
      <c r="AD1456" s="56">
        <f>IF(AS1456="1",BJ1456,0)</f>
        <v>0</v>
      </c>
      <c r="AE1456" s="56">
        <f>IF(AS1456="1",BK1456,0)</f>
        <v>0</v>
      </c>
      <c r="AF1456" s="56">
        <f>IF(AS1456="7",BJ1456,0)</f>
        <v>0</v>
      </c>
      <c r="AG1456" s="56">
        <f>IF(AS1456="7",BK1456,0)</f>
        <v>0</v>
      </c>
      <c r="AH1456" s="56">
        <f>IF(AS1456="2",BJ1456,0)</f>
        <v>0</v>
      </c>
      <c r="AI1456" s="56">
        <f>IF(AS1456="2",BK1456,0)</f>
        <v>0</v>
      </c>
      <c r="AJ1456" s="56">
        <f>IF(AS1456="0",BL1456,0)</f>
        <v>0</v>
      </c>
      <c r="AK1456" s="7" t="s">
        <v>119</v>
      </c>
      <c r="AL1456" s="56">
        <f>IF(AP1456=0,K1456,0)</f>
        <v>0</v>
      </c>
      <c r="AM1456" s="56">
        <f>IF(AP1456=15,K1456,0)</f>
        <v>0</v>
      </c>
      <c r="AN1456" s="56">
        <f>IF(AP1456=21,K1456,0)</f>
        <v>0</v>
      </c>
      <c r="AP1456" s="56">
        <v>21</v>
      </c>
      <c r="AQ1456" s="88">
        <f>H1456*0</f>
        <v>0</v>
      </c>
      <c r="AR1456" s="88">
        <f>H1456*(1-0)</f>
        <v>0</v>
      </c>
      <c r="AS1456" s="21" t="s">
        <v>2297</v>
      </c>
      <c r="AX1456" s="56">
        <f>AY1456+AZ1456</f>
        <v>0</v>
      </c>
      <c r="AY1456" s="56">
        <f>G1456*AQ1456</f>
        <v>0</v>
      </c>
      <c r="AZ1456" s="56">
        <f>G1456*AR1456</f>
        <v>0</v>
      </c>
      <c r="BA1456" s="21" t="s">
        <v>2092</v>
      </c>
      <c r="BB1456" s="21" t="s">
        <v>5</v>
      </c>
      <c r="BC1456" s="7" t="s">
        <v>307</v>
      </c>
      <c r="BE1456" s="56">
        <f>AY1456+AZ1456</f>
        <v>0</v>
      </c>
      <c r="BF1456" s="56">
        <f>H1456/(100-BG1456)*100</f>
        <v>0</v>
      </c>
      <c r="BG1456" s="56">
        <v>0</v>
      </c>
      <c r="BH1456" s="56">
        <f>M1456</f>
        <v>0</v>
      </c>
      <c r="BJ1456" s="56">
        <f>G1456*AQ1456</f>
        <v>0</v>
      </c>
      <c r="BK1456" s="56">
        <f>G1456*AR1456</f>
        <v>0</v>
      </c>
      <c r="BL1456" s="56">
        <f>G1456*H1456</f>
        <v>0</v>
      </c>
      <c r="BM1456" s="56"/>
      <c r="BN1456" s="56">
        <v>13</v>
      </c>
    </row>
    <row r="1457" spans="1:66" ht="15" customHeight="1">
      <c r="A1457" s="36"/>
      <c r="D1457" s="45" t="s">
        <v>1852</v>
      </c>
      <c r="E1457" s="104" t="s">
        <v>2386</v>
      </c>
      <c r="G1457" s="13">
        <v>33.5</v>
      </c>
      <c r="N1457" s="19"/>
      <c r="P1457" s="592"/>
      <c r="Q1457" s="592"/>
      <c r="R1457" s="592"/>
      <c r="S1457" s="592"/>
      <c r="T1457" s="592"/>
      <c r="U1457" s="592"/>
      <c r="V1457" s="592"/>
      <c r="W1457" s="592"/>
      <c r="X1457" s="592"/>
    </row>
    <row r="1458" spans="1:66" ht="15" customHeight="1">
      <c r="A1458" s="24" t="s">
        <v>1073</v>
      </c>
      <c r="B1458" s="12" t="s">
        <v>119</v>
      </c>
      <c r="C1458" s="12" t="s">
        <v>1986</v>
      </c>
      <c r="D1458" s="630" t="s">
        <v>2639</v>
      </c>
      <c r="E1458" s="630"/>
      <c r="F1458" s="12" t="s">
        <v>2236</v>
      </c>
      <c r="G1458" s="56">
        <v>7.1</v>
      </c>
      <c r="H1458" s="625"/>
      <c r="I1458" s="56">
        <f>G1458*AQ1458</f>
        <v>0</v>
      </c>
      <c r="J1458" s="56">
        <f>G1458*AR1458</f>
        <v>0</v>
      </c>
      <c r="K1458" s="56">
        <f>G1458*H1458</f>
        <v>0</v>
      </c>
      <c r="L1458" s="56">
        <v>0</v>
      </c>
      <c r="M1458" s="56">
        <f>G1458*L1458</f>
        <v>0</v>
      </c>
      <c r="N1458" s="31" t="s">
        <v>1579</v>
      </c>
      <c r="P1458" s="592"/>
      <c r="Q1458" s="592"/>
      <c r="R1458" s="592"/>
      <c r="S1458" s="592"/>
      <c r="T1458" s="592"/>
      <c r="U1458" s="592"/>
      <c r="V1458" s="592"/>
      <c r="W1458" s="592"/>
      <c r="X1458" s="592"/>
      <c r="AB1458" s="56">
        <f>IF(AS1458="5",BL1458,0)</f>
        <v>0</v>
      </c>
      <c r="AD1458" s="56">
        <f>IF(AS1458="1",BJ1458,0)</f>
        <v>0</v>
      </c>
      <c r="AE1458" s="56">
        <f>IF(AS1458="1",BK1458,0)</f>
        <v>0</v>
      </c>
      <c r="AF1458" s="56">
        <f>IF(AS1458="7",BJ1458,0)</f>
        <v>0</v>
      </c>
      <c r="AG1458" s="56">
        <f>IF(AS1458="7",BK1458,0)</f>
        <v>0</v>
      </c>
      <c r="AH1458" s="56">
        <f>IF(AS1458="2",BJ1458,0)</f>
        <v>0</v>
      </c>
      <c r="AI1458" s="56">
        <f>IF(AS1458="2",BK1458,0)</f>
        <v>0</v>
      </c>
      <c r="AJ1458" s="56">
        <f>IF(AS1458="0",BL1458,0)</f>
        <v>0</v>
      </c>
      <c r="AK1458" s="7" t="s">
        <v>119</v>
      </c>
      <c r="AL1458" s="56">
        <f>IF(AP1458=0,K1458,0)</f>
        <v>0</v>
      </c>
      <c r="AM1458" s="56">
        <f>IF(AP1458=15,K1458,0)</f>
        <v>0</v>
      </c>
      <c r="AN1458" s="56">
        <f>IF(AP1458=21,K1458,0)</f>
        <v>0</v>
      </c>
      <c r="AP1458" s="56">
        <v>21</v>
      </c>
      <c r="AQ1458" s="88">
        <f>H1458*0</f>
        <v>0</v>
      </c>
      <c r="AR1458" s="88">
        <f>H1458*(1-0)</f>
        <v>0</v>
      </c>
      <c r="AS1458" s="21" t="s">
        <v>2297</v>
      </c>
      <c r="AX1458" s="56">
        <f>AY1458+AZ1458</f>
        <v>0</v>
      </c>
      <c r="AY1458" s="56">
        <f>G1458*AQ1458</f>
        <v>0</v>
      </c>
      <c r="AZ1458" s="56">
        <f>G1458*AR1458</f>
        <v>0</v>
      </c>
      <c r="BA1458" s="21" t="s">
        <v>2092</v>
      </c>
      <c r="BB1458" s="21" t="s">
        <v>5</v>
      </c>
      <c r="BC1458" s="7" t="s">
        <v>307</v>
      </c>
      <c r="BE1458" s="56">
        <f>AY1458+AZ1458</f>
        <v>0</v>
      </c>
      <c r="BF1458" s="56">
        <f>H1458/(100-BG1458)*100</f>
        <v>0</v>
      </c>
      <c r="BG1458" s="56">
        <v>0</v>
      </c>
      <c r="BH1458" s="56">
        <f>M1458</f>
        <v>0</v>
      </c>
      <c r="BJ1458" s="56">
        <f>G1458*AQ1458</f>
        <v>0</v>
      </c>
      <c r="BK1458" s="56">
        <f>G1458*AR1458</f>
        <v>0</v>
      </c>
      <c r="BL1458" s="56">
        <f>G1458*H1458</f>
        <v>0</v>
      </c>
      <c r="BM1458" s="56"/>
      <c r="BN1458" s="56">
        <v>13</v>
      </c>
    </row>
    <row r="1459" spans="1:66" ht="15" customHeight="1">
      <c r="A1459" s="36"/>
      <c r="D1459" s="45" t="s">
        <v>362</v>
      </c>
      <c r="E1459" s="104" t="s">
        <v>2604</v>
      </c>
      <c r="G1459" s="13">
        <v>7.1000000000000005</v>
      </c>
      <c r="N1459" s="19"/>
      <c r="P1459" s="592"/>
      <c r="Q1459" s="592"/>
      <c r="R1459" s="592"/>
      <c r="S1459" s="592"/>
      <c r="T1459" s="592"/>
      <c r="U1459" s="592"/>
      <c r="V1459" s="592"/>
      <c r="W1459" s="592"/>
      <c r="X1459" s="592"/>
    </row>
    <row r="1460" spans="1:66" ht="15" customHeight="1">
      <c r="A1460" s="32" t="s">
        <v>1597</v>
      </c>
      <c r="B1460" s="26" t="s">
        <v>119</v>
      </c>
      <c r="C1460" s="26" t="s">
        <v>908</v>
      </c>
      <c r="D1460" s="709" t="s">
        <v>2015</v>
      </c>
      <c r="E1460" s="709"/>
      <c r="F1460" s="46" t="s">
        <v>2144</v>
      </c>
      <c r="G1460" s="46" t="s">
        <v>2144</v>
      </c>
      <c r="H1460" s="46" t="s">
        <v>2144</v>
      </c>
      <c r="I1460" s="17">
        <f>SUM(I1461:I1463)</f>
        <v>0</v>
      </c>
      <c r="J1460" s="17">
        <f>SUM(J1461:J1463)</f>
        <v>0</v>
      </c>
      <c r="K1460" s="17">
        <f>SUM(K1461:K1463)</f>
        <v>0</v>
      </c>
      <c r="L1460" s="7" t="s">
        <v>1597</v>
      </c>
      <c r="M1460" s="17">
        <f>SUM(M1461:M1463)</f>
        <v>7.7813999999999994E-2</v>
      </c>
      <c r="N1460" s="20" t="s">
        <v>1597</v>
      </c>
      <c r="P1460" s="592"/>
      <c r="Q1460" s="592"/>
      <c r="R1460" s="592"/>
      <c r="S1460" s="592"/>
      <c r="T1460" s="592"/>
      <c r="U1460" s="592"/>
      <c r="V1460" s="592"/>
      <c r="W1460" s="592"/>
      <c r="X1460" s="592"/>
      <c r="AK1460" s="7" t="s">
        <v>119</v>
      </c>
      <c r="AU1460" s="17">
        <f>SUM(AL1461:AL1463)</f>
        <v>0</v>
      </c>
      <c r="AV1460" s="17">
        <f>SUM(AM1461:AM1463)</f>
        <v>0</v>
      </c>
      <c r="AW1460" s="17">
        <f>SUM(AN1461:AN1463)</f>
        <v>0</v>
      </c>
    </row>
    <row r="1461" spans="1:66" ht="15" customHeight="1">
      <c r="A1461" s="24" t="s">
        <v>1917</v>
      </c>
      <c r="B1461" s="12" t="s">
        <v>119</v>
      </c>
      <c r="C1461" s="12" t="s">
        <v>2569</v>
      </c>
      <c r="D1461" s="630" t="s">
        <v>522</v>
      </c>
      <c r="E1461" s="630"/>
      <c r="F1461" s="12" t="s">
        <v>2274</v>
      </c>
      <c r="G1461" s="56">
        <v>78.599999999999994</v>
      </c>
      <c r="H1461" s="625"/>
      <c r="I1461" s="56">
        <f>G1461*AQ1461</f>
        <v>0</v>
      </c>
      <c r="J1461" s="56">
        <f>G1461*AR1461</f>
        <v>0</v>
      </c>
      <c r="K1461" s="56">
        <f>G1461*H1461</f>
        <v>0</v>
      </c>
      <c r="L1461" s="56">
        <v>9.8999999999999999E-4</v>
      </c>
      <c r="M1461" s="56">
        <f>G1461*L1461</f>
        <v>7.7813999999999994E-2</v>
      </c>
      <c r="N1461" s="31" t="s">
        <v>1579</v>
      </c>
      <c r="P1461" s="592"/>
      <c r="Q1461" s="592"/>
      <c r="R1461" s="592"/>
      <c r="S1461" s="592"/>
      <c r="T1461" s="592"/>
      <c r="U1461" s="592"/>
      <c r="V1461" s="592"/>
      <c r="W1461" s="592"/>
      <c r="X1461" s="592"/>
      <c r="AB1461" s="56">
        <f>IF(AS1461="5",BL1461,0)</f>
        <v>0</v>
      </c>
      <c r="AD1461" s="56">
        <f>IF(AS1461="1",BJ1461,0)</f>
        <v>0</v>
      </c>
      <c r="AE1461" s="56">
        <f>IF(AS1461="1",BK1461,0)</f>
        <v>0</v>
      </c>
      <c r="AF1461" s="56">
        <f>IF(AS1461="7",BJ1461,0)</f>
        <v>0</v>
      </c>
      <c r="AG1461" s="56">
        <f>IF(AS1461="7",BK1461,0)</f>
        <v>0</v>
      </c>
      <c r="AH1461" s="56">
        <f>IF(AS1461="2",BJ1461,0)</f>
        <v>0</v>
      </c>
      <c r="AI1461" s="56">
        <f>IF(AS1461="2",BK1461,0)</f>
        <v>0</v>
      </c>
      <c r="AJ1461" s="56">
        <f>IF(AS1461="0",BL1461,0)</f>
        <v>0</v>
      </c>
      <c r="AK1461" s="7" t="s">
        <v>119</v>
      </c>
      <c r="AL1461" s="56">
        <f>IF(AP1461=0,K1461,0)</f>
        <v>0</v>
      </c>
      <c r="AM1461" s="56">
        <f>IF(AP1461=15,K1461,0)</f>
        <v>0</v>
      </c>
      <c r="AN1461" s="56">
        <f>IF(AP1461=21,K1461,0)</f>
        <v>0</v>
      </c>
      <c r="AP1461" s="56">
        <v>21</v>
      </c>
      <c r="AQ1461" s="88">
        <f>H1461*0.0932214765100671</f>
        <v>0</v>
      </c>
      <c r="AR1461" s="88">
        <f>H1461*(1-0.0932214765100671)</f>
        <v>0</v>
      </c>
      <c r="AS1461" s="21" t="s">
        <v>2297</v>
      </c>
      <c r="AX1461" s="56">
        <f>AY1461+AZ1461</f>
        <v>0</v>
      </c>
      <c r="AY1461" s="56">
        <f>G1461*AQ1461</f>
        <v>0</v>
      </c>
      <c r="AZ1461" s="56">
        <f>G1461*AR1461</f>
        <v>0</v>
      </c>
      <c r="BA1461" s="21" t="s">
        <v>1630</v>
      </c>
      <c r="BB1461" s="21" t="s">
        <v>5</v>
      </c>
      <c r="BC1461" s="7" t="s">
        <v>307</v>
      </c>
      <c r="BE1461" s="56">
        <f>AY1461+AZ1461</f>
        <v>0</v>
      </c>
      <c r="BF1461" s="56">
        <f>H1461/(100-BG1461)*100</f>
        <v>0</v>
      </c>
      <c r="BG1461" s="56">
        <v>0</v>
      </c>
      <c r="BH1461" s="56">
        <f>M1461</f>
        <v>7.7813999999999994E-2</v>
      </c>
      <c r="BJ1461" s="56">
        <f>G1461*AQ1461</f>
        <v>0</v>
      </c>
      <c r="BK1461" s="56">
        <f>G1461*AR1461</f>
        <v>0</v>
      </c>
      <c r="BL1461" s="56">
        <f>G1461*H1461</f>
        <v>0</v>
      </c>
      <c r="BM1461" s="56"/>
      <c r="BN1461" s="56">
        <v>15</v>
      </c>
    </row>
    <row r="1462" spans="1:66" ht="15" customHeight="1">
      <c r="A1462" s="36"/>
      <c r="D1462" s="45" t="s">
        <v>2631</v>
      </c>
      <c r="E1462" s="104" t="s">
        <v>1597</v>
      </c>
      <c r="G1462" s="13">
        <v>78.600000000000009</v>
      </c>
      <c r="N1462" s="19"/>
      <c r="P1462" s="592"/>
      <c r="Q1462" s="592"/>
      <c r="R1462" s="592"/>
      <c r="S1462" s="592"/>
      <c r="T1462" s="592"/>
      <c r="U1462" s="592"/>
      <c r="V1462" s="592"/>
      <c r="W1462" s="592"/>
      <c r="X1462" s="592"/>
    </row>
    <row r="1463" spans="1:66" ht="15" customHeight="1">
      <c r="A1463" s="24" t="s">
        <v>1467</v>
      </c>
      <c r="B1463" s="12" t="s">
        <v>119</v>
      </c>
      <c r="C1463" s="12" t="s">
        <v>1560</v>
      </c>
      <c r="D1463" s="630" t="s">
        <v>2239</v>
      </c>
      <c r="E1463" s="630"/>
      <c r="F1463" s="12" t="s">
        <v>2274</v>
      </c>
      <c r="G1463" s="56">
        <v>78.599999999999994</v>
      </c>
      <c r="H1463" s="625"/>
      <c r="I1463" s="56">
        <f>G1463*AQ1463</f>
        <v>0</v>
      </c>
      <c r="J1463" s="56">
        <f>G1463*AR1463</f>
        <v>0</v>
      </c>
      <c r="K1463" s="56">
        <f>G1463*H1463</f>
        <v>0</v>
      </c>
      <c r="L1463" s="56">
        <v>0</v>
      </c>
      <c r="M1463" s="56">
        <f>G1463*L1463</f>
        <v>0</v>
      </c>
      <c r="N1463" s="31" t="s">
        <v>1579</v>
      </c>
      <c r="P1463" s="592"/>
      <c r="Q1463" s="592"/>
      <c r="R1463" s="592"/>
      <c r="S1463" s="592"/>
      <c r="T1463" s="592"/>
      <c r="U1463" s="592"/>
      <c r="V1463" s="592"/>
      <c r="W1463" s="592"/>
      <c r="X1463" s="592"/>
      <c r="AB1463" s="56">
        <f>IF(AS1463="5",BL1463,0)</f>
        <v>0</v>
      </c>
      <c r="AD1463" s="56">
        <f>IF(AS1463="1",BJ1463,0)</f>
        <v>0</v>
      </c>
      <c r="AE1463" s="56">
        <f>IF(AS1463="1",BK1463,0)</f>
        <v>0</v>
      </c>
      <c r="AF1463" s="56">
        <f>IF(AS1463="7",BJ1463,0)</f>
        <v>0</v>
      </c>
      <c r="AG1463" s="56">
        <f>IF(AS1463="7",BK1463,0)</f>
        <v>0</v>
      </c>
      <c r="AH1463" s="56">
        <f>IF(AS1463="2",BJ1463,0)</f>
        <v>0</v>
      </c>
      <c r="AI1463" s="56">
        <f>IF(AS1463="2",BK1463,0)</f>
        <v>0</v>
      </c>
      <c r="AJ1463" s="56">
        <f>IF(AS1463="0",BL1463,0)</f>
        <v>0</v>
      </c>
      <c r="AK1463" s="7" t="s">
        <v>119</v>
      </c>
      <c r="AL1463" s="56">
        <f>IF(AP1463=0,K1463,0)</f>
        <v>0</v>
      </c>
      <c r="AM1463" s="56">
        <f>IF(AP1463=15,K1463,0)</f>
        <v>0</v>
      </c>
      <c r="AN1463" s="56">
        <f>IF(AP1463=21,K1463,0)</f>
        <v>0</v>
      </c>
      <c r="AP1463" s="56">
        <v>21</v>
      </c>
      <c r="AQ1463" s="88">
        <f>H1463*0</f>
        <v>0</v>
      </c>
      <c r="AR1463" s="88">
        <f>H1463*(1-0)</f>
        <v>0</v>
      </c>
      <c r="AS1463" s="21" t="s">
        <v>2297</v>
      </c>
      <c r="AX1463" s="56">
        <f>AY1463+AZ1463</f>
        <v>0</v>
      </c>
      <c r="AY1463" s="56">
        <f>G1463*AQ1463</f>
        <v>0</v>
      </c>
      <c r="AZ1463" s="56">
        <f>G1463*AR1463</f>
        <v>0</v>
      </c>
      <c r="BA1463" s="21" t="s">
        <v>1630</v>
      </c>
      <c r="BB1463" s="21" t="s">
        <v>5</v>
      </c>
      <c r="BC1463" s="7" t="s">
        <v>307</v>
      </c>
      <c r="BE1463" s="56">
        <f>AY1463+AZ1463</f>
        <v>0</v>
      </c>
      <c r="BF1463" s="56">
        <f>H1463/(100-BG1463)*100</f>
        <v>0</v>
      </c>
      <c r="BG1463" s="56">
        <v>0</v>
      </c>
      <c r="BH1463" s="56">
        <f>M1463</f>
        <v>0</v>
      </c>
      <c r="BJ1463" s="56">
        <f>G1463*AQ1463</f>
        <v>0</v>
      </c>
      <c r="BK1463" s="56">
        <f>G1463*AR1463</f>
        <v>0</v>
      </c>
      <c r="BL1463" s="56">
        <f>G1463*H1463</f>
        <v>0</v>
      </c>
      <c r="BM1463" s="56"/>
      <c r="BN1463" s="56">
        <v>15</v>
      </c>
    </row>
    <row r="1464" spans="1:66" ht="15" customHeight="1">
      <c r="A1464" s="36"/>
      <c r="D1464" s="45" t="s">
        <v>2631</v>
      </c>
      <c r="E1464" s="104" t="s">
        <v>1597</v>
      </c>
      <c r="G1464" s="13">
        <v>78.600000000000009</v>
      </c>
      <c r="N1464" s="19"/>
      <c r="P1464" s="592"/>
      <c r="Q1464" s="592"/>
      <c r="R1464" s="592"/>
      <c r="S1464" s="592"/>
      <c r="T1464" s="592"/>
      <c r="U1464" s="592"/>
      <c r="V1464" s="592"/>
      <c r="W1464" s="592"/>
      <c r="X1464" s="592"/>
    </row>
    <row r="1465" spans="1:66" ht="15" customHeight="1">
      <c r="A1465" s="32" t="s">
        <v>1597</v>
      </c>
      <c r="B1465" s="26" t="s">
        <v>119</v>
      </c>
      <c r="C1465" s="26" t="s">
        <v>213</v>
      </c>
      <c r="D1465" s="709" t="s">
        <v>1935</v>
      </c>
      <c r="E1465" s="709"/>
      <c r="F1465" s="46" t="s">
        <v>2144</v>
      </c>
      <c r="G1465" s="46" t="s">
        <v>2144</v>
      </c>
      <c r="H1465" s="46" t="s">
        <v>2144</v>
      </c>
      <c r="I1465" s="17">
        <f>SUM(I1466:I1466)</f>
        <v>0</v>
      </c>
      <c r="J1465" s="17">
        <f>SUM(J1466:J1466)</f>
        <v>0</v>
      </c>
      <c r="K1465" s="17">
        <f>SUM(K1466:K1466)</f>
        <v>0</v>
      </c>
      <c r="L1465" s="7" t="s">
        <v>1597</v>
      </c>
      <c r="M1465" s="17">
        <f>SUM(M1466:M1466)</f>
        <v>0</v>
      </c>
      <c r="N1465" s="20" t="s">
        <v>1597</v>
      </c>
      <c r="P1465" s="592"/>
      <c r="Q1465" s="592"/>
      <c r="R1465" s="592"/>
      <c r="S1465" s="592"/>
      <c r="T1465" s="592"/>
      <c r="U1465" s="592"/>
      <c r="V1465" s="592"/>
      <c r="W1465" s="592"/>
      <c r="X1465" s="592"/>
      <c r="AK1465" s="7" t="s">
        <v>119</v>
      </c>
      <c r="AU1465" s="17">
        <f>SUM(AL1466:AL1466)</f>
        <v>0</v>
      </c>
      <c r="AV1465" s="17">
        <f>SUM(AM1466:AM1466)</f>
        <v>0</v>
      </c>
      <c r="AW1465" s="17">
        <f>SUM(AN1466:AN1466)</f>
        <v>0</v>
      </c>
    </row>
    <row r="1466" spans="1:66" ht="15" customHeight="1">
      <c r="A1466" s="24" t="s">
        <v>619</v>
      </c>
      <c r="B1466" s="12" t="s">
        <v>119</v>
      </c>
      <c r="C1466" s="12" t="s">
        <v>1988</v>
      </c>
      <c r="D1466" s="630" t="s">
        <v>1576</v>
      </c>
      <c r="E1466" s="630"/>
      <c r="F1466" s="12" t="s">
        <v>2236</v>
      </c>
      <c r="G1466" s="56">
        <v>14.1</v>
      </c>
      <c r="H1466" s="625"/>
      <c r="I1466" s="56">
        <f>G1466*AQ1466</f>
        <v>0</v>
      </c>
      <c r="J1466" s="56">
        <f>G1466*AR1466</f>
        <v>0</v>
      </c>
      <c r="K1466" s="56">
        <f>G1466*H1466</f>
        <v>0</v>
      </c>
      <c r="L1466" s="56">
        <v>0</v>
      </c>
      <c r="M1466" s="56">
        <f>G1466*L1466</f>
        <v>0</v>
      </c>
      <c r="N1466" s="31" t="s">
        <v>1579</v>
      </c>
      <c r="P1466" s="592"/>
      <c r="Q1466" s="592"/>
      <c r="R1466" s="592"/>
      <c r="S1466" s="592"/>
      <c r="T1466" s="592"/>
      <c r="U1466" s="592"/>
      <c r="V1466" s="592"/>
      <c r="W1466" s="592"/>
      <c r="X1466" s="592"/>
      <c r="AB1466" s="56">
        <f>IF(AS1466="5",BL1466,0)</f>
        <v>0</v>
      </c>
      <c r="AD1466" s="56">
        <f>IF(AS1466="1",BJ1466,0)</f>
        <v>0</v>
      </c>
      <c r="AE1466" s="56">
        <f>IF(AS1466="1",BK1466,0)</f>
        <v>0</v>
      </c>
      <c r="AF1466" s="56">
        <f>IF(AS1466="7",BJ1466,0)</f>
        <v>0</v>
      </c>
      <c r="AG1466" s="56">
        <f>IF(AS1466="7",BK1466,0)</f>
        <v>0</v>
      </c>
      <c r="AH1466" s="56">
        <f>IF(AS1466="2",BJ1466,0)</f>
        <v>0</v>
      </c>
      <c r="AI1466" s="56">
        <f>IF(AS1466="2",BK1466,0)</f>
        <v>0</v>
      </c>
      <c r="AJ1466" s="56">
        <f>IF(AS1466="0",BL1466,0)</f>
        <v>0</v>
      </c>
      <c r="AK1466" s="7" t="s">
        <v>119</v>
      </c>
      <c r="AL1466" s="56">
        <f>IF(AP1466=0,K1466,0)</f>
        <v>0</v>
      </c>
      <c r="AM1466" s="56">
        <f>IF(AP1466=15,K1466,0)</f>
        <v>0</v>
      </c>
      <c r="AN1466" s="56">
        <f>IF(AP1466=21,K1466,0)</f>
        <v>0</v>
      </c>
      <c r="AP1466" s="56">
        <v>21</v>
      </c>
      <c r="AQ1466" s="88">
        <f>H1466*0</f>
        <v>0</v>
      </c>
      <c r="AR1466" s="88">
        <f>H1466*(1-0)</f>
        <v>0</v>
      </c>
      <c r="AS1466" s="21" t="s">
        <v>2297</v>
      </c>
      <c r="AX1466" s="56">
        <f>AY1466+AZ1466</f>
        <v>0</v>
      </c>
      <c r="AY1466" s="56">
        <f>G1466*AQ1466</f>
        <v>0</v>
      </c>
      <c r="AZ1466" s="56">
        <f>G1466*AR1466</f>
        <v>0</v>
      </c>
      <c r="BA1466" s="21" t="s">
        <v>2150</v>
      </c>
      <c r="BB1466" s="21" t="s">
        <v>5</v>
      </c>
      <c r="BC1466" s="7" t="s">
        <v>307</v>
      </c>
      <c r="BE1466" s="56">
        <f>AY1466+AZ1466</f>
        <v>0</v>
      </c>
      <c r="BF1466" s="56">
        <f>H1466/(100-BG1466)*100</f>
        <v>0</v>
      </c>
      <c r="BG1466" s="56">
        <v>0</v>
      </c>
      <c r="BH1466" s="56">
        <f>M1466</f>
        <v>0</v>
      </c>
      <c r="BJ1466" s="56">
        <f>G1466*AQ1466</f>
        <v>0</v>
      </c>
      <c r="BK1466" s="56">
        <f>G1466*AR1466</f>
        <v>0</v>
      </c>
      <c r="BL1466" s="56">
        <f>G1466*H1466</f>
        <v>0</v>
      </c>
      <c r="BM1466" s="56"/>
      <c r="BN1466" s="56">
        <v>16</v>
      </c>
    </row>
    <row r="1467" spans="1:66" ht="15" customHeight="1">
      <c r="A1467" s="36"/>
      <c r="D1467" s="45" t="s">
        <v>868</v>
      </c>
      <c r="E1467" s="104" t="s">
        <v>1597</v>
      </c>
      <c r="G1467" s="13">
        <v>14.100000000000001</v>
      </c>
      <c r="N1467" s="19"/>
      <c r="P1467" s="592"/>
      <c r="Q1467" s="592"/>
      <c r="R1467" s="592"/>
      <c r="S1467" s="592"/>
      <c r="T1467" s="592"/>
      <c r="U1467" s="592"/>
      <c r="V1467" s="592"/>
      <c r="W1467" s="592"/>
      <c r="X1467" s="592"/>
    </row>
    <row r="1468" spans="1:66" ht="15" customHeight="1">
      <c r="A1468" s="32" t="s">
        <v>1597</v>
      </c>
      <c r="B1468" s="26" t="s">
        <v>119</v>
      </c>
      <c r="C1468" s="26" t="s">
        <v>1605</v>
      </c>
      <c r="D1468" s="709" t="s">
        <v>300</v>
      </c>
      <c r="E1468" s="709"/>
      <c r="F1468" s="46" t="s">
        <v>2144</v>
      </c>
      <c r="G1468" s="46" t="s">
        <v>2144</v>
      </c>
      <c r="H1468" s="46" t="s">
        <v>2144</v>
      </c>
      <c r="I1468" s="17">
        <f>SUM(I1469:I1473)</f>
        <v>0</v>
      </c>
      <c r="J1468" s="17">
        <f>SUM(J1469:J1473)</f>
        <v>0</v>
      </c>
      <c r="K1468" s="17">
        <f>SUM(K1469:K1473)</f>
        <v>0</v>
      </c>
      <c r="L1468" s="7" t="s">
        <v>1597</v>
      </c>
      <c r="M1468" s="17">
        <f>SUM(M1469:M1473)</f>
        <v>11.016</v>
      </c>
      <c r="N1468" s="20" t="s">
        <v>1597</v>
      </c>
      <c r="P1468" s="592"/>
      <c r="Q1468" s="592"/>
      <c r="R1468" s="592"/>
      <c r="S1468" s="592"/>
      <c r="T1468" s="592"/>
      <c r="U1468" s="592"/>
      <c r="V1468" s="592"/>
      <c r="W1468" s="592"/>
      <c r="X1468" s="592"/>
      <c r="AK1468" s="7" t="s">
        <v>119</v>
      </c>
      <c r="AU1468" s="17">
        <f>SUM(AL1469:AL1473)</f>
        <v>0</v>
      </c>
      <c r="AV1468" s="17">
        <f>SUM(AM1469:AM1473)</f>
        <v>0</v>
      </c>
      <c r="AW1468" s="17">
        <f>SUM(AN1469:AN1473)</f>
        <v>0</v>
      </c>
    </row>
    <row r="1469" spans="1:66" ht="15" customHeight="1">
      <c r="A1469" s="24" t="s">
        <v>2253</v>
      </c>
      <c r="B1469" s="12" t="s">
        <v>119</v>
      </c>
      <c r="C1469" s="12" t="s">
        <v>2039</v>
      </c>
      <c r="D1469" s="630" t="s">
        <v>2323</v>
      </c>
      <c r="E1469" s="630"/>
      <c r="F1469" s="12" t="s">
        <v>2236</v>
      </c>
      <c r="G1469" s="56">
        <v>6.48</v>
      </c>
      <c r="H1469" s="625"/>
      <c r="I1469" s="56">
        <f>G1469*AQ1469</f>
        <v>0</v>
      </c>
      <c r="J1469" s="56">
        <f>G1469*AR1469</f>
        <v>0</v>
      </c>
      <c r="K1469" s="56">
        <f>G1469*H1469</f>
        <v>0</v>
      </c>
      <c r="L1469" s="56">
        <v>1.7</v>
      </c>
      <c r="M1469" s="56">
        <f>G1469*L1469</f>
        <v>11.016</v>
      </c>
      <c r="N1469" s="31" t="s">
        <v>1579</v>
      </c>
      <c r="P1469" s="592"/>
      <c r="Q1469" s="592"/>
      <c r="R1469" s="592"/>
      <c r="S1469" s="592"/>
      <c r="T1469" s="592"/>
      <c r="U1469" s="592"/>
      <c r="V1469" s="592"/>
      <c r="W1469" s="592"/>
      <c r="X1469" s="592"/>
      <c r="AB1469" s="56">
        <f>IF(AS1469="5",BL1469,0)</f>
        <v>0</v>
      </c>
      <c r="AD1469" s="56">
        <f>IF(AS1469="1",BJ1469,0)</f>
        <v>0</v>
      </c>
      <c r="AE1469" s="56">
        <f>IF(AS1469="1",BK1469,0)</f>
        <v>0</v>
      </c>
      <c r="AF1469" s="56">
        <f>IF(AS1469="7",BJ1469,0)</f>
        <v>0</v>
      </c>
      <c r="AG1469" s="56">
        <f>IF(AS1469="7",BK1469,0)</f>
        <v>0</v>
      </c>
      <c r="AH1469" s="56">
        <f>IF(AS1469="2",BJ1469,0)</f>
        <v>0</v>
      </c>
      <c r="AI1469" s="56">
        <f>IF(AS1469="2",BK1469,0)</f>
        <v>0</v>
      </c>
      <c r="AJ1469" s="56">
        <f>IF(AS1469="0",BL1469,0)</f>
        <v>0</v>
      </c>
      <c r="AK1469" s="7" t="s">
        <v>119</v>
      </c>
      <c r="AL1469" s="56">
        <f>IF(AP1469=0,K1469,0)</f>
        <v>0</v>
      </c>
      <c r="AM1469" s="56">
        <f>IF(AP1469=15,K1469,0)</f>
        <v>0</v>
      </c>
      <c r="AN1469" s="56">
        <f>IF(AP1469=21,K1469,0)</f>
        <v>0</v>
      </c>
      <c r="AP1469" s="56">
        <v>21</v>
      </c>
      <c r="AQ1469" s="88">
        <f>H1469*0.503380393689644</f>
        <v>0</v>
      </c>
      <c r="AR1469" s="88">
        <f>H1469*(1-0.503380393689644)</f>
        <v>0</v>
      </c>
      <c r="AS1469" s="21" t="s">
        <v>2297</v>
      </c>
      <c r="AX1469" s="56">
        <f>AY1469+AZ1469</f>
        <v>0</v>
      </c>
      <c r="AY1469" s="56">
        <f>G1469*AQ1469</f>
        <v>0</v>
      </c>
      <c r="AZ1469" s="56">
        <f>G1469*AR1469</f>
        <v>0</v>
      </c>
      <c r="BA1469" s="21" t="s">
        <v>470</v>
      </c>
      <c r="BB1469" s="21" t="s">
        <v>5</v>
      </c>
      <c r="BC1469" s="7" t="s">
        <v>307</v>
      </c>
      <c r="BE1469" s="56">
        <f>AY1469+AZ1469</f>
        <v>0</v>
      </c>
      <c r="BF1469" s="56">
        <f>H1469/(100-BG1469)*100</f>
        <v>0</v>
      </c>
      <c r="BG1469" s="56">
        <v>0</v>
      </c>
      <c r="BH1469" s="56">
        <f>M1469</f>
        <v>11.016</v>
      </c>
      <c r="BJ1469" s="56">
        <f>G1469*AQ1469</f>
        <v>0</v>
      </c>
      <c r="BK1469" s="56">
        <f>G1469*AR1469</f>
        <v>0</v>
      </c>
      <c r="BL1469" s="56">
        <f>G1469*H1469</f>
        <v>0</v>
      </c>
      <c r="BM1469" s="56"/>
      <c r="BN1469" s="56">
        <v>17</v>
      </c>
    </row>
    <row r="1470" spans="1:66" ht="15" customHeight="1">
      <c r="A1470" s="36"/>
      <c r="D1470" s="45" t="s">
        <v>301</v>
      </c>
      <c r="E1470" s="104" t="s">
        <v>1597</v>
      </c>
      <c r="G1470" s="13">
        <v>6.48</v>
      </c>
      <c r="N1470" s="19"/>
      <c r="P1470" s="592"/>
      <c r="Q1470" s="592"/>
      <c r="R1470" s="592"/>
      <c r="S1470" s="592"/>
      <c r="T1470" s="592"/>
      <c r="U1470" s="592"/>
      <c r="V1470" s="592"/>
      <c r="W1470" s="592"/>
      <c r="X1470" s="592"/>
    </row>
    <row r="1471" spans="1:66" ht="15" customHeight="1">
      <c r="A1471" s="24" t="s">
        <v>909</v>
      </c>
      <c r="B1471" s="12" t="s">
        <v>119</v>
      </c>
      <c r="C1471" s="12" t="s">
        <v>1170</v>
      </c>
      <c r="D1471" s="630" t="s">
        <v>457</v>
      </c>
      <c r="E1471" s="630"/>
      <c r="F1471" s="12" t="s">
        <v>2236</v>
      </c>
      <c r="G1471" s="56">
        <v>26.49</v>
      </c>
      <c r="H1471" s="625"/>
      <c r="I1471" s="56">
        <f>G1471*AQ1471</f>
        <v>0</v>
      </c>
      <c r="J1471" s="56">
        <f>G1471*AR1471</f>
        <v>0</v>
      </c>
      <c r="K1471" s="56">
        <f>G1471*H1471</f>
        <v>0</v>
      </c>
      <c r="L1471" s="56">
        <v>0</v>
      </c>
      <c r="M1471" s="56">
        <f>G1471*L1471</f>
        <v>0</v>
      </c>
      <c r="N1471" s="31" t="s">
        <v>1579</v>
      </c>
      <c r="P1471" s="592"/>
      <c r="Q1471" s="592"/>
      <c r="R1471" s="592"/>
      <c r="S1471" s="592"/>
      <c r="T1471" s="592"/>
      <c r="U1471" s="592"/>
      <c r="V1471" s="592"/>
      <c r="W1471" s="592"/>
      <c r="X1471" s="592"/>
      <c r="AB1471" s="56">
        <f>IF(AS1471="5",BL1471,0)</f>
        <v>0</v>
      </c>
      <c r="AD1471" s="56">
        <f>IF(AS1471="1",BJ1471,0)</f>
        <v>0</v>
      </c>
      <c r="AE1471" s="56">
        <f>IF(AS1471="1",BK1471,0)</f>
        <v>0</v>
      </c>
      <c r="AF1471" s="56">
        <f>IF(AS1471="7",BJ1471,0)</f>
        <v>0</v>
      </c>
      <c r="AG1471" s="56">
        <f>IF(AS1471="7",BK1471,0)</f>
        <v>0</v>
      </c>
      <c r="AH1471" s="56">
        <f>IF(AS1471="2",BJ1471,0)</f>
        <v>0</v>
      </c>
      <c r="AI1471" s="56">
        <f>IF(AS1471="2",BK1471,0)</f>
        <v>0</v>
      </c>
      <c r="AJ1471" s="56">
        <f>IF(AS1471="0",BL1471,0)</f>
        <v>0</v>
      </c>
      <c r="AK1471" s="7" t="s">
        <v>119</v>
      </c>
      <c r="AL1471" s="56">
        <f>IF(AP1471=0,K1471,0)</f>
        <v>0</v>
      </c>
      <c r="AM1471" s="56">
        <f>IF(AP1471=15,K1471,0)</f>
        <v>0</v>
      </c>
      <c r="AN1471" s="56">
        <f>IF(AP1471=21,K1471,0)</f>
        <v>0</v>
      </c>
      <c r="AP1471" s="56">
        <v>21</v>
      </c>
      <c r="AQ1471" s="88">
        <f>H1471*0</f>
        <v>0</v>
      </c>
      <c r="AR1471" s="88">
        <f>H1471*(1-0)</f>
        <v>0</v>
      </c>
      <c r="AS1471" s="21" t="s">
        <v>2297</v>
      </c>
      <c r="AX1471" s="56">
        <f>AY1471+AZ1471</f>
        <v>0</v>
      </c>
      <c r="AY1471" s="56">
        <f>G1471*AQ1471</f>
        <v>0</v>
      </c>
      <c r="AZ1471" s="56">
        <f>G1471*AR1471</f>
        <v>0</v>
      </c>
      <c r="BA1471" s="21" t="s">
        <v>470</v>
      </c>
      <c r="BB1471" s="21" t="s">
        <v>5</v>
      </c>
      <c r="BC1471" s="7" t="s">
        <v>307</v>
      </c>
      <c r="BE1471" s="56">
        <f>AY1471+AZ1471</f>
        <v>0</v>
      </c>
      <c r="BF1471" s="56">
        <f>H1471/(100-BG1471)*100</f>
        <v>0</v>
      </c>
      <c r="BG1471" s="56">
        <v>0</v>
      </c>
      <c r="BH1471" s="56">
        <f>M1471</f>
        <v>0</v>
      </c>
      <c r="BJ1471" s="56">
        <f>G1471*AQ1471</f>
        <v>0</v>
      </c>
      <c r="BK1471" s="56">
        <f>G1471*AR1471</f>
        <v>0</v>
      </c>
      <c r="BL1471" s="56">
        <f>G1471*H1471</f>
        <v>0</v>
      </c>
      <c r="BM1471" s="56"/>
      <c r="BN1471" s="56">
        <v>17</v>
      </c>
    </row>
    <row r="1472" spans="1:66" ht="15" customHeight="1">
      <c r="A1472" s="36"/>
      <c r="D1472" s="45" t="s">
        <v>1077</v>
      </c>
      <c r="E1472" s="104" t="s">
        <v>1597</v>
      </c>
      <c r="G1472" s="13">
        <v>26.490000000000002</v>
      </c>
      <c r="N1472" s="19"/>
      <c r="P1472" s="592"/>
      <c r="Q1472" s="592"/>
      <c r="R1472" s="592"/>
      <c r="S1472" s="592"/>
      <c r="T1472" s="592"/>
      <c r="U1472" s="592"/>
      <c r="V1472" s="592"/>
      <c r="W1472" s="592"/>
      <c r="X1472" s="592"/>
    </row>
    <row r="1473" spans="1:66" ht="15" customHeight="1">
      <c r="A1473" s="24" t="s">
        <v>2058</v>
      </c>
      <c r="B1473" s="12" t="s">
        <v>119</v>
      </c>
      <c r="C1473" s="12" t="s">
        <v>1687</v>
      </c>
      <c r="D1473" s="630" t="s">
        <v>1210</v>
      </c>
      <c r="E1473" s="630"/>
      <c r="F1473" s="12" t="s">
        <v>2236</v>
      </c>
      <c r="G1473" s="56">
        <v>26.49</v>
      </c>
      <c r="H1473" s="625"/>
      <c r="I1473" s="56">
        <f>G1473*AQ1473</f>
        <v>0</v>
      </c>
      <c r="J1473" s="56">
        <f>G1473*AR1473</f>
        <v>0</v>
      </c>
      <c r="K1473" s="56">
        <f>G1473*H1473</f>
        <v>0</v>
      </c>
      <c r="L1473" s="56">
        <v>0</v>
      </c>
      <c r="M1473" s="56">
        <f>G1473*L1473</f>
        <v>0</v>
      </c>
      <c r="N1473" s="31" t="s">
        <v>1579</v>
      </c>
      <c r="P1473" s="592"/>
      <c r="Q1473" s="592"/>
      <c r="R1473" s="592"/>
      <c r="S1473" s="592"/>
      <c r="T1473" s="592"/>
      <c r="U1473" s="592"/>
      <c r="V1473" s="592"/>
      <c r="W1473" s="592"/>
      <c r="X1473" s="592"/>
      <c r="AB1473" s="56">
        <f>IF(AS1473="5",BL1473,0)</f>
        <v>0</v>
      </c>
      <c r="AD1473" s="56">
        <f>IF(AS1473="1",BJ1473,0)</f>
        <v>0</v>
      </c>
      <c r="AE1473" s="56">
        <f>IF(AS1473="1",BK1473,0)</f>
        <v>0</v>
      </c>
      <c r="AF1473" s="56">
        <f>IF(AS1473="7",BJ1473,0)</f>
        <v>0</v>
      </c>
      <c r="AG1473" s="56">
        <f>IF(AS1473="7",BK1473,0)</f>
        <v>0</v>
      </c>
      <c r="AH1473" s="56">
        <f>IF(AS1473="2",BJ1473,0)</f>
        <v>0</v>
      </c>
      <c r="AI1473" s="56">
        <f>IF(AS1473="2",BK1473,0)</f>
        <v>0</v>
      </c>
      <c r="AJ1473" s="56">
        <f>IF(AS1473="0",BL1473,0)</f>
        <v>0</v>
      </c>
      <c r="AK1473" s="7" t="s">
        <v>119</v>
      </c>
      <c r="AL1473" s="56">
        <f>IF(AP1473=0,K1473,0)</f>
        <v>0</v>
      </c>
      <c r="AM1473" s="56">
        <f>IF(AP1473=15,K1473,0)</f>
        <v>0</v>
      </c>
      <c r="AN1473" s="56">
        <f>IF(AP1473=21,K1473,0)</f>
        <v>0</v>
      </c>
      <c r="AP1473" s="56">
        <v>21</v>
      </c>
      <c r="AQ1473" s="88">
        <f>H1473*0</f>
        <v>0</v>
      </c>
      <c r="AR1473" s="88">
        <f>H1473*(1-0)</f>
        <v>0</v>
      </c>
      <c r="AS1473" s="21" t="s">
        <v>2297</v>
      </c>
      <c r="AX1473" s="56">
        <f>AY1473+AZ1473</f>
        <v>0</v>
      </c>
      <c r="AY1473" s="56">
        <f>G1473*AQ1473</f>
        <v>0</v>
      </c>
      <c r="AZ1473" s="56">
        <f>G1473*AR1473</f>
        <v>0</v>
      </c>
      <c r="BA1473" s="21" t="s">
        <v>470</v>
      </c>
      <c r="BB1473" s="21" t="s">
        <v>5</v>
      </c>
      <c r="BC1473" s="7" t="s">
        <v>307</v>
      </c>
      <c r="BE1473" s="56">
        <f>AY1473+AZ1473</f>
        <v>0</v>
      </c>
      <c r="BF1473" s="56">
        <f>H1473/(100-BG1473)*100</f>
        <v>0</v>
      </c>
      <c r="BG1473" s="56">
        <v>0</v>
      </c>
      <c r="BH1473" s="56">
        <f>M1473</f>
        <v>0</v>
      </c>
      <c r="BJ1473" s="56">
        <f>G1473*AQ1473</f>
        <v>0</v>
      </c>
      <c r="BK1473" s="56">
        <f>G1473*AR1473</f>
        <v>0</v>
      </c>
      <c r="BL1473" s="56">
        <f>G1473*H1473</f>
        <v>0</v>
      </c>
      <c r="BM1473" s="56"/>
      <c r="BN1473" s="56">
        <v>17</v>
      </c>
    </row>
    <row r="1474" spans="1:66" ht="15" customHeight="1">
      <c r="A1474" s="36"/>
      <c r="D1474" s="45" t="s">
        <v>1077</v>
      </c>
      <c r="E1474" s="104" t="s">
        <v>1597</v>
      </c>
      <c r="G1474" s="13">
        <v>26.490000000000002</v>
      </c>
      <c r="N1474" s="19"/>
      <c r="P1474" s="592"/>
      <c r="Q1474" s="592"/>
      <c r="R1474" s="592"/>
      <c r="S1474" s="592"/>
      <c r="T1474" s="592"/>
      <c r="U1474" s="592"/>
      <c r="V1474" s="592"/>
      <c r="W1474" s="592"/>
      <c r="X1474" s="592"/>
    </row>
    <row r="1475" spans="1:66" ht="15" customHeight="1">
      <c r="A1475" s="32" t="s">
        <v>1597</v>
      </c>
      <c r="B1475" s="26" t="s">
        <v>119</v>
      </c>
      <c r="C1475" s="26" t="s">
        <v>820</v>
      </c>
      <c r="D1475" s="709" t="s">
        <v>1795</v>
      </c>
      <c r="E1475" s="709"/>
      <c r="F1475" s="46" t="s">
        <v>2144</v>
      </c>
      <c r="G1475" s="46" t="s">
        <v>2144</v>
      </c>
      <c r="H1475" s="46" t="s">
        <v>2144</v>
      </c>
      <c r="I1475" s="17">
        <f>SUM(I1476:I1476)</f>
        <v>0</v>
      </c>
      <c r="J1475" s="17">
        <f>SUM(J1476:J1476)</f>
        <v>0</v>
      </c>
      <c r="K1475" s="17">
        <f>SUM(K1476:K1476)</f>
        <v>0</v>
      </c>
      <c r="L1475" s="7" t="s">
        <v>1597</v>
      </c>
      <c r="M1475" s="17">
        <f>SUM(M1476:M1476)</f>
        <v>4.0840632000000001</v>
      </c>
      <c r="N1475" s="20" t="s">
        <v>1597</v>
      </c>
      <c r="P1475" s="592"/>
      <c r="Q1475" s="592"/>
      <c r="R1475" s="592"/>
      <c r="S1475" s="592"/>
      <c r="T1475" s="592"/>
      <c r="U1475" s="592"/>
      <c r="V1475" s="592"/>
      <c r="W1475" s="592"/>
      <c r="X1475" s="592"/>
      <c r="AK1475" s="7" t="s">
        <v>119</v>
      </c>
      <c r="AU1475" s="17">
        <f>SUM(AL1476:AL1476)</f>
        <v>0</v>
      </c>
      <c r="AV1475" s="17">
        <f>SUM(AM1476:AM1476)</f>
        <v>0</v>
      </c>
      <c r="AW1475" s="17">
        <f>SUM(AN1476:AN1476)</f>
        <v>0</v>
      </c>
    </row>
    <row r="1476" spans="1:66" ht="15" customHeight="1">
      <c r="A1476" s="24" t="s">
        <v>750</v>
      </c>
      <c r="B1476" s="12" t="s">
        <v>119</v>
      </c>
      <c r="C1476" s="12" t="s">
        <v>1644</v>
      </c>
      <c r="D1476" s="630" t="s">
        <v>677</v>
      </c>
      <c r="E1476" s="630"/>
      <c r="F1476" s="12" t="s">
        <v>2236</v>
      </c>
      <c r="G1476" s="56">
        <v>2.16</v>
      </c>
      <c r="H1476" s="625"/>
      <c r="I1476" s="56">
        <f>G1476*AQ1476</f>
        <v>0</v>
      </c>
      <c r="J1476" s="56">
        <f>G1476*AR1476</f>
        <v>0</v>
      </c>
      <c r="K1476" s="56">
        <f>G1476*H1476</f>
        <v>0</v>
      </c>
      <c r="L1476" s="56">
        <v>1.8907700000000001</v>
      </c>
      <c r="M1476" s="56">
        <f>G1476*L1476</f>
        <v>4.0840632000000001</v>
      </c>
      <c r="N1476" s="31" t="s">
        <v>1579</v>
      </c>
      <c r="P1476" s="592"/>
      <c r="Q1476" s="592"/>
      <c r="R1476" s="592"/>
      <c r="S1476" s="592"/>
      <c r="T1476" s="592"/>
      <c r="U1476" s="592"/>
      <c r="V1476" s="592"/>
      <c r="W1476" s="592"/>
      <c r="X1476" s="592"/>
      <c r="AB1476" s="56">
        <f>IF(AS1476="5",BL1476,0)</f>
        <v>0</v>
      </c>
      <c r="AD1476" s="56">
        <f>IF(AS1476="1",BJ1476,0)</f>
        <v>0</v>
      </c>
      <c r="AE1476" s="56">
        <f>IF(AS1476="1",BK1476,0)</f>
        <v>0</v>
      </c>
      <c r="AF1476" s="56">
        <f>IF(AS1476="7",BJ1476,0)</f>
        <v>0</v>
      </c>
      <c r="AG1476" s="56">
        <f>IF(AS1476="7",BK1476,0)</f>
        <v>0</v>
      </c>
      <c r="AH1476" s="56">
        <f>IF(AS1476="2",BJ1476,0)</f>
        <v>0</v>
      </c>
      <c r="AI1476" s="56">
        <f>IF(AS1476="2",BK1476,0)</f>
        <v>0</v>
      </c>
      <c r="AJ1476" s="56">
        <f>IF(AS1476="0",BL1476,0)</f>
        <v>0</v>
      </c>
      <c r="AK1476" s="7" t="s">
        <v>119</v>
      </c>
      <c r="AL1476" s="56">
        <f>IF(AP1476=0,K1476,0)</f>
        <v>0</v>
      </c>
      <c r="AM1476" s="56">
        <f>IF(AP1476=15,K1476,0)</f>
        <v>0</v>
      </c>
      <c r="AN1476" s="56">
        <f>IF(AP1476=21,K1476,0)</f>
        <v>0</v>
      </c>
      <c r="AP1476" s="56">
        <v>21</v>
      </c>
      <c r="AQ1476" s="88">
        <f>H1476*0.480904558404558</f>
        <v>0</v>
      </c>
      <c r="AR1476" s="88">
        <f>H1476*(1-0.480904558404558)</f>
        <v>0</v>
      </c>
      <c r="AS1476" s="21" t="s">
        <v>2297</v>
      </c>
      <c r="AX1476" s="56">
        <f>AY1476+AZ1476</f>
        <v>0</v>
      </c>
      <c r="AY1476" s="56">
        <f>G1476*AQ1476</f>
        <v>0</v>
      </c>
      <c r="AZ1476" s="56">
        <f>G1476*AR1476</f>
        <v>0</v>
      </c>
      <c r="BA1476" s="21" t="s">
        <v>1130</v>
      </c>
      <c r="BB1476" s="21" t="s">
        <v>96</v>
      </c>
      <c r="BC1476" s="7" t="s">
        <v>307</v>
      </c>
      <c r="BE1476" s="56">
        <f>AY1476+AZ1476</f>
        <v>0</v>
      </c>
      <c r="BF1476" s="56">
        <f>H1476/(100-BG1476)*100</f>
        <v>0</v>
      </c>
      <c r="BG1476" s="56">
        <v>0</v>
      </c>
      <c r="BH1476" s="56">
        <f>M1476</f>
        <v>4.0840632000000001</v>
      </c>
      <c r="BJ1476" s="56">
        <f>G1476*AQ1476</f>
        <v>0</v>
      </c>
      <c r="BK1476" s="56">
        <f>G1476*AR1476</f>
        <v>0</v>
      </c>
      <c r="BL1476" s="56">
        <f>G1476*H1476</f>
        <v>0</v>
      </c>
      <c r="BM1476" s="56"/>
      <c r="BN1476" s="56">
        <v>45</v>
      </c>
    </row>
    <row r="1477" spans="1:66" ht="15" customHeight="1">
      <c r="A1477" s="36"/>
      <c r="D1477" s="45" t="s">
        <v>589</v>
      </c>
      <c r="E1477" s="104" t="s">
        <v>569</v>
      </c>
      <c r="G1477" s="13">
        <v>2.16</v>
      </c>
      <c r="N1477" s="19"/>
      <c r="P1477" s="592"/>
      <c r="Q1477" s="592"/>
      <c r="R1477" s="592"/>
      <c r="S1477" s="592"/>
      <c r="T1477" s="592"/>
      <c r="U1477" s="592"/>
      <c r="V1477" s="592"/>
      <c r="W1477" s="592"/>
      <c r="X1477" s="592"/>
    </row>
    <row r="1478" spans="1:66" ht="15" customHeight="1">
      <c r="A1478" s="32" t="s">
        <v>1597</v>
      </c>
      <c r="B1478" s="26" t="s">
        <v>119</v>
      </c>
      <c r="C1478" s="26" t="s">
        <v>1462</v>
      </c>
      <c r="D1478" s="709" t="s">
        <v>1539</v>
      </c>
      <c r="E1478" s="709"/>
      <c r="F1478" s="46" t="s">
        <v>2144</v>
      </c>
      <c r="G1478" s="46" t="s">
        <v>2144</v>
      </c>
      <c r="H1478" s="46" t="s">
        <v>2144</v>
      </c>
      <c r="I1478" s="17">
        <f>SUM(I1479:I1481)</f>
        <v>0</v>
      </c>
      <c r="J1478" s="17">
        <f>SUM(J1479:J1481)</f>
        <v>0</v>
      </c>
      <c r="K1478" s="17">
        <f>SUM(K1479:K1481)</f>
        <v>0</v>
      </c>
      <c r="L1478" s="7" t="s">
        <v>1597</v>
      </c>
      <c r="M1478" s="17">
        <f>SUM(M1479:M1481)</f>
        <v>6.4499999999999993</v>
      </c>
      <c r="N1478" s="20" t="s">
        <v>1597</v>
      </c>
      <c r="P1478" s="592"/>
      <c r="Q1478" s="592"/>
      <c r="R1478" s="592"/>
      <c r="S1478" s="592"/>
      <c r="T1478" s="592"/>
      <c r="U1478" s="592"/>
      <c r="V1478" s="592"/>
      <c r="W1478" s="592"/>
      <c r="X1478" s="592"/>
      <c r="AK1478" s="7" t="s">
        <v>119</v>
      </c>
      <c r="AU1478" s="17">
        <f>SUM(AL1479:AL1481)</f>
        <v>0</v>
      </c>
      <c r="AV1478" s="17">
        <f>SUM(AM1479:AM1481)</f>
        <v>0</v>
      </c>
      <c r="AW1478" s="17">
        <f>SUM(AN1479:AN1481)</f>
        <v>0</v>
      </c>
    </row>
    <row r="1479" spans="1:66" ht="15" customHeight="1">
      <c r="A1479" s="24" t="s">
        <v>957</v>
      </c>
      <c r="B1479" s="12" t="s">
        <v>119</v>
      </c>
      <c r="C1479" s="12" t="s">
        <v>2483</v>
      </c>
      <c r="D1479" s="630" t="s">
        <v>646</v>
      </c>
      <c r="E1479" s="630"/>
      <c r="F1479" s="12" t="s">
        <v>2274</v>
      </c>
      <c r="G1479" s="56">
        <v>10</v>
      </c>
      <c r="H1479" s="625"/>
      <c r="I1479" s="56">
        <f>G1479*AQ1479</f>
        <v>0</v>
      </c>
      <c r="J1479" s="56">
        <f>G1479*AR1479</f>
        <v>0</v>
      </c>
      <c r="K1479" s="56">
        <f>G1479*H1479</f>
        <v>0</v>
      </c>
      <c r="L1479" s="56">
        <v>0.215</v>
      </c>
      <c r="M1479" s="56">
        <f>G1479*L1479</f>
        <v>2.15</v>
      </c>
      <c r="N1479" s="31" t="s">
        <v>1579</v>
      </c>
      <c r="P1479" s="592"/>
      <c r="Q1479" s="592"/>
      <c r="R1479" s="592"/>
      <c r="S1479" s="592"/>
      <c r="T1479" s="592"/>
      <c r="U1479" s="592"/>
      <c r="V1479" s="592"/>
      <c r="W1479" s="592"/>
      <c r="X1479" s="592"/>
      <c r="AB1479" s="56">
        <f>IF(AS1479="5",BL1479,0)</f>
        <v>0</v>
      </c>
      <c r="AD1479" s="56">
        <f>IF(AS1479="1",BJ1479,0)</f>
        <v>0</v>
      </c>
      <c r="AE1479" s="56">
        <f>IF(AS1479="1",BK1479,0)</f>
        <v>0</v>
      </c>
      <c r="AF1479" s="56">
        <f>IF(AS1479="7",BJ1479,0)</f>
        <v>0</v>
      </c>
      <c r="AG1479" s="56">
        <f>IF(AS1479="7",BK1479,0)</f>
        <v>0</v>
      </c>
      <c r="AH1479" s="56">
        <f>IF(AS1479="2",BJ1479,0)</f>
        <v>0</v>
      </c>
      <c r="AI1479" s="56">
        <f>IF(AS1479="2",BK1479,0)</f>
        <v>0</v>
      </c>
      <c r="AJ1479" s="56">
        <f>IF(AS1479="0",BL1479,0)</f>
        <v>0</v>
      </c>
      <c r="AK1479" s="7" t="s">
        <v>119</v>
      </c>
      <c r="AL1479" s="56">
        <f>IF(AP1479=0,K1479,0)</f>
        <v>0</v>
      </c>
      <c r="AM1479" s="56">
        <f>IF(AP1479=15,K1479,0)</f>
        <v>0</v>
      </c>
      <c r="AN1479" s="56">
        <f>IF(AP1479=21,K1479,0)</f>
        <v>0</v>
      </c>
      <c r="AP1479" s="56">
        <v>21</v>
      </c>
      <c r="AQ1479" s="88">
        <f>H1479*0.783663904929283</f>
        <v>0</v>
      </c>
      <c r="AR1479" s="88">
        <f>H1479*(1-0.783663904929283)</f>
        <v>0</v>
      </c>
      <c r="AS1479" s="21" t="s">
        <v>2297</v>
      </c>
      <c r="AX1479" s="56">
        <f>AY1479+AZ1479</f>
        <v>0</v>
      </c>
      <c r="AY1479" s="56">
        <f>G1479*AQ1479</f>
        <v>0</v>
      </c>
      <c r="AZ1479" s="56">
        <f>G1479*AR1479</f>
        <v>0</v>
      </c>
      <c r="BA1479" s="21" t="s">
        <v>2436</v>
      </c>
      <c r="BB1479" s="21" t="s">
        <v>1826</v>
      </c>
      <c r="BC1479" s="7" t="s">
        <v>307</v>
      </c>
      <c r="BE1479" s="56">
        <f>AY1479+AZ1479</f>
        <v>0</v>
      </c>
      <c r="BF1479" s="56">
        <f>H1479/(100-BG1479)*100</f>
        <v>0</v>
      </c>
      <c r="BG1479" s="56">
        <v>0</v>
      </c>
      <c r="BH1479" s="56">
        <f>M1479</f>
        <v>2.15</v>
      </c>
      <c r="BJ1479" s="56">
        <f>G1479*AQ1479</f>
        <v>0</v>
      </c>
      <c r="BK1479" s="56">
        <f>G1479*AR1479</f>
        <v>0</v>
      </c>
      <c r="BL1479" s="56">
        <f>G1479*H1479</f>
        <v>0</v>
      </c>
      <c r="BM1479" s="56"/>
      <c r="BN1479" s="56">
        <v>56</v>
      </c>
    </row>
    <row r="1480" spans="1:66" ht="15" customHeight="1">
      <c r="A1480" s="36"/>
      <c r="D1480" s="45" t="s">
        <v>1346</v>
      </c>
      <c r="E1480" s="104" t="s">
        <v>1597</v>
      </c>
      <c r="G1480" s="13">
        <v>10</v>
      </c>
      <c r="N1480" s="19"/>
      <c r="P1480" s="592"/>
      <c r="Q1480" s="592"/>
      <c r="R1480" s="592"/>
      <c r="S1480" s="592"/>
      <c r="T1480" s="592"/>
      <c r="U1480" s="592"/>
      <c r="V1480" s="592"/>
      <c r="W1480" s="592"/>
      <c r="X1480" s="592"/>
    </row>
    <row r="1481" spans="1:66" ht="15" customHeight="1">
      <c r="A1481" s="24" t="s">
        <v>662</v>
      </c>
      <c r="B1481" s="12" t="s">
        <v>119</v>
      </c>
      <c r="C1481" s="12" t="s">
        <v>130</v>
      </c>
      <c r="D1481" s="630" t="s">
        <v>925</v>
      </c>
      <c r="E1481" s="630"/>
      <c r="F1481" s="12" t="s">
        <v>2274</v>
      </c>
      <c r="G1481" s="56">
        <v>10</v>
      </c>
      <c r="H1481" s="625"/>
      <c r="I1481" s="56">
        <f>G1481*AQ1481</f>
        <v>0</v>
      </c>
      <c r="J1481" s="56">
        <f>G1481*AR1481</f>
        <v>0</v>
      </c>
      <c r="K1481" s="56">
        <f>G1481*H1481</f>
        <v>0</v>
      </c>
      <c r="L1481" s="56">
        <v>0.43</v>
      </c>
      <c r="M1481" s="56">
        <f>G1481*L1481</f>
        <v>4.3</v>
      </c>
      <c r="N1481" s="31" t="s">
        <v>1579</v>
      </c>
      <c r="P1481" s="592"/>
      <c r="Q1481" s="592"/>
      <c r="R1481" s="592"/>
      <c r="S1481" s="592"/>
      <c r="T1481" s="592"/>
      <c r="U1481" s="592"/>
      <c r="V1481" s="592"/>
      <c r="W1481" s="592"/>
      <c r="X1481" s="592"/>
      <c r="AB1481" s="56">
        <f>IF(AS1481="5",BL1481,0)</f>
        <v>0</v>
      </c>
      <c r="AD1481" s="56">
        <f>IF(AS1481="1",BJ1481,0)</f>
        <v>0</v>
      </c>
      <c r="AE1481" s="56">
        <f>IF(AS1481="1",BK1481,0)</f>
        <v>0</v>
      </c>
      <c r="AF1481" s="56">
        <f>IF(AS1481="7",BJ1481,0)</f>
        <v>0</v>
      </c>
      <c r="AG1481" s="56">
        <f>IF(AS1481="7",BK1481,0)</f>
        <v>0</v>
      </c>
      <c r="AH1481" s="56">
        <f>IF(AS1481="2",BJ1481,0)</f>
        <v>0</v>
      </c>
      <c r="AI1481" s="56">
        <f>IF(AS1481="2",BK1481,0)</f>
        <v>0</v>
      </c>
      <c r="AJ1481" s="56">
        <f>IF(AS1481="0",BL1481,0)</f>
        <v>0</v>
      </c>
      <c r="AK1481" s="7" t="s">
        <v>119</v>
      </c>
      <c r="AL1481" s="56">
        <f>IF(AP1481=0,K1481,0)</f>
        <v>0</v>
      </c>
      <c r="AM1481" s="56">
        <f>IF(AP1481=15,K1481,0)</f>
        <v>0</v>
      </c>
      <c r="AN1481" s="56">
        <f>IF(AP1481=21,K1481,0)</f>
        <v>0</v>
      </c>
      <c r="AP1481" s="56">
        <v>21</v>
      </c>
      <c r="AQ1481" s="88">
        <f>H1481*0.880467207260199</f>
        <v>0</v>
      </c>
      <c r="AR1481" s="88">
        <f>H1481*(1-0.880467207260199)</f>
        <v>0</v>
      </c>
      <c r="AS1481" s="21" t="s">
        <v>2297</v>
      </c>
      <c r="AX1481" s="56">
        <f>AY1481+AZ1481</f>
        <v>0</v>
      </c>
      <c r="AY1481" s="56">
        <f>G1481*AQ1481</f>
        <v>0</v>
      </c>
      <c r="AZ1481" s="56">
        <f>G1481*AR1481</f>
        <v>0</v>
      </c>
      <c r="BA1481" s="21" t="s">
        <v>2436</v>
      </c>
      <c r="BB1481" s="21" t="s">
        <v>1826</v>
      </c>
      <c r="BC1481" s="7" t="s">
        <v>307</v>
      </c>
      <c r="BE1481" s="56">
        <f>AY1481+AZ1481</f>
        <v>0</v>
      </c>
      <c r="BF1481" s="56">
        <f>H1481/(100-BG1481)*100</f>
        <v>0</v>
      </c>
      <c r="BG1481" s="56">
        <v>0</v>
      </c>
      <c r="BH1481" s="56">
        <f>M1481</f>
        <v>4.3</v>
      </c>
      <c r="BJ1481" s="56">
        <f>G1481*AQ1481</f>
        <v>0</v>
      </c>
      <c r="BK1481" s="56">
        <f>G1481*AR1481</f>
        <v>0</v>
      </c>
      <c r="BL1481" s="56">
        <f>G1481*H1481</f>
        <v>0</v>
      </c>
      <c r="BM1481" s="56"/>
      <c r="BN1481" s="56">
        <v>56</v>
      </c>
    </row>
    <row r="1482" spans="1:66" ht="15" customHeight="1">
      <c r="A1482" s="36"/>
      <c r="D1482" s="45" t="s">
        <v>1346</v>
      </c>
      <c r="E1482" s="104" t="s">
        <v>1597</v>
      </c>
      <c r="G1482" s="13">
        <v>10</v>
      </c>
      <c r="N1482" s="19"/>
      <c r="P1482" s="592"/>
      <c r="Q1482" s="592"/>
      <c r="R1482" s="592"/>
      <c r="S1482" s="592"/>
      <c r="T1482" s="592"/>
      <c r="U1482" s="592"/>
      <c r="V1482" s="592"/>
      <c r="W1482" s="592"/>
      <c r="X1482" s="592"/>
    </row>
    <row r="1483" spans="1:66" ht="15" customHeight="1">
      <c r="A1483" s="32" t="s">
        <v>1597</v>
      </c>
      <c r="B1483" s="26" t="s">
        <v>119</v>
      </c>
      <c r="C1483" s="26" t="s">
        <v>2195</v>
      </c>
      <c r="D1483" s="709" t="s">
        <v>1174</v>
      </c>
      <c r="E1483" s="709"/>
      <c r="F1483" s="46" t="s">
        <v>2144</v>
      </c>
      <c r="G1483" s="46" t="s">
        <v>2144</v>
      </c>
      <c r="H1483" s="46" t="s">
        <v>2144</v>
      </c>
      <c r="I1483" s="17">
        <f>SUM(I1484:I1488)</f>
        <v>0</v>
      </c>
      <c r="J1483" s="17">
        <f>SUM(J1484:J1488)</f>
        <v>0</v>
      </c>
      <c r="K1483" s="17">
        <f>SUM(K1484:K1488)</f>
        <v>0</v>
      </c>
      <c r="L1483" s="7" t="s">
        <v>1597</v>
      </c>
      <c r="M1483" s="17">
        <f>SUM(M1484:M1488)</f>
        <v>7.0271999999999997</v>
      </c>
      <c r="N1483" s="20" t="s">
        <v>1597</v>
      </c>
      <c r="P1483" s="592"/>
      <c r="Q1483" s="592"/>
      <c r="R1483" s="592"/>
      <c r="S1483" s="592"/>
      <c r="T1483" s="592"/>
      <c r="U1483" s="592"/>
      <c r="V1483" s="592"/>
      <c r="W1483" s="592"/>
      <c r="X1483" s="592"/>
      <c r="AK1483" s="7" t="s">
        <v>119</v>
      </c>
      <c r="AU1483" s="17">
        <f>SUM(AL1484:AL1488)</f>
        <v>0</v>
      </c>
      <c r="AV1483" s="17">
        <f>SUM(AM1484:AM1488)</f>
        <v>0</v>
      </c>
      <c r="AW1483" s="17">
        <f>SUM(AN1484:AN1488)</f>
        <v>0</v>
      </c>
    </row>
    <row r="1484" spans="1:66" ht="15" customHeight="1">
      <c r="A1484" s="24" t="s">
        <v>162</v>
      </c>
      <c r="B1484" s="12" t="s">
        <v>119</v>
      </c>
      <c r="C1484" s="12" t="s">
        <v>1111</v>
      </c>
      <c r="D1484" s="630" t="s">
        <v>433</v>
      </c>
      <c r="E1484" s="630"/>
      <c r="F1484" s="12" t="s">
        <v>2274</v>
      </c>
      <c r="G1484" s="56">
        <v>15</v>
      </c>
      <c r="H1484" s="625"/>
      <c r="I1484" s="56">
        <f>G1484*AQ1484</f>
        <v>0</v>
      </c>
      <c r="J1484" s="56">
        <f>G1484*AR1484</f>
        <v>0</v>
      </c>
      <c r="K1484" s="56">
        <f>G1484*H1484</f>
        <v>0</v>
      </c>
      <c r="L1484" s="56">
        <v>0.18151999999999999</v>
      </c>
      <c r="M1484" s="56">
        <f>G1484*L1484</f>
        <v>2.7227999999999999</v>
      </c>
      <c r="N1484" s="31" t="s">
        <v>1579</v>
      </c>
      <c r="P1484" s="592"/>
      <c r="Q1484" s="592"/>
      <c r="R1484" s="592"/>
      <c r="S1484" s="592"/>
      <c r="T1484" s="592"/>
      <c r="U1484" s="592"/>
      <c r="V1484" s="592"/>
      <c r="W1484" s="592"/>
      <c r="X1484" s="592"/>
      <c r="AB1484" s="56">
        <f>IF(AS1484="5",BL1484,0)</f>
        <v>0</v>
      </c>
      <c r="AD1484" s="56">
        <f>IF(AS1484="1",BJ1484,0)</f>
        <v>0</v>
      </c>
      <c r="AE1484" s="56">
        <f>IF(AS1484="1",BK1484,0)</f>
        <v>0</v>
      </c>
      <c r="AF1484" s="56">
        <f>IF(AS1484="7",BJ1484,0)</f>
        <v>0</v>
      </c>
      <c r="AG1484" s="56">
        <f>IF(AS1484="7",BK1484,0)</f>
        <v>0</v>
      </c>
      <c r="AH1484" s="56">
        <f>IF(AS1484="2",BJ1484,0)</f>
        <v>0</v>
      </c>
      <c r="AI1484" s="56">
        <f>IF(AS1484="2",BK1484,0)</f>
        <v>0</v>
      </c>
      <c r="AJ1484" s="56">
        <f>IF(AS1484="0",BL1484,0)</f>
        <v>0</v>
      </c>
      <c r="AK1484" s="7" t="s">
        <v>119</v>
      </c>
      <c r="AL1484" s="56">
        <f>IF(AP1484=0,K1484,0)</f>
        <v>0</v>
      </c>
      <c r="AM1484" s="56">
        <f>IF(AP1484=15,K1484,0)</f>
        <v>0</v>
      </c>
      <c r="AN1484" s="56">
        <f>IF(AP1484=21,K1484,0)</f>
        <v>0</v>
      </c>
      <c r="AP1484" s="56">
        <v>21</v>
      </c>
      <c r="AQ1484" s="88">
        <f>H1484*0.602332808058792</f>
        <v>0</v>
      </c>
      <c r="AR1484" s="88">
        <f>H1484*(1-0.602332808058792)</f>
        <v>0</v>
      </c>
      <c r="AS1484" s="21" t="s">
        <v>2297</v>
      </c>
      <c r="AX1484" s="56">
        <f>AY1484+AZ1484</f>
        <v>0</v>
      </c>
      <c r="AY1484" s="56">
        <f>G1484*AQ1484</f>
        <v>0</v>
      </c>
      <c r="AZ1484" s="56">
        <f>G1484*AR1484</f>
        <v>0</v>
      </c>
      <c r="BA1484" s="21" t="s">
        <v>924</v>
      </c>
      <c r="BB1484" s="21" t="s">
        <v>1826</v>
      </c>
      <c r="BC1484" s="7" t="s">
        <v>307</v>
      </c>
      <c r="BE1484" s="56">
        <f>AY1484+AZ1484</f>
        <v>0</v>
      </c>
      <c r="BF1484" s="56">
        <f>H1484/(100-BG1484)*100</f>
        <v>0</v>
      </c>
      <c r="BG1484" s="56">
        <v>0</v>
      </c>
      <c r="BH1484" s="56">
        <f>M1484</f>
        <v>2.7227999999999999</v>
      </c>
      <c r="BJ1484" s="56">
        <f>G1484*AQ1484</f>
        <v>0</v>
      </c>
      <c r="BK1484" s="56">
        <f>G1484*AR1484</f>
        <v>0</v>
      </c>
      <c r="BL1484" s="56">
        <f>G1484*H1484</f>
        <v>0</v>
      </c>
      <c r="BM1484" s="56"/>
      <c r="BN1484" s="56">
        <v>57</v>
      </c>
    </row>
    <row r="1485" spans="1:66" ht="15" customHeight="1">
      <c r="A1485" s="36"/>
      <c r="D1485" s="45" t="s">
        <v>908</v>
      </c>
      <c r="E1485" s="104" t="s">
        <v>1597</v>
      </c>
      <c r="G1485" s="13">
        <v>15.000000000000002</v>
      </c>
      <c r="N1485" s="19"/>
      <c r="P1485" s="592"/>
      <c r="Q1485" s="592"/>
      <c r="R1485" s="592"/>
      <c r="S1485" s="592"/>
      <c r="T1485" s="592"/>
      <c r="U1485" s="592"/>
      <c r="V1485" s="592"/>
      <c r="W1485" s="592"/>
      <c r="X1485" s="592"/>
    </row>
    <row r="1486" spans="1:66" ht="15" customHeight="1">
      <c r="A1486" s="24" t="s">
        <v>384</v>
      </c>
      <c r="B1486" s="12" t="s">
        <v>119</v>
      </c>
      <c r="C1486" s="12" t="s">
        <v>2636</v>
      </c>
      <c r="D1486" s="630" t="s">
        <v>1418</v>
      </c>
      <c r="E1486" s="630"/>
      <c r="F1486" s="12" t="s">
        <v>2274</v>
      </c>
      <c r="G1486" s="56">
        <v>15</v>
      </c>
      <c r="H1486" s="625"/>
      <c r="I1486" s="56">
        <f>G1486*AQ1486</f>
        <v>0</v>
      </c>
      <c r="J1486" s="56">
        <f>G1486*AR1486</f>
        <v>0</v>
      </c>
      <c r="K1486" s="56">
        <f>G1486*H1486</f>
        <v>0</v>
      </c>
      <c r="L1486" s="56">
        <v>0.12966</v>
      </c>
      <c r="M1486" s="56">
        <f>G1486*L1486</f>
        <v>1.9449000000000001</v>
      </c>
      <c r="N1486" s="31" t="s">
        <v>1579</v>
      </c>
      <c r="P1486" s="592"/>
      <c r="Q1486" s="592"/>
      <c r="R1486" s="592"/>
      <c r="S1486" s="592"/>
      <c r="T1486" s="592"/>
      <c r="U1486" s="592"/>
      <c r="V1486" s="592"/>
      <c r="W1486" s="592"/>
      <c r="X1486" s="592"/>
      <c r="AB1486" s="56">
        <f>IF(AS1486="5",BL1486,0)</f>
        <v>0</v>
      </c>
      <c r="AD1486" s="56">
        <f>IF(AS1486="1",BJ1486,0)</f>
        <v>0</v>
      </c>
      <c r="AE1486" s="56">
        <f>IF(AS1486="1",BK1486,0)</f>
        <v>0</v>
      </c>
      <c r="AF1486" s="56">
        <f>IF(AS1486="7",BJ1486,0)</f>
        <v>0</v>
      </c>
      <c r="AG1486" s="56">
        <f>IF(AS1486="7",BK1486,0)</f>
        <v>0</v>
      </c>
      <c r="AH1486" s="56">
        <f>IF(AS1486="2",BJ1486,0)</f>
        <v>0</v>
      </c>
      <c r="AI1486" s="56">
        <f>IF(AS1486="2",BK1486,0)</f>
        <v>0</v>
      </c>
      <c r="AJ1486" s="56">
        <f>IF(AS1486="0",BL1486,0)</f>
        <v>0</v>
      </c>
      <c r="AK1486" s="7" t="s">
        <v>119</v>
      </c>
      <c r="AL1486" s="56">
        <f>IF(AP1486=0,K1486,0)</f>
        <v>0</v>
      </c>
      <c r="AM1486" s="56">
        <f>IF(AP1486=15,K1486,0)</f>
        <v>0</v>
      </c>
      <c r="AN1486" s="56">
        <f>IF(AP1486=21,K1486,0)</f>
        <v>0</v>
      </c>
      <c r="AP1486" s="56">
        <v>21</v>
      </c>
      <c r="AQ1486" s="88">
        <f>H1486*0.602011952191235</f>
        <v>0</v>
      </c>
      <c r="AR1486" s="88">
        <f>H1486*(1-0.602011952191235)</f>
        <v>0</v>
      </c>
      <c r="AS1486" s="21" t="s">
        <v>2297</v>
      </c>
      <c r="AX1486" s="56">
        <f>AY1486+AZ1486</f>
        <v>0</v>
      </c>
      <c r="AY1486" s="56">
        <f>G1486*AQ1486</f>
        <v>0</v>
      </c>
      <c r="AZ1486" s="56">
        <f>G1486*AR1486</f>
        <v>0</v>
      </c>
      <c r="BA1486" s="21" t="s">
        <v>924</v>
      </c>
      <c r="BB1486" s="21" t="s">
        <v>1826</v>
      </c>
      <c r="BC1486" s="7" t="s">
        <v>307</v>
      </c>
      <c r="BE1486" s="56">
        <f>AY1486+AZ1486</f>
        <v>0</v>
      </c>
      <c r="BF1486" s="56">
        <f>H1486/(100-BG1486)*100</f>
        <v>0</v>
      </c>
      <c r="BG1486" s="56">
        <v>0</v>
      </c>
      <c r="BH1486" s="56">
        <f>M1486</f>
        <v>1.9449000000000001</v>
      </c>
      <c r="BJ1486" s="56">
        <f>G1486*AQ1486</f>
        <v>0</v>
      </c>
      <c r="BK1486" s="56">
        <f>G1486*AR1486</f>
        <v>0</v>
      </c>
      <c r="BL1486" s="56">
        <f>G1486*H1486</f>
        <v>0</v>
      </c>
      <c r="BM1486" s="56"/>
      <c r="BN1486" s="56">
        <v>57</v>
      </c>
    </row>
    <row r="1487" spans="1:66" ht="15" customHeight="1">
      <c r="A1487" s="36"/>
      <c r="D1487" s="45" t="s">
        <v>908</v>
      </c>
      <c r="E1487" s="104" t="s">
        <v>1597</v>
      </c>
      <c r="G1487" s="13">
        <v>15.000000000000002</v>
      </c>
      <c r="N1487" s="19"/>
      <c r="P1487" s="592"/>
      <c r="Q1487" s="592"/>
      <c r="R1487" s="592"/>
      <c r="S1487" s="592"/>
      <c r="T1487" s="592"/>
      <c r="U1487" s="592"/>
      <c r="V1487" s="592"/>
      <c r="W1487" s="592"/>
      <c r="X1487" s="592"/>
    </row>
    <row r="1488" spans="1:66" ht="15" customHeight="1">
      <c r="A1488" s="24" t="s">
        <v>14</v>
      </c>
      <c r="B1488" s="12" t="s">
        <v>119</v>
      </c>
      <c r="C1488" s="12" t="s">
        <v>830</v>
      </c>
      <c r="D1488" s="630" t="s">
        <v>2097</v>
      </c>
      <c r="E1488" s="630"/>
      <c r="F1488" s="12" t="s">
        <v>2274</v>
      </c>
      <c r="G1488" s="56">
        <v>13</v>
      </c>
      <c r="H1488" s="625"/>
      <c r="I1488" s="56">
        <f>G1488*AQ1488</f>
        <v>0</v>
      </c>
      <c r="J1488" s="56">
        <f>G1488*AR1488</f>
        <v>0</v>
      </c>
      <c r="K1488" s="56">
        <f>G1488*H1488</f>
        <v>0</v>
      </c>
      <c r="L1488" s="56">
        <v>0.18149999999999999</v>
      </c>
      <c r="M1488" s="56">
        <f>G1488*L1488</f>
        <v>2.3594999999999997</v>
      </c>
      <c r="N1488" s="31" t="s">
        <v>1579</v>
      </c>
      <c r="P1488" s="592"/>
      <c r="Q1488" s="592"/>
      <c r="R1488" s="592"/>
      <c r="S1488" s="592"/>
      <c r="T1488" s="592"/>
      <c r="U1488" s="592"/>
      <c r="V1488" s="592"/>
      <c r="W1488" s="592"/>
      <c r="X1488" s="592"/>
      <c r="AB1488" s="56">
        <f>IF(AS1488="5",BL1488,0)</f>
        <v>0</v>
      </c>
      <c r="AD1488" s="56">
        <f>IF(AS1488="1",BJ1488,0)</f>
        <v>0</v>
      </c>
      <c r="AE1488" s="56">
        <f>IF(AS1488="1",BK1488,0)</f>
        <v>0</v>
      </c>
      <c r="AF1488" s="56">
        <f>IF(AS1488="7",BJ1488,0)</f>
        <v>0</v>
      </c>
      <c r="AG1488" s="56">
        <f>IF(AS1488="7",BK1488,0)</f>
        <v>0</v>
      </c>
      <c r="AH1488" s="56">
        <f>IF(AS1488="2",BJ1488,0)</f>
        <v>0</v>
      </c>
      <c r="AI1488" s="56">
        <f>IF(AS1488="2",BK1488,0)</f>
        <v>0</v>
      </c>
      <c r="AJ1488" s="56">
        <f>IF(AS1488="0",BL1488,0)</f>
        <v>0</v>
      </c>
      <c r="AK1488" s="7" t="s">
        <v>119</v>
      </c>
      <c r="AL1488" s="56">
        <f>IF(AP1488=0,K1488,0)</f>
        <v>0</v>
      </c>
      <c r="AM1488" s="56">
        <f>IF(AP1488=15,K1488,0)</f>
        <v>0</v>
      </c>
      <c r="AN1488" s="56">
        <f>IF(AP1488=21,K1488,0)</f>
        <v>0</v>
      </c>
      <c r="AP1488" s="56">
        <v>21</v>
      </c>
      <c r="AQ1488" s="88">
        <f>H1488*0.287402135231317</f>
        <v>0</v>
      </c>
      <c r="AR1488" s="88">
        <f>H1488*(1-0.287402135231317)</f>
        <v>0</v>
      </c>
      <c r="AS1488" s="21" t="s">
        <v>2297</v>
      </c>
      <c r="AX1488" s="56">
        <f>AY1488+AZ1488</f>
        <v>0</v>
      </c>
      <c r="AY1488" s="56">
        <f>G1488*AQ1488</f>
        <v>0</v>
      </c>
      <c r="AZ1488" s="56">
        <f>G1488*AR1488</f>
        <v>0</v>
      </c>
      <c r="BA1488" s="21" t="s">
        <v>924</v>
      </c>
      <c r="BB1488" s="21" t="s">
        <v>1826</v>
      </c>
      <c r="BC1488" s="7" t="s">
        <v>307</v>
      </c>
      <c r="BE1488" s="56">
        <f>AY1488+AZ1488</f>
        <v>0</v>
      </c>
      <c r="BF1488" s="56">
        <f>H1488/(100-BG1488)*100</f>
        <v>0</v>
      </c>
      <c r="BG1488" s="56">
        <v>0</v>
      </c>
      <c r="BH1488" s="56">
        <f>M1488</f>
        <v>2.3594999999999997</v>
      </c>
      <c r="BJ1488" s="56">
        <f>G1488*AQ1488</f>
        <v>0</v>
      </c>
      <c r="BK1488" s="56">
        <f>G1488*AR1488</f>
        <v>0</v>
      </c>
      <c r="BL1488" s="56">
        <f>G1488*H1488</f>
        <v>0</v>
      </c>
      <c r="BM1488" s="56"/>
      <c r="BN1488" s="56">
        <v>57</v>
      </c>
    </row>
    <row r="1489" spans="1:66" ht="15" customHeight="1">
      <c r="A1489" s="36"/>
      <c r="D1489" s="45" t="s">
        <v>668</v>
      </c>
      <c r="E1489" s="104" t="s">
        <v>947</v>
      </c>
      <c r="G1489" s="13">
        <v>13.000000000000002</v>
      </c>
      <c r="N1489" s="19"/>
      <c r="P1489" s="592"/>
      <c r="Q1489" s="592"/>
      <c r="R1489" s="592"/>
      <c r="S1489" s="592"/>
      <c r="T1489" s="592"/>
      <c r="U1489" s="592"/>
      <c r="V1489" s="592"/>
      <c r="W1489" s="592"/>
      <c r="X1489" s="592"/>
    </row>
    <row r="1490" spans="1:66" ht="15" customHeight="1">
      <c r="A1490" s="32" t="s">
        <v>1597</v>
      </c>
      <c r="B1490" s="26" t="s">
        <v>119</v>
      </c>
      <c r="C1490" s="26" t="s">
        <v>2093</v>
      </c>
      <c r="D1490" s="709" t="s">
        <v>1425</v>
      </c>
      <c r="E1490" s="709"/>
      <c r="F1490" s="46" t="s">
        <v>2144</v>
      </c>
      <c r="G1490" s="46" t="s">
        <v>2144</v>
      </c>
      <c r="H1490" s="46" t="s">
        <v>2144</v>
      </c>
      <c r="I1490" s="17">
        <f>SUM(I1491:I1493)</f>
        <v>0</v>
      </c>
      <c r="J1490" s="17">
        <f>SUM(J1491:J1493)</f>
        <v>0</v>
      </c>
      <c r="K1490" s="17">
        <f>SUM(K1491:K1493)</f>
        <v>0</v>
      </c>
      <c r="L1490" s="7" t="s">
        <v>1597</v>
      </c>
      <c r="M1490" s="17">
        <f>SUM(M1491:M1493)</f>
        <v>1.711E-2</v>
      </c>
      <c r="N1490" s="20" t="s">
        <v>1597</v>
      </c>
      <c r="P1490" s="592"/>
      <c r="Q1490" s="592"/>
      <c r="R1490" s="592"/>
      <c r="S1490" s="592"/>
      <c r="T1490" s="592"/>
      <c r="U1490" s="592"/>
      <c r="V1490" s="592"/>
      <c r="W1490" s="592"/>
      <c r="X1490" s="592"/>
      <c r="AK1490" s="7" t="s">
        <v>119</v>
      </c>
      <c r="AU1490" s="17">
        <f>SUM(AL1491:AL1493)</f>
        <v>0</v>
      </c>
      <c r="AV1490" s="17">
        <f>SUM(AM1491:AM1493)</f>
        <v>0</v>
      </c>
      <c r="AW1490" s="17">
        <f>SUM(AN1491:AN1493)</f>
        <v>0</v>
      </c>
    </row>
    <row r="1491" spans="1:66" ht="15" customHeight="1">
      <c r="A1491" s="24" t="s">
        <v>2408</v>
      </c>
      <c r="B1491" s="12" t="s">
        <v>119</v>
      </c>
      <c r="C1491" s="12" t="s">
        <v>1215</v>
      </c>
      <c r="D1491" s="630" t="s">
        <v>2191</v>
      </c>
      <c r="E1491" s="630"/>
      <c r="F1491" s="12" t="s">
        <v>564</v>
      </c>
      <c r="G1491" s="56">
        <v>1</v>
      </c>
      <c r="H1491" s="625"/>
      <c r="I1491" s="56">
        <f>G1491*AQ1491</f>
        <v>0</v>
      </c>
      <c r="J1491" s="56">
        <f>G1491*AR1491</f>
        <v>0</v>
      </c>
      <c r="K1491" s="56">
        <f>G1491*H1491</f>
        <v>0</v>
      </c>
      <c r="L1491" s="56">
        <v>1.6000000000000001E-3</v>
      </c>
      <c r="M1491" s="56">
        <f>G1491*L1491</f>
        <v>1.6000000000000001E-3</v>
      </c>
      <c r="N1491" s="31" t="s">
        <v>1579</v>
      </c>
      <c r="P1491" s="592"/>
      <c r="Q1491" s="592"/>
      <c r="R1491" s="592"/>
      <c r="S1491" s="592"/>
      <c r="T1491" s="592"/>
      <c r="U1491" s="592"/>
      <c r="V1491" s="592"/>
      <c r="W1491" s="592"/>
      <c r="X1491" s="592"/>
      <c r="AB1491" s="56">
        <f>IF(AS1491="5",BL1491,0)</f>
        <v>0</v>
      </c>
      <c r="AD1491" s="56">
        <f>IF(AS1491="1",BJ1491,0)</f>
        <v>0</v>
      </c>
      <c r="AE1491" s="56">
        <f>IF(AS1491="1",BK1491,0)</f>
        <v>0</v>
      </c>
      <c r="AF1491" s="56">
        <f>IF(AS1491="7",BJ1491,0)</f>
        <v>0</v>
      </c>
      <c r="AG1491" s="56">
        <f>IF(AS1491="7",BK1491,0)</f>
        <v>0</v>
      </c>
      <c r="AH1491" s="56">
        <f>IF(AS1491="2",BJ1491,0)</f>
        <v>0</v>
      </c>
      <c r="AI1491" s="56">
        <f>IF(AS1491="2",BK1491,0)</f>
        <v>0</v>
      </c>
      <c r="AJ1491" s="56">
        <f>IF(AS1491="0",BL1491,0)</f>
        <v>0</v>
      </c>
      <c r="AK1491" s="7" t="s">
        <v>119</v>
      </c>
      <c r="AL1491" s="56">
        <f>IF(AP1491=0,K1491,0)</f>
        <v>0</v>
      </c>
      <c r="AM1491" s="56">
        <f>IF(AP1491=15,K1491,0)</f>
        <v>0</v>
      </c>
      <c r="AN1491" s="56">
        <f>IF(AP1491=21,K1491,0)</f>
        <v>0</v>
      </c>
      <c r="AP1491" s="56">
        <v>21</v>
      </c>
      <c r="AQ1491" s="88">
        <f>H1491*0.975291899441341</f>
        <v>0</v>
      </c>
      <c r="AR1491" s="88">
        <f>H1491*(1-0.975291899441341)</f>
        <v>0</v>
      </c>
      <c r="AS1491" s="21" t="s">
        <v>2311</v>
      </c>
      <c r="AX1491" s="56">
        <f>AY1491+AZ1491</f>
        <v>0</v>
      </c>
      <c r="AY1491" s="56">
        <f>G1491*AQ1491</f>
        <v>0</v>
      </c>
      <c r="AZ1491" s="56">
        <f>G1491*AR1491</f>
        <v>0</v>
      </c>
      <c r="BA1491" s="21" t="s">
        <v>1464</v>
      </c>
      <c r="BB1491" s="21" t="s">
        <v>2646</v>
      </c>
      <c r="BC1491" s="7" t="s">
        <v>307</v>
      </c>
      <c r="BE1491" s="56">
        <f>AY1491+AZ1491</f>
        <v>0</v>
      </c>
      <c r="BF1491" s="56">
        <f>H1491/(100-BG1491)*100</f>
        <v>0</v>
      </c>
      <c r="BG1491" s="56">
        <v>0</v>
      </c>
      <c r="BH1491" s="56">
        <f>M1491</f>
        <v>1.6000000000000001E-3</v>
      </c>
      <c r="BJ1491" s="56">
        <f>G1491*AQ1491</f>
        <v>0</v>
      </c>
      <c r="BK1491" s="56">
        <f>G1491*AR1491</f>
        <v>0</v>
      </c>
      <c r="BL1491" s="56">
        <f>G1491*H1491</f>
        <v>0</v>
      </c>
      <c r="BM1491" s="56"/>
      <c r="BN1491" s="56">
        <v>722</v>
      </c>
    </row>
    <row r="1492" spans="1:66" ht="15" customHeight="1">
      <c r="A1492" s="36"/>
      <c r="D1492" s="45" t="s">
        <v>2297</v>
      </c>
      <c r="E1492" s="104" t="s">
        <v>1597</v>
      </c>
      <c r="G1492" s="13">
        <v>1</v>
      </c>
      <c r="N1492" s="19"/>
      <c r="P1492" s="592"/>
      <c r="Q1492" s="592"/>
      <c r="R1492" s="592"/>
      <c r="S1492" s="592"/>
      <c r="T1492" s="592"/>
      <c r="U1492" s="592"/>
      <c r="V1492" s="592"/>
      <c r="W1492" s="592"/>
      <c r="X1492" s="592"/>
    </row>
    <row r="1493" spans="1:66" ht="15" customHeight="1">
      <c r="A1493" s="24" t="s">
        <v>1067</v>
      </c>
      <c r="B1493" s="12" t="s">
        <v>119</v>
      </c>
      <c r="C1493" s="12" t="s">
        <v>731</v>
      </c>
      <c r="D1493" s="630" t="s">
        <v>444</v>
      </c>
      <c r="E1493" s="630"/>
      <c r="F1493" s="12" t="s">
        <v>564</v>
      </c>
      <c r="G1493" s="56">
        <v>1</v>
      </c>
      <c r="H1493" s="625"/>
      <c r="I1493" s="56">
        <f>G1493*AQ1493</f>
        <v>0</v>
      </c>
      <c r="J1493" s="56">
        <f>G1493*AR1493</f>
        <v>0</v>
      </c>
      <c r="K1493" s="56">
        <f>G1493*H1493</f>
        <v>0</v>
      </c>
      <c r="L1493" s="56">
        <v>1.5509999999999999E-2</v>
      </c>
      <c r="M1493" s="56">
        <f>G1493*L1493</f>
        <v>1.5509999999999999E-2</v>
      </c>
      <c r="N1493" s="31" t="s">
        <v>1579</v>
      </c>
      <c r="P1493" s="592"/>
      <c r="Q1493" s="592"/>
      <c r="R1493" s="592"/>
      <c r="S1493" s="592"/>
      <c r="T1493" s="592"/>
      <c r="U1493" s="592"/>
      <c r="V1493" s="592"/>
      <c r="W1493" s="592"/>
      <c r="X1493" s="592"/>
      <c r="AB1493" s="56">
        <f>IF(AS1493="5",BL1493,0)</f>
        <v>0</v>
      </c>
      <c r="AD1493" s="56">
        <f>IF(AS1493="1",BJ1493,0)</f>
        <v>0</v>
      </c>
      <c r="AE1493" s="56">
        <f>IF(AS1493="1",BK1493,0)</f>
        <v>0</v>
      </c>
      <c r="AF1493" s="56">
        <f>IF(AS1493="7",BJ1493,0)</f>
        <v>0</v>
      </c>
      <c r="AG1493" s="56">
        <f>IF(AS1493="7",BK1493,0)</f>
        <v>0</v>
      </c>
      <c r="AH1493" s="56">
        <f>IF(AS1493="2",BJ1493,0)</f>
        <v>0</v>
      </c>
      <c r="AI1493" s="56">
        <f>IF(AS1493="2",BK1493,0)</f>
        <v>0</v>
      </c>
      <c r="AJ1493" s="56">
        <f>IF(AS1493="0",BL1493,0)</f>
        <v>0</v>
      </c>
      <c r="AK1493" s="7" t="s">
        <v>119</v>
      </c>
      <c r="AL1493" s="56">
        <f>IF(AP1493=0,K1493,0)</f>
        <v>0</v>
      </c>
      <c r="AM1493" s="56">
        <f>IF(AP1493=15,K1493,0)</f>
        <v>0</v>
      </c>
      <c r="AN1493" s="56">
        <f>IF(AP1493=21,K1493,0)</f>
        <v>0</v>
      </c>
      <c r="AP1493" s="56">
        <v>21</v>
      </c>
      <c r="AQ1493" s="88">
        <f>H1493*0.94201096932413</f>
        <v>0</v>
      </c>
      <c r="AR1493" s="88">
        <f>H1493*(1-0.94201096932413)</f>
        <v>0</v>
      </c>
      <c r="AS1493" s="21" t="s">
        <v>2311</v>
      </c>
      <c r="AX1493" s="56">
        <f>AY1493+AZ1493</f>
        <v>0</v>
      </c>
      <c r="AY1493" s="56">
        <f>G1493*AQ1493</f>
        <v>0</v>
      </c>
      <c r="AZ1493" s="56">
        <f>G1493*AR1493</f>
        <v>0</v>
      </c>
      <c r="BA1493" s="21" t="s">
        <v>1464</v>
      </c>
      <c r="BB1493" s="21" t="s">
        <v>2646</v>
      </c>
      <c r="BC1493" s="7" t="s">
        <v>307</v>
      </c>
      <c r="BE1493" s="56">
        <f>AY1493+AZ1493</f>
        <v>0</v>
      </c>
      <c r="BF1493" s="56">
        <f>H1493/(100-BG1493)*100</f>
        <v>0</v>
      </c>
      <c r="BG1493" s="56">
        <v>0</v>
      </c>
      <c r="BH1493" s="56">
        <f>M1493</f>
        <v>1.5509999999999999E-2</v>
      </c>
      <c r="BJ1493" s="56">
        <f>G1493*AQ1493</f>
        <v>0</v>
      </c>
      <c r="BK1493" s="56">
        <f>G1493*AR1493</f>
        <v>0</v>
      </c>
      <c r="BL1493" s="56">
        <f>G1493*H1493</f>
        <v>0</v>
      </c>
      <c r="BM1493" s="56"/>
      <c r="BN1493" s="56">
        <v>722</v>
      </c>
    </row>
    <row r="1494" spans="1:66" ht="15" customHeight="1">
      <c r="A1494" s="36"/>
      <c r="D1494" s="45" t="s">
        <v>2297</v>
      </c>
      <c r="E1494" s="104" t="s">
        <v>1597</v>
      </c>
      <c r="G1494" s="13">
        <v>1</v>
      </c>
      <c r="N1494" s="19"/>
      <c r="P1494" s="592"/>
      <c r="Q1494" s="592"/>
      <c r="R1494" s="592"/>
      <c r="S1494" s="592"/>
      <c r="T1494" s="592"/>
      <c r="U1494" s="592"/>
      <c r="V1494" s="592"/>
      <c r="W1494" s="592"/>
      <c r="X1494" s="592"/>
    </row>
    <row r="1495" spans="1:66" ht="15" customHeight="1">
      <c r="A1495" s="32" t="s">
        <v>1597</v>
      </c>
      <c r="B1495" s="26" t="s">
        <v>119</v>
      </c>
      <c r="C1495" s="26" t="s">
        <v>102</v>
      </c>
      <c r="D1495" s="709" t="s">
        <v>179</v>
      </c>
      <c r="E1495" s="709"/>
      <c r="F1495" s="46" t="s">
        <v>2144</v>
      </c>
      <c r="G1495" s="46" t="s">
        <v>2144</v>
      </c>
      <c r="H1495" s="46" t="s">
        <v>2144</v>
      </c>
      <c r="I1495" s="17">
        <f>SUM(I1496:I1503)</f>
        <v>0</v>
      </c>
      <c r="J1495" s="17">
        <f>SUM(J1496:J1503)</f>
        <v>0</v>
      </c>
      <c r="K1495" s="17">
        <f>SUM(K1496:K1503)</f>
        <v>0</v>
      </c>
      <c r="L1495" s="7" t="s">
        <v>1597</v>
      </c>
      <c r="M1495" s="17">
        <f>SUM(M1496:M1503)</f>
        <v>3.1916E-2</v>
      </c>
      <c r="N1495" s="20" t="s">
        <v>1597</v>
      </c>
      <c r="P1495" s="592"/>
      <c r="Q1495" s="592"/>
      <c r="R1495" s="592"/>
      <c r="S1495" s="592"/>
      <c r="T1495" s="592"/>
      <c r="U1495" s="592"/>
      <c r="V1495" s="592"/>
      <c r="W1495" s="592"/>
      <c r="X1495" s="592"/>
      <c r="AK1495" s="7" t="s">
        <v>119</v>
      </c>
      <c r="AU1495" s="17">
        <f>SUM(AL1496:AL1503)</f>
        <v>0</v>
      </c>
      <c r="AV1495" s="17">
        <f>SUM(AM1496:AM1503)</f>
        <v>0</v>
      </c>
      <c r="AW1495" s="17">
        <f>SUM(AN1496:AN1503)</f>
        <v>0</v>
      </c>
    </row>
    <row r="1496" spans="1:66" ht="15" customHeight="1">
      <c r="A1496" s="24" t="s">
        <v>724</v>
      </c>
      <c r="B1496" s="12" t="s">
        <v>119</v>
      </c>
      <c r="C1496" s="12" t="s">
        <v>1367</v>
      </c>
      <c r="D1496" s="630" t="s">
        <v>2022</v>
      </c>
      <c r="E1496" s="630"/>
      <c r="F1496" s="12" t="s">
        <v>1923</v>
      </c>
      <c r="G1496" s="56">
        <v>18</v>
      </c>
      <c r="H1496" s="625"/>
      <c r="I1496" s="56">
        <f>G1496*AQ1496</f>
        <v>0</v>
      </c>
      <c r="J1496" s="56">
        <f>G1496*AR1496</f>
        <v>0</v>
      </c>
      <c r="K1496" s="56">
        <f>G1496*H1496</f>
        <v>0</v>
      </c>
      <c r="L1496" s="56">
        <v>0</v>
      </c>
      <c r="M1496" s="56">
        <f>G1496*L1496</f>
        <v>0</v>
      </c>
      <c r="N1496" s="31" t="s">
        <v>1579</v>
      </c>
      <c r="P1496" s="592"/>
      <c r="Q1496" s="592"/>
      <c r="R1496" s="592"/>
      <c r="S1496" s="592"/>
      <c r="T1496" s="592"/>
      <c r="U1496" s="592"/>
      <c r="V1496" s="592"/>
      <c r="W1496" s="592"/>
      <c r="X1496" s="592"/>
      <c r="AB1496" s="56">
        <f>IF(AS1496="5",BL1496,0)</f>
        <v>0</v>
      </c>
      <c r="AD1496" s="56">
        <f>IF(AS1496="1",BJ1496,0)</f>
        <v>0</v>
      </c>
      <c r="AE1496" s="56">
        <f>IF(AS1496="1",BK1496,0)</f>
        <v>0</v>
      </c>
      <c r="AF1496" s="56">
        <f>IF(AS1496="7",BJ1496,0)</f>
        <v>0</v>
      </c>
      <c r="AG1496" s="56">
        <f>IF(AS1496="7",BK1496,0)</f>
        <v>0</v>
      </c>
      <c r="AH1496" s="56">
        <f>IF(AS1496="2",BJ1496,0)</f>
        <v>0</v>
      </c>
      <c r="AI1496" s="56">
        <f>IF(AS1496="2",BK1496,0)</f>
        <v>0</v>
      </c>
      <c r="AJ1496" s="56">
        <f>IF(AS1496="0",BL1496,0)</f>
        <v>0</v>
      </c>
      <c r="AK1496" s="7" t="s">
        <v>119</v>
      </c>
      <c r="AL1496" s="56">
        <f>IF(AP1496=0,K1496,0)</f>
        <v>0</v>
      </c>
      <c r="AM1496" s="56">
        <f>IF(AP1496=15,K1496,0)</f>
        <v>0</v>
      </c>
      <c r="AN1496" s="56">
        <f>IF(AP1496=21,K1496,0)</f>
        <v>0</v>
      </c>
      <c r="AP1496" s="56">
        <v>21</v>
      </c>
      <c r="AQ1496" s="88">
        <f>H1496*0</f>
        <v>0</v>
      </c>
      <c r="AR1496" s="88">
        <f>H1496*(1-0)</f>
        <v>0</v>
      </c>
      <c r="AS1496" s="21" t="s">
        <v>2297</v>
      </c>
      <c r="AX1496" s="56">
        <f>AY1496+AZ1496</f>
        <v>0</v>
      </c>
      <c r="AY1496" s="56">
        <f>G1496*AQ1496</f>
        <v>0</v>
      </c>
      <c r="AZ1496" s="56">
        <f>G1496*AR1496</f>
        <v>0</v>
      </c>
      <c r="BA1496" s="21" t="s">
        <v>159</v>
      </c>
      <c r="BB1496" s="21" t="s">
        <v>592</v>
      </c>
      <c r="BC1496" s="7" t="s">
        <v>307</v>
      </c>
      <c r="BE1496" s="56">
        <f>AY1496+AZ1496</f>
        <v>0</v>
      </c>
      <c r="BF1496" s="56">
        <f>H1496/(100-BG1496)*100</f>
        <v>0</v>
      </c>
      <c r="BG1496" s="56">
        <v>0</v>
      </c>
      <c r="BH1496" s="56">
        <f>M1496</f>
        <v>0</v>
      </c>
      <c r="BJ1496" s="56">
        <f>G1496*AQ1496</f>
        <v>0</v>
      </c>
      <c r="BK1496" s="56">
        <f>G1496*AR1496</f>
        <v>0</v>
      </c>
      <c r="BL1496" s="56">
        <f>G1496*H1496</f>
        <v>0</v>
      </c>
      <c r="BM1496" s="56"/>
      <c r="BN1496" s="56">
        <v>87</v>
      </c>
    </row>
    <row r="1497" spans="1:66" ht="15" customHeight="1">
      <c r="A1497" s="36"/>
      <c r="D1497" s="45" t="s">
        <v>1846</v>
      </c>
      <c r="E1497" s="104" t="s">
        <v>1597</v>
      </c>
      <c r="G1497" s="13">
        <v>18</v>
      </c>
      <c r="N1497" s="19"/>
      <c r="P1497" s="592"/>
      <c r="Q1497" s="592"/>
      <c r="R1497" s="592"/>
      <c r="S1497" s="592"/>
      <c r="T1497" s="592"/>
      <c r="U1497" s="592"/>
      <c r="V1497" s="592"/>
      <c r="W1497" s="592"/>
      <c r="X1497" s="592"/>
    </row>
    <row r="1498" spans="1:66" ht="15" customHeight="1">
      <c r="A1498" s="8" t="s">
        <v>2002</v>
      </c>
      <c r="B1498" s="75" t="s">
        <v>119</v>
      </c>
      <c r="C1498" s="75" t="s">
        <v>137</v>
      </c>
      <c r="D1498" s="710" t="s">
        <v>1323</v>
      </c>
      <c r="E1498" s="710"/>
      <c r="F1498" s="75" t="s">
        <v>1923</v>
      </c>
      <c r="G1498" s="80">
        <v>19.8</v>
      </c>
      <c r="H1498" s="626"/>
      <c r="I1498" s="80">
        <f>G1498*AQ1498</f>
        <v>0</v>
      </c>
      <c r="J1498" s="80">
        <f>G1498*AR1498</f>
        <v>0</v>
      </c>
      <c r="K1498" s="80">
        <f>G1498*H1498</f>
        <v>0</v>
      </c>
      <c r="L1498" s="80">
        <v>1.47E-3</v>
      </c>
      <c r="M1498" s="80">
        <f>G1498*L1498</f>
        <v>2.9106E-2</v>
      </c>
      <c r="N1498" s="38" t="s">
        <v>1579</v>
      </c>
      <c r="P1498" s="592"/>
      <c r="Q1498" s="592"/>
      <c r="R1498" s="592"/>
      <c r="S1498" s="592"/>
      <c r="T1498" s="592"/>
      <c r="U1498" s="592"/>
      <c r="V1498" s="592"/>
      <c r="W1498" s="592"/>
      <c r="X1498" s="592"/>
      <c r="AB1498" s="56">
        <f>IF(AS1498="5",BL1498,0)</f>
        <v>0</v>
      </c>
      <c r="AD1498" s="56">
        <f>IF(AS1498="1",BJ1498,0)</f>
        <v>0</v>
      </c>
      <c r="AE1498" s="56">
        <f>IF(AS1498="1",BK1498,0)</f>
        <v>0</v>
      </c>
      <c r="AF1498" s="56">
        <f>IF(AS1498="7",BJ1498,0)</f>
        <v>0</v>
      </c>
      <c r="AG1498" s="56">
        <f>IF(AS1498="7",BK1498,0)</f>
        <v>0</v>
      </c>
      <c r="AH1498" s="56">
        <f>IF(AS1498="2",BJ1498,0)</f>
        <v>0</v>
      </c>
      <c r="AI1498" s="56">
        <f>IF(AS1498="2",BK1498,0)</f>
        <v>0</v>
      </c>
      <c r="AJ1498" s="56">
        <f>IF(AS1498="0",BL1498,0)</f>
        <v>0</v>
      </c>
      <c r="AK1498" s="7" t="s">
        <v>119</v>
      </c>
      <c r="AL1498" s="80">
        <f>IF(AP1498=0,K1498,0)</f>
        <v>0</v>
      </c>
      <c r="AM1498" s="80">
        <f>IF(AP1498=15,K1498,0)</f>
        <v>0</v>
      </c>
      <c r="AN1498" s="80">
        <f>IF(AP1498=21,K1498,0)</f>
        <v>0</v>
      </c>
      <c r="AP1498" s="56">
        <v>21</v>
      </c>
      <c r="AQ1498" s="88">
        <f>H1498*1</f>
        <v>0</v>
      </c>
      <c r="AR1498" s="88">
        <f>H1498*(1-1)</f>
        <v>0</v>
      </c>
      <c r="AS1498" s="64" t="s">
        <v>2297</v>
      </c>
      <c r="AX1498" s="56">
        <f>AY1498+AZ1498</f>
        <v>0</v>
      </c>
      <c r="AY1498" s="56">
        <f>G1498*AQ1498</f>
        <v>0</v>
      </c>
      <c r="AZ1498" s="56">
        <f>G1498*AR1498</f>
        <v>0</v>
      </c>
      <c r="BA1498" s="21" t="s">
        <v>159</v>
      </c>
      <c r="BB1498" s="21" t="s">
        <v>592</v>
      </c>
      <c r="BC1498" s="7" t="s">
        <v>307</v>
      </c>
      <c r="BE1498" s="56">
        <f>AY1498+AZ1498</f>
        <v>0</v>
      </c>
      <c r="BF1498" s="56">
        <f>H1498/(100-BG1498)*100</f>
        <v>0</v>
      </c>
      <c r="BG1498" s="56">
        <v>0</v>
      </c>
      <c r="BH1498" s="56">
        <f>M1498</f>
        <v>2.9106E-2</v>
      </c>
      <c r="BJ1498" s="80">
        <f>G1498*AQ1498</f>
        <v>0</v>
      </c>
      <c r="BK1498" s="80">
        <f>G1498*AR1498</f>
        <v>0</v>
      </c>
      <c r="BL1498" s="80">
        <f>G1498*H1498</f>
        <v>0</v>
      </c>
      <c r="BM1498" s="80"/>
      <c r="BN1498" s="56">
        <v>87</v>
      </c>
    </row>
    <row r="1499" spans="1:66" ht="15" customHeight="1">
      <c r="A1499" s="36"/>
      <c r="D1499" s="45" t="s">
        <v>1846</v>
      </c>
      <c r="E1499" s="104" t="s">
        <v>1597</v>
      </c>
      <c r="G1499" s="13">
        <v>18</v>
      </c>
      <c r="N1499" s="19"/>
      <c r="P1499" s="592"/>
      <c r="Q1499" s="592"/>
      <c r="R1499" s="592"/>
      <c r="S1499" s="592"/>
      <c r="T1499" s="592"/>
      <c r="U1499" s="592"/>
      <c r="V1499" s="592"/>
      <c r="W1499" s="592"/>
      <c r="X1499" s="592"/>
    </row>
    <row r="1500" spans="1:66" ht="15" customHeight="1">
      <c r="A1500" s="36"/>
      <c r="D1500" s="45" t="s">
        <v>365</v>
      </c>
      <c r="E1500" s="104" t="s">
        <v>1597</v>
      </c>
      <c r="G1500" s="13">
        <v>1.8</v>
      </c>
      <c r="N1500" s="19"/>
      <c r="P1500" s="592"/>
      <c r="Q1500" s="592"/>
      <c r="R1500" s="592"/>
      <c r="S1500" s="592"/>
      <c r="T1500" s="592"/>
      <c r="U1500" s="592"/>
      <c r="V1500" s="592"/>
      <c r="W1500" s="592"/>
      <c r="X1500" s="592"/>
    </row>
    <row r="1501" spans="1:66" ht="15" customHeight="1">
      <c r="A1501" s="24" t="s">
        <v>1444</v>
      </c>
      <c r="B1501" s="12" t="s">
        <v>119</v>
      </c>
      <c r="C1501" s="12" t="s">
        <v>614</v>
      </c>
      <c r="D1501" s="630" t="s">
        <v>332</v>
      </c>
      <c r="E1501" s="630"/>
      <c r="F1501" s="12" t="s">
        <v>564</v>
      </c>
      <c r="G1501" s="56">
        <v>1</v>
      </c>
      <c r="H1501" s="625"/>
      <c r="I1501" s="56">
        <f>G1501*AQ1501</f>
        <v>0</v>
      </c>
      <c r="J1501" s="56">
        <f>G1501*AR1501</f>
        <v>0</v>
      </c>
      <c r="K1501" s="56">
        <f>G1501*H1501</f>
        <v>0</v>
      </c>
      <c r="L1501" s="56">
        <v>0</v>
      </c>
      <c r="M1501" s="56">
        <f>G1501*L1501</f>
        <v>0</v>
      </c>
      <c r="N1501" s="31" t="s">
        <v>1579</v>
      </c>
      <c r="P1501" s="592"/>
      <c r="Q1501" s="592"/>
      <c r="R1501" s="592"/>
      <c r="S1501" s="592"/>
      <c r="T1501" s="592"/>
      <c r="U1501" s="592"/>
      <c r="V1501" s="592"/>
      <c r="W1501" s="592"/>
      <c r="X1501" s="592"/>
      <c r="AB1501" s="56">
        <f>IF(AS1501="5",BL1501,0)</f>
        <v>0</v>
      </c>
      <c r="AD1501" s="56">
        <f>IF(AS1501="1",BJ1501,0)</f>
        <v>0</v>
      </c>
      <c r="AE1501" s="56">
        <f>IF(AS1501="1",BK1501,0)</f>
        <v>0</v>
      </c>
      <c r="AF1501" s="56">
        <f>IF(AS1501="7",BJ1501,0)</f>
        <v>0</v>
      </c>
      <c r="AG1501" s="56">
        <f>IF(AS1501="7",BK1501,0)</f>
        <v>0</v>
      </c>
      <c r="AH1501" s="56">
        <f>IF(AS1501="2",BJ1501,0)</f>
        <v>0</v>
      </c>
      <c r="AI1501" s="56">
        <f>IF(AS1501="2",BK1501,0)</f>
        <v>0</v>
      </c>
      <c r="AJ1501" s="56">
        <f>IF(AS1501="0",BL1501,0)</f>
        <v>0</v>
      </c>
      <c r="AK1501" s="7" t="s">
        <v>119</v>
      </c>
      <c r="AL1501" s="56">
        <f>IF(AP1501=0,K1501,0)</f>
        <v>0</v>
      </c>
      <c r="AM1501" s="56">
        <f>IF(AP1501=15,K1501,0)</f>
        <v>0</v>
      </c>
      <c r="AN1501" s="56">
        <f>IF(AP1501=21,K1501,0)</f>
        <v>0</v>
      </c>
      <c r="AP1501" s="56">
        <v>21</v>
      </c>
      <c r="AQ1501" s="88">
        <f>H1501*0</f>
        <v>0</v>
      </c>
      <c r="AR1501" s="88">
        <f>H1501*(1-0)</f>
        <v>0</v>
      </c>
      <c r="AS1501" s="21" t="s">
        <v>2297</v>
      </c>
      <c r="AX1501" s="56">
        <f>AY1501+AZ1501</f>
        <v>0</v>
      </c>
      <c r="AY1501" s="56">
        <f>G1501*AQ1501</f>
        <v>0</v>
      </c>
      <c r="AZ1501" s="56">
        <f>G1501*AR1501</f>
        <v>0</v>
      </c>
      <c r="BA1501" s="21" t="s">
        <v>159</v>
      </c>
      <c r="BB1501" s="21" t="s">
        <v>592</v>
      </c>
      <c r="BC1501" s="7" t="s">
        <v>307</v>
      </c>
      <c r="BE1501" s="56">
        <f>AY1501+AZ1501</f>
        <v>0</v>
      </c>
      <c r="BF1501" s="56">
        <f>H1501/(100-BG1501)*100</f>
        <v>0</v>
      </c>
      <c r="BG1501" s="56">
        <v>0</v>
      </c>
      <c r="BH1501" s="56">
        <f>M1501</f>
        <v>0</v>
      </c>
      <c r="BJ1501" s="56">
        <f>G1501*AQ1501</f>
        <v>0</v>
      </c>
      <c r="BK1501" s="56">
        <f>G1501*AR1501</f>
        <v>0</v>
      </c>
      <c r="BL1501" s="56">
        <f>G1501*H1501</f>
        <v>0</v>
      </c>
      <c r="BM1501" s="56"/>
      <c r="BN1501" s="56">
        <v>87</v>
      </c>
    </row>
    <row r="1502" spans="1:66" ht="15" customHeight="1">
      <c r="A1502" s="36"/>
      <c r="D1502" s="45" t="s">
        <v>2297</v>
      </c>
      <c r="E1502" s="104" t="s">
        <v>1597</v>
      </c>
      <c r="G1502" s="13">
        <v>1</v>
      </c>
      <c r="N1502" s="19"/>
      <c r="P1502" s="592"/>
      <c r="Q1502" s="592"/>
      <c r="R1502" s="592"/>
      <c r="S1502" s="592"/>
      <c r="T1502" s="592"/>
      <c r="U1502" s="592"/>
      <c r="V1502" s="592"/>
      <c r="W1502" s="592"/>
      <c r="X1502" s="592"/>
    </row>
    <row r="1503" spans="1:66" ht="15" customHeight="1">
      <c r="A1503" s="8" t="s">
        <v>2122</v>
      </c>
      <c r="B1503" s="75" t="s">
        <v>119</v>
      </c>
      <c r="C1503" s="75" t="s">
        <v>2384</v>
      </c>
      <c r="D1503" s="710" t="s">
        <v>3644</v>
      </c>
      <c r="E1503" s="710"/>
      <c r="F1503" s="75" t="s">
        <v>564</v>
      </c>
      <c r="G1503" s="80">
        <v>1</v>
      </c>
      <c r="H1503" s="626"/>
      <c r="I1503" s="80">
        <f>G1503*AQ1503</f>
        <v>0</v>
      </c>
      <c r="J1503" s="80">
        <f>G1503*AR1503</f>
        <v>0</v>
      </c>
      <c r="K1503" s="80">
        <f>G1503*H1503</f>
        <v>0</v>
      </c>
      <c r="L1503" s="80">
        <v>2.81E-3</v>
      </c>
      <c r="M1503" s="80">
        <f>G1503*L1503</f>
        <v>2.81E-3</v>
      </c>
      <c r="N1503" s="38" t="s">
        <v>1579</v>
      </c>
      <c r="P1503" s="592"/>
      <c r="Q1503" s="592"/>
      <c r="R1503" s="592"/>
      <c r="S1503" s="592"/>
      <c r="T1503" s="592"/>
      <c r="U1503" s="592"/>
      <c r="V1503" s="592"/>
      <c r="W1503" s="592"/>
      <c r="X1503" s="592"/>
      <c r="AB1503" s="56">
        <f>IF(AS1503="5",BL1503,0)</f>
        <v>0</v>
      </c>
      <c r="AD1503" s="56">
        <f>IF(AS1503="1",BJ1503,0)</f>
        <v>0</v>
      </c>
      <c r="AE1503" s="56">
        <f>IF(AS1503="1",BK1503,0)</f>
        <v>0</v>
      </c>
      <c r="AF1503" s="56">
        <f>IF(AS1503="7",BJ1503,0)</f>
        <v>0</v>
      </c>
      <c r="AG1503" s="56">
        <f>IF(AS1503="7",BK1503,0)</f>
        <v>0</v>
      </c>
      <c r="AH1503" s="56">
        <f>IF(AS1503="2",BJ1503,0)</f>
        <v>0</v>
      </c>
      <c r="AI1503" s="56">
        <f>IF(AS1503="2",BK1503,0)</f>
        <v>0</v>
      </c>
      <c r="AJ1503" s="56">
        <f>IF(AS1503="0",BL1503,0)</f>
        <v>0</v>
      </c>
      <c r="AK1503" s="7" t="s">
        <v>119</v>
      </c>
      <c r="AL1503" s="80">
        <f>IF(AP1503=0,K1503,0)</f>
        <v>0</v>
      </c>
      <c r="AM1503" s="80">
        <f>IF(AP1503=15,K1503,0)</f>
        <v>0</v>
      </c>
      <c r="AN1503" s="80">
        <f>IF(AP1503=21,K1503,0)</f>
        <v>0</v>
      </c>
      <c r="AP1503" s="56">
        <v>21</v>
      </c>
      <c r="AQ1503" s="88">
        <f>H1503*1</f>
        <v>0</v>
      </c>
      <c r="AR1503" s="88">
        <f>H1503*(1-1)</f>
        <v>0</v>
      </c>
      <c r="AS1503" s="64" t="s">
        <v>2297</v>
      </c>
      <c r="AX1503" s="56">
        <f>AY1503+AZ1503</f>
        <v>0</v>
      </c>
      <c r="AY1503" s="56">
        <f>G1503*AQ1503</f>
        <v>0</v>
      </c>
      <c r="AZ1503" s="56">
        <f>G1503*AR1503</f>
        <v>0</v>
      </c>
      <c r="BA1503" s="21" t="s">
        <v>159</v>
      </c>
      <c r="BB1503" s="21" t="s">
        <v>592</v>
      </c>
      <c r="BC1503" s="7" t="s">
        <v>307</v>
      </c>
      <c r="BE1503" s="56">
        <f>AY1503+AZ1503</f>
        <v>0</v>
      </c>
      <c r="BF1503" s="56">
        <f>H1503/(100-BG1503)*100</f>
        <v>0</v>
      </c>
      <c r="BG1503" s="56">
        <v>0</v>
      </c>
      <c r="BH1503" s="56">
        <f>M1503</f>
        <v>2.81E-3</v>
      </c>
      <c r="BJ1503" s="80">
        <f>G1503*AQ1503</f>
        <v>0</v>
      </c>
      <c r="BK1503" s="80">
        <f>G1503*AR1503</f>
        <v>0</v>
      </c>
      <c r="BL1503" s="80">
        <f>G1503*H1503</f>
        <v>0</v>
      </c>
      <c r="BM1503" s="80"/>
      <c r="BN1503" s="56">
        <v>87</v>
      </c>
    </row>
    <row r="1504" spans="1:66" ht="15" customHeight="1">
      <c r="A1504" s="36"/>
      <c r="D1504" s="45" t="s">
        <v>2297</v>
      </c>
      <c r="E1504" s="104" t="s">
        <v>2139</v>
      </c>
      <c r="G1504" s="13">
        <v>1</v>
      </c>
      <c r="N1504" s="19"/>
      <c r="P1504" s="592"/>
      <c r="Q1504" s="592"/>
      <c r="R1504" s="592"/>
      <c r="S1504" s="592"/>
      <c r="T1504" s="592"/>
      <c r="U1504" s="592"/>
      <c r="V1504" s="592"/>
      <c r="W1504" s="592"/>
      <c r="X1504" s="592"/>
    </row>
    <row r="1505" spans="1:66" ht="15" customHeight="1">
      <c r="A1505" s="32" t="s">
        <v>1597</v>
      </c>
      <c r="B1505" s="26" t="s">
        <v>119</v>
      </c>
      <c r="C1505" s="26" t="s">
        <v>2476</v>
      </c>
      <c r="D1505" s="709" t="s">
        <v>1489</v>
      </c>
      <c r="E1505" s="709"/>
      <c r="F1505" s="46" t="s">
        <v>2144</v>
      </c>
      <c r="G1505" s="46" t="s">
        <v>2144</v>
      </c>
      <c r="H1505" s="46" t="s">
        <v>2144</v>
      </c>
      <c r="I1505" s="17">
        <f>SUM(I1506:I1536)</f>
        <v>0</v>
      </c>
      <c r="J1505" s="17">
        <f>SUM(J1506:J1536)</f>
        <v>0</v>
      </c>
      <c r="K1505" s="17">
        <f>SUM(K1506:K1536)</f>
        <v>0</v>
      </c>
      <c r="L1505" s="7" t="s">
        <v>1597</v>
      </c>
      <c r="M1505" s="17">
        <f>SUM(M1506:M1536)</f>
        <v>6.0480020000000003</v>
      </c>
      <c r="N1505" s="20" t="s">
        <v>1597</v>
      </c>
      <c r="P1505" s="592"/>
      <c r="Q1505" s="592"/>
      <c r="R1505" s="592"/>
      <c r="S1505" s="592"/>
      <c r="T1505" s="592"/>
      <c r="U1505" s="592"/>
      <c r="V1505" s="592"/>
      <c r="W1505" s="592"/>
      <c r="X1505" s="592"/>
      <c r="AK1505" s="7" t="s">
        <v>119</v>
      </c>
      <c r="AU1505" s="17">
        <f>SUM(AL1506:AL1536)</f>
        <v>0</v>
      </c>
      <c r="AV1505" s="17">
        <f>SUM(AM1506:AM1536)</f>
        <v>0</v>
      </c>
      <c r="AW1505" s="17">
        <f>SUM(AN1506:AN1536)</f>
        <v>0</v>
      </c>
    </row>
    <row r="1506" spans="1:66" ht="15" customHeight="1">
      <c r="A1506" s="24" t="s">
        <v>2474</v>
      </c>
      <c r="B1506" s="12" t="s">
        <v>119</v>
      </c>
      <c r="C1506" s="12" t="s">
        <v>1748</v>
      </c>
      <c r="D1506" s="630" t="s">
        <v>692</v>
      </c>
      <c r="E1506" s="630"/>
      <c r="F1506" s="12" t="s">
        <v>564</v>
      </c>
      <c r="G1506" s="56">
        <v>2</v>
      </c>
      <c r="H1506" s="625"/>
      <c r="I1506" s="56">
        <f>G1506*AQ1506</f>
        <v>0</v>
      </c>
      <c r="J1506" s="56">
        <f>G1506*AR1506</f>
        <v>0</v>
      </c>
      <c r="K1506" s="56">
        <f>G1506*H1506</f>
        <v>0</v>
      </c>
      <c r="L1506" s="56">
        <v>2.1000000000000001E-4</v>
      </c>
      <c r="M1506" s="56">
        <f>G1506*L1506</f>
        <v>4.2000000000000002E-4</v>
      </c>
      <c r="N1506" s="31" t="s">
        <v>1579</v>
      </c>
      <c r="P1506" s="592"/>
      <c r="Q1506" s="592"/>
      <c r="R1506" s="592"/>
      <c r="S1506" s="592"/>
      <c r="T1506" s="592"/>
      <c r="U1506" s="592"/>
      <c r="V1506" s="592"/>
      <c r="W1506" s="592"/>
      <c r="X1506" s="592"/>
      <c r="AB1506" s="56">
        <f>IF(AS1506="5",BL1506,0)</f>
        <v>0</v>
      </c>
      <c r="AD1506" s="56">
        <f>IF(AS1506="1",BJ1506,0)</f>
        <v>0</v>
      </c>
      <c r="AE1506" s="56">
        <f>IF(AS1506="1",BK1506,0)</f>
        <v>0</v>
      </c>
      <c r="AF1506" s="56">
        <f>IF(AS1506="7",BJ1506,0)</f>
        <v>0</v>
      </c>
      <c r="AG1506" s="56">
        <f>IF(AS1506="7",BK1506,0)</f>
        <v>0</v>
      </c>
      <c r="AH1506" s="56">
        <f>IF(AS1506="2",BJ1506,0)</f>
        <v>0</v>
      </c>
      <c r="AI1506" s="56">
        <f>IF(AS1506="2",BK1506,0)</f>
        <v>0</v>
      </c>
      <c r="AJ1506" s="56">
        <f>IF(AS1506="0",BL1506,0)</f>
        <v>0</v>
      </c>
      <c r="AK1506" s="7" t="s">
        <v>119</v>
      </c>
      <c r="AL1506" s="56">
        <f>IF(AP1506=0,K1506,0)</f>
        <v>0</v>
      </c>
      <c r="AM1506" s="56">
        <f>IF(AP1506=15,K1506,0)</f>
        <v>0</v>
      </c>
      <c r="AN1506" s="56">
        <f>IF(AP1506=21,K1506,0)</f>
        <v>0</v>
      </c>
      <c r="AP1506" s="56">
        <v>21</v>
      </c>
      <c r="AQ1506" s="88">
        <f>H1506*0.34869562008782</f>
        <v>0</v>
      </c>
      <c r="AR1506" s="88">
        <f>H1506*(1-0.34869562008782)</f>
        <v>0</v>
      </c>
      <c r="AS1506" s="21" t="s">
        <v>2297</v>
      </c>
      <c r="AX1506" s="56">
        <f>AY1506+AZ1506</f>
        <v>0</v>
      </c>
      <c r="AY1506" s="56">
        <f>G1506*AQ1506</f>
        <v>0</v>
      </c>
      <c r="AZ1506" s="56">
        <f>G1506*AR1506</f>
        <v>0</v>
      </c>
      <c r="BA1506" s="21" t="s">
        <v>192</v>
      </c>
      <c r="BB1506" s="21" t="s">
        <v>592</v>
      </c>
      <c r="BC1506" s="7" t="s">
        <v>307</v>
      </c>
      <c r="BE1506" s="56">
        <f>AY1506+AZ1506</f>
        <v>0</v>
      </c>
      <c r="BF1506" s="56">
        <f>H1506/(100-BG1506)*100</f>
        <v>0</v>
      </c>
      <c r="BG1506" s="56">
        <v>0</v>
      </c>
      <c r="BH1506" s="56">
        <f>M1506</f>
        <v>4.2000000000000002E-4</v>
      </c>
      <c r="BJ1506" s="56">
        <f>G1506*AQ1506</f>
        <v>0</v>
      </c>
      <c r="BK1506" s="56">
        <f>G1506*AR1506</f>
        <v>0</v>
      </c>
      <c r="BL1506" s="56">
        <f>G1506*H1506</f>
        <v>0</v>
      </c>
      <c r="BM1506" s="56"/>
      <c r="BN1506" s="56">
        <v>89</v>
      </c>
    </row>
    <row r="1507" spans="1:66" ht="15" customHeight="1">
      <c r="A1507" s="36"/>
      <c r="D1507" s="45" t="s">
        <v>1589</v>
      </c>
      <c r="E1507" s="104" t="s">
        <v>1597</v>
      </c>
      <c r="G1507" s="13">
        <v>2</v>
      </c>
      <c r="N1507" s="19"/>
      <c r="P1507" s="592"/>
      <c r="Q1507" s="592"/>
      <c r="R1507" s="592"/>
      <c r="S1507" s="592"/>
      <c r="T1507" s="592"/>
      <c r="U1507" s="592"/>
      <c r="V1507" s="592"/>
      <c r="W1507" s="592"/>
      <c r="X1507" s="592"/>
    </row>
    <row r="1508" spans="1:66" ht="15" customHeight="1">
      <c r="A1508" s="24" t="s">
        <v>803</v>
      </c>
      <c r="B1508" s="12" t="s">
        <v>119</v>
      </c>
      <c r="C1508" s="12" t="s">
        <v>438</v>
      </c>
      <c r="D1508" s="630" t="s">
        <v>2325</v>
      </c>
      <c r="E1508" s="630"/>
      <c r="F1508" s="12" t="s">
        <v>1923</v>
      </c>
      <c r="G1508" s="56">
        <v>20</v>
      </c>
      <c r="H1508" s="625"/>
      <c r="I1508" s="56">
        <f>G1508*AQ1508</f>
        <v>0</v>
      </c>
      <c r="J1508" s="56">
        <f>G1508*AR1508</f>
        <v>0</v>
      </c>
      <c r="K1508" s="56">
        <f>G1508*H1508</f>
        <v>0</v>
      </c>
      <c r="L1508" s="56">
        <v>0</v>
      </c>
      <c r="M1508" s="56">
        <f>G1508*L1508</f>
        <v>0</v>
      </c>
      <c r="N1508" s="31" t="s">
        <v>1579</v>
      </c>
      <c r="P1508" s="592"/>
      <c r="Q1508" s="592"/>
      <c r="R1508" s="592"/>
      <c r="S1508" s="592"/>
      <c r="T1508" s="592"/>
      <c r="U1508" s="592"/>
      <c r="V1508" s="592"/>
      <c r="W1508" s="592"/>
      <c r="X1508" s="592"/>
      <c r="AB1508" s="56">
        <f>IF(AS1508="5",BL1508,0)</f>
        <v>0</v>
      </c>
      <c r="AD1508" s="56">
        <f>IF(AS1508="1",BJ1508,0)</f>
        <v>0</v>
      </c>
      <c r="AE1508" s="56">
        <f>IF(AS1508="1",BK1508,0)</f>
        <v>0</v>
      </c>
      <c r="AF1508" s="56">
        <f>IF(AS1508="7",BJ1508,0)</f>
        <v>0</v>
      </c>
      <c r="AG1508" s="56">
        <f>IF(AS1508="7",BK1508,0)</f>
        <v>0</v>
      </c>
      <c r="AH1508" s="56">
        <f>IF(AS1508="2",BJ1508,0)</f>
        <v>0</v>
      </c>
      <c r="AI1508" s="56">
        <f>IF(AS1508="2",BK1508,0)</f>
        <v>0</v>
      </c>
      <c r="AJ1508" s="56">
        <f>IF(AS1508="0",BL1508,0)</f>
        <v>0</v>
      </c>
      <c r="AK1508" s="7" t="s">
        <v>119</v>
      </c>
      <c r="AL1508" s="56">
        <f>IF(AP1508=0,K1508,0)</f>
        <v>0</v>
      </c>
      <c r="AM1508" s="56">
        <f>IF(AP1508=15,K1508,0)</f>
        <v>0</v>
      </c>
      <c r="AN1508" s="56">
        <f>IF(AP1508=21,K1508,0)</f>
        <v>0</v>
      </c>
      <c r="AP1508" s="56">
        <v>21</v>
      </c>
      <c r="AQ1508" s="88">
        <f>H1508*0.322424242424242</f>
        <v>0</v>
      </c>
      <c r="AR1508" s="88">
        <f>H1508*(1-0.322424242424242)</f>
        <v>0</v>
      </c>
      <c r="AS1508" s="21" t="s">
        <v>2297</v>
      </c>
      <c r="AX1508" s="56">
        <f>AY1508+AZ1508</f>
        <v>0</v>
      </c>
      <c r="AY1508" s="56">
        <f>G1508*AQ1508</f>
        <v>0</v>
      </c>
      <c r="AZ1508" s="56">
        <f>G1508*AR1508</f>
        <v>0</v>
      </c>
      <c r="BA1508" s="21" t="s">
        <v>192</v>
      </c>
      <c r="BB1508" s="21" t="s">
        <v>592</v>
      </c>
      <c r="BC1508" s="7" t="s">
        <v>307</v>
      </c>
      <c r="BE1508" s="56">
        <f>AY1508+AZ1508</f>
        <v>0</v>
      </c>
      <c r="BF1508" s="56">
        <f>H1508/(100-BG1508)*100</f>
        <v>0</v>
      </c>
      <c r="BG1508" s="56">
        <v>0</v>
      </c>
      <c r="BH1508" s="56">
        <f>M1508</f>
        <v>0</v>
      </c>
      <c r="BJ1508" s="56">
        <f>G1508*AQ1508</f>
        <v>0</v>
      </c>
      <c r="BK1508" s="56">
        <f>G1508*AR1508</f>
        <v>0</v>
      </c>
      <c r="BL1508" s="56">
        <f>G1508*H1508</f>
        <v>0</v>
      </c>
      <c r="BM1508" s="56"/>
      <c r="BN1508" s="56">
        <v>89</v>
      </c>
    </row>
    <row r="1509" spans="1:66" ht="15" customHeight="1">
      <c r="A1509" s="36"/>
      <c r="D1509" s="45" t="s">
        <v>109</v>
      </c>
      <c r="E1509" s="104" t="s">
        <v>1597</v>
      </c>
      <c r="G1509" s="13">
        <v>20</v>
      </c>
      <c r="N1509" s="19"/>
      <c r="P1509" s="592"/>
      <c r="Q1509" s="592"/>
      <c r="R1509" s="592"/>
      <c r="S1509" s="592"/>
      <c r="T1509" s="592"/>
      <c r="U1509" s="592"/>
      <c r="V1509" s="592"/>
      <c r="W1509" s="592"/>
      <c r="X1509" s="592"/>
    </row>
    <row r="1510" spans="1:66" ht="15" customHeight="1">
      <c r="A1510" s="24" t="s">
        <v>2497</v>
      </c>
      <c r="B1510" s="12" t="s">
        <v>119</v>
      </c>
      <c r="C1510" s="12" t="s">
        <v>2500</v>
      </c>
      <c r="D1510" s="630" t="s">
        <v>973</v>
      </c>
      <c r="E1510" s="630"/>
      <c r="F1510" s="12" t="s">
        <v>1923</v>
      </c>
      <c r="G1510" s="56">
        <v>20</v>
      </c>
      <c r="H1510" s="625"/>
      <c r="I1510" s="56">
        <f>G1510*AQ1510</f>
        <v>0</v>
      </c>
      <c r="J1510" s="56">
        <f>G1510*AR1510</f>
        <v>0</v>
      </c>
      <c r="K1510" s="56">
        <f>G1510*H1510</f>
        <v>0</v>
      </c>
      <c r="L1510" s="56">
        <v>5.0000000000000002E-5</v>
      </c>
      <c r="M1510" s="56">
        <f>G1510*L1510</f>
        <v>1E-3</v>
      </c>
      <c r="N1510" s="31" t="s">
        <v>1579</v>
      </c>
      <c r="P1510" s="592"/>
      <c r="Q1510" s="592"/>
      <c r="R1510" s="592"/>
      <c r="S1510" s="592"/>
      <c r="T1510" s="592"/>
      <c r="U1510" s="592"/>
      <c r="V1510" s="592"/>
      <c r="W1510" s="592"/>
      <c r="X1510" s="592"/>
      <c r="AB1510" s="56">
        <f>IF(AS1510="5",BL1510,0)</f>
        <v>0</v>
      </c>
      <c r="AD1510" s="56">
        <f>IF(AS1510="1",BJ1510,0)</f>
        <v>0</v>
      </c>
      <c r="AE1510" s="56">
        <f>IF(AS1510="1",BK1510,0)</f>
        <v>0</v>
      </c>
      <c r="AF1510" s="56">
        <f>IF(AS1510="7",BJ1510,0)</f>
        <v>0</v>
      </c>
      <c r="AG1510" s="56">
        <f>IF(AS1510="7",BK1510,0)</f>
        <v>0</v>
      </c>
      <c r="AH1510" s="56">
        <f>IF(AS1510="2",BJ1510,0)</f>
        <v>0</v>
      </c>
      <c r="AI1510" s="56">
        <f>IF(AS1510="2",BK1510,0)</f>
        <v>0</v>
      </c>
      <c r="AJ1510" s="56">
        <f>IF(AS1510="0",BL1510,0)</f>
        <v>0</v>
      </c>
      <c r="AK1510" s="7" t="s">
        <v>119</v>
      </c>
      <c r="AL1510" s="56">
        <f>IF(AP1510=0,K1510,0)</f>
        <v>0</v>
      </c>
      <c r="AM1510" s="56">
        <f>IF(AP1510=15,K1510,0)</f>
        <v>0</v>
      </c>
      <c r="AN1510" s="56">
        <f>IF(AP1510=21,K1510,0)</f>
        <v>0</v>
      </c>
      <c r="AP1510" s="56">
        <v>21</v>
      </c>
      <c r="AQ1510" s="88">
        <f>H1510*0.494463667820069</f>
        <v>0</v>
      </c>
      <c r="AR1510" s="88">
        <f>H1510*(1-0.494463667820069)</f>
        <v>0</v>
      </c>
      <c r="AS1510" s="21" t="s">
        <v>2297</v>
      </c>
      <c r="AX1510" s="56">
        <f>AY1510+AZ1510</f>
        <v>0</v>
      </c>
      <c r="AY1510" s="56">
        <f>G1510*AQ1510</f>
        <v>0</v>
      </c>
      <c r="AZ1510" s="56">
        <f>G1510*AR1510</f>
        <v>0</v>
      </c>
      <c r="BA1510" s="21" t="s">
        <v>192</v>
      </c>
      <c r="BB1510" s="21" t="s">
        <v>592</v>
      </c>
      <c r="BC1510" s="7" t="s">
        <v>307</v>
      </c>
      <c r="BE1510" s="56">
        <f>AY1510+AZ1510</f>
        <v>0</v>
      </c>
      <c r="BF1510" s="56">
        <f>H1510/(100-BG1510)*100</f>
        <v>0</v>
      </c>
      <c r="BG1510" s="56">
        <v>0</v>
      </c>
      <c r="BH1510" s="56">
        <f>M1510</f>
        <v>1E-3</v>
      </c>
      <c r="BJ1510" s="56">
        <f>G1510*AQ1510</f>
        <v>0</v>
      </c>
      <c r="BK1510" s="56">
        <f>G1510*AR1510</f>
        <v>0</v>
      </c>
      <c r="BL1510" s="56">
        <f>G1510*H1510</f>
        <v>0</v>
      </c>
      <c r="BM1510" s="56"/>
      <c r="BN1510" s="56">
        <v>89</v>
      </c>
    </row>
    <row r="1511" spans="1:66" ht="15" customHeight="1">
      <c r="A1511" s="36"/>
      <c r="D1511" s="45" t="s">
        <v>109</v>
      </c>
      <c r="E1511" s="104" t="s">
        <v>1597</v>
      </c>
      <c r="G1511" s="13">
        <v>20</v>
      </c>
      <c r="N1511" s="19"/>
      <c r="P1511" s="592"/>
      <c r="Q1511" s="592"/>
      <c r="R1511" s="592"/>
      <c r="S1511" s="592"/>
      <c r="T1511" s="592"/>
      <c r="U1511" s="592"/>
      <c r="V1511" s="592"/>
      <c r="W1511" s="592"/>
      <c r="X1511" s="592"/>
    </row>
    <row r="1512" spans="1:66" ht="15" customHeight="1">
      <c r="A1512" s="24" t="s">
        <v>89</v>
      </c>
      <c r="B1512" s="12" t="s">
        <v>119</v>
      </c>
      <c r="C1512" s="12" t="s">
        <v>1134</v>
      </c>
      <c r="D1512" s="630" t="s">
        <v>1679</v>
      </c>
      <c r="E1512" s="630"/>
      <c r="F1512" s="12" t="s">
        <v>564</v>
      </c>
      <c r="G1512" s="56">
        <v>1</v>
      </c>
      <c r="H1512" s="625"/>
      <c r="I1512" s="56">
        <f>G1512*AQ1512</f>
        <v>0</v>
      </c>
      <c r="J1512" s="56">
        <f>G1512*AR1512</f>
        <v>0</v>
      </c>
      <c r="K1512" s="56">
        <f>G1512*H1512</f>
        <v>0</v>
      </c>
      <c r="L1512" s="56">
        <v>0.40105000000000002</v>
      </c>
      <c r="M1512" s="56">
        <f>G1512*L1512</f>
        <v>0.40105000000000002</v>
      </c>
      <c r="N1512" s="31" t="s">
        <v>1579</v>
      </c>
      <c r="P1512" s="592"/>
      <c r="Q1512" s="592"/>
      <c r="R1512" s="592"/>
      <c r="S1512" s="592"/>
      <c r="T1512" s="592"/>
      <c r="U1512" s="592"/>
      <c r="V1512" s="592"/>
      <c r="W1512" s="592"/>
      <c r="X1512" s="592"/>
      <c r="AB1512" s="56">
        <f>IF(AS1512="5",BL1512,0)</f>
        <v>0</v>
      </c>
      <c r="AD1512" s="56">
        <f>IF(AS1512="1",BJ1512,0)</f>
        <v>0</v>
      </c>
      <c r="AE1512" s="56">
        <f>IF(AS1512="1",BK1512,0)</f>
        <v>0</v>
      </c>
      <c r="AF1512" s="56">
        <f>IF(AS1512="7",BJ1512,0)</f>
        <v>0</v>
      </c>
      <c r="AG1512" s="56">
        <f>IF(AS1512="7",BK1512,0)</f>
        <v>0</v>
      </c>
      <c r="AH1512" s="56">
        <f>IF(AS1512="2",BJ1512,0)</f>
        <v>0</v>
      </c>
      <c r="AI1512" s="56">
        <f>IF(AS1512="2",BK1512,0)</f>
        <v>0</v>
      </c>
      <c r="AJ1512" s="56">
        <f>IF(AS1512="0",BL1512,0)</f>
        <v>0</v>
      </c>
      <c r="AK1512" s="7" t="s">
        <v>119</v>
      </c>
      <c r="AL1512" s="56">
        <f>IF(AP1512=0,K1512,0)</f>
        <v>0</v>
      </c>
      <c r="AM1512" s="56">
        <f>IF(AP1512=15,K1512,0)</f>
        <v>0</v>
      </c>
      <c r="AN1512" s="56">
        <f>IF(AP1512=21,K1512,0)</f>
        <v>0</v>
      </c>
      <c r="AP1512" s="56">
        <v>21</v>
      </c>
      <c r="AQ1512" s="88">
        <f>H1512*0.610654047365793</f>
        <v>0</v>
      </c>
      <c r="AR1512" s="88">
        <f>H1512*(1-0.610654047365793)</f>
        <v>0</v>
      </c>
      <c r="AS1512" s="21" t="s">
        <v>2297</v>
      </c>
      <c r="AX1512" s="56">
        <f>AY1512+AZ1512</f>
        <v>0</v>
      </c>
      <c r="AY1512" s="56">
        <f>G1512*AQ1512</f>
        <v>0</v>
      </c>
      <c r="AZ1512" s="56">
        <f>G1512*AR1512</f>
        <v>0</v>
      </c>
      <c r="BA1512" s="21" t="s">
        <v>192</v>
      </c>
      <c r="BB1512" s="21" t="s">
        <v>592</v>
      </c>
      <c r="BC1512" s="7" t="s">
        <v>307</v>
      </c>
      <c r="BE1512" s="56">
        <f>AY1512+AZ1512</f>
        <v>0</v>
      </c>
      <c r="BF1512" s="56">
        <f>H1512/(100-BG1512)*100</f>
        <v>0</v>
      </c>
      <c r="BG1512" s="56">
        <v>0</v>
      </c>
      <c r="BH1512" s="56">
        <f>M1512</f>
        <v>0.40105000000000002</v>
      </c>
      <c r="BJ1512" s="56">
        <f>G1512*AQ1512</f>
        <v>0</v>
      </c>
      <c r="BK1512" s="56">
        <f>G1512*AR1512</f>
        <v>0</v>
      </c>
      <c r="BL1512" s="56">
        <f>G1512*H1512</f>
        <v>0</v>
      </c>
      <c r="BM1512" s="56"/>
      <c r="BN1512" s="56">
        <v>89</v>
      </c>
    </row>
    <row r="1513" spans="1:66" ht="15" customHeight="1">
      <c r="A1513" s="36"/>
      <c r="D1513" s="45" t="s">
        <v>2297</v>
      </c>
      <c r="E1513" s="104" t="s">
        <v>1597</v>
      </c>
      <c r="G1513" s="13">
        <v>1</v>
      </c>
      <c r="N1513" s="19"/>
      <c r="P1513" s="592"/>
      <c r="Q1513" s="592"/>
      <c r="R1513" s="592"/>
      <c r="S1513" s="592"/>
      <c r="T1513" s="592"/>
      <c r="U1513" s="592"/>
      <c r="V1513" s="592"/>
      <c r="W1513" s="592"/>
      <c r="X1513" s="592"/>
    </row>
    <row r="1514" spans="1:66" ht="15" customHeight="1">
      <c r="A1514" s="8" t="s">
        <v>2157</v>
      </c>
      <c r="B1514" s="75" t="s">
        <v>119</v>
      </c>
      <c r="C1514" s="75" t="s">
        <v>2249</v>
      </c>
      <c r="D1514" s="710" t="s">
        <v>1729</v>
      </c>
      <c r="E1514" s="710"/>
      <c r="F1514" s="75" t="s">
        <v>564</v>
      </c>
      <c r="G1514" s="80">
        <v>1</v>
      </c>
      <c r="H1514" s="626"/>
      <c r="I1514" s="80">
        <f>G1514*AQ1514</f>
        <v>0</v>
      </c>
      <c r="J1514" s="80">
        <f>G1514*AR1514</f>
        <v>0</v>
      </c>
      <c r="K1514" s="80">
        <f>G1514*H1514</f>
        <v>0</v>
      </c>
      <c r="L1514" s="80">
        <v>6.4000000000000001E-2</v>
      </c>
      <c r="M1514" s="80">
        <f>G1514*L1514</f>
        <v>6.4000000000000001E-2</v>
      </c>
      <c r="N1514" s="38" t="s">
        <v>1579</v>
      </c>
      <c r="P1514" s="592"/>
      <c r="Q1514" s="592"/>
      <c r="R1514" s="592"/>
      <c r="S1514" s="592"/>
      <c r="T1514" s="592"/>
      <c r="U1514" s="592"/>
      <c r="V1514" s="592"/>
      <c r="W1514" s="592"/>
      <c r="X1514" s="592"/>
      <c r="AB1514" s="56">
        <f>IF(AS1514="5",BL1514,0)</f>
        <v>0</v>
      </c>
      <c r="AD1514" s="56">
        <f>IF(AS1514="1",BJ1514,0)</f>
        <v>0</v>
      </c>
      <c r="AE1514" s="56">
        <f>IF(AS1514="1",BK1514,0)</f>
        <v>0</v>
      </c>
      <c r="AF1514" s="56">
        <f>IF(AS1514="7",BJ1514,0)</f>
        <v>0</v>
      </c>
      <c r="AG1514" s="56">
        <f>IF(AS1514="7",BK1514,0)</f>
        <v>0</v>
      </c>
      <c r="AH1514" s="56">
        <f>IF(AS1514="2",BJ1514,0)</f>
        <v>0</v>
      </c>
      <c r="AI1514" s="56">
        <f>IF(AS1514="2",BK1514,0)</f>
        <v>0</v>
      </c>
      <c r="AJ1514" s="56">
        <f>IF(AS1514="0",BL1514,0)</f>
        <v>0</v>
      </c>
      <c r="AK1514" s="7" t="s">
        <v>119</v>
      </c>
      <c r="AL1514" s="80">
        <f>IF(AP1514=0,K1514,0)</f>
        <v>0</v>
      </c>
      <c r="AM1514" s="80">
        <f>IF(AP1514=15,K1514,0)</f>
        <v>0</v>
      </c>
      <c r="AN1514" s="80">
        <f>IF(AP1514=21,K1514,0)</f>
        <v>0</v>
      </c>
      <c r="AP1514" s="56">
        <v>21</v>
      </c>
      <c r="AQ1514" s="88">
        <f>H1514*1</f>
        <v>0</v>
      </c>
      <c r="AR1514" s="88">
        <f>H1514*(1-1)</f>
        <v>0</v>
      </c>
      <c r="AS1514" s="64" t="s">
        <v>2297</v>
      </c>
      <c r="AX1514" s="56">
        <f>AY1514+AZ1514</f>
        <v>0</v>
      </c>
      <c r="AY1514" s="56">
        <f>G1514*AQ1514</f>
        <v>0</v>
      </c>
      <c r="AZ1514" s="56">
        <f>G1514*AR1514</f>
        <v>0</v>
      </c>
      <c r="BA1514" s="21" t="s">
        <v>192</v>
      </c>
      <c r="BB1514" s="21" t="s">
        <v>592</v>
      </c>
      <c r="BC1514" s="7" t="s">
        <v>307</v>
      </c>
      <c r="BE1514" s="56">
        <f>AY1514+AZ1514</f>
        <v>0</v>
      </c>
      <c r="BF1514" s="56">
        <f>H1514/(100-BG1514)*100</f>
        <v>0</v>
      </c>
      <c r="BG1514" s="56">
        <v>0</v>
      </c>
      <c r="BH1514" s="56">
        <f>M1514</f>
        <v>6.4000000000000001E-2</v>
      </c>
      <c r="BJ1514" s="80">
        <f>G1514*AQ1514</f>
        <v>0</v>
      </c>
      <c r="BK1514" s="80">
        <f>G1514*AR1514</f>
        <v>0</v>
      </c>
      <c r="BL1514" s="80">
        <f>G1514*H1514</f>
        <v>0</v>
      </c>
      <c r="BM1514" s="80"/>
      <c r="BN1514" s="56">
        <v>89</v>
      </c>
    </row>
    <row r="1515" spans="1:66" ht="15" customHeight="1">
      <c r="A1515" s="36"/>
      <c r="D1515" s="45" t="s">
        <v>2297</v>
      </c>
      <c r="E1515" s="104" t="s">
        <v>1146</v>
      </c>
      <c r="G1515" s="13">
        <v>1</v>
      </c>
      <c r="N1515" s="19"/>
      <c r="P1515" s="592"/>
      <c r="Q1515" s="592"/>
      <c r="R1515" s="592"/>
      <c r="S1515" s="592"/>
      <c r="T1515" s="592"/>
      <c r="U1515" s="592"/>
      <c r="V1515" s="592"/>
      <c r="W1515" s="592"/>
      <c r="X1515" s="592"/>
    </row>
    <row r="1516" spans="1:66" ht="15" customHeight="1">
      <c r="A1516" s="24" t="s">
        <v>439</v>
      </c>
      <c r="B1516" s="12" t="s">
        <v>119</v>
      </c>
      <c r="C1516" s="12" t="s">
        <v>2377</v>
      </c>
      <c r="D1516" s="630" t="s">
        <v>83</v>
      </c>
      <c r="E1516" s="630"/>
      <c r="F1516" s="12" t="s">
        <v>2236</v>
      </c>
      <c r="G1516" s="56">
        <v>2.15</v>
      </c>
      <c r="H1516" s="625"/>
      <c r="I1516" s="56">
        <f>G1516*AQ1516</f>
        <v>0</v>
      </c>
      <c r="J1516" s="56">
        <f>G1516*AR1516</f>
        <v>0</v>
      </c>
      <c r="K1516" s="56">
        <f>G1516*H1516</f>
        <v>0</v>
      </c>
      <c r="L1516" s="56">
        <v>2.5249999999999999</v>
      </c>
      <c r="M1516" s="56">
        <f>G1516*L1516</f>
        <v>5.42875</v>
      </c>
      <c r="N1516" s="31" t="s">
        <v>1579</v>
      </c>
      <c r="P1516" s="592"/>
      <c r="Q1516" s="592"/>
      <c r="R1516" s="592"/>
      <c r="S1516" s="592"/>
      <c r="T1516" s="592"/>
      <c r="U1516" s="592"/>
      <c r="V1516" s="592"/>
      <c r="W1516" s="592"/>
      <c r="X1516" s="592"/>
      <c r="AB1516" s="56">
        <f>IF(AS1516="5",BL1516,0)</f>
        <v>0</v>
      </c>
      <c r="AD1516" s="56">
        <f>IF(AS1516="1",BJ1516,0)</f>
        <v>0</v>
      </c>
      <c r="AE1516" s="56">
        <f>IF(AS1516="1",BK1516,0)</f>
        <v>0</v>
      </c>
      <c r="AF1516" s="56">
        <f>IF(AS1516="7",BJ1516,0)</f>
        <v>0</v>
      </c>
      <c r="AG1516" s="56">
        <f>IF(AS1516="7",BK1516,0)</f>
        <v>0</v>
      </c>
      <c r="AH1516" s="56">
        <f>IF(AS1516="2",BJ1516,0)</f>
        <v>0</v>
      </c>
      <c r="AI1516" s="56">
        <f>IF(AS1516="2",BK1516,0)</f>
        <v>0</v>
      </c>
      <c r="AJ1516" s="56">
        <f>IF(AS1516="0",BL1516,0)</f>
        <v>0</v>
      </c>
      <c r="AK1516" s="7" t="s">
        <v>119</v>
      </c>
      <c r="AL1516" s="56">
        <f>IF(AP1516=0,K1516,0)</f>
        <v>0</v>
      </c>
      <c r="AM1516" s="56">
        <f>IF(AP1516=15,K1516,0)</f>
        <v>0</v>
      </c>
      <c r="AN1516" s="56">
        <f>IF(AP1516=21,K1516,0)</f>
        <v>0</v>
      </c>
      <c r="AP1516" s="56">
        <v>21</v>
      </c>
      <c r="AQ1516" s="88">
        <f>H1516*0.847345472011842</f>
        <v>0</v>
      </c>
      <c r="AR1516" s="88">
        <f>H1516*(1-0.847345472011842)</f>
        <v>0</v>
      </c>
      <c r="AS1516" s="21" t="s">
        <v>2297</v>
      </c>
      <c r="AX1516" s="56">
        <f>AY1516+AZ1516</f>
        <v>0</v>
      </c>
      <c r="AY1516" s="56">
        <f>G1516*AQ1516</f>
        <v>0</v>
      </c>
      <c r="AZ1516" s="56">
        <f>G1516*AR1516</f>
        <v>0</v>
      </c>
      <c r="BA1516" s="21" t="s">
        <v>192</v>
      </c>
      <c r="BB1516" s="21" t="s">
        <v>592</v>
      </c>
      <c r="BC1516" s="7" t="s">
        <v>307</v>
      </c>
      <c r="BE1516" s="56">
        <f>AY1516+AZ1516</f>
        <v>0</v>
      </c>
      <c r="BF1516" s="56">
        <f>H1516/(100-BG1516)*100</f>
        <v>0</v>
      </c>
      <c r="BG1516" s="56">
        <v>0</v>
      </c>
      <c r="BH1516" s="56">
        <f>M1516</f>
        <v>5.42875</v>
      </c>
      <c r="BJ1516" s="56">
        <f>G1516*AQ1516</f>
        <v>0</v>
      </c>
      <c r="BK1516" s="56">
        <f>G1516*AR1516</f>
        <v>0</v>
      </c>
      <c r="BL1516" s="56">
        <f>G1516*H1516</f>
        <v>0</v>
      </c>
      <c r="BM1516" s="56"/>
      <c r="BN1516" s="56">
        <v>89</v>
      </c>
    </row>
    <row r="1517" spans="1:66" ht="15" customHeight="1">
      <c r="A1517" s="36"/>
      <c r="D1517" s="45" t="s">
        <v>1638</v>
      </c>
      <c r="E1517" s="104" t="s">
        <v>464</v>
      </c>
      <c r="G1517" s="13">
        <v>2.1500000000000004</v>
      </c>
      <c r="N1517" s="19"/>
      <c r="P1517" s="592"/>
      <c r="Q1517" s="592"/>
      <c r="R1517" s="592"/>
      <c r="S1517" s="592"/>
      <c r="T1517" s="592"/>
      <c r="U1517" s="592"/>
      <c r="V1517" s="592"/>
      <c r="W1517" s="592"/>
      <c r="X1517" s="592"/>
    </row>
    <row r="1518" spans="1:66" ht="15" customHeight="1">
      <c r="A1518" s="8" t="s">
        <v>1514</v>
      </c>
      <c r="B1518" s="75" t="s">
        <v>119</v>
      </c>
      <c r="C1518" s="75" t="s">
        <v>2517</v>
      </c>
      <c r="D1518" s="710" t="s">
        <v>2392</v>
      </c>
      <c r="E1518" s="710"/>
      <c r="F1518" s="75" t="s">
        <v>564</v>
      </c>
      <c r="G1518" s="80">
        <v>1.23</v>
      </c>
      <c r="H1518" s="626"/>
      <c r="I1518" s="80">
        <f>G1518*AQ1518</f>
        <v>0</v>
      </c>
      <c r="J1518" s="80">
        <f>G1518*AR1518</f>
        <v>0</v>
      </c>
      <c r="K1518" s="80">
        <f>G1518*H1518</f>
        <v>0</v>
      </c>
      <c r="L1518" s="80">
        <v>3.2399999999999998E-2</v>
      </c>
      <c r="M1518" s="80">
        <f>G1518*L1518</f>
        <v>3.9851999999999999E-2</v>
      </c>
      <c r="N1518" s="38" t="s">
        <v>1579</v>
      </c>
      <c r="P1518" s="592"/>
      <c r="Q1518" s="592"/>
      <c r="R1518" s="592"/>
      <c r="S1518" s="592"/>
      <c r="T1518" s="592"/>
      <c r="U1518" s="592"/>
      <c r="V1518" s="592"/>
      <c r="W1518" s="592"/>
      <c r="X1518" s="592"/>
      <c r="AB1518" s="56">
        <f>IF(AS1518="5",BL1518,0)</f>
        <v>0</v>
      </c>
      <c r="AD1518" s="56">
        <f>IF(AS1518="1",BJ1518,0)</f>
        <v>0</v>
      </c>
      <c r="AE1518" s="56">
        <f>IF(AS1518="1",BK1518,0)</f>
        <v>0</v>
      </c>
      <c r="AF1518" s="56">
        <f>IF(AS1518="7",BJ1518,0)</f>
        <v>0</v>
      </c>
      <c r="AG1518" s="56">
        <f>IF(AS1518="7",BK1518,0)</f>
        <v>0</v>
      </c>
      <c r="AH1518" s="56">
        <f>IF(AS1518="2",BJ1518,0)</f>
        <v>0</v>
      </c>
      <c r="AI1518" s="56">
        <f>IF(AS1518="2",BK1518,0)</f>
        <v>0</v>
      </c>
      <c r="AJ1518" s="56">
        <f>IF(AS1518="0",BL1518,0)</f>
        <v>0</v>
      </c>
      <c r="AK1518" s="7" t="s">
        <v>119</v>
      </c>
      <c r="AL1518" s="80">
        <f>IF(AP1518=0,K1518,0)</f>
        <v>0</v>
      </c>
      <c r="AM1518" s="80">
        <f>IF(AP1518=15,K1518,0)</f>
        <v>0</v>
      </c>
      <c r="AN1518" s="80">
        <f>IF(AP1518=21,K1518,0)</f>
        <v>0</v>
      </c>
      <c r="AP1518" s="56">
        <v>21</v>
      </c>
      <c r="AQ1518" s="88">
        <f>H1518*1</f>
        <v>0</v>
      </c>
      <c r="AR1518" s="88">
        <f>H1518*(1-1)</f>
        <v>0</v>
      </c>
      <c r="AS1518" s="64" t="s">
        <v>2297</v>
      </c>
      <c r="AX1518" s="56">
        <f>AY1518+AZ1518</f>
        <v>0</v>
      </c>
      <c r="AY1518" s="56">
        <f>G1518*AQ1518</f>
        <v>0</v>
      </c>
      <c r="AZ1518" s="56">
        <f>G1518*AR1518</f>
        <v>0</v>
      </c>
      <c r="BA1518" s="21" t="s">
        <v>192</v>
      </c>
      <c r="BB1518" s="21" t="s">
        <v>592</v>
      </c>
      <c r="BC1518" s="7" t="s">
        <v>307</v>
      </c>
      <c r="BE1518" s="56">
        <f>AY1518+AZ1518</f>
        <v>0</v>
      </c>
      <c r="BF1518" s="56">
        <f>H1518/(100-BG1518)*100</f>
        <v>0</v>
      </c>
      <c r="BG1518" s="56">
        <v>0</v>
      </c>
      <c r="BH1518" s="56">
        <f>M1518</f>
        <v>3.9851999999999999E-2</v>
      </c>
      <c r="BJ1518" s="80">
        <f>G1518*AQ1518</f>
        <v>0</v>
      </c>
      <c r="BK1518" s="80">
        <f>G1518*AR1518</f>
        <v>0</v>
      </c>
      <c r="BL1518" s="80">
        <f>G1518*H1518</f>
        <v>0</v>
      </c>
      <c r="BM1518" s="80"/>
      <c r="BN1518" s="56">
        <v>89</v>
      </c>
    </row>
    <row r="1519" spans="1:66" ht="15" customHeight="1">
      <c r="A1519" s="36"/>
      <c r="D1519" s="45" t="s">
        <v>2297</v>
      </c>
      <c r="E1519" s="104" t="s">
        <v>1597</v>
      </c>
      <c r="G1519" s="13">
        <v>1</v>
      </c>
      <c r="N1519" s="19"/>
      <c r="P1519" s="592"/>
      <c r="Q1519" s="592"/>
      <c r="R1519" s="592"/>
      <c r="S1519" s="592"/>
      <c r="T1519" s="592"/>
      <c r="U1519" s="592"/>
      <c r="V1519" s="592"/>
      <c r="W1519" s="592"/>
      <c r="X1519" s="592"/>
    </row>
    <row r="1520" spans="1:66" ht="15" customHeight="1">
      <c r="A1520" s="24" t="s">
        <v>2214</v>
      </c>
      <c r="B1520" s="12" t="s">
        <v>119</v>
      </c>
      <c r="C1520" s="12" t="s">
        <v>1396</v>
      </c>
      <c r="D1520" s="630" t="s">
        <v>920</v>
      </c>
      <c r="E1520" s="630"/>
      <c r="F1520" s="12" t="s">
        <v>564</v>
      </c>
      <c r="G1520" s="56">
        <v>1</v>
      </c>
      <c r="H1520" s="625"/>
      <c r="I1520" s="56">
        <f>G1520*AQ1520</f>
        <v>0</v>
      </c>
      <c r="J1520" s="56">
        <f>G1520*AR1520</f>
        <v>0</v>
      </c>
      <c r="K1520" s="56">
        <f>G1520*H1520</f>
        <v>0</v>
      </c>
      <c r="L1520" s="56">
        <v>2.0000000000000002E-5</v>
      </c>
      <c r="M1520" s="56">
        <f>G1520*L1520</f>
        <v>2.0000000000000002E-5</v>
      </c>
      <c r="N1520" s="31" t="s">
        <v>1579</v>
      </c>
      <c r="P1520" s="592"/>
      <c r="Q1520" s="592"/>
      <c r="R1520" s="592"/>
      <c r="S1520" s="592"/>
      <c r="T1520" s="592"/>
      <c r="U1520" s="592"/>
      <c r="V1520" s="592"/>
      <c r="W1520" s="592"/>
      <c r="X1520" s="592"/>
      <c r="AB1520" s="56">
        <f>IF(AS1520="5",BL1520,0)</f>
        <v>0</v>
      </c>
      <c r="AD1520" s="56">
        <f>IF(AS1520="1",BJ1520,0)</f>
        <v>0</v>
      </c>
      <c r="AE1520" s="56">
        <f>IF(AS1520="1",BK1520,0)</f>
        <v>0</v>
      </c>
      <c r="AF1520" s="56">
        <f>IF(AS1520="7",BJ1520,0)</f>
        <v>0</v>
      </c>
      <c r="AG1520" s="56">
        <f>IF(AS1520="7",BK1520,0)</f>
        <v>0</v>
      </c>
      <c r="AH1520" s="56">
        <f>IF(AS1520="2",BJ1520,0)</f>
        <v>0</v>
      </c>
      <c r="AI1520" s="56">
        <f>IF(AS1520="2",BK1520,0)</f>
        <v>0</v>
      </c>
      <c r="AJ1520" s="56">
        <f>IF(AS1520="0",BL1520,0)</f>
        <v>0</v>
      </c>
      <c r="AK1520" s="7" t="s">
        <v>119</v>
      </c>
      <c r="AL1520" s="56">
        <f>IF(AP1520=0,K1520,0)</f>
        <v>0</v>
      </c>
      <c r="AM1520" s="56">
        <f>IF(AP1520=15,K1520,0)</f>
        <v>0</v>
      </c>
      <c r="AN1520" s="56">
        <f>IF(AP1520=21,K1520,0)</f>
        <v>0</v>
      </c>
      <c r="AP1520" s="56">
        <v>21</v>
      </c>
      <c r="AQ1520" s="88">
        <f>H1520*0.0134969325153374</f>
        <v>0</v>
      </c>
      <c r="AR1520" s="88">
        <f>H1520*(1-0.0134969325153374)</f>
        <v>0</v>
      </c>
      <c r="AS1520" s="21" t="s">
        <v>2297</v>
      </c>
      <c r="AX1520" s="56">
        <f>AY1520+AZ1520</f>
        <v>0</v>
      </c>
      <c r="AY1520" s="56">
        <f>G1520*AQ1520</f>
        <v>0</v>
      </c>
      <c r="AZ1520" s="56">
        <f>G1520*AR1520</f>
        <v>0</v>
      </c>
      <c r="BA1520" s="21" t="s">
        <v>192</v>
      </c>
      <c r="BB1520" s="21" t="s">
        <v>592</v>
      </c>
      <c r="BC1520" s="7" t="s">
        <v>307</v>
      </c>
      <c r="BE1520" s="56">
        <f>AY1520+AZ1520</f>
        <v>0</v>
      </c>
      <c r="BF1520" s="56">
        <f>H1520/(100-BG1520)*100</f>
        <v>0</v>
      </c>
      <c r="BG1520" s="56">
        <v>0</v>
      </c>
      <c r="BH1520" s="56">
        <f>M1520</f>
        <v>2.0000000000000002E-5</v>
      </c>
      <c r="BJ1520" s="56">
        <f>G1520*AQ1520</f>
        <v>0</v>
      </c>
      <c r="BK1520" s="56">
        <f>G1520*AR1520</f>
        <v>0</v>
      </c>
      <c r="BL1520" s="56">
        <f>G1520*H1520</f>
        <v>0</v>
      </c>
      <c r="BM1520" s="56"/>
      <c r="BN1520" s="56">
        <v>89</v>
      </c>
    </row>
    <row r="1521" spans="1:66" ht="15" customHeight="1">
      <c r="A1521" s="36"/>
      <c r="D1521" s="45" t="s">
        <v>2297</v>
      </c>
      <c r="E1521" s="104" t="s">
        <v>1597</v>
      </c>
      <c r="G1521" s="13">
        <v>1</v>
      </c>
      <c r="N1521" s="19"/>
      <c r="P1521" s="592"/>
      <c r="Q1521" s="592"/>
      <c r="R1521" s="592"/>
      <c r="S1521" s="592"/>
      <c r="T1521" s="592"/>
      <c r="U1521" s="592"/>
      <c r="V1521" s="592"/>
      <c r="W1521" s="592"/>
      <c r="X1521" s="592"/>
    </row>
    <row r="1522" spans="1:66" ht="15" customHeight="1">
      <c r="A1522" s="8" t="s">
        <v>2024</v>
      </c>
      <c r="B1522" s="75" t="s">
        <v>119</v>
      </c>
      <c r="C1522" s="75" t="s">
        <v>1026</v>
      </c>
      <c r="D1522" s="710" t="s">
        <v>1672</v>
      </c>
      <c r="E1522" s="710"/>
      <c r="F1522" s="75" t="s">
        <v>564</v>
      </c>
      <c r="G1522" s="80">
        <v>1</v>
      </c>
      <c r="H1522" s="626"/>
      <c r="I1522" s="80">
        <f>G1522*AQ1522</f>
        <v>0</v>
      </c>
      <c r="J1522" s="80">
        <f>G1522*AR1522</f>
        <v>0</v>
      </c>
      <c r="K1522" s="80">
        <f>G1522*H1522</f>
        <v>0</v>
      </c>
      <c r="L1522" s="80">
        <v>1.5200000000000001E-3</v>
      </c>
      <c r="M1522" s="80">
        <f>G1522*L1522</f>
        <v>1.5200000000000001E-3</v>
      </c>
      <c r="N1522" s="38" t="s">
        <v>1579</v>
      </c>
      <c r="P1522" s="592"/>
      <c r="Q1522" s="592"/>
      <c r="R1522" s="592"/>
      <c r="S1522" s="592"/>
      <c r="T1522" s="592"/>
      <c r="U1522" s="592"/>
      <c r="V1522" s="592"/>
      <c r="W1522" s="592"/>
      <c r="X1522" s="592"/>
      <c r="AB1522" s="56">
        <f>IF(AS1522="5",BL1522,0)</f>
        <v>0</v>
      </c>
      <c r="AD1522" s="56">
        <f>IF(AS1522="1",BJ1522,0)</f>
        <v>0</v>
      </c>
      <c r="AE1522" s="56">
        <f>IF(AS1522="1",BK1522,0)</f>
        <v>0</v>
      </c>
      <c r="AF1522" s="56">
        <f>IF(AS1522="7",BJ1522,0)</f>
        <v>0</v>
      </c>
      <c r="AG1522" s="56">
        <f>IF(AS1522="7",BK1522,0)</f>
        <v>0</v>
      </c>
      <c r="AH1522" s="56">
        <f>IF(AS1522="2",BJ1522,0)</f>
        <v>0</v>
      </c>
      <c r="AI1522" s="56">
        <f>IF(AS1522="2",BK1522,0)</f>
        <v>0</v>
      </c>
      <c r="AJ1522" s="56">
        <f>IF(AS1522="0",BL1522,0)</f>
        <v>0</v>
      </c>
      <c r="AK1522" s="7" t="s">
        <v>119</v>
      </c>
      <c r="AL1522" s="80">
        <f>IF(AP1522=0,K1522,0)</f>
        <v>0</v>
      </c>
      <c r="AM1522" s="80">
        <f>IF(AP1522=15,K1522,0)</f>
        <v>0</v>
      </c>
      <c r="AN1522" s="80">
        <f>IF(AP1522=21,K1522,0)</f>
        <v>0</v>
      </c>
      <c r="AP1522" s="56">
        <v>21</v>
      </c>
      <c r="AQ1522" s="88">
        <f>H1522*1</f>
        <v>0</v>
      </c>
      <c r="AR1522" s="88">
        <f>H1522*(1-1)</f>
        <v>0</v>
      </c>
      <c r="AS1522" s="64" t="s">
        <v>2297</v>
      </c>
      <c r="AX1522" s="56">
        <f>AY1522+AZ1522</f>
        <v>0</v>
      </c>
      <c r="AY1522" s="56">
        <f>G1522*AQ1522</f>
        <v>0</v>
      </c>
      <c r="AZ1522" s="56">
        <f>G1522*AR1522</f>
        <v>0</v>
      </c>
      <c r="BA1522" s="21" t="s">
        <v>192</v>
      </c>
      <c r="BB1522" s="21" t="s">
        <v>592</v>
      </c>
      <c r="BC1522" s="7" t="s">
        <v>307</v>
      </c>
      <c r="BE1522" s="56">
        <f>AY1522+AZ1522</f>
        <v>0</v>
      </c>
      <c r="BF1522" s="56">
        <f>H1522/(100-BG1522)*100</f>
        <v>0</v>
      </c>
      <c r="BG1522" s="56">
        <v>0</v>
      </c>
      <c r="BH1522" s="56">
        <f>M1522</f>
        <v>1.5200000000000001E-3</v>
      </c>
      <c r="BJ1522" s="80">
        <f>G1522*AQ1522</f>
        <v>0</v>
      </c>
      <c r="BK1522" s="80">
        <f>G1522*AR1522</f>
        <v>0</v>
      </c>
      <c r="BL1522" s="80">
        <f>G1522*H1522</f>
        <v>0</v>
      </c>
      <c r="BM1522" s="80"/>
      <c r="BN1522" s="56">
        <v>89</v>
      </c>
    </row>
    <row r="1523" spans="1:66" ht="15" customHeight="1">
      <c r="A1523" s="36"/>
      <c r="D1523" s="45" t="s">
        <v>2297</v>
      </c>
      <c r="E1523" s="104" t="s">
        <v>744</v>
      </c>
      <c r="G1523" s="13">
        <v>1</v>
      </c>
      <c r="N1523" s="19"/>
      <c r="P1523" s="592"/>
      <c r="Q1523" s="592"/>
      <c r="R1523" s="592"/>
      <c r="S1523" s="592"/>
      <c r="T1523" s="592"/>
      <c r="U1523" s="592"/>
      <c r="V1523" s="592"/>
      <c r="W1523" s="592"/>
      <c r="X1523" s="592"/>
    </row>
    <row r="1524" spans="1:66" ht="15" customHeight="1">
      <c r="A1524" s="8" t="s">
        <v>2611</v>
      </c>
      <c r="B1524" s="75" t="s">
        <v>119</v>
      </c>
      <c r="C1524" s="75" t="s">
        <v>837</v>
      </c>
      <c r="D1524" s="710" t="s">
        <v>1269</v>
      </c>
      <c r="E1524" s="710"/>
      <c r="F1524" s="75" t="s">
        <v>564</v>
      </c>
      <c r="G1524" s="80">
        <v>1</v>
      </c>
      <c r="H1524" s="626"/>
      <c r="I1524" s="80">
        <f>G1524*AQ1524</f>
        <v>0</v>
      </c>
      <c r="J1524" s="80">
        <f>G1524*AR1524</f>
        <v>0</v>
      </c>
      <c r="K1524" s="80">
        <f>G1524*H1524</f>
        <v>0</v>
      </c>
      <c r="L1524" s="80">
        <v>4.3E-3</v>
      </c>
      <c r="M1524" s="80">
        <f>G1524*L1524</f>
        <v>4.3E-3</v>
      </c>
      <c r="N1524" s="38" t="s">
        <v>1579</v>
      </c>
      <c r="P1524" s="592"/>
      <c r="Q1524" s="592"/>
      <c r="R1524" s="592"/>
      <c r="S1524" s="592"/>
      <c r="T1524" s="592"/>
      <c r="U1524" s="592"/>
      <c r="V1524" s="592"/>
      <c r="W1524" s="592"/>
      <c r="X1524" s="592"/>
      <c r="AB1524" s="56">
        <f>IF(AS1524="5",BL1524,0)</f>
        <v>0</v>
      </c>
      <c r="AD1524" s="56">
        <f>IF(AS1524="1",BJ1524,0)</f>
        <v>0</v>
      </c>
      <c r="AE1524" s="56">
        <f>IF(AS1524="1",BK1524,0)</f>
        <v>0</v>
      </c>
      <c r="AF1524" s="56">
        <f>IF(AS1524="7",BJ1524,0)</f>
        <v>0</v>
      </c>
      <c r="AG1524" s="56">
        <f>IF(AS1524="7",BK1524,0)</f>
        <v>0</v>
      </c>
      <c r="AH1524" s="56">
        <f>IF(AS1524="2",BJ1524,0)</f>
        <v>0</v>
      </c>
      <c r="AI1524" s="56">
        <f>IF(AS1524="2",BK1524,0)</f>
        <v>0</v>
      </c>
      <c r="AJ1524" s="56">
        <f>IF(AS1524="0",BL1524,0)</f>
        <v>0</v>
      </c>
      <c r="AK1524" s="7" t="s">
        <v>119</v>
      </c>
      <c r="AL1524" s="80">
        <f>IF(AP1524=0,K1524,0)</f>
        <v>0</v>
      </c>
      <c r="AM1524" s="80">
        <f>IF(AP1524=15,K1524,0)</f>
        <v>0</v>
      </c>
      <c r="AN1524" s="80">
        <f>IF(AP1524=21,K1524,0)</f>
        <v>0</v>
      </c>
      <c r="AP1524" s="56">
        <v>21</v>
      </c>
      <c r="AQ1524" s="88">
        <f>H1524*1</f>
        <v>0</v>
      </c>
      <c r="AR1524" s="88">
        <f>H1524*(1-1)</f>
        <v>0</v>
      </c>
      <c r="AS1524" s="64" t="s">
        <v>2297</v>
      </c>
      <c r="AX1524" s="56">
        <f>AY1524+AZ1524</f>
        <v>0</v>
      </c>
      <c r="AY1524" s="56">
        <f>G1524*AQ1524</f>
        <v>0</v>
      </c>
      <c r="AZ1524" s="56">
        <f>G1524*AR1524</f>
        <v>0</v>
      </c>
      <c r="BA1524" s="21" t="s">
        <v>192</v>
      </c>
      <c r="BB1524" s="21" t="s">
        <v>592</v>
      </c>
      <c r="BC1524" s="7" t="s">
        <v>307</v>
      </c>
      <c r="BE1524" s="56">
        <f>AY1524+AZ1524</f>
        <v>0</v>
      </c>
      <c r="BF1524" s="56">
        <f>H1524/(100-BG1524)*100</f>
        <v>0</v>
      </c>
      <c r="BG1524" s="56">
        <v>0</v>
      </c>
      <c r="BH1524" s="56">
        <f>M1524</f>
        <v>4.3E-3</v>
      </c>
      <c r="BJ1524" s="80">
        <f>G1524*AQ1524</f>
        <v>0</v>
      </c>
      <c r="BK1524" s="80">
        <f>G1524*AR1524</f>
        <v>0</v>
      </c>
      <c r="BL1524" s="80">
        <f>G1524*H1524</f>
        <v>0</v>
      </c>
      <c r="BM1524" s="80"/>
      <c r="BN1524" s="56">
        <v>89</v>
      </c>
    </row>
    <row r="1525" spans="1:66" ht="15" customHeight="1">
      <c r="A1525" s="36"/>
      <c r="D1525" s="45" t="s">
        <v>2297</v>
      </c>
      <c r="E1525" s="104" t="s">
        <v>1597</v>
      </c>
      <c r="G1525" s="13">
        <v>1</v>
      </c>
      <c r="N1525" s="19"/>
      <c r="P1525" s="592"/>
      <c r="Q1525" s="592"/>
      <c r="R1525" s="592"/>
      <c r="S1525" s="592"/>
      <c r="T1525" s="592"/>
      <c r="U1525" s="592"/>
      <c r="V1525" s="592"/>
      <c r="W1525" s="592"/>
      <c r="X1525" s="592"/>
    </row>
    <row r="1526" spans="1:66" ht="15" customHeight="1">
      <c r="A1526" s="24" t="s">
        <v>1261</v>
      </c>
      <c r="B1526" s="12" t="s">
        <v>119</v>
      </c>
      <c r="C1526" s="12" t="s">
        <v>2332</v>
      </c>
      <c r="D1526" s="630" t="s">
        <v>1299</v>
      </c>
      <c r="E1526" s="630"/>
      <c r="F1526" s="12" t="s">
        <v>564</v>
      </c>
      <c r="G1526" s="56">
        <v>1</v>
      </c>
      <c r="H1526" s="625"/>
      <c r="I1526" s="56">
        <f>G1526*AQ1526</f>
        <v>0</v>
      </c>
      <c r="J1526" s="56">
        <f>G1526*AR1526</f>
        <v>0</v>
      </c>
      <c r="K1526" s="56">
        <f>G1526*H1526</f>
        <v>0</v>
      </c>
      <c r="L1526" s="56">
        <v>6.3829999999999998E-2</v>
      </c>
      <c r="M1526" s="56">
        <f>G1526*L1526</f>
        <v>6.3829999999999998E-2</v>
      </c>
      <c r="N1526" s="31" t="s">
        <v>1579</v>
      </c>
      <c r="P1526" s="592"/>
      <c r="Q1526" s="592"/>
      <c r="R1526" s="592"/>
      <c r="S1526" s="592"/>
      <c r="T1526" s="592"/>
      <c r="U1526" s="592"/>
      <c r="V1526" s="592"/>
      <c r="W1526" s="592"/>
      <c r="X1526" s="592"/>
      <c r="AB1526" s="56">
        <f>IF(AS1526="5",BL1526,0)</f>
        <v>0</v>
      </c>
      <c r="AD1526" s="56">
        <f>IF(AS1526="1",BJ1526,0)</f>
        <v>0</v>
      </c>
      <c r="AE1526" s="56">
        <f>IF(AS1526="1",BK1526,0)</f>
        <v>0</v>
      </c>
      <c r="AF1526" s="56">
        <f>IF(AS1526="7",BJ1526,0)</f>
        <v>0</v>
      </c>
      <c r="AG1526" s="56">
        <f>IF(AS1526="7",BK1526,0)</f>
        <v>0</v>
      </c>
      <c r="AH1526" s="56">
        <f>IF(AS1526="2",BJ1526,0)</f>
        <v>0</v>
      </c>
      <c r="AI1526" s="56">
        <f>IF(AS1526="2",BK1526,0)</f>
        <v>0</v>
      </c>
      <c r="AJ1526" s="56">
        <f>IF(AS1526="0",BL1526,0)</f>
        <v>0</v>
      </c>
      <c r="AK1526" s="7" t="s">
        <v>119</v>
      </c>
      <c r="AL1526" s="56">
        <f>IF(AP1526=0,K1526,0)</f>
        <v>0</v>
      </c>
      <c r="AM1526" s="56">
        <f>IF(AP1526=15,K1526,0)</f>
        <v>0</v>
      </c>
      <c r="AN1526" s="56">
        <f>IF(AP1526=21,K1526,0)</f>
        <v>0</v>
      </c>
      <c r="AP1526" s="56">
        <v>21</v>
      </c>
      <c r="AQ1526" s="88">
        <f>H1526*0.272309197651663</f>
        <v>0</v>
      </c>
      <c r="AR1526" s="88">
        <f>H1526*(1-0.272309197651663)</f>
        <v>0</v>
      </c>
      <c r="AS1526" s="21" t="s">
        <v>2297</v>
      </c>
      <c r="AX1526" s="56">
        <f>AY1526+AZ1526</f>
        <v>0</v>
      </c>
      <c r="AY1526" s="56">
        <f>G1526*AQ1526</f>
        <v>0</v>
      </c>
      <c r="AZ1526" s="56">
        <f>G1526*AR1526</f>
        <v>0</v>
      </c>
      <c r="BA1526" s="21" t="s">
        <v>192</v>
      </c>
      <c r="BB1526" s="21" t="s">
        <v>592</v>
      </c>
      <c r="BC1526" s="7" t="s">
        <v>307</v>
      </c>
      <c r="BE1526" s="56">
        <f>AY1526+AZ1526</f>
        <v>0</v>
      </c>
      <c r="BF1526" s="56">
        <f>H1526/(100-BG1526)*100</f>
        <v>0</v>
      </c>
      <c r="BG1526" s="56">
        <v>0</v>
      </c>
      <c r="BH1526" s="56">
        <f>M1526</f>
        <v>6.3829999999999998E-2</v>
      </c>
      <c r="BJ1526" s="56">
        <f>G1526*AQ1526</f>
        <v>0</v>
      </c>
      <c r="BK1526" s="56">
        <f>G1526*AR1526</f>
        <v>0</v>
      </c>
      <c r="BL1526" s="56">
        <f>G1526*H1526</f>
        <v>0</v>
      </c>
      <c r="BM1526" s="56"/>
      <c r="BN1526" s="56">
        <v>89</v>
      </c>
    </row>
    <row r="1527" spans="1:66" ht="15" customHeight="1">
      <c r="A1527" s="36"/>
      <c r="D1527" s="45" t="s">
        <v>2297</v>
      </c>
      <c r="E1527" s="104" t="s">
        <v>1597</v>
      </c>
      <c r="G1527" s="13">
        <v>1</v>
      </c>
      <c r="N1527" s="19"/>
      <c r="P1527" s="592"/>
      <c r="Q1527" s="592"/>
      <c r="R1527" s="592"/>
      <c r="S1527" s="592"/>
      <c r="T1527" s="592"/>
      <c r="U1527" s="592"/>
      <c r="V1527" s="592"/>
      <c r="W1527" s="592"/>
      <c r="X1527" s="592"/>
    </row>
    <row r="1528" spans="1:66" ht="15" customHeight="1">
      <c r="A1528" s="8" t="s">
        <v>696</v>
      </c>
      <c r="B1528" s="75" t="s">
        <v>119</v>
      </c>
      <c r="C1528" s="75" t="s">
        <v>878</v>
      </c>
      <c r="D1528" s="710" t="s">
        <v>2457</v>
      </c>
      <c r="E1528" s="710"/>
      <c r="F1528" s="75" t="s">
        <v>564</v>
      </c>
      <c r="G1528" s="80">
        <v>1</v>
      </c>
      <c r="H1528" s="626"/>
      <c r="I1528" s="80">
        <f>G1528*AQ1528</f>
        <v>0</v>
      </c>
      <c r="J1528" s="80">
        <f>G1528*AR1528</f>
        <v>0</v>
      </c>
      <c r="K1528" s="80">
        <f>G1528*H1528</f>
        <v>0</v>
      </c>
      <c r="L1528" s="80">
        <v>8.0000000000000002E-3</v>
      </c>
      <c r="M1528" s="80">
        <f>G1528*L1528</f>
        <v>8.0000000000000002E-3</v>
      </c>
      <c r="N1528" s="38" t="s">
        <v>1579</v>
      </c>
      <c r="P1528" s="592"/>
      <c r="Q1528" s="592"/>
      <c r="R1528" s="592"/>
      <c r="S1528" s="592"/>
      <c r="T1528" s="592"/>
      <c r="U1528" s="592"/>
      <c r="V1528" s="592"/>
      <c r="W1528" s="592"/>
      <c r="X1528" s="592"/>
      <c r="AB1528" s="56">
        <f>IF(AS1528="5",BL1528,0)</f>
        <v>0</v>
      </c>
      <c r="AD1528" s="56">
        <f>IF(AS1528="1",BJ1528,0)</f>
        <v>0</v>
      </c>
      <c r="AE1528" s="56">
        <f>IF(AS1528="1",BK1528,0)</f>
        <v>0</v>
      </c>
      <c r="AF1528" s="56">
        <f>IF(AS1528="7",BJ1528,0)</f>
        <v>0</v>
      </c>
      <c r="AG1528" s="56">
        <f>IF(AS1528="7",BK1528,0)</f>
        <v>0</v>
      </c>
      <c r="AH1528" s="56">
        <f>IF(AS1528="2",BJ1528,0)</f>
        <v>0</v>
      </c>
      <c r="AI1528" s="56">
        <f>IF(AS1528="2",BK1528,0)</f>
        <v>0</v>
      </c>
      <c r="AJ1528" s="56">
        <f>IF(AS1528="0",BL1528,0)</f>
        <v>0</v>
      </c>
      <c r="AK1528" s="7" t="s">
        <v>119</v>
      </c>
      <c r="AL1528" s="80">
        <f>IF(AP1528=0,K1528,0)</f>
        <v>0</v>
      </c>
      <c r="AM1528" s="80">
        <f>IF(AP1528=15,K1528,0)</f>
        <v>0</v>
      </c>
      <c r="AN1528" s="80">
        <f>IF(AP1528=21,K1528,0)</f>
        <v>0</v>
      </c>
      <c r="AP1528" s="56">
        <v>21</v>
      </c>
      <c r="AQ1528" s="88">
        <f>H1528*1</f>
        <v>0</v>
      </c>
      <c r="AR1528" s="88">
        <f>H1528*(1-1)</f>
        <v>0</v>
      </c>
      <c r="AS1528" s="64" t="s">
        <v>2297</v>
      </c>
      <c r="AX1528" s="56">
        <f>AY1528+AZ1528</f>
        <v>0</v>
      </c>
      <c r="AY1528" s="56">
        <f>G1528*AQ1528</f>
        <v>0</v>
      </c>
      <c r="AZ1528" s="56">
        <f>G1528*AR1528</f>
        <v>0</v>
      </c>
      <c r="BA1528" s="21" t="s">
        <v>192</v>
      </c>
      <c r="BB1528" s="21" t="s">
        <v>592</v>
      </c>
      <c r="BC1528" s="7" t="s">
        <v>307</v>
      </c>
      <c r="BE1528" s="56">
        <f>AY1528+AZ1528</f>
        <v>0</v>
      </c>
      <c r="BF1528" s="56">
        <f>H1528/(100-BG1528)*100</f>
        <v>0</v>
      </c>
      <c r="BG1528" s="56">
        <v>0</v>
      </c>
      <c r="BH1528" s="56">
        <f>M1528</f>
        <v>8.0000000000000002E-3</v>
      </c>
      <c r="BJ1528" s="80">
        <f>G1528*AQ1528</f>
        <v>0</v>
      </c>
      <c r="BK1528" s="80">
        <f>G1528*AR1528</f>
        <v>0</v>
      </c>
      <c r="BL1528" s="80">
        <f>G1528*H1528</f>
        <v>0</v>
      </c>
      <c r="BM1528" s="80"/>
      <c r="BN1528" s="56">
        <v>89</v>
      </c>
    </row>
    <row r="1529" spans="1:66" ht="15" customHeight="1">
      <c r="A1529" s="36"/>
      <c r="D1529" s="45" t="s">
        <v>2297</v>
      </c>
      <c r="E1529" s="104" t="s">
        <v>1597</v>
      </c>
      <c r="G1529" s="13">
        <v>1</v>
      </c>
      <c r="N1529" s="19"/>
      <c r="P1529" s="592"/>
      <c r="Q1529" s="592"/>
      <c r="R1529" s="592"/>
      <c r="S1529" s="592"/>
      <c r="T1529" s="592"/>
      <c r="U1529" s="592"/>
      <c r="V1529" s="592"/>
      <c r="W1529" s="592"/>
      <c r="X1529" s="592"/>
    </row>
    <row r="1530" spans="1:66" ht="15" customHeight="1">
      <c r="A1530" s="24" t="s">
        <v>896</v>
      </c>
      <c r="B1530" s="12" t="s">
        <v>119</v>
      </c>
      <c r="C1530" s="12" t="s">
        <v>1657</v>
      </c>
      <c r="D1530" s="630" t="s">
        <v>775</v>
      </c>
      <c r="E1530" s="630"/>
      <c r="F1530" s="12" t="s">
        <v>1923</v>
      </c>
      <c r="G1530" s="56">
        <v>20</v>
      </c>
      <c r="H1530" s="625"/>
      <c r="I1530" s="56">
        <f>G1530*AQ1530</f>
        <v>0</v>
      </c>
      <c r="J1530" s="56">
        <f>G1530*AR1530</f>
        <v>0</v>
      </c>
      <c r="K1530" s="56">
        <f>G1530*H1530</f>
        <v>0</v>
      </c>
      <c r="L1530" s="56">
        <v>0</v>
      </c>
      <c r="M1530" s="56">
        <f>G1530*L1530</f>
        <v>0</v>
      </c>
      <c r="N1530" s="31" t="s">
        <v>1579</v>
      </c>
      <c r="P1530" s="592"/>
      <c r="Q1530" s="592"/>
      <c r="R1530" s="592"/>
      <c r="S1530" s="592"/>
      <c r="T1530" s="592"/>
      <c r="U1530" s="592"/>
      <c r="V1530" s="592"/>
      <c r="W1530" s="592"/>
      <c r="X1530" s="592"/>
      <c r="AB1530" s="56">
        <f>IF(AS1530="5",BL1530,0)</f>
        <v>0</v>
      </c>
      <c r="AD1530" s="56">
        <f>IF(AS1530="1",BJ1530,0)</f>
        <v>0</v>
      </c>
      <c r="AE1530" s="56">
        <f>IF(AS1530="1",BK1530,0)</f>
        <v>0</v>
      </c>
      <c r="AF1530" s="56">
        <f>IF(AS1530="7",BJ1530,0)</f>
        <v>0</v>
      </c>
      <c r="AG1530" s="56">
        <f>IF(AS1530="7",BK1530,0)</f>
        <v>0</v>
      </c>
      <c r="AH1530" s="56">
        <f>IF(AS1530="2",BJ1530,0)</f>
        <v>0</v>
      </c>
      <c r="AI1530" s="56">
        <f>IF(AS1530="2",BK1530,0)</f>
        <v>0</v>
      </c>
      <c r="AJ1530" s="56">
        <f>IF(AS1530="0",BL1530,0)</f>
        <v>0</v>
      </c>
      <c r="AK1530" s="7" t="s">
        <v>119</v>
      </c>
      <c r="AL1530" s="56">
        <f>IF(AP1530=0,K1530,0)</f>
        <v>0</v>
      </c>
      <c r="AM1530" s="56">
        <f>IF(AP1530=15,K1530,0)</f>
        <v>0</v>
      </c>
      <c r="AN1530" s="56">
        <f>IF(AP1530=21,K1530,0)</f>
        <v>0</v>
      </c>
      <c r="AP1530" s="56">
        <v>21</v>
      </c>
      <c r="AQ1530" s="88">
        <f>H1530*0.0056565170297268</f>
        <v>0</v>
      </c>
      <c r="AR1530" s="88">
        <f>H1530*(1-0.0056565170297268)</f>
        <v>0</v>
      </c>
      <c r="AS1530" s="21" t="s">
        <v>2297</v>
      </c>
      <c r="AX1530" s="56">
        <f>AY1530+AZ1530</f>
        <v>0</v>
      </c>
      <c r="AY1530" s="56">
        <f>G1530*AQ1530</f>
        <v>0</v>
      </c>
      <c r="AZ1530" s="56">
        <f>G1530*AR1530</f>
        <v>0</v>
      </c>
      <c r="BA1530" s="21" t="s">
        <v>192</v>
      </c>
      <c r="BB1530" s="21" t="s">
        <v>592</v>
      </c>
      <c r="BC1530" s="7" t="s">
        <v>307</v>
      </c>
      <c r="BE1530" s="56">
        <f>AY1530+AZ1530</f>
        <v>0</v>
      </c>
      <c r="BF1530" s="56">
        <f>H1530/(100-BG1530)*100</f>
        <v>0</v>
      </c>
      <c r="BG1530" s="56">
        <v>0</v>
      </c>
      <c r="BH1530" s="56">
        <f>M1530</f>
        <v>0</v>
      </c>
      <c r="BJ1530" s="56">
        <f>G1530*AQ1530</f>
        <v>0</v>
      </c>
      <c r="BK1530" s="56">
        <f>G1530*AR1530</f>
        <v>0</v>
      </c>
      <c r="BL1530" s="56">
        <f>G1530*H1530</f>
        <v>0</v>
      </c>
      <c r="BM1530" s="56"/>
      <c r="BN1530" s="56">
        <v>89</v>
      </c>
    </row>
    <row r="1531" spans="1:66" ht="15" customHeight="1">
      <c r="A1531" s="36"/>
      <c r="D1531" s="45" t="s">
        <v>109</v>
      </c>
      <c r="E1531" s="104" t="s">
        <v>1597</v>
      </c>
      <c r="G1531" s="13">
        <v>20</v>
      </c>
      <c r="N1531" s="19"/>
      <c r="P1531" s="592"/>
      <c r="Q1531" s="592"/>
      <c r="R1531" s="592"/>
      <c r="S1531" s="592"/>
      <c r="T1531" s="592"/>
      <c r="U1531" s="592"/>
      <c r="V1531" s="592"/>
      <c r="W1531" s="592"/>
      <c r="X1531" s="592"/>
    </row>
    <row r="1532" spans="1:66" ht="15" customHeight="1">
      <c r="A1532" s="24" t="s">
        <v>1477</v>
      </c>
      <c r="B1532" s="12" t="s">
        <v>119</v>
      </c>
      <c r="C1532" s="12" t="s">
        <v>2161</v>
      </c>
      <c r="D1532" s="630" t="s">
        <v>2390</v>
      </c>
      <c r="E1532" s="630"/>
      <c r="F1532" s="12" t="s">
        <v>1923</v>
      </c>
      <c r="G1532" s="56">
        <v>20</v>
      </c>
      <c r="H1532" s="625"/>
      <c r="I1532" s="56">
        <f>G1532*AQ1532</f>
        <v>0</v>
      </c>
      <c r="J1532" s="56">
        <f>G1532*AR1532</f>
        <v>0</v>
      </c>
      <c r="K1532" s="56">
        <f>G1532*H1532</f>
        <v>0</v>
      </c>
      <c r="L1532" s="56">
        <v>0</v>
      </c>
      <c r="M1532" s="56">
        <f>G1532*L1532</f>
        <v>0</v>
      </c>
      <c r="N1532" s="31" t="s">
        <v>1579</v>
      </c>
      <c r="P1532" s="592"/>
      <c r="Q1532" s="592"/>
      <c r="R1532" s="592"/>
      <c r="S1532" s="592"/>
      <c r="T1532" s="592"/>
      <c r="U1532" s="592"/>
      <c r="V1532" s="592"/>
      <c r="W1532" s="592"/>
      <c r="X1532" s="592"/>
      <c r="AB1532" s="56">
        <f>IF(AS1532="5",BL1532,0)</f>
        <v>0</v>
      </c>
      <c r="AD1532" s="56">
        <f>IF(AS1532="1",BJ1532,0)</f>
        <v>0</v>
      </c>
      <c r="AE1532" s="56">
        <f>IF(AS1532="1",BK1532,0)</f>
        <v>0</v>
      </c>
      <c r="AF1532" s="56">
        <f>IF(AS1532="7",BJ1532,0)</f>
        <v>0</v>
      </c>
      <c r="AG1532" s="56">
        <f>IF(AS1532="7",BK1532,0)</f>
        <v>0</v>
      </c>
      <c r="AH1532" s="56">
        <f>IF(AS1532="2",BJ1532,0)</f>
        <v>0</v>
      </c>
      <c r="AI1532" s="56">
        <f>IF(AS1532="2",BK1532,0)</f>
        <v>0</v>
      </c>
      <c r="AJ1532" s="56">
        <f>IF(AS1532="0",BL1532,0)</f>
        <v>0</v>
      </c>
      <c r="AK1532" s="7" t="s">
        <v>119</v>
      </c>
      <c r="AL1532" s="56">
        <f>IF(AP1532=0,K1532,0)</f>
        <v>0</v>
      </c>
      <c r="AM1532" s="56">
        <f>IF(AP1532=15,K1532,0)</f>
        <v>0</v>
      </c>
      <c r="AN1532" s="56">
        <f>IF(AP1532=21,K1532,0)</f>
        <v>0</v>
      </c>
      <c r="AP1532" s="56">
        <v>21</v>
      </c>
      <c r="AQ1532" s="88">
        <f>H1532*0.0239934932899553</f>
        <v>0</v>
      </c>
      <c r="AR1532" s="88">
        <f>H1532*(1-0.0239934932899553)</f>
        <v>0</v>
      </c>
      <c r="AS1532" s="21" t="s">
        <v>2297</v>
      </c>
      <c r="AX1532" s="56">
        <f>AY1532+AZ1532</f>
        <v>0</v>
      </c>
      <c r="AY1532" s="56">
        <f>G1532*AQ1532</f>
        <v>0</v>
      </c>
      <c r="AZ1532" s="56">
        <f>G1532*AR1532</f>
        <v>0</v>
      </c>
      <c r="BA1532" s="21" t="s">
        <v>192</v>
      </c>
      <c r="BB1532" s="21" t="s">
        <v>592</v>
      </c>
      <c r="BC1532" s="7" t="s">
        <v>307</v>
      </c>
      <c r="BE1532" s="56">
        <f>AY1532+AZ1532</f>
        <v>0</v>
      </c>
      <c r="BF1532" s="56">
        <f>H1532/(100-BG1532)*100</f>
        <v>0</v>
      </c>
      <c r="BG1532" s="56">
        <v>0</v>
      </c>
      <c r="BH1532" s="56">
        <f>M1532</f>
        <v>0</v>
      </c>
      <c r="BJ1532" s="56">
        <f>G1532*AQ1532</f>
        <v>0</v>
      </c>
      <c r="BK1532" s="56">
        <f>G1532*AR1532</f>
        <v>0</v>
      </c>
      <c r="BL1532" s="56">
        <f>G1532*H1532</f>
        <v>0</v>
      </c>
      <c r="BM1532" s="56"/>
      <c r="BN1532" s="56">
        <v>89</v>
      </c>
    </row>
    <row r="1533" spans="1:66" ht="15" customHeight="1">
      <c r="A1533" s="36"/>
      <c r="D1533" s="45" t="s">
        <v>109</v>
      </c>
      <c r="E1533" s="104" t="s">
        <v>1597</v>
      </c>
      <c r="G1533" s="13">
        <v>20</v>
      </c>
      <c r="N1533" s="19"/>
      <c r="P1533" s="592"/>
      <c r="Q1533" s="592"/>
      <c r="R1533" s="592"/>
      <c r="S1533" s="592"/>
      <c r="T1533" s="592"/>
      <c r="U1533" s="592"/>
      <c r="V1533" s="592"/>
      <c r="W1533" s="592"/>
      <c r="X1533" s="592"/>
    </row>
    <row r="1534" spans="1:66" ht="15" customHeight="1">
      <c r="A1534" s="24" t="s">
        <v>1027</v>
      </c>
      <c r="B1534" s="12" t="s">
        <v>119</v>
      </c>
      <c r="C1534" s="12" t="s">
        <v>667</v>
      </c>
      <c r="D1534" s="630" t="s">
        <v>2009</v>
      </c>
      <c r="E1534" s="630"/>
      <c r="F1534" s="12" t="s">
        <v>2515</v>
      </c>
      <c r="G1534" s="56">
        <v>1</v>
      </c>
      <c r="H1534" s="625"/>
      <c r="I1534" s="56">
        <f>G1534*AQ1534</f>
        <v>0</v>
      </c>
      <c r="J1534" s="56">
        <f>G1534*AR1534</f>
        <v>0</v>
      </c>
      <c r="K1534" s="56">
        <f>G1534*H1534</f>
        <v>0</v>
      </c>
      <c r="L1534" s="56">
        <v>3.5029999999999999E-2</v>
      </c>
      <c r="M1534" s="56">
        <f>G1534*L1534</f>
        <v>3.5029999999999999E-2</v>
      </c>
      <c r="N1534" s="31" t="s">
        <v>1579</v>
      </c>
      <c r="P1534" s="592"/>
      <c r="Q1534" s="592"/>
      <c r="R1534" s="592"/>
      <c r="S1534" s="592"/>
      <c r="T1534" s="592"/>
      <c r="U1534" s="592"/>
      <c r="V1534" s="592"/>
      <c r="W1534" s="592"/>
      <c r="X1534" s="592"/>
      <c r="AB1534" s="56">
        <f>IF(AS1534="5",BL1534,0)</f>
        <v>0</v>
      </c>
      <c r="AD1534" s="56">
        <f>IF(AS1534="1",BJ1534,0)</f>
        <v>0</v>
      </c>
      <c r="AE1534" s="56">
        <f>IF(AS1534="1",BK1534,0)</f>
        <v>0</v>
      </c>
      <c r="AF1534" s="56">
        <f>IF(AS1534="7",BJ1534,0)</f>
        <v>0</v>
      </c>
      <c r="AG1534" s="56">
        <f>IF(AS1534="7",BK1534,0)</f>
        <v>0</v>
      </c>
      <c r="AH1534" s="56">
        <f>IF(AS1534="2",BJ1534,0)</f>
        <v>0</v>
      </c>
      <c r="AI1534" s="56">
        <f>IF(AS1534="2",BK1534,0)</f>
        <v>0</v>
      </c>
      <c r="AJ1534" s="56">
        <f>IF(AS1534="0",BL1534,0)</f>
        <v>0</v>
      </c>
      <c r="AK1534" s="7" t="s">
        <v>119</v>
      </c>
      <c r="AL1534" s="56">
        <f>IF(AP1534=0,K1534,0)</f>
        <v>0</v>
      </c>
      <c r="AM1534" s="56">
        <f>IF(AP1534=15,K1534,0)</f>
        <v>0</v>
      </c>
      <c r="AN1534" s="56">
        <f>IF(AP1534=21,K1534,0)</f>
        <v>0</v>
      </c>
      <c r="AP1534" s="56">
        <v>21</v>
      </c>
      <c r="AQ1534" s="88">
        <f>H1534*0.461472277227723</f>
        <v>0</v>
      </c>
      <c r="AR1534" s="88">
        <f>H1534*(1-0.461472277227723)</f>
        <v>0</v>
      </c>
      <c r="AS1534" s="21" t="s">
        <v>2297</v>
      </c>
      <c r="AX1534" s="56">
        <f>AY1534+AZ1534</f>
        <v>0</v>
      </c>
      <c r="AY1534" s="56">
        <f>G1534*AQ1534</f>
        <v>0</v>
      </c>
      <c r="AZ1534" s="56">
        <f>G1534*AR1534</f>
        <v>0</v>
      </c>
      <c r="BA1534" s="21" t="s">
        <v>192</v>
      </c>
      <c r="BB1534" s="21" t="s">
        <v>592</v>
      </c>
      <c r="BC1534" s="7" t="s">
        <v>307</v>
      </c>
      <c r="BE1534" s="56">
        <f>AY1534+AZ1534</f>
        <v>0</v>
      </c>
      <c r="BF1534" s="56">
        <f>H1534/(100-BG1534)*100</f>
        <v>0</v>
      </c>
      <c r="BG1534" s="56">
        <v>0</v>
      </c>
      <c r="BH1534" s="56">
        <f>M1534</f>
        <v>3.5029999999999999E-2</v>
      </c>
      <c r="BJ1534" s="56">
        <f>G1534*AQ1534</f>
        <v>0</v>
      </c>
      <c r="BK1534" s="56">
        <f>G1534*AR1534</f>
        <v>0</v>
      </c>
      <c r="BL1534" s="56">
        <f>G1534*H1534</f>
        <v>0</v>
      </c>
      <c r="BM1534" s="56"/>
      <c r="BN1534" s="56">
        <v>89</v>
      </c>
    </row>
    <row r="1535" spans="1:66" ht="15" customHeight="1">
      <c r="A1535" s="36"/>
      <c r="D1535" s="45" t="s">
        <v>2297</v>
      </c>
      <c r="E1535" s="104" t="s">
        <v>1597</v>
      </c>
      <c r="G1535" s="13">
        <v>1</v>
      </c>
      <c r="N1535" s="19"/>
      <c r="P1535" s="592"/>
      <c r="Q1535" s="592"/>
      <c r="R1535" s="592"/>
      <c r="S1535" s="592"/>
      <c r="T1535" s="592"/>
      <c r="U1535" s="592"/>
      <c r="V1535" s="592"/>
      <c r="W1535" s="592"/>
      <c r="X1535" s="592"/>
    </row>
    <row r="1536" spans="1:66" ht="15" customHeight="1">
      <c r="A1536" s="24" t="s">
        <v>2292</v>
      </c>
      <c r="B1536" s="12" t="s">
        <v>119</v>
      </c>
      <c r="C1536" s="12" t="s">
        <v>722</v>
      </c>
      <c r="D1536" s="630" t="s">
        <v>1866</v>
      </c>
      <c r="E1536" s="630"/>
      <c r="F1536" s="12" t="s">
        <v>564</v>
      </c>
      <c r="G1536" s="56">
        <v>1</v>
      </c>
      <c r="H1536" s="625"/>
      <c r="I1536" s="56">
        <f>G1536*AQ1536</f>
        <v>0</v>
      </c>
      <c r="J1536" s="56">
        <f>G1536*AR1536</f>
        <v>0</v>
      </c>
      <c r="K1536" s="56">
        <f>G1536*H1536</f>
        <v>0</v>
      </c>
      <c r="L1536" s="56">
        <v>2.3000000000000001E-4</v>
      </c>
      <c r="M1536" s="56">
        <f>G1536*L1536</f>
        <v>2.3000000000000001E-4</v>
      </c>
      <c r="N1536" s="31" t="s">
        <v>1579</v>
      </c>
      <c r="P1536" s="592"/>
      <c r="Q1536" s="592"/>
      <c r="R1536" s="592"/>
      <c r="S1536" s="592"/>
      <c r="T1536" s="592"/>
      <c r="U1536" s="592"/>
      <c r="V1536" s="592"/>
      <c r="W1536" s="592"/>
      <c r="X1536" s="592"/>
      <c r="AB1536" s="56">
        <f>IF(AS1536="5",BL1536,0)</f>
        <v>0</v>
      </c>
      <c r="AD1536" s="56">
        <f>IF(AS1536="1",BJ1536,0)</f>
        <v>0</v>
      </c>
      <c r="AE1536" s="56">
        <f>IF(AS1536="1",BK1536,0)</f>
        <v>0</v>
      </c>
      <c r="AF1536" s="56">
        <f>IF(AS1536="7",BJ1536,0)</f>
        <v>0</v>
      </c>
      <c r="AG1536" s="56">
        <f>IF(AS1536="7",BK1536,0)</f>
        <v>0</v>
      </c>
      <c r="AH1536" s="56">
        <f>IF(AS1536="2",BJ1536,0)</f>
        <v>0</v>
      </c>
      <c r="AI1536" s="56">
        <f>IF(AS1536="2",BK1536,0)</f>
        <v>0</v>
      </c>
      <c r="AJ1536" s="56">
        <f>IF(AS1536="0",BL1536,0)</f>
        <v>0</v>
      </c>
      <c r="AK1536" s="7" t="s">
        <v>119</v>
      </c>
      <c r="AL1536" s="56">
        <f>IF(AP1536=0,K1536,0)</f>
        <v>0</v>
      </c>
      <c r="AM1536" s="56">
        <f>IF(AP1536=15,K1536,0)</f>
        <v>0</v>
      </c>
      <c r="AN1536" s="56">
        <f>IF(AP1536=21,K1536,0)</f>
        <v>0</v>
      </c>
      <c r="AP1536" s="56">
        <v>21</v>
      </c>
      <c r="AQ1536" s="88">
        <f>H1536*0.601017653708606</f>
        <v>0</v>
      </c>
      <c r="AR1536" s="88">
        <f>H1536*(1-0.601017653708606)</f>
        <v>0</v>
      </c>
      <c r="AS1536" s="21" t="s">
        <v>2297</v>
      </c>
      <c r="AX1536" s="56">
        <f>AY1536+AZ1536</f>
        <v>0</v>
      </c>
      <c r="AY1536" s="56">
        <f>G1536*AQ1536</f>
        <v>0</v>
      </c>
      <c r="AZ1536" s="56">
        <f>G1536*AR1536</f>
        <v>0</v>
      </c>
      <c r="BA1536" s="21" t="s">
        <v>192</v>
      </c>
      <c r="BB1536" s="21" t="s">
        <v>592</v>
      </c>
      <c r="BC1536" s="7" t="s">
        <v>307</v>
      </c>
      <c r="BE1536" s="56">
        <f>AY1536+AZ1536</f>
        <v>0</v>
      </c>
      <c r="BF1536" s="56">
        <f>H1536/(100-BG1536)*100</f>
        <v>0</v>
      </c>
      <c r="BG1536" s="56">
        <v>0</v>
      </c>
      <c r="BH1536" s="56">
        <f>M1536</f>
        <v>2.3000000000000001E-4</v>
      </c>
      <c r="BJ1536" s="56">
        <f>G1536*AQ1536</f>
        <v>0</v>
      </c>
      <c r="BK1536" s="56">
        <f>G1536*AR1536</f>
        <v>0</v>
      </c>
      <c r="BL1536" s="56">
        <f>G1536*H1536</f>
        <v>0</v>
      </c>
      <c r="BM1536" s="56"/>
      <c r="BN1536" s="56">
        <v>89</v>
      </c>
    </row>
    <row r="1537" spans="1:66" ht="15" customHeight="1">
      <c r="A1537" s="36"/>
      <c r="D1537" s="45" t="s">
        <v>2297</v>
      </c>
      <c r="E1537" s="104" t="s">
        <v>1597</v>
      </c>
      <c r="G1537" s="13">
        <v>1</v>
      </c>
      <c r="N1537" s="19"/>
      <c r="P1537" s="592"/>
      <c r="Q1537" s="592"/>
      <c r="R1537" s="592"/>
      <c r="S1537" s="592"/>
      <c r="T1537" s="592"/>
      <c r="U1537" s="592"/>
      <c r="V1537" s="592"/>
      <c r="W1537" s="592"/>
      <c r="X1537" s="592"/>
    </row>
    <row r="1538" spans="1:66" ht="15" customHeight="1">
      <c r="A1538" s="32" t="s">
        <v>1597</v>
      </c>
      <c r="B1538" s="26" t="s">
        <v>119</v>
      </c>
      <c r="C1538" s="26" t="s">
        <v>100</v>
      </c>
      <c r="D1538" s="709" t="s">
        <v>831</v>
      </c>
      <c r="E1538" s="709"/>
      <c r="F1538" s="46" t="s">
        <v>2144</v>
      </c>
      <c r="G1538" s="46" t="s">
        <v>2144</v>
      </c>
      <c r="H1538" s="46" t="s">
        <v>2144</v>
      </c>
      <c r="I1538" s="17">
        <f>SUM(I1539:I1541)</f>
        <v>0</v>
      </c>
      <c r="J1538" s="17">
        <f>SUM(J1539:J1541)</f>
        <v>0</v>
      </c>
      <c r="K1538" s="17">
        <f>SUM(K1539:K1541)</f>
        <v>0</v>
      </c>
      <c r="L1538" s="7" t="s">
        <v>1597</v>
      </c>
      <c r="M1538" s="17">
        <f>SUM(M1539:M1541)</f>
        <v>1.6000000000000001E-3</v>
      </c>
      <c r="N1538" s="20" t="s">
        <v>1597</v>
      </c>
      <c r="P1538" s="592"/>
      <c r="Q1538" s="592"/>
      <c r="R1538" s="592"/>
      <c r="S1538" s="592"/>
      <c r="T1538" s="592"/>
      <c r="U1538" s="592"/>
      <c r="V1538" s="592"/>
      <c r="W1538" s="592"/>
      <c r="X1538" s="592"/>
      <c r="AK1538" s="7" t="s">
        <v>119</v>
      </c>
      <c r="AU1538" s="17">
        <f>SUM(AL1539:AL1541)</f>
        <v>0</v>
      </c>
      <c r="AV1538" s="17">
        <f>SUM(AM1539:AM1541)</f>
        <v>0</v>
      </c>
      <c r="AW1538" s="17">
        <f>SUM(AN1539:AN1541)</f>
        <v>0</v>
      </c>
    </row>
    <row r="1539" spans="1:66" ht="15" customHeight="1">
      <c r="A1539" s="24" t="s">
        <v>2233</v>
      </c>
      <c r="B1539" s="12" t="s">
        <v>119</v>
      </c>
      <c r="C1539" s="12" t="s">
        <v>30</v>
      </c>
      <c r="D1539" s="630" t="s">
        <v>2369</v>
      </c>
      <c r="E1539" s="630"/>
      <c r="F1539" s="12" t="s">
        <v>1923</v>
      </c>
      <c r="G1539" s="56">
        <v>16</v>
      </c>
      <c r="H1539" s="625"/>
      <c r="I1539" s="56">
        <f>G1539*AQ1539</f>
        <v>0</v>
      </c>
      <c r="J1539" s="56">
        <f>G1539*AR1539</f>
        <v>0</v>
      </c>
      <c r="K1539" s="56">
        <f>G1539*H1539</f>
        <v>0</v>
      </c>
      <c r="L1539" s="56">
        <v>0</v>
      </c>
      <c r="M1539" s="56">
        <f>G1539*L1539</f>
        <v>0</v>
      </c>
      <c r="N1539" s="31" t="s">
        <v>1579</v>
      </c>
      <c r="P1539" s="592"/>
      <c r="Q1539" s="592"/>
      <c r="R1539" s="592"/>
      <c r="S1539" s="592"/>
      <c r="T1539" s="592"/>
      <c r="U1539" s="592"/>
      <c r="V1539" s="592"/>
      <c r="W1539" s="592"/>
      <c r="X1539" s="592"/>
      <c r="AB1539" s="56">
        <f>IF(AS1539="5",BL1539,0)</f>
        <v>0</v>
      </c>
      <c r="AD1539" s="56">
        <f>IF(AS1539="1",BJ1539,0)</f>
        <v>0</v>
      </c>
      <c r="AE1539" s="56">
        <f>IF(AS1539="1",BK1539,0)</f>
        <v>0</v>
      </c>
      <c r="AF1539" s="56">
        <f>IF(AS1539="7",BJ1539,0)</f>
        <v>0</v>
      </c>
      <c r="AG1539" s="56">
        <f>IF(AS1539="7",BK1539,0)</f>
        <v>0</v>
      </c>
      <c r="AH1539" s="56">
        <f>IF(AS1539="2",BJ1539,0)</f>
        <v>0</v>
      </c>
      <c r="AI1539" s="56">
        <f>IF(AS1539="2",BK1539,0)</f>
        <v>0</v>
      </c>
      <c r="AJ1539" s="56">
        <f>IF(AS1539="0",BL1539,0)</f>
        <v>0</v>
      </c>
      <c r="AK1539" s="7" t="s">
        <v>119</v>
      </c>
      <c r="AL1539" s="56">
        <f>IF(AP1539=0,K1539,0)</f>
        <v>0</v>
      </c>
      <c r="AM1539" s="56">
        <f>IF(AP1539=15,K1539,0)</f>
        <v>0</v>
      </c>
      <c r="AN1539" s="56">
        <f>IF(AP1539=21,K1539,0)</f>
        <v>0</v>
      </c>
      <c r="AP1539" s="56">
        <v>21</v>
      </c>
      <c r="AQ1539" s="88">
        <f>H1539*0.563818166540627</f>
        <v>0</v>
      </c>
      <c r="AR1539" s="88">
        <f>H1539*(1-0.563818166540627)</f>
        <v>0</v>
      </c>
      <c r="AS1539" s="21" t="s">
        <v>2297</v>
      </c>
      <c r="AX1539" s="56">
        <f>AY1539+AZ1539</f>
        <v>0</v>
      </c>
      <c r="AY1539" s="56">
        <f>G1539*AQ1539</f>
        <v>0</v>
      </c>
      <c r="AZ1539" s="56">
        <f>G1539*AR1539</f>
        <v>0</v>
      </c>
      <c r="BA1539" s="21" t="s">
        <v>2257</v>
      </c>
      <c r="BB1539" s="21" t="s">
        <v>1056</v>
      </c>
      <c r="BC1539" s="7" t="s">
        <v>307</v>
      </c>
      <c r="BE1539" s="56">
        <f>AY1539+AZ1539</f>
        <v>0</v>
      </c>
      <c r="BF1539" s="56">
        <f>H1539/(100-BG1539)*100</f>
        <v>0</v>
      </c>
      <c r="BG1539" s="56">
        <v>0</v>
      </c>
      <c r="BH1539" s="56">
        <f>M1539</f>
        <v>0</v>
      </c>
      <c r="BJ1539" s="56">
        <f>G1539*AQ1539</f>
        <v>0</v>
      </c>
      <c r="BK1539" s="56">
        <f>G1539*AR1539</f>
        <v>0</v>
      </c>
      <c r="BL1539" s="56">
        <f>G1539*H1539</f>
        <v>0</v>
      </c>
      <c r="BM1539" s="56"/>
      <c r="BN1539" s="56">
        <v>91</v>
      </c>
    </row>
    <row r="1540" spans="1:66" ht="15" customHeight="1">
      <c r="A1540" s="36"/>
      <c r="D1540" s="45" t="s">
        <v>64</v>
      </c>
      <c r="E1540" s="104" t="s">
        <v>1597</v>
      </c>
      <c r="G1540" s="13">
        <v>16</v>
      </c>
      <c r="N1540" s="19"/>
      <c r="P1540" s="592"/>
      <c r="Q1540" s="592"/>
      <c r="R1540" s="592"/>
      <c r="S1540" s="592"/>
      <c r="T1540" s="592"/>
      <c r="U1540" s="592"/>
      <c r="V1540" s="592"/>
      <c r="W1540" s="592"/>
      <c r="X1540" s="592"/>
    </row>
    <row r="1541" spans="1:66" ht="15" customHeight="1">
      <c r="A1541" s="24" t="s">
        <v>295</v>
      </c>
      <c r="B1541" s="12" t="s">
        <v>119</v>
      </c>
      <c r="C1541" s="12" t="s">
        <v>1306</v>
      </c>
      <c r="D1541" s="630" t="s">
        <v>735</v>
      </c>
      <c r="E1541" s="630"/>
      <c r="F1541" s="12" t="s">
        <v>1923</v>
      </c>
      <c r="G1541" s="56">
        <v>16</v>
      </c>
      <c r="H1541" s="625"/>
      <c r="I1541" s="56">
        <f>G1541*AQ1541</f>
        <v>0</v>
      </c>
      <c r="J1541" s="56">
        <f>G1541*AR1541</f>
        <v>0</v>
      </c>
      <c r="K1541" s="56">
        <f>G1541*H1541</f>
        <v>0</v>
      </c>
      <c r="L1541" s="56">
        <v>1E-4</v>
      </c>
      <c r="M1541" s="56">
        <f>G1541*L1541</f>
        <v>1.6000000000000001E-3</v>
      </c>
      <c r="N1541" s="31" t="s">
        <v>1579</v>
      </c>
      <c r="P1541" s="592"/>
      <c r="Q1541" s="592"/>
      <c r="R1541" s="592"/>
      <c r="S1541" s="592"/>
      <c r="T1541" s="592"/>
      <c r="U1541" s="592"/>
      <c r="V1541" s="592"/>
      <c r="W1541" s="592"/>
      <c r="X1541" s="592"/>
      <c r="AB1541" s="56">
        <f>IF(AS1541="5",BL1541,0)</f>
        <v>0</v>
      </c>
      <c r="AD1541" s="56">
        <f>IF(AS1541="1",BJ1541,0)</f>
        <v>0</v>
      </c>
      <c r="AE1541" s="56">
        <f>IF(AS1541="1",BK1541,0)</f>
        <v>0</v>
      </c>
      <c r="AF1541" s="56">
        <f>IF(AS1541="7",BJ1541,0)</f>
        <v>0</v>
      </c>
      <c r="AG1541" s="56">
        <f>IF(AS1541="7",BK1541,0)</f>
        <v>0</v>
      </c>
      <c r="AH1541" s="56">
        <f>IF(AS1541="2",BJ1541,0)</f>
        <v>0</v>
      </c>
      <c r="AI1541" s="56">
        <f>IF(AS1541="2",BK1541,0)</f>
        <v>0</v>
      </c>
      <c r="AJ1541" s="56">
        <f>IF(AS1541="0",BL1541,0)</f>
        <v>0</v>
      </c>
      <c r="AK1541" s="7" t="s">
        <v>119</v>
      </c>
      <c r="AL1541" s="56">
        <f>IF(AP1541=0,K1541,0)</f>
        <v>0</v>
      </c>
      <c r="AM1541" s="56">
        <f>IF(AP1541=15,K1541,0)</f>
        <v>0</v>
      </c>
      <c r="AN1541" s="56">
        <f>IF(AP1541=21,K1541,0)</f>
        <v>0</v>
      </c>
      <c r="AP1541" s="56">
        <v>21</v>
      </c>
      <c r="AQ1541" s="88">
        <f>H1541*0.104916462063597</f>
        <v>0</v>
      </c>
      <c r="AR1541" s="88">
        <f>H1541*(1-0.104916462063597)</f>
        <v>0</v>
      </c>
      <c r="AS1541" s="21" t="s">
        <v>2297</v>
      </c>
      <c r="AX1541" s="56">
        <f>AY1541+AZ1541</f>
        <v>0</v>
      </c>
      <c r="AY1541" s="56">
        <f>G1541*AQ1541</f>
        <v>0</v>
      </c>
      <c r="AZ1541" s="56">
        <f>G1541*AR1541</f>
        <v>0</v>
      </c>
      <c r="BA1541" s="21" t="s">
        <v>2257</v>
      </c>
      <c r="BB1541" s="21" t="s">
        <v>1056</v>
      </c>
      <c r="BC1541" s="7" t="s">
        <v>307</v>
      </c>
      <c r="BE1541" s="56">
        <f>AY1541+AZ1541</f>
        <v>0</v>
      </c>
      <c r="BF1541" s="56">
        <f>H1541/(100-BG1541)*100</f>
        <v>0</v>
      </c>
      <c r="BG1541" s="56">
        <v>0</v>
      </c>
      <c r="BH1541" s="56">
        <f>M1541</f>
        <v>1.6000000000000001E-3</v>
      </c>
      <c r="BJ1541" s="56">
        <f>G1541*AQ1541</f>
        <v>0</v>
      </c>
      <c r="BK1541" s="56">
        <f>G1541*AR1541</f>
        <v>0</v>
      </c>
      <c r="BL1541" s="56">
        <f>G1541*H1541</f>
        <v>0</v>
      </c>
      <c r="BM1541" s="56"/>
      <c r="BN1541" s="56">
        <v>91</v>
      </c>
    </row>
    <row r="1542" spans="1:66" ht="15" customHeight="1">
      <c r="A1542" s="36"/>
      <c r="D1542" s="45" t="s">
        <v>213</v>
      </c>
      <c r="E1542" s="104" t="s">
        <v>1597</v>
      </c>
      <c r="G1542" s="13">
        <v>16</v>
      </c>
      <c r="N1542" s="19"/>
      <c r="P1542" s="592"/>
      <c r="Q1542" s="592"/>
      <c r="R1542" s="592"/>
      <c r="S1542" s="592"/>
      <c r="T1542" s="592"/>
      <c r="U1542" s="592"/>
      <c r="V1542" s="592"/>
      <c r="W1542" s="592"/>
      <c r="X1542" s="592"/>
    </row>
    <row r="1543" spans="1:66" ht="15" customHeight="1">
      <c r="A1543" s="32" t="s">
        <v>1597</v>
      </c>
      <c r="B1543" s="26" t="s">
        <v>119</v>
      </c>
      <c r="C1543" s="26" t="s">
        <v>1313</v>
      </c>
      <c r="D1543" s="709" t="s">
        <v>1253</v>
      </c>
      <c r="E1543" s="709"/>
      <c r="F1543" s="46" t="s">
        <v>2144</v>
      </c>
      <c r="G1543" s="46" t="s">
        <v>2144</v>
      </c>
      <c r="H1543" s="46" t="s">
        <v>2144</v>
      </c>
      <c r="I1543" s="17">
        <f>SUM(I1544:I1544)</f>
        <v>0</v>
      </c>
      <c r="J1543" s="17">
        <f>SUM(J1544:J1544)</f>
        <v>0</v>
      </c>
      <c r="K1543" s="17">
        <f>SUM(K1544:K1544)</f>
        <v>0</v>
      </c>
      <c r="L1543" s="7" t="s">
        <v>1597</v>
      </c>
      <c r="M1543" s="17">
        <f>SUM(M1544:M1544)</f>
        <v>0</v>
      </c>
      <c r="N1543" s="20" t="s">
        <v>1597</v>
      </c>
      <c r="P1543" s="592"/>
      <c r="Q1543" s="592"/>
      <c r="R1543" s="592"/>
      <c r="S1543" s="592"/>
      <c r="T1543" s="592"/>
      <c r="U1543" s="592"/>
      <c r="V1543" s="592"/>
      <c r="W1543" s="592"/>
      <c r="X1543" s="592"/>
      <c r="AK1543" s="7" t="s">
        <v>119</v>
      </c>
      <c r="AU1543" s="17">
        <f>SUM(AL1544:AL1544)</f>
        <v>0</v>
      </c>
      <c r="AV1543" s="17">
        <f>SUM(AM1544:AM1544)</f>
        <v>0</v>
      </c>
      <c r="AW1543" s="17">
        <f>SUM(AN1544:AN1544)</f>
        <v>0</v>
      </c>
    </row>
    <row r="1544" spans="1:66" ht="15" customHeight="1">
      <c r="A1544" s="24" t="s">
        <v>969</v>
      </c>
      <c r="B1544" s="12" t="s">
        <v>119</v>
      </c>
      <c r="C1544" s="12" t="s">
        <v>2031</v>
      </c>
      <c r="D1544" s="630" t="s">
        <v>1567</v>
      </c>
      <c r="E1544" s="630"/>
      <c r="F1544" s="12" t="s">
        <v>1074</v>
      </c>
      <c r="G1544" s="56">
        <v>34.75</v>
      </c>
      <c r="H1544" s="625"/>
      <c r="I1544" s="56">
        <f>G1544*AQ1544</f>
        <v>0</v>
      </c>
      <c r="J1544" s="56">
        <f>G1544*AR1544</f>
        <v>0</v>
      </c>
      <c r="K1544" s="56">
        <f>G1544*H1544</f>
        <v>0</v>
      </c>
      <c r="L1544" s="56">
        <v>0</v>
      </c>
      <c r="M1544" s="56">
        <f>G1544*L1544</f>
        <v>0</v>
      </c>
      <c r="N1544" s="31" t="s">
        <v>1579</v>
      </c>
      <c r="P1544" s="592"/>
      <c r="Q1544" s="592"/>
      <c r="R1544" s="592"/>
      <c r="S1544" s="592"/>
      <c r="T1544" s="592"/>
      <c r="U1544" s="592"/>
      <c r="V1544" s="592"/>
      <c r="W1544" s="592"/>
      <c r="X1544" s="592"/>
      <c r="AB1544" s="56">
        <f>IF(AS1544="5",BL1544,0)</f>
        <v>0</v>
      </c>
      <c r="AD1544" s="56">
        <f>IF(AS1544="1",BJ1544,0)</f>
        <v>0</v>
      </c>
      <c r="AE1544" s="56">
        <f>IF(AS1544="1",BK1544,0)</f>
        <v>0</v>
      </c>
      <c r="AF1544" s="56">
        <f>IF(AS1544="7",BJ1544,0)</f>
        <v>0</v>
      </c>
      <c r="AG1544" s="56">
        <f>IF(AS1544="7",BK1544,0)</f>
        <v>0</v>
      </c>
      <c r="AH1544" s="56">
        <f>IF(AS1544="2",BJ1544,0)</f>
        <v>0</v>
      </c>
      <c r="AI1544" s="56">
        <f>IF(AS1544="2",BK1544,0)</f>
        <v>0</v>
      </c>
      <c r="AJ1544" s="56">
        <f>IF(AS1544="0",BL1544,0)</f>
        <v>0</v>
      </c>
      <c r="AK1544" s="7" t="s">
        <v>119</v>
      </c>
      <c r="AL1544" s="56">
        <f>IF(AP1544=0,K1544,0)</f>
        <v>0</v>
      </c>
      <c r="AM1544" s="56">
        <f>IF(AP1544=15,K1544,0)</f>
        <v>0</v>
      </c>
      <c r="AN1544" s="56">
        <f>IF(AP1544=21,K1544,0)</f>
        <v>0</v>
      </c>
      <c r="AP1544" s="56">
        <v>21</v>
      </c>
      <c r="AQ1544" s="88">
        <f>H1544*0</f>
        <v>0</v>
      </c>
      <c r="AR1544" s="88">
        <f>H1544*(1-0)</f>
        <v>0</v>
      </c>
      <c r="AS1544" s="21" t="s">
        <v>1227</v>
      </c>
      <c r="AX1544" s="56">
        <f>AY1544+AZ1544</f>
        <v>0</v>
      </c>
      <c r="AY1544" s="56">
        <f>G1544*AQ1544</f>
        <v>0</v>
      </c>
      <c r="AZ1544" s="56">
        <f>G1544*AR1544</f>
        <v>0</v>
      </c>
      <c r="BA1544" s="21" t="s">
        <v>710</v>
      </c>
      <c r="BB1544" s="21" t="s">
        <v>1056</v>
      </c>
      <c r="BC1544" s="7" t="s">
        <v>307</v>
      </c>
      <c r="BE1544" s="56">
        <f>AY1544+AZ1544</f>
        <v>0</v>
      </c>
      <c r="BF1544" s="56">
        <f>H1544/(100-BG1544)*100</f>
        <v>0</v>
      </c>
      <c r="BG1544" s="56">
        <v>0</v>
      </c>
      <c r="BH1544" s="56">
        <f>M1544</f>
        <v>0</v>
      </c>
      <c r="BJ1544" s="56">
        <f>G1544*AQ1544</f>
        <v>0</v>
      </c>
      <c r="BK1544" s="56">
        <f>G1544*AR1544</f>
        <v>0</v>
      </c>
      <c r="BL1544" s="56">
        <f>G1544*H1544</f>
        <v>0</v>
      </c>
      <c r="BM1544" s="56"/>
      <c r="BN1544" s="56"/>
    </row>
    <row r="1545" spans="1:66" ht="15" customHeight="1">
      <c r="A1545" s="36"/>
      <c r="D1545" s="45" t="s">
        <v>1767</v>
      </c>
      <c r="E1545" s="104" t="s">
        <v>1597</v>
      </c>
      <c r="G1545" s="13">
        <v>34.75</v>
      </c>
      <c r="N1545" s="19"/>
      <c r="P1545" s="592"/>
      <c r="Q1545" s="592"/>
      <c r="R1545" s="592"/>
      <c r="S1545" s="592"/>
      <c r="T1545" s="592"/>
      <c r="U1545" s="592"/>
      <c r="V1545" s="592"/>
      <c r="W1545" s="592"/>
      <c r="X1545" s="592"/>
    </row>
    <row r="1546" spans="1:66" ht="15" customHeight="1">
      <c r="A1546" s="32" t="s">
        <v>1597</v>
      </c>
      <c r="B1546" s="26" t="s">
        <v>119</v>
      </c>
      <c r="C1546" s="26" t="s">
        <v>765</v>
      </c>
      <c r="D1546" s="709" t="s">
        <v>985</v>
      </c>
      <c r="E1546" s="709"/>
      <c r="F1546" s="46" t="s">
        <v>2144</v>
      </c>
      <c r="G1546" s="46" t="s">
        <v>2144</v>
      </c>
      <c r="H1546" s="46" t="s">
        <v>2144</v>
      </c>
      <c r="I1546" s="17">
        <f>SUM(I1547:I1549)</f>
        <v>0</v>
      </c>
      <c r="J1546" s="17">
        <f>SUM(J1547:J1549)</f>
        <v>0</v>
      </c>
      <c r="K1546" s="17">
        <f>SUM(K1547:K1549)</f>
        <v>0</v>
      </c>
      <c r="L1546" s="7" t="s">
        <v>1597</v>
      </c>
      <c r="M1546" s="17">
        <f>SUM(M1547:M1549)</f>
        <v>0</v>
      </c>
      <c r="N1546" s="20" t="s">
        <v>1597</v>
      </c>
      <c r="P1546" s="592"/>
      <c r="Q1546" s="592"/>
      <c r="R1546" s="592"/>
      <c r="S1546" s="592"/>
      <c r="T1546" s="592"/>
      <c r="U1546" s="592"/>
      <c r="V1546" s="592"/>
      <c r="W1546" s="592"/>
      <c r="X1546" s="592"/>
      <c r="AK1546" s="7" t="s">
        <v>119</v>
      </c>
      <c r="AU1546" s="17">
        <f>SUM(AL1547:AL1549)</f>
        <v>0</v>
      </c>
      <c r="AV1546" s="17">
        <f>SUM(AM1547:AM1549)</f>
        <v>0</v>
      </c>
      <c r="AW1546" s="17">
        <f>SUM(AN1547:AN1549)</f>
        <v>0</v>
      </c>
    </row>
    <row r="1547" spans="1:66" ht="15" customHeight="1">
      <c r="A1547" s="24" t="s">
        <v>1217</v>
      </c>
      <c r="B1547" s="12" t="s">
        <v>119</v>
      </c>
      <c r="C1547" s="12" t="s">
        <v>410</v>
      </c>
      <c r="D1547" s="630" t="s">
        <v>2403</v>
      </c>
      <c r="E1547" s="630"/>
      <c r="F1547" s="12" t="s">
        <v>1074</v>
      </c>
      <c r="G1547" s="56">
        <v>25.38</v>
      </c>
      <c r="H1547" s="625"/>
      <c r="I1547" s="56">
        <f>G1547*AQ1547</f>
        <v>0</v>
      </c>
      <c r="J1547" s="56">
        <f>G1547*AR1547</f>
        <v>0</v>
      </c>
      <c r="K1547" s="56">
        <f>G1547*H1547</f>
        <v>0</v>
      </c>
      <c r="L1547" s="56">
        <v>0</v>
      </c>
      <c r="M1547" s="56">
        <f>G1547*L1547</f>
        <v>0</v>
      </c>
      <c r="N1547" s="31" t="s">
        <v>1579</v>
      </c>
      <c r="P1547" s="592"/>
      <c r="Q1547" s="592"/>
      <c r="R1547" s="592"/>
      <c r="S1547" s="592"/>
      <c r="T1547" s="592"/>
      <c r="U1547" s="592"/>
      <c r="V1547" s="592"/>
      <c r="W1547" s="592"/>
      <c r="X1547" s="592"/>
      <c r="AB1547" s="56">
        <f>IF(AS1547="5",BL1547,0)</f>
        <v>0</v>
      </c>
      <c r="AD1547" s="56">
        <f>IF(AS1547="1",BJ1547,0)</f>
        <v>0</v>
      </c>
      <c r="AE1547" s="56">
        <f>IF(AS1547="1",BK1547,0)</f>
        <v>0</v>
      </c>
      <c r="AF1547" s="56">
        <f>IF(AS1547="7",BJ1547,0)</f>
        <v>0</v>
      </c>
      <c r="AG1547" s="56">
        <f>IF(AS1547="7",BK1547,0)</f>
        <v>0</v>
      </c>
      <c r="AH1547" s="56">
        <f>IF(AS1547="2",BJ1547,0)</f>
        <v>0</v>
      </c>
      <c r="AI1547" s="56">
        <f>IF(AS1547="2",BK1547,0)</f>
        <v>0</v>
      </c>
      <c r="AJ1547" s="56">
        <f>IF(AS1547="0",BL1547,0)</f>
        <v>0</v>
      </c>
      <c r="AK1547" s="7" t="s">
        <v>119</v>
      </c>
      <c r="AL1547" s="56">
        <f>IF(AP1547=0,K1547,0)</f>
        <v>0</v>
      </c>
      <c r="AM1547" s="56">
        <f>IF(AP1547=15,K1547,0)</f>
        <v>0</v>
      </c>
      <c r="AN1547" s="56">
        <f>IF(AP1547=21,K1547,0)</f>
        <v>0</v>
      </c>
      <c r="AP1547" s="56">
        <v>21</v>
      </c>
      <c r="AQ1547" s="88">
        <f>H1547*0</f>
        <v>0</v>
      </c>
      <c r="AR1547" s="88">
        <f>H1547*(1-0)</f>
        <v>0</v>
      </c>
      <c r="AS1547" s="21" t="s">
        <v>1227</v>
      </c>
      <c r="AX1547" s="56">
        <f>AY1547+AZ1547</f>
        <v>0</v>
      </c>
      <c r="AY1547" s="56">
        <f>G1547*AQ1547</f>
        <v>0</v>
      </c>
      <c r="AZ1547" s="56">
        <f>G1547*AR1547</f>
        <v>0</v>
      </c>
      <c r="BA1547" s="21" t="s">
        <v>942</v>
      </c>
      <c r="BB1547" s="21" t="s">
        <v>1056</v>
      </c>
      <c r="BC1547" s="7" t="s">
        <v>307</v>
      </c>
      <c r="BE1547" s="56">
        <f>AY1547+AZ1547</f>
        <v>0</v>
      </c>
      <c r="BF1547" s="56">
        <f>H1547/(100-BG1547)*100</f>
        <v>0</v>
      </c>
      <c r="BG1547" s="56">
        <v>0</v>
      </c>
      <c r="BH1547" s="56">
        <f>M1547</f>
        <v>0</v>
      </c>
      <c r="BJ1547" s="56">
        <f>G1547*AQ1547</f>
        <v>0</v>
      </c>
      <c r="BK1547" s="56">
        <f>G1547*AR1547</f>
        <v>0</v>
      </c>
      <c r="BL1547" s="56">
        <f>G1547*H1547</f>
        <v>0</v>
      </c>
      <c r="BM1547" s="56"/>
      <c r="BN1547" s="56"/>
    </row>
    <row r="1548" spans="1:66" ht="15" customHeight="1">
      <c r="A1548" s="36"/>
      <c r="D1548" s="45" t="s">
        <v>781</v>
      </c>
      <c r="E1548" s="104" t="s">
        <v>1597</v>
      </c>
      <c r="G1548" s="13">
        <v>25.380000000000003</v>
      </c>
      <c r="N1548" s="19"/>
      <c r="P1548" s="592"/>
      <c r="Q1548" s="592"/>
      <c r="R1548" s="592"/>
      <c r="S1548" s="592"/>
      <c r="T1548" s="592"/>
      <c r="U1548" s="592"/>
      <c r="V1548" s="592"/>
      <c r="W1548" s="592"/>
      <c r="X1548" s="592"/>
    </row>
    <row r="1549" spans="1:66" ht="15" customHeight="1">
      <c r="A1549" s="24" t="s">
        <v>951</v>
      </c>
      <c r="B1549" s="12" t="s">
        <v>119</v>
      </c>
      <c r="C1549" s="12" t="s">
        <v>754</v>
      </c>
      <c r="D1549" s="630" t="s">
        <v>1373</v>
      </c>
      <c r="E1549" s="630"/>
      <c r="F1549" s="12" t="s">
        <v>1074</v>
      </c>
      <c r="G1549" s="56">
        <v>3.3</v>
      </c>
      <c r="H1549" s="625"/>
      <c r="I1549" s="56">
        <f>G1549*AQ1549</f>
        <v>0</v>
      </c>
      <c r="J1549" s="56">
        <f>G1549*AR1549</f>
        <v>0</v>
      </c>
      <c r="K1549" s="56">
        <f>G1549*H1549</f>
        <v>0</v>
      </c>
      <c r="L1549" s="56">
        <v>0</v>
      </c>
      <c r="M1549" s="56">
        <f>G1549*L1549</f>
        <v>0</v>
      </c>
      <c r="N1549" s="31" t="s">
        <v>1579</v>
      </c>
      <c r="P1549" s="592"/>
      <c r="Q1549" s="592"/>
      <c r="R1549" s="592"/>
      <c r="S1549" s="592"/>
      <c r="T1549" s="592"/>
      <c r="U1549" s="592"/>
      <c r="V1549" s="592"/>
      <c r="W1549" s="592"/>
      <c r="X1549" s="592"/>
      <c r="AB1549" s="56">
        <f>IF(AS1549="5",BL1549,0)</f>
        <v>0</v>
      </c>
      <c r="AD1549" s="56">
        <f>IF(AS1549="1",BJ1549,0)</f>
        <v>0</v>
      </c>
      <c r="AE1549" s="56">
        <f>IF(AS1549="1",BK1549,0)</f>
        <v>0</v>
      </c>
      <c r="AF1549" s="56">
        <f>IF(AS1549="7",BJ1549,0)</f>
        <v>0</v>
      </c>
      <c r="AG1549" s="56">
        <f>IF(AS1549="7",BK1549,0)</f>
        <v>0</v>
      </c>
      <c r="AH1549" s="56">
        <f>IF(AS1549="2",BJ1549,0)</f>
        <v>0</v>
      </c>
      <c r="AI1549" s="56">
        <f>IF(AS1549="2",BK1549,0)</f>
        <v>0</v>
      </c>
      <c r="AJ1549" s="56">
        <f>IF(AS1549="0",BL1549,0)</f>
        <v>0</v>
      </c>
      <c r="AK1549" s="7" t="s">
        <v>119</v>
      </c>
      <c r="AL1549" s="56">
        <f>IF(AP1549=0,K1549,0)</f>
        <v>0</v>
      </c>
      <c r="AM1549" s="56">
        <f>IF(AP1549=15,K1549,0)</f>
        <v>0</v>
      </c>
      <c r="AN1549" s="56">
        <f>IF(AP1549=21,K1549,0)</f>
        <v>0</v>
      </c>
      <c r="AP1549" s="56">
        <v>21</v>
      </c>
      <c r="AQ1549" s="88">
        <f>H1549*0</f>
        <v>0</v>
      </c>
      <c r="AR1549" s="88">
        <f>H1549*(1-0)</f>
        <v>0</v>
      </c>
      <c r="AS1549" s="21" t="s">
        <v>1227</v>
      </c>
      <c r="AX1549" s="56">
        <f>AY1549+AZ1549</f>
        <v>0</v>
      </c>
      <c r="AY1549" s="56">
        <f>G1549*AQ1549</f>
        <v>0</v>
      </c>
      <c r="AZ1549" s="56">
        <f>G1549*AR1549</f>
        <v>0</v>
      </c>
      <c r="BA1549" s="21" t="s">
        <v>942</v>
      </c>
      <c r="BB1549" s="21" t="s">
        <v>1056</v>
      </c>
      <c r="BC1549" s="7" t="s">
        <v>307</v>
      </c>
      <c r="BE1549" s="56">
        <f>AY1549+AZ1549</f>
        <v>0</v>
      </c>
      <c r="BF1549" s="56">
        <f>H1549/(100-BG1549)*100</f>
        <v>0</v>
      </c>
      <c r="BG1549" s="56">
        <v>0</v>
      </c>
      <c r="BH1549" s="56">
        <f>M1549</f>
        <v>0</v>
      </c>
      <c r="BJ1549" s="56">
        <f>G1549*AQ1549</f>
        <v>0</v>
      </c>
      <c r="BK1549" s="56">
        <f>G1549*AR1549</f>
        <v>0</v>
      </c>
      <c r="BL1549" s="56">
        <f>G1549*H1549</f>
        <v>0</v>
      </c>
      <c r="BM1549" s="56"/>
      <c r="BN1549" s="56"/>
    </row>
    <row r="1550" spans="1:66" ht="15" customHeight="1">
      <c r="A1550" s="36"/>
      <c r="D1550" s="45" t="s">
        <v>106</v>
      </c>
      <c r="E1550" s="104" t="s">
        <v>1597</v>
      </c>
      <c r="G1550" s="13">
        <v>3.3000000000000003</v>
      </c>
      <c r="N1550" s="19"/>
      <c r="P1550" s="592"/>
      <c r="Q1550" s="592"/>
      <c r="R1550" s="592"/>
      <c r="S1550" s="592"/>
      <c r="T1550" s="592"/>
      <c r="U1550" s="592"/>
      <c r="V1550" s="592"/>
      <c r="W1550" s="592"/>
      <c r="X1550" s="592"/>
    </row>
    <row r="1551" spans="1:66" ht="15" customHeight="1">
      <c r="A1551" s="67" t="s">
        <v>1597</v>
      </c>
      <c r="B1551" s="65" t="s">
        <v>264</v>
      </c>
      <c r="C1551" s="65" t="s">
        <v>1597</v>
      </c>
      <c r="D1551" s="708" t="s">
        <v>1411</v>
      </c>
      <c r="E1551" s="708"/>
      <c r="F1551" s="78" t="s">
        <v>2144</v>
      </c>
      <c r="G1551" s="78" t="s">
        <v>2144</v>
      </c>
      <c r="H1551" s="78" t="s">
        <v>2144</v>
      </c>
      <c r="I1551" s="11">
        <f>I1552</f>
        <v>0</v>
      </c>
      <c r="J1551" s="11">
        <f>J1552</f>
        <v>0</v>
      </c>
      <c r="K1551" s="11">
        <f>K1552</f>
        <v>0</v>
      </c>
      <c r="L1551" s="44" t="s">
        <v>1597</v>
      </c>
      <c r="M1551" s="11">
        <f>M1552</f>
        <v>8.2453949999999985</v>
      </c>
      <c r="N1551" s="5" t="s">
        <v>1597</v>
      </c>
      <c r="P1551" s="592"/>
      <c r="Q1551" s="592"/>
      <c r="R1551" s="592"/>
      <c r="S1551" s="592"/>
      <c r="T1551" s="592"/>
      <c r="U1551" s="592"/>
      <c r="V1551" s="592"/>
      <c r="W1551" s="592"/>
      <c r="X1551" s="592"/>
    </row>
    <row r="1552" spans="1:66" ht="15" customHeight="1">
      <c r="A1552" s="32" t="s">
        <v>1597</v>
      </c>
      <c r="B1552" s="26" t="s">
        <v>264</v>
      </c>
      <c r="C1552" s="518" t="s">
        <v>1435</v>
      </c>
      <c r="D1552" s="709" t="s">
        <v>2463</v>
      </c>
      <c r="E1552" s="709"/>
      <c r="F1552" s="46" t="s">
        <v>2144</v>
      </c>
      <c r="G1552" s="46" t="s">
        <v>2144</v>
      </c>
      <c r="H1552" s="46" t="s">
        <v>2144</v>
      </c>
      <c r="I1552" s="17">
        <f>SUM(I1553:I1563)</f>
        <v>0</v>
      </c>
      <c r="J1552" s="17">
        <f>SUM(J1553:J1563)</f>
        <v>0</v>
      </c>
      <c r="K1552" s="524">
        <f>SUM(K1553:K1563)</f>
        <v>0</v>
      </c>
      <c r="L1552" s="7" t="s">
        <v>1597</v>
      </c>
      <c r="M1552" s="17">
        <f>SUM(M1553:M1563)</f>
        <v>8.2453949999999985</v>
      </c>
      <c r="N1552" s="20" t="s">
        <v>1597</v>
      </c>
      <c r="P1552" s="592"/>
      <c r="Q1552" s="592"/>
      <c r="R1552" s="592"/>
      <c r="S1552" s="592"/>
      <c r="T1552" s="592"/>
      <c r="U1552" s="592"/>
      <c r="V1552" s="592">
        <f>K1552</f>
        <v>0</v>
      </c>
      <c r="W1552" s="592"/>
      <c r="X1552" s="592"/>
      <c r="AK1552" s="7" t="s">
        <v>264</v>
      </c>
      <c r="AU1552" s="17">
        <f>SUM(AL1553:AL1563)</f>
        <v>0</v>
      </c>
      <c r="AV1552" s="17">
        <f>SUM(AM1553:AM1563)</f>
        <v>0</v>
      </c>
      <c r="AW1552" s="17">
        <f>SUM(AN1553:AN1563)</f>
        <v>0</v>
      </c>
    </row>
    <row r="1553" spans="1:66" ht="15" customHeight="1">
      <c r="A1553" s="24" t="s">
        <v>1440</v>
      </c>
      <c r="B1553" s="12" t="s">
        <v>264</v>
      </c>
      <c r="C1553" s="12" t="s">
        <v>1455</v>
      </c>
      <c r="D1553" s="630" t="s">
        <v>1319</v>
      </c>
      <c r="E1553" s="630"/>
      <c r="F1553" s="12" t="s">
        <v>1923</v>
      </c>
      <c r="G1553" s="56">
        <v>468</v>
      </c>
      <c r="H1553" s="625"/>
      <c r="I1553" s="56">
        <f>G1553*AQ1553</f>
        <v>0</v>
      </c>
      <c r="J1553" s="56">
        <f>G1553*AR1553</f>
        <v>0</v>
      </c>
      <c r="K1553" s="56">
        <f>G1553*H1553</f>
        <v>0</v>
      </c>
      <c r="L1553" s="56">
        <v>7.5399999999999998E-3</v>
      </c>
      <c r="M1553" s="56">
        <f>G1553*L1553</f>
        <v>3.5287199999999999</v>
      </c>
      <c r="N1553" s="31" t="s">
        <v>1579</v>
      </c>
      <c r="P1553" s="592"/>
      <c r="Q1553" s="592"/>
      <c r="R1553" s="592"/>
      <c r="S1553" s="592"/>
      <c r="T1553" s="592"/>
      <c r="U1553" s="592"/>
      <c r="V1553" s="592"/>
      <c r="W1553" s="592"/>
      <c r="X1553" s="592"/>
      <c r="AB1553" s="56">
        <f>IF(AS1553="5",BL1553,0)</f>
        <v>0</v>
      </c>
      <c r="AD1553" s="56">
        <f>IF(AS1553="1",BJ1553,0)</f>
        <v>0</v>
      </c>
      <c r="AE1553" s="56">
        <f>IF(AS1553="1",BK1553,0)</f>
        <v>0</v>
      </c>
      <c r="AF1553" s="56">
        <f>IF(AS1553="7",BJ1553,0)</f>
        <v>0</v>
      </c>
      <c r="AG1553" s="56">
        <f>IF(AS1553="7",BK1553,0)</f>
        <v>0</v>
      </c>
      <c r="AH1553" s="56">
        <f>IF(AS1553="2",BJ1553,0)</f>
        <v>0</v>
      </c>
      <c r="AI1553" s="56">
        <f>IF(AS1553="2",BK1553,0)</f>
        <v>0</v>
      </c>
      <c r="AJ1553" s="56">
        <f>IF(AS1553="0",BL1553,0)</f>
        <v>0</v>
      </c>
      <c r="AK1553" s="7" t="s">
        <v>264</v>
      </c>
      <c r="AL1553" s="56">
        <f>IF(AP1553=0,K1553,0)</f>
        <v>0</v>
      </c>
      <c r="AM1553" s="56">
        <f>IF(AP1553=15,K1553,0)</f>
        <v>0</v>
      </c>
      <c r="AN1553" s="56">
        <f>IF(AP1553=21,K1553,0)</f>
        <v>0</v>
      </c>
      <c r="AP1553" s="56">
        <v>21</v>
      </c>
      <c r="AQ1553" s="88">
        <f>H1553*0.227257575252508</f>
        <v>0</v>
      </c>
      <c r="AR1553" s="88">
        <f>H1553*(1-0.227257575252508)</f>
        <v>0</v>
      </c>
      <c r="AS1553" s="21" t="s">
        <v>2311</v>
      </c>
      <c r="AX1553" s="56">
        <f>AY1553+AZ1553</f>
        <v>0</v>
      </c>
      <c r="AY1553" s="56">
        <f>G1553*AQ1553</f>
        <v>0</v>
      </c>
      <c r="AZ1553" s="56">
        <f>G1553*AR1553</f>
        <v>0</v>
      </c>
      <c r="BA1553" s="21" t="s">
        <v>1449</v>
      </c>
      <c r="BB1553" s="21" t="s">
        <v>2029</v>
      </c>
      <c r="BC1553" s="7" t="s">
        <v>507</v>
      </c>
      <c r="BE1553" s="56">
        <f>AY1553+AZ1553</f>
        <v>0</v>
      </c>
      <c r="BF1553" s="56">
        <f>H1553/(100-BG1553)*100</f>
        <v>0</v>
      </c>
      <c r="BG1553" s="56">
        <v>0</v>
      </c>
      <c r="BH1553" s="56">
        <f>M1553</f>
        <v>3.5287199999999999</v>
      </c>
      <c r="BJ1553" s="56">
        <f>G1553*AQ1553</f>
        <v>0</v>
      </c>
      <c r="BK1553" s="56">
        <f>G1553*AR1553</f>
        <v>0</v>
      </c>
      <c r="BL1553" s="56">
        <f>G1553*H1553</f>
        <v>0</v>
      </c>
      <c r="BM1553" s="56"/>
      <c r="BN1553" s="56">
        <v>762</v>
      </c>
    </row>
    <row r="1554" spans="1:66" ht="15" customHeight="1">
      <c r="A1554" s="36"/>
      <c r="D1554" s="45" t="s">
        <v>1937</v>
      </c>
      <c r="E1554" s="104" t="s">
        <v>813</v>
      </c>
      <c r="G1554" s="13">
        <v>468.00000000000006</v>
      </c>
      <c r="N1554" s="19"/>
      <c r="P1554" s="592"/>
      <c r="Q1554" s="592"/>
      <c r="R1554" s="592"/>
      <c r="S1554" s="592"/>
      <c r="T1554" s="592"/>
      <c r="U1554" s="592"/>
      <c r="V1554" s="592"/>
      <c r="W1554" s="592"/>
      <c r="X1554" s="592"/>
    </row>
    <row r="1555" spans="1:66" ht="15" customHeight="1">
      <c r="A1555" s="24" t="s">
        <v>2169</v>
      </c>
      <c r="B1555" s="12" t="s">
        <v>264</v>
      </c>
      <c r="C1555" s="12" t="s">
        <v>481</v>
      </c>
      <c r="D1555" s="630" t="s">
        <v>2522</v>
      </c>
      <c r="E1555" s="630"/>
      <c r="F1555" s="12" t="s">
        <v>1923</v>
      </c>
      <c r="G1555" s="56">
        <v>156</v>
      </c>
      <c r="H1555" s="625"/>
      <c r="I1555" s="56">
        <f>G1555*AQ1555</f>
        <v>0</v>
      </c>
      <c r="J1555" s="56">
        <f>G1555*AR1555</f>
        <v>0</v>
      </c>
      <c r="K1555" s="56">
        <f>G1555*H1555</f>
        <v>0</v>
      </c>
      <c r="L1555" s="56">
        <v>1.205E-2</v>
      </c>
      <c r="M1555" s="56">
        <f>G1555*L1555</f>
        <v>1.8797999999999999</v>
      </c>
      <c r="N1555" s="31" t="s">
        <v>1579</v>
      </c>
      <c r="P1555" s="592"/>
      <c r="Q1555" s="592"/>
      <c r="R1555" s="592"/>
      <c r="S1555" s="592"/>
      <c r="T1555" s="592"/>
      <c r="U1555" s="592"/>
      <c r="V1555" s="592"/>
      <c r="W1555" s="592"/>
      <c r="X1555" s="592"/>
      <c r="AB1555" s="56">
        <f>IF(AS1555="5",BL1555,0)</f>
        <v>0</v>
      </c>
      <c r="AD1555" s="56">
        <f>IF(AS1555="1",BJ1555,0)</f>
        <v>0</v>
      </c>
      <c r="AE1555" s="56">
        <f>IF(AS1555="1",BK1555,0)</f>
        <v>0</v>
      </c>
      <c r="AF1555" s="56">
        <f>IF(AS1555="7",BJ1555,0)</f>
        <v>0</v>
      </c>
      <c r="AG1555" s="56">
        <f>IF(AS1555="7",BK1555,0)</f>
        <v>0</v>
      </c>
      <c r="AH1555" s="56">
        <f>IF(AS1555="2",BJ1555,0)</f>
        <v>0</v>
      </c>
      <c r="AI1555" s="56">
        <f>IF(AS1555="2",BK1555,0)</f>
        <v>0</v>
      </c>
      <c r="AJ1555" s="56">
        <f>IF(AS1555="0",BL1555,0)</f>
        <v>0</v>
      </c>
      <c r="AK1555" s="7" t="s">
        <v>264</v>
      </c>
      <c r="AL1555" s="56">
        <f>IF(AP1555=0,K1555,0)</f>
        <v>0</v>
      </c>
      <c r="AM1555" s="56">
        <f>IF(AP1555=15,K1555,0)</f>
        <v>0</v>
      </c>
      <c r="AN1555" s="56">
        <f>IF(AP1555=21,K1555,0)</f>
        <v>0</v>
      </c>
      <c r="AP1555" s="56">
        <v>21</v>
      </c>
      <c r="AQ1555" s="88">
        <f>H1555*0.281792240364437</f>
        <v>0</v>
      </c>
      <c r="AR1555" s="88">
        <f>H1555*(1-0.281792240364437)</f>
        <v>0</v>
      </c>
      <c r="AS1555" s="21" t="s">
        <v>2311</v>
      </c>
      <c r="AX1555" s="56">
        <f>AY1555+AZ1555</f>
        <v>0</v>
      </c>
      <c r="AY1555" s="56">
        <f>G1555*AQ1555</f>
        <v>0</v>
      </c>
      <c r="AZ1555" s="56">
        <f>G1555*AR1555</f>
        <v>0</v>
      </c>
      <c r="BA1555" s="21" t="s">
        <v>1449</v>
      </c>
      <c r="BB1555" s="21" t="s">
        <v>2029</v>
      </c>
      <c r="BC1555" s="7" t="s">
        <v>507</v>
      </c>
      <c r="BE1555" s="56">
        <f>AY1555+AZ1555</f>
        <v>0</v>
      </c>
      <c r="BF1555" s="56">
        <f>H1555/(100-BG1555)*100</f>
        <v>0</v>
      </c>
      <c r="BG1555" s="56">
        <v>0</v>
      </c>
      <c r="BH1555" s="56">
        <f>M1555</f>
        <v>1.8797999999999999</v>
      </c>
      <c r="BJ1555" s="56">
        <f>G1555*AQ1555</f>
        <v>0</v>
      </c>
      <c r="BK1555" s="56">
        <f>G1555*AR1555</f>
        <v>0</v>
      </c>
      <c r="BL1555" s="56">
        <f>G1555*H1555</f>
        <v>0</v>
      </c>
      <c r="BM1555" s="56"/>
      <c r="BN1555" s="56">
        <v>762</v>
      </c>
    </row>
    <row r="1556" spans="1:66" ht="15" customHeight="1">
      <c r="A1556" s="36"/>
      <c r="D1556" s="45" t="s">
        <v>72</v>
      </c>
      <c r="E1556" s="104" t="s">
        <v>1799</v>
      </c>
      <c r="G1556" s="13">
        <v>156</v>
      </c>
      <c r="N1556" s="19"/>
      <c r="P1556" s="592"/>
      <c r="Q1556" s="592"/>
      <c r="R1556" s="592"/>
      <c r="S1556" s="592"/>
      <c r="T1556" s="592"/>
      <c r="U1556" s="592"/>
      <c r="V1556" s="592"/>
      <c r="W1556" s="592"/>
      <c r="X1556" s="592"/>
    </row>
    <row r="1557" spans="1:66" ht="15" customHeight="1">
      <c r="A1557" s="24" t="s">
        <v>860</v>
      </c>
      <c r="B1557" s="12" t="s">
        <v>264</v>
      </c>
      <c r="C1557" s="12" t="s">
        <v>1198</v>
      </c>
      <c r="D1557" s="630" t="s">
        <v>1833</v>
      </c>
      <c r="E1557" s="630"/>
      <c r="F1557" s="12" t="s">
        <v>1923</v>
      </c>
      <c r="G1557" s="56">
        <v>162.5</v>
      </c>
      <c r="H1557" s="625"/>
      <c r="I1557" s="56">
        <f>G1557*AQ1557</f>
        <v>0</v>
      </c>
      <c r="J1557" s="56">
        <f>G1557*AR1557</f>
        <v>0</v>
      </c>
      <c r="K1557" s="56">
        <f>G1557*H1557</f>
        <v>0</v>
      </c>
      <c r="L1557" s="56">
        <v>1.205E-2</v>
      </c>
      <c r="M1557" s="56">
        <f>G1557*L1557</f>
        <v>1.9581249999999999</v>
      </c>
      <c r="N1557" s="31" t="s">
        <v>1579</v>
      </c>
      <c r="P1557" s="592"/>
      <c r="Q1557" s="592"/>
      <c r="R1557" s="592"/>
      <c r="S1557" s="592"/>
      <c r="T1557" s="592"/>
      <c r="U1557" s="592"/>
      <c r="V1557" s="592"/>
      <c r="W1557" s="592"/>
      <c r="X1557" s="592"/>
      <c r="AB1557" s="56">
        <f>IF(AS1557="5",BL1557,0)</f>
        <v>0</v>
      </c>
      <c r="AD1557" s="56">
        <f>IF(AS1557="1",BJ1557,0)</f>
        <v>0</v>
      </c>
      <c r="AE1557" s="56">
        <f>IF(AS1557="1",BK1557,0)</f>
        <v>0</v>
      </c>
      <c r="AF1557" s="56">
        <f>IF(AS1557="7",BJ1557,0)</f>
        <v>0</v>
      </c>
      <c r="AG1557" s="56">
        <f>IF(AS1557="7",BK1557,0)</f>
        <v>0</v>
      </c>
      <c r="AH1557" s="56">
        <f>IF(AS1557="2",BJ1557,0)</f>
        <v>0</v>
      </c>
      <c r="AI1557" s="56">
        <f>IF(AS1557="2",BK1557,0)</f>
        <v>0</v>
      </c>
      <c r="AJ1557" s="56">
        <f>IF(AS1557="0",BL1557,0)</f>
        <v>0</v>
      </c>
      <c r="AK1557" s="7" t="s">
        <v>264</v>
      </c>
      <c r="AL1557" s="56">
        <f>IF(AP1557=0,K1557,0)</f>
        <v>0</v>
      </c>
      <c r="AM1557" s="56">
        <f>IF(AP1557=15,K1557,0)</f>
        <v>0</v>
      </c>
      <c r="AN1557" s="56">
        <f>IF(AP1557=21,K1557,0)</f>
        <v>0</v>
      </c>
      <c r="AP1557" s="56">
        <v>21</v>
      </c>
      <c r="AQ1557" s="88">
        <f>H1557*0.327022222222222</f>
        <v>0</v>
      </c>
      <c r="AR1557" s="88">
        <f>H1557*(1-0.327022222222222)</f>
        <v>0</v>
      </c>
      <c r="AS1557" s="21" t="s">
        <v>2311</v>
      </c>
      <c r="AX1557" s="56">
        <f>AY1557+AZ1557</f>
        <v>0</v>
      </c>
      <c r="AY1557" s="56">
        <f>G1557*AQ1557</f>
        <v>0</v>
      </c>
      <c r="AZ1557" s="56">
        <f>G1557*AR1557</f>
        <v>0</v>
      </c>
      <c r="BA1557" s="21" t="s">
        <v>1449</v>
      </c>
      <c r="BB1557" s="21" t="s">
        <v>2029</v>
      </c>
      <c r="BC1557" s="7" t="s">
        <v>507</v>
      </c>
      <c r="BE1557" s="56">
        <f>AY1557+AZ1557</f>
        <v>0</v>
      </c>
      <c r="BF1557" s="56">
        <f>H1557/(100-BG1557)*100</f>
        <v>0</v>
      </c>
      <c r="BG1557" s="56">
        <v>0</v>
      </c>
      <c r="BH1557" s="56">
        <f>M1557</f>
        <v>1.9581249999999999</v>
      </c>
      <c r="BJ1557" s="56">
        <f>G1557*AQ1557</f>
        <v>0</v>
      </c>
      <c r="BK1557" s="56">
        <f>G1557*AR1557</f>
        <v>0</v>
      </c>
      <c r="BL1557" s="56">
        <f>G1557*H1557</f>
        <v>0</v>
      </c>
      <c r="BM1557" s="56"/>
      <c r="BN1557" s="56">
        <v>762</v>
      </c>
    </row>
    <row r="1558" spans="1:66" ht="15" customHeight="1">
      <c r="A1558" s="36"/>
      <c r="D1558" s="45" t="s">
        <v>1790</v>
      </c>
      <c r="E1558" s="104" t="s">
        <v>648</v>
      </c>
      <c r="G1558" s="13">
        <v>162.5</v>
      </c>
      <c r="N1558" s="19"/>
      <c r="P1558" s="592"/>
      <c r="Q1558" s="592"/>
      <c r="R1558" s="592"/>
      <c r="S1558" s="592"/>
      <c r="T1558" s="592"/>
      <c r="U1558" s="592"/>
      <c r="V1558" s="592"/>
      <c r="W1558" s="592"/>
      <c r="X1558" s="592"/>
    </row>
    <row r="1559" spans="1:66" ht="15" customHeight="1">
      <c r="A1559" s="24" t="s">
        <v>762</v>
      </c>
      <c r="B1559" s="12" t="s">
        <v>264</v>
      </c>
      <c r="C1559" s="12" t="s">
        <v>846</v>
      </c>
      <c r="D1559" s="630" t="s">
        <v>2598</v>
      </c>
      <c r="E1559" s="630"/>
      <c r="F1559" s="12" t="s">
        <v>2236</v>
      </c>
      <c r="G1559" s="56">
        <v>25</v>
      </c>
      <c r="H1559" s="625"/>
      <c r="I1559" s="56">
        <f>G1559*AQ1559</f>
        <v>0</v>
      </c>
      <c r="J1559" s="56">
        <f>G1559*AR1559</f>
        <v>0</v>
      </c>
      <c r="K1559" s="56">
        <f>G1559*H1559</f>
        <v>0</v>
      </c>
      <c r="L1559" s="56">
        <v>2.3570000000000001E-2</v>
      </c>
      <c r="M1559" s="56">
        <f>G1559*L1559</f>
        <v>0.58925000000000005</v>
      </c>
      <c r="N1559" s="31" t="s">
        <v>1579</v>
      </c>
      <c r="P1559" s="592"/>
      <c r="Q1559" s="592"/>
      <c r="R1559" s="592"/>
      <c r="S1559" s="592"/>
      <c r="T1559" s="592"/>
      <c r="U1559" s="592"/>
      <c r="V1559" s="592"/>
      <c r="W1559" s="592"/>
      <c r="X1559" s="592"/>
      <c r="AB1559" s="56">
        <f>IF(AS1559="5",BL1559,0)</f>
        <v>0</v>
      </c>
      <c r="AD1559" s="56">
        <f>IF(AS1559="1",BJ1559,0)</f>
        <v>0</v>
      </c>
      <c r="AE1559" s="56">
        <f>IF(AS1559="1",BK1559,0)</f>
        <v>0</v>
      </c>
      <c r="AF1559" s="56">
        <f>IF(AS1559="7",BJ1559,0)</f>
        <v>0</v>
      </c>
      <c r="AG1559" s="56">
        <f>IF(AS1559="7",BK1559,0)</f>
        <v>0</v>
      </c>
      <c r="AH1559" s="56">
        <f>IF(AS1559="2",BJ1559,0)</f>
        <v>0</v>
      </c>
      <c r="AI1559" s="56">
        <f>IF(AS1559="2",BK1559,0)</f>
        <v>0</v>
      </c>
      <c r="AJ1559" s="56">
        <f>IF(AS1559="0",BL1559,0)</f>
        <v>0</v>
      </c>
      <c r="AK1559" s="7" t="s">
        <v>264</v>
      </c>
      <c r="AL1559" s="56">
        <f>IF(AP1559=0,K1559,0)</f>
        <v>0</v>
      </c>
      <c r="AM1559" s="56">
        <f>IF(AP1559=15,K1559,0)</f>
        <v>0</v>
      </c>
      <c r="AN1559" s="56">
        <f>IF(AP1559=21,K1559,0)</f>
        <v>0</v>
      </c>
      <c r="AP1559" s="56">
        <v>21</v>
      </c>
      <c r="AQ1559" s="88">
        <f>H1559*1</f>
        <v>0</v>
      </c>
      <c r="AR1559" s="88">
        <f>H1559*(1-1)</f>
        <v>0</v>
      </c>
      <c r="AS1559" s="21" t="s">
        <v>2311</v>
      </c>
      <c r="AX1559" s="56">
        <f>AY1559+AZ1559</f>
        <v>0</v>
      </c>
      <c r="AY1559" s="56">
        <f>G1559*AQ1559</f>
        <v>0</v>
      </c>
      <c r="AZ1559" s="56">
        <f>G1559*AR1559</f>
        <v>0</v>
      </c>
      <c r="BA1559" s="21" t="s">
        <v>1449</v>
      </c>
      <c r="BB1559" s="21" t="s">
        <v>2029</v>
      </c>
      <c r="BC1559" s="7" t="s">
        <v>507</v>
      </c>
      <c r="BE1559" s="56">
        <f>AY1559+AZ1559</f>
        <v>0</v>
      </c>
      <c r="BF1559" s="56">
        <f>H1559/(100-BG1559)*100</f>
        <v>0</v>
      </c>
      <c r="BG1559" s="56">
        <v>0</v>
      </c>
      <c r="BH1559" s="56">
        <f>M1559</f>
        <v>0.58925000000000005</v>
      </c>
      <c r="BJ1559" s="56">
        <f>G1559*AQ1559</f>
        <v>0</v>
      </c>
      <c r="BK1559" s="56">
        <f>G1559*AR1559</f>
        <v>0</v>
      </c>
      <c r="BL1559" s="56">
        <f>G1559*H1559</f>
        <v>0</v>
      </c>
      <c r="BM1559" s="56"/>
      <c r="BN1559" s="56">
        <v>762</v>
      </c>
    </row>
    <row r="1560" spans="1:66" ht="15" customHeight="1">
      <c r="A1560" s="36"/>
      <c r="D1560" s="45" t="s">
        <v>562</v>
      </c>
      <c r="E1560" s="104" t="s">
        <v>1597</v>
      </c>
      <c r="G1560" s="13">
        <v>25.000000000000004</v>
      </c>
      <c r="N1560" s="19"/>
      <c r="P1560" s="592"/>
      <c r="Q1560" s="592"/>
      <c r="R1560" s="592"/>
      <c r="S1560" s="592"/>
      <c r="T1560" s="592"/>
      <c r="U1560" s="592"/>
      <c r="V1560" s="592"/>
      <c r="W1560" s="592"/>
      <c r="X1560" s="592"/>
    </row>
    <row r="1561" spans="1:66" ht="15" customHeight="1">
      <c r="A1561" s="24" t="s">
        <v>1178</v>
      </c>
      <c r="B1561" s="12" t="s">
        <v>264</v>
      </c>
      <c r="C1561" s="12" t="s">
        <v>1142</v>
      </c>
      <c r="D1561" s="630" t="s">
        <v>533</v>
      </c>
      <c r="E1561" s="630"/>
      <c r="F1561" s="12" t="s">
        <v>1923</v>
      </c>
      <c r="G1561" s="56">
        <v>150</v>
      </c>
      <c r="H1561" s="625"/>
      <c r="I1561" s="56">
        <f>G1561*AQ1561</f>
        <v>0</v>
      </c>
      <c r="J1561" s="56">
        <f>G1561*AR1561</f>
        <v>0</v>
      </c>
      <c r="K1561" s="56">
        <f>G1561*H1561</f>
        <v>0</v>
      </c>
      <c r="L1561" s="56">
        <v>1.9300000000000001E-3</v>
      </c>
      <c r="M1561" s="56">
        <f>G1561*L1561</f>
        <v>0.28950000000000004</v>
      </c>
      <c r="N1561" s="31" t="s">
        <v>1579</v>
      </c>
      <c r="P1561" s="592"/>
      <c r="Q1561" s="592"/>
      <c r="R1561" s="592"/>
      <c r="S1561" s="592"/>
      <c r="T1561" s="592"/>
      <c r="U1561" s="592"/>
      <c r="V1561" s="592"/>
      <c r="W1561" s="592"/>
      <c r="X1561" s="592"/>
      <c r="AB1561" s="56">
        <f>IF(AS1561="5",BL1561,0)</f>
        <v>0</v>
      </c>
      <c r="AD1561" s="56">
        <f>IF(AS1561="1",BJ1561,0)</f>
        <v>0</v>
      </c>
      <c r="AE1561" s="56">
        <f>IF(AS1561="1",BK1561,0)</f>
        <v>0</v>
      </c>
      <c r="AF1561" s="56">
        <f>IF(AS1561="7",BJ1561,0)</f>
        <v>0</v>
      </c>
      <c r="AG1561" s="56">
        <f>IF(AS1561="7",BK1561,0)</f>
        <v>0</v>
      </c>
      <c r="AH1561" s="56">
        <f>IF(AS1561="2",BJ1561,0)</f>
        <v>0</v>
      </c>
      <c r="AI1561" s="56">
        <f>IF(AS1561="2",BK1561,0)</f>
        <v>0</v>
      </c>
      <c r="AJ1561" s="56">
        <f>IF(AS1561="0",BL1561,0)</f>
        <v>0</v>
      </c>
      <c r="AK1561" s="7" t="s">
        <v>264</v>
      </c>
      <c r="AL1561" s="56">
        <f>IF(AP1561=0,K1561,0)</f>
        <v>0</v>
      </c>
      <c r="AM1561" s="56">
        <f>IF(AP1561=15,K1561,0)</f>
        <v>0</v>
      </c>
      <c r="AN1561" s="56">
        <f>IF(AP1561=21,K1561,0)</f>
        <v>0</v>
      </c>
      <c r="AP1561" s="56">
        <v>21</v>
      </c>
      <c r="AQ1561" s="88">
        <f>H1561*0.312894219832489</f>
        <v>0</v>
      </c>
      <c r="AR1561" s="88">
        <f>H1561*(1-0.312894219832489)</f>
        <v>0</v>
      </c>
      <c r="AS1561" s="21" t="s">
        <v>2311</v>
      </c>
      <c r="AX1561" s="56">
        <f>AY1561+AZ1561</f>
        <v>0</v>
      </c>
      <c r="AY1561" s="56">
        <f>G1561*AQ1561</f>
        <v>0</v>
      </c>
      <c r="AZ1561" s="56">
        <f>G1561*AR1561</f>
        <v>0</v>
      </c>
      <c r="BA1561" s="21" t="s">
        <v>1449</v>
      </c>
      <c r="BB1561" s="21" t="s">
        <v>2029</v>
      </c>
      <c r="BC1561" s="7" t="s">
        <v>507</v>
      </c>
      <c r="BE1561" s="56">
        <f>AY1561+AZ1561</f>
        <v>0</v>
      </c>
      <c r="BF1561" s="56">
        <f>H1561/(100-BG1561)*100</f>
        <v>0</v>
      </c>
      <c r="BG1561" s="56">
        <v>0</v>
      </c>
      <c r="BH1561" s="56">
        <f>M1561</f>
        <v>0.28950000000000004</v>
      </c>
      <c r="BJ1561" s="56">
        <f>G1561*AQ1561</f>
        <v>0</v>
      </c>
      <c r="BK1561" s="56">
        <f>G1561*AR1561</f>
        <v>0</v>
      </c>
      <c r="BL1561" s="56">
        <f>G1561*H1561</f>
        <v>0</v>
      </c>
      <c r="BM1561" s="56"/>
      <c r="BN1561" s="56">
        <v>762</v>
      </c>
    </row>
    <row r="1562" spans="1:66" ht="15" customHeight="1">
      <c r="A1562" s="36"/>
      <c r="D1562" s="45" t="s">
        <v>940</v>
      </c>
      <c r="E1562" s="104" t="s">
        <v>1597</v>
      </c>
      <c r="G1562" s="13">
        <v>150</v>
      </c>
      <c r="N1562" s="19"/>
      <c r="P1562" s="592"/>
      <c r="Q1562" s="592"/>
      <c r="R1562" s="592"/>
      <c r="S1562" s="592"/>
      <c r="T1562" s="592"/>
      <c r="U1562" s="592"/>
      <c r="V1562" s="592"/>
      <c r="W1562" s="592"/>
      <c r="X1562" s="592"/>
    </row>
    <row r="1563" spans="1:66" ht="15" customHeight="1">
      <c r="A1563" s="24" t="s">
        <v>1881</v>
      </c>
      <c r="B1563" s="12" t="s">
        <v>264</v>
      </c>
      <c r="C1563" s="12" t="s">
        <v>2048</v>
      </c>
      <c r="D1563" s="630" t="s">
        <v>1297</v>
      </c>
      <c r="E1563" s="630"/>
      <c r="F1563" s="12" t="s">
        <v>2274</v>
      </c>
      <c r="G1563" s="56">
        <v>442</v>
      </c>
      <c r="H1563" s="625"/>
      <c r="I1563" s="56">
        <f>G1563*AQ1563</f>
        <v>0</v>
      </c>
      <c r="J1563" s="56">
        <f>G1563*AR1563</f>
        <v>0</v>
      </c>
      <c r="K1563" s="56">
        <f>G1563*H1563</f>
        <v>0</v>
      </c>
      <c r="L1563" s="56">
        <v>0</v>
      </c>
      <c r="M1563" s="56">
        <f>G1563*L1563</f>
        <v>0</v>
      </c>
      <c r="N1563" s="31" t="s">
        <v>1579</v>
      </c>
      <c r="P1563" s="592"/>
      <c r="Q1563" s="592"/>
      <c r="R1563" s="592"/>
      <c r="S1563" s="592"/>
      <c r="T1563" s="592"/>
      <c r="U1563" s="592"/>
      <c r="V1563" s="592"/>
      <c r="W1563" s="592"/>
      <c r="X1563" s="592"/>
      <c r="AB1563" s="56">
        <f>IF(AS1563="5",BL1563,0)</f>
        <v>0</v>
      </c>
      <c r="AD1563" s="56">
        <f>IF(AS1563="1",BJ1563,0)</f>
        <v>0</v>
      </c>
      <c r="AE1563" s="56">
        <f>IF(AS1563="1",BK1563,0)</f>
        <v>0</v>
      </c>
      <c r="AF1563" s="56">
        <f>IF(AS1563="7",BJ1563,0)</f>
        <v>0</v>
      </c>
      <c r="AG1563" s="56">
        <f>IF(AS1563="7",BK1563,0)</f>
        <v>0</v>
      </c>
      <c r="AH1563" s="56">
        <f>IF(AS1563="2",BJ1563,0)</f>
        <v>0</v>
      </c>
      <c r="AI1563" s="56">
        <f>IF(AS1563="2",BK1563,0)</f>
        <v>0</v>
      </c>
      <c r="AJ1563" s="56">
        <f>IF(AS1563="0",BL1563,0)</f>
        <v>0</v>
      </c>
      <c r="AK1563" s="7" t="s">
        <v>264</v>
      </c>
      <c r="AL1563" s="56">
        <f>IF(AP1563=0,K1563,0)</f>
        <v>0</v>
      </c>
      <c r="AM1563" s="56">
        <f>IF(AP1563=15,K1563,0)</f>
        <v>0</v>
      </c>
      <c r="AN1563" s="56">
        <f>IF(AP1563=21,K1563,0)</f>
        <v>0</v>
      </c>
      <c r="AP1563" s="56">
        <v>21</v>
      </c>
      <c r="AQ1563" s="88">
        <f>H1563*0.545169491525424</f>
        <v>0</v>
      </c>
      <c r="AR1563" s="88">
        <f>H1563*(1-0.545169491525424)</f>
        <v>0</v>
      </c>
      <c r="AS1563" s="21" t="s">
        <v>2311</v>
      </c>
      <c r="AX1563" s="56">
        <f>AY1563+AZ1563</f>
        <v>0</v>
      </c>
      <c r="AY1563" s="56">
        <f>G1563*AQ1563</f>
        <v>0</v>
      </c>
      <c r="AZ1563" s="56">
        <f>G1563*AR1563</f>
        <v>0</v>
      </c>
      <c r="BA1563" s="21" t="s">
        <v>1449</v>
      </c>
      <c r="BB1563" s="21" t="s">
        <v>2029</v>
      </c>
      <c r="BC1563" s="7" t="s">
        <v>507</v>
      </c>
      <c r="BE1563" s="56">
        <f>AY1563+AZ1563</f>
        <v>0</v>
      </c>
      <c r="BF1563" s="56">
        <f>H1563/(100-BG1563)*100</f>
        <v>0</v>
      </c>
      <c r="BG1563" s="56">
        <v>0</v>
      </c>
      <c r="BH1563" s="56">
        <f>M1563</f>
        <v>0</v>
      </c>
      <c r="BJ1563" s="56">
        <f>G1563*AQ1563</f>
        <v>0</v>
      </c>
      <c r="BK1563" s="56">
        <f>G1563*AR1563</f>
        <v>0</v>
      </c>
      <c r="BL1563" s="56">
        <f>G1563*H1563</f>
        <v>0</v>
      </c>
      <c r="BM1563" s="56"/>
      <c r="BN1563" s="56">
        <v>762</v>
      </c>
    </row>
    <row r="1564" spans="1:66" ht="15" customHeight="1">
      <c r="A1564" s="91"/>
      <c r="B1564" s="96"/>
      <c r="C1564" s="96"/>
      <c r="D1564" s="16" t="s">
        <v>990</v>
      </c>
      <c r="E1564" s="90" t="s">
        <v>2101</v>
      </c>
      <c r="F1564" s="96"/>
      <c r="G1564" s="4">
        <v>442.00000000000006</v>
      </c>
      <c r="H1564" s="96"/>
      <c r="I1564" s="96"/>
      <c r="J1564" s="96"/>
      <c r="K1564" s="96"/>
      <c r="L1564" s="96"/>
      <c r="M1564" s="96"/>
      <c r="N1564" s="97"/>
      <c r="P1564" s="592"/>
      <c r="Q1564" s="592"/>
      <c r="R1564" s="592"/>
      <c r="S1564" s="592"/>
      <c r="T1564" s="592"/>
      <c r="U1564" s="592"/>
      <c r="V1564" s="592"/>
      <c r="W1564" s="592"/>
      <c r="X1564" s="592"/>
    </row>
    <row r="1565" spans="1:66" ht="15" customHeight="1">
      <c r="I1565" s="663" t="s">
        <v>1831</v>
      </c>
      <c r="J1565" s="663"/>
      <c r="K1565" s="591">
        <f>K13+K35+K40+K43+K48+K85+K91+K107+K110+K115+K119+K124+K132+K142+K153+K159+K162+K167+K171+K174+K184+K192+K195+K202+K205+K228+K233+K245+K267+K294+K312+K316+K319+K333+K336+K414+K448+K479+K503+K514+K553+K609+K639+K645+K654+K665+K668+K673+K684+K687+K690+K693+K696+K699+K702+K705+K708+K711+K714+K717+K720+K723+K733+K747+K756+K768+K778+K781+K795+K803+K820+K834+K839+K918+K937+K982+K1005+K1024+K1030+K1043+K1048+K1055+K1060+K1063+K1066+K1069+K1072+K1075+K1078+K1081+K1085+K1089+K1093+K1097+K1100+K1105+K1108+K1115+K1118+K1157+K1240+K1245+K1248+K1317+K1328+K1331+K1334+K1337+K1341+K1345+K1349+K1356+K1365+K1368+K1373+K1385+K1390+K1393+K1423+K1440+K1443+K1447+K1452+K1455+K1460+K1465+K1468+K1475+K1478+K1483+K1490+K1495+K1505+K1538+K1543+K1546+K1552</f>
        <v>0</v>
      </c>
    </row>
    <row r="1566" spans="1:66" ht="15" customHeight="1" thickBot="1">
      <c r="A1566" s="52" t="s">
        <v>200</v>
      </c>
    </row>
    <row r="1567" spans="1:66" ht="23" customHeight="1" thickBot="1">
      <c r="A1567" s="629" t="s">
        <v>1597</v>
      </c>
      <c r="B1567" s="630"/>
      <c r="C1567" s="630"/>
      <c r="D1567" s="630"/>
      <c r="E1567" s="630"/>
      <c r="F1567" s="630"/>
      <c r="G1567" s="630"/>
      <c r="H1567" s="630"/>
      <c r="I1567" s="630"/>
      <c r="J1567" s="630"/>
      <c r="K1567" s="630"/>
      <c r="L1567" s="630"/>
      <c r="M1567" s="630"/>
      <c r="N1567" s="630"/>
      <c r="P1567" s="586">
        <f>SUM(P11:P1564)</f>
        <v>0</v>
      </c>
      <c r="Q1567" s="587">
        <f>SUM(Q11:Q1564)</f>
        <v>0</v>
      </c>
      <c r="R1567" s="588" t="e">
        <f>SUM(R11:R1564)</f>
        <v>#DIV/0!</v>
      </c>
      <c r="S1567" s="588" t="e">
        <f>SUM(S11:S1564)</f>
        <v>#DIV/0!</v>
      </c>
      <c r="T1567" s="579"/>
      <c r="U1567" s="589">
        <f>SUM(U11:U1564)</f>
        <v>0</v>
      </c>
      <c r="V1567" s="590">
        <f>SUM(V11:V1564)</f>
        <v>0</v>
      </c>
      <c r="W1567" s="599" t="e">
        <f>SUM(W11:W1564)</f>
        <v>#DIV/0!</v>
      </c>
      <c r="X1567" s="600" t="e">
        <f>SUM(X11:X1564)</f>
        <v>#DIV/0!</v>
      </c>
    </row>
    <row r="1568" spans="1:66" ht="16.5" customHeight="1" thickBot="1">
      <c r="A1568" s="514"/>
      <c r="B1568" s="12"/>
      <c r="C1568" s="12"/>
      <c r="D1568" s="12"/>
      <c r="E1568" s="12"/>
      <c r="F1568" s="12"/>
      <c r="G1568" s="12"/>
      <c r="H1568" s="12"/>
      <c r="I1568" s="12"/>
      <c r="J1568" s="12"/>
      <c r="K1568" s="12"/>
      <c r="L1568" s="12"/>
      <c r="M1568" s="12"/>
      <c r="N1568" s="12"/>
      <c r="P1568" s="597"/>
      <c r="Q1568" s="598"/>
      <c r="R1568" s="595"/>
      <c r="S1568" s="587"/>
      <c r="T1568" s="579"/>
      <c r="U1568" s="598"/>
      <c r="V1568" s="598"/>
      <c r="W1568" s="595"/>
      <c r="X1568" s="596"/>
    </row>
    <row r="1569" spans="1:68" ht="23" customHeight="1" thickBot="1">
      <c r="A1569" s="514"/>
      <c r="B1569" s="12"/>
      <c r="C1569" s="12"/>
      <c r="D1569" s="12"/>
      <c r="E1569" s="12"/>
      <c r="F1569" s="12"/>
      <c r="G1569" s="12"/>
      <c r="H1569" s="12"/>
      <c r="I1569" s="12"/>
      <c r="J1569" s="12"/>
      <c r="K1569" s="12"/>
      <c r="L1569" s="12"/>
      <c r="M1569" s="12"/>
      <c r="N1569" s="12"/>
      <c r="P1569" s="745" t="e">
        <f>P1567+R1567+W1567</f>
        <v>#DIV/0!</v>
      </c>
      <c r="Q1569" s="746"/>
      <c r="R1569" s="747" t="e">
        <f>Q1567+S1567</f>
        <v>#DIV/0!</v>
      </c>
      <c r="S1569" s="748"/>
      <c r="T1569" s="579"/>
      <c r="U1569" s="749" t="e">
        <f>U1567+V1567+X1567</f>
        <v>#DIV/0!</v>
      </c>
      <c r="V1569" s="746"/>
      <c r="W1569" s="746"/>
      <c r="X1569" s="750"/>
      <c r="BP1569" s="576" t="e">
        <f>K1565-SUM(P1569:X1569)</f>
        <v>#DIV/0!</v>
      </c>
    </row>
    <row r="1570" spans="1:68" ht="25" customHeight="1" thickBot="1">
      <c r="D1570" s="522"/>
      <c r="E1570" t="s">
        <v>3708</v>
      </c>
      <c r="P1570" s="742" t="e">
        <f>SUM(P1567:X1567)</f>
        <v>#DIV/0!</v>
      </c>
      <c r="Q1570" s="743"/>
      <c r="R1570" s="743"/>
      <c r="S1570" s="743"/>
      <c r="T1570" s="743"/>
      <c r="U1570" s="743"/>
      <c r="V1570" s="743"/>
      <c r="W1570" s="743"/>
      <c r="X1570" s="744"/>
      <c r="BP1570" s="576" t="e">
        <f>K1565-P1570</f>
        <v>#DIV/0!</v>
      </c>
    </row>
    <row r="1571" spans="1:68" ht="25.5" customHeight="1" thickBot="1">
      <c r="D1571" s="535"/>
      <c r="E1571" s="558" t="s">
        <v>3709</v>
      </c>
      <c r="P1571" s="739" t="e">
        <f>P1567+Q1567+R1567+S1567+W1567</f>
        <v>#DIV/0!</v>
      </c>
      <c r="Q1571" s="740"/>
      <c r="R1571" s="740"/>
      <c r="S1571" s="741"/>
      <c r="U1571" s="739" t="e">
        <f>U1567+V1567+X1567</f>
        <v>#DIV/0!</v>
      </c>
      <c r="V1571" s="740"/>
      <c r="W1571" s="740"/>
      <c r="X1571" s="741"/>
    </row>
    <row r="1572" spans="1:68" ht="20.5" customHeight="1" thickBot="1">
      <c r="D1572" s="555"/>
      <c r="E1572" s="558" t="s">
        <v>3713</v>
      </c>
      <c r="P1572" s="742" t="e">
        <f>SUM(P1571:X1571)</f>
        <v>#DIV/0!</v>
      </c>
      <c r="Q1572" s="743"/>
      <c r="R1572" s="743"/>
      <c r="S1572" s="743"/>
      <c r="T1572" s="743"/>
      <c r="U1572" s="743"/>
      <c r="V1572" s="743"/>
      <c r="W1572" s="743"/>
      <c r="X1572" s="744"/>
      <c r="BP1572" s="576" t="e">
        <f>P1570-P1572</f>
        <v>#DIV/0!</v>
      </c>
    </row>
    <row r="1574" spans="1:68" ht="15" customHeight="1">
      <c r="D1574" s="510"/>
      <c r="E1574" t="s">
        <v>3710</v>
      </c>
    </row>
    <row r="1575" spans="1:68" ht="15" customHeight="1">
      <c r="D1575" s="544"/>
      <c r="E1575" t="s">
        <v>3711</v>
      </c>
    </row>
    <row r="1576" spans="1:68" ht="15" customHeight="1">
      <c r="D1576" s="545"/>
      <c r="E1576" t="s">
        <v>3712</v>
      </c>
    </row>
  </sheetData>
  <mergeCells count="822">
    <mergeCell ref="P1571:S1571"/>
    <mergeCell ref="U1571:X1571"/>
    <mergeCell ref="P1572:X1572"/>
    <mergeCell ref="P1569:Q1569"/>
    <mergeCell ref="R1569:S1569"/>
    <mergeCell ref="U1569:X1569"/>
    <mergeCell ref="P1570:X1570"/>
    <mergeCell ref="R9:S9"/>
    <mergeCell ref="R10:S10"/>
    <mergeCell ref="R8:S8"/>
    <mergeCell ref="W8:X8"/>
    <mergeCell ref="W9:X9"/>
    <mergeCell ref="P6:X7"/>
    <mergeCell ref="W10:X10"/>
    <mergeCell ref="A1:N1"/>
    <mergeCell ref="A2:B3"/>
    <mergeCell ref="A4:B5"/>
    <mergeCell ref="A6:B7"/>
    <mergeCell ref="A8:B9"/>
    <mergeCell ref="E2:E3"/>
    <mergeCell ref="E4:E5"/>
    <mergeCell ref="E6:E7"/>
    <mergeCell ref="E8:E9"/>
    <mergeCell ref="G2:H3"/>
    <mergeCell ref="F8:F9"/>
    <mergeCell ref="I2:N3"/>
    <mergeCell ref="I4:N5"/>
    <mergeCell ref="I6:N7"/>
    <mergeCell ref="I8:N9"/>
    <mergeCell ref="G4:H5"/>
    <mergeCell ref="G6:H7"/>
    <mergeCell ref="G8:H9"/>
    <mergeCell ref="C2:D3"/>
    <mergeCell ref="C4:D5"/>
    <mergeCell ref="C6:D7"/>
    <mergeCell ref="C8:D9"/>
    <mergeCell ref="F2:F3"/>
    <mergeCell ref="F4:F5"/>
    <mergeCell ref="F6:F7"/>
    <mergeCell ref="D21:E21"/>
    <mergeCell ref="D23:E23"/>
    <mergeCell ref="D25:E25"/>
    <mergeCell ref="D27:E27"/>
    <mergeCell ref="D29:E29"/>
    <mergeCell ref="D31:E31"/>
    <mergeCell ref="D11:E11"/>
    <mergeCell ref="I10:K10"/>
    <mergeCell ref="L10:M10"/>
    <mergeCell ref="D12:E12"/>
    <mergeCell ref="D13:E13"/>
    <mergeCell ref="D14:E14"/>
    <mergeCell ref="D10:E10"/>
    <mergeCell ref="D43:E43"/>
    <mergeCell ref="D44:E44"/>
    <mergeCell ref="D46:E46"/>
    <mergeCell ref="D48:E48"/>
    <mergeCell ref="D49:E49"/>
    <mergeCell ref="D52:E52"/>
    <mergeCell ref="D33:E33"/>
    <mergeCell ref="D35:E35"/>
    <mergeCell ref="D36:E36"/>
    <mergeCell ref="D38:E38"/>
    <mergeCell ref="D40:E40"/>
    <mergeCell ref="D41:E41"/>
    <mergeCell ref="D73:E73"/>
    <mergeCell ref="D75:E75"/>
    <mergeCell ref="D77:E77"/>
    <mergeCell ref="D80:E80"/>
    <mergeCell ref="D82:E82"/>
    <mergeCell ref="D85:E85"/>
    <mergeCell ref="D60:E60"/>
    <mergeCell ref="D62:E62"/>
    <mergeCell ref="D65:E65"/>
    <mergeCell ref="D67:E67"/>
    <mergeCell ref="D69:E69"/>
    <mergeCell ref="D71:E71"/>
    <mergeCell ref="D98:E98"/>
    <mergeCell ref="D100:E100"/>
    <mergeCell ref="D102:E102"/>
    <mergeCell ref="D104:E104"/>
    <mergeCell ref="D106:E106"/>
    <mergeCell ref="D107:E107"/>
    <mergeCell ref="D86:E86"/>
    <mergeCell ref="D88:E88"/>
    <mergeCell ref="D91:E91"/>
    <mergeCell ref="D92:E92"/>
    <mergeCell ref="D94:E94"/>
    <mergeCell ref="D96:E96"/>
    <mergeCell ref="D119:E119"/>
    <mergeCell ref="D120:E120"/>
    <mergeCell ref="D122:E122"/>
    <mergeCell ref="D124:E124"/>
    <mergeCell ref="D125:E125"/>
    <mergeCell ref="D128:E128"/>
    <mergeCell ref="D108:E108"/>
    <mergeCell ref="D110:E110"/>
    <mergeCell ref="D111:E111"/>
    <mergeCell ref="D113:E113"/>
    <mergeCell ref="D115:E115"/>
    <mergeCell ref="D116:E116"/>
    <mergeCell ref="D142:E142"/>
    <mergeCell ref="D143:E143"/>
    <mergeCell ref="D145:E145"/>
    <mergeCell ref="D148:E148"/>
    <mergeCell ref="D150:E150"/>
    <mergeCell ref="D153:E153"/>
    <mergeCell ref="D130:E130"/>
    <mergeCell ref="D132:E132"/>
    <mergeCell ref="D133:E133"/>
    <mergeCell ref="D135:E135"/>
    <mergeCell ref="D137:E137"/>
    <mergeCell ref="D139:E139"/>
    <mergeCell ref="D165:E165"/>
    <mergeCell ref="D167:E167"/>
    <mergeCell ref="D168:E168"/>
    <mergeCell ref="D171:E171"/>
    <mergeCell ref="D172:E172"/>
    <mergeCell ref="D174:E174"/>
    <mergeCell ref="D154:E154"/>
    <mergeCell ref="D156:E156"/>
    <mergeCell ref="D159:E159"/>
    <mergeCell ref="D160:E160"/>
    <mergeCell ref="D162:E162"/>
    <mergeCell ref="D163:E163"/>
    <mergeCell ref="D185:E185"/>
    <mergeCell ref="D188:E188"/>
    <mergeCell ref="D192:E192"/>
    <mergeCell ref="D193:E193"/>
    <mergeCell ref="D195:E195"/>
    <mergeCell ref="D196:E196"/>
    <mergeCell ref="D175:E175"/>
    <mergeCell ref="D177:E177"/>
    <mergeCell ref="D179:E179"/>
    <mergeCell ref="D181:E181"/>
    <mergeCell ref="D183:E183"/>
    <mergeCell ref="D184:E184"/>
    <mergeCell ref="D212:E212"/>
    <mergeCell ref="D214:E214"/>
    <mergeCell ref="D216:E216"/>
    <mergeCell ref="D218:E218"/>
    <mergeCell ref="D220:E220"/>
    <mergeCell ref="D222:E222"/>
    <mergeCell ref="D199:E199"/>
    <mergeCell ref="D202:E202"/>
    <mergeCell ref="D203:E203"/>
    <mergeCell ref="D205:E205"/>
    <mergeCell ref="D206:E206"/>
    <mergeCell ref="D209:E209"/>
    <mergeCell ref="D234:E234"/>
    <mergeCell ref="D237:E237"/>
    <mergeCell ref="D240:E240"/>
    <mergeCell ref="D243:E243"/>
    <mergeCell ref="D245:E245"/>
    <mergeCell ref="D246:E246"/>
    <mergeCell ref="D224:E224"/>
    <mergeCell ref="D226:E226"/>
    <mergeCell ref="D228:E228"/>
    <mergeCell ref="D229:E229"/>
    <mergeCell ref="D231:E231"/>
    <mergeCell ref="D233:E233"/>
    <mergeCell ref="D267:E267"/>
    <mergeCell ref="D268:E268"/>
    <mergeCell ref="D271:E271"/>
    <mergeCell ref="D274:E274"/>
    <mergeCell ref="D276:E276"/>
    <mergeCell ref="D278:E278"/>
    <mergeCell ref="D250:E250"/>
    <mergeCell ref="D253:E253"/>
    <mergeCell ref="D255:E255"/>
    <mergeCell ref="D257:E257"/>
    <mergeCell ref="D259:E259"/>
    <mergeCell ref="D264:E264"/>
    <mergeCell ref="D294:E294"/>
    <mergeCell ref="D295:E295"/>
    <mergeCell ref="D298:E298"/>
    <mergeCell ref="D300:E300"/>
    <mergeCell ref="D302:E302"/>
    <mergeCell ref="D304:E304"/>
    <mergeCell ref="D280:E280"/>
    <mergeCell ref="D282:E282"/>
    <mergeCell ref="D284:E284"/>
    <mergeCell ref="D286:E286"/>
    <mergeCell ref="D289:E289"/>
    <mergeCell ref="D291:E291"/>
    <mergeCell ref="D317:E317"/>
    <mergeCell ref="D319:E319"/>
    <mergeCell ref="D320:E320"/>
    <mergeCell ref="D322:E322"/>
    <mergeCell ref="D324:E324"/>
    <mergeCell ref="D327:E327"/>
    <mergeCell ref="D306:E306"/>
    <mergeCell ref="D308:E308"/>
    <mergeCell ref="D310:E310"/>
    <mergeCell ref="D312:E312"/>
    <mergeCell ref="D313:E313"/>
    <mergeCell ref="D316:E316"/>
    <mergeCell ref="D339:E339"/>
    <mergeCell ref="D341:E341"/>
    <mergeCell ref="D343:E343"/>
    <mergeCell ref="D345:E345"/>
    <mergeCell ref="D347:E347"/>
    <mergeCell ref="D349:E349"/>
    <mergeCell ref="D329:E329"/>
    <mergeCell ref="D331:E331"/>
    <mergeCell ref="D333:E333"/>
    <mergeCell ref="D334:E334"/>
    <mergeCell ref="D336:E336"/>
    <mergeCell ref="D337:E337"/>
    <mergeCell ref="D363:E363"/>
    <mergeCell ref="D365:E365"/>
    <mergeCell ref="D367:E367"/>
    <mergeCell ref="D369:E369"/>
    <mergeCell ref="D371:E371"/>
    <mergeCell ref="D373:E373"/>
    <mergeCell ref="D351:E351"/>
    <mergeCell ref="D353:E353"/>
    <mergeCell ref="D355:E355"/>
    <mergeCell ref="D357:E357"/>
    <mergeCell ref="D359:E359"/>
    <mergeCell ref="D361:E361"/>
    <mergeCell ref="D390:E390"/>
    <mergeCell ref="D392:E392"/>
    <mergeCell ref="D394:E394"/>
    <mergeCell ref="D396:E396"/>
    <mergeCell ref="D398:E398"/>
    <mergeCell ref="D400:E400"/>
    <mergeCell ref="D375:E375"/>
    <mergeCell ref="D377:E377"/>
    <mergeCell ref="D379:E379"/>
    <mergeCell ref="D384:E384"/>
    <mergeCell ref="D386:E386"/>
    <mergeCell ref="D388:E388"/>
    <mergeCell ref="D414:E414"/>
    <mergeCell ref="D415:E415"/>
    <mergeCell ref="D419:E419"/>
    <mergeCell ref="D422:E422"/>
    <mergeCell ref="D425:E425"/>
    <mergeCell ref="D427:E427"/>
    <mergeCell ref="D402:E402"/>
    <mergeCell ref="D404:E404"/>
    <mergeCell ref="D406:E406"/>
    <mergeCell ref="D408:E408"/>
    <mergeCell ref="D410:E410"/>
    <mergeCell ref="D412:E412"/>
    <mergeCell ref="D444:E444"/>
    <mergeCell ref="D446:E446"/>
    <mergeCell ref="D448:E448"/>
    <mergeCell ref="D449:E449"/>
    <mergeCell ref="D452:E452"/>
    <mergeCell ref="D455:E455"/>
    <mergeCell ref="D430:E430"/>
    <mergeCell ref="D432:E432"/>
    <mergeCell ref="D435:E435"/>
    <mergeCell ref="D437:E437"/>
    <mergeCell ref="D439:E439"/>
    <mergeCell ref="D441:E441"/>
    <mergeCell ref="D474:E474"/>
    <mergeCell ref="D476:E476"/>
    <mergeCell ref="D479:E479"/>
    <mergeCell ref="D480:E480"/>
    <mergeCell ref="D482:E482"/>
    <mergeCell ref="D485:E485"/>
    <mergeCell ref="D458:E458"/>
    <mergeCell ref="D461:E461"/>
    <mergeCell ref="D464:E464"/>
    <mergeCell ref="D466:E466"/>
    <mergeCell ref="D469:E469"/>
    <mergeCell ref="D471:E471"/>
    <mergeCell ref="D503:E503"/>
    <mergeCell ref="D504:E504"/>
    <mergeCell ref="D507:E507"/>
    <mergeCell ref="D509:E509"/>
    <mergeCell ref="D512:E512"/>
    <mergeCell ref="D514:E514"/>
    <mergeCell ref="D487:E487"/>
    <mergeCell ref="D490:E490"/>
    <mergeCell ref="D493:E493"/>
    <mergeCell ref="D496:E496"/>
    <mergeCell ref="D499:E499"/>
    <mergeCell ref="D501:E501"/>
    <mergeCell ref="D527:E527"/>
    <mergeCell ref="D529:E529"/>
    <mergeCell ref="D531:E531"/>
    <mergeCell ref="D534:E534"/>
    <mergeCell ref="D536:E536"/>
    <mergeCell ref="D539:E539"/>
    <mergeCell ref="D515:E515"/>
    <mergeCell ref="D517:E517"/>
    <mergeCell ref="D519:E519"/>
    <mergeCell ref="D521:E521"/>
    <mergeCell ref="D523:E523"/>
    <mergeCell ref="D525:E525"/>
    <mergeCell ref="D554:E554"/>
    <mergeCell ref="D559:E559"/>
    <mergeCell ref="D562:E562"/>
    <mergeCell ref="D565:E565"/>
    <mergeCell ref="D567:E567"/>
    <mergeCell ref="D570:E570"/>
    <mergeCell ref="D542:E542"/>
    <mergeCell ref="D544:E544"/>
    <mergeCell ref="D546:E546"/>
    <mergeCell ref="D549:E549"/>
    <mergeCell ref="D551:E551"/>
    <mergeCell ref="D553:E553"/>
    <mergeCell ref="D586:E586"/>
    <mergeCell ref="D592:E592"/>
    <mergeCell ref="D595:E595"/>
    <mergeCell ref="D597:E597"/>
    <mergeCell ref="D599:E599"/>
    <mergeCell ref="D601:E601"/>
    <mergeCell ref="D572:E572"/>
    <mergeCell ref="D574:E574"/>
    <mergeCell ref="D578:E578"/>
    <mergeCell ref="D580:E580"/>
    <mergeCell ref="D582:E582"/>
    <mergeCell ref="D584:E584"/>
    <mergeCell ref="D590:E590"/>
    <mergeCell ref="D588:E588"/>
    <mergeCell ref="D618:E618"/>
    <mergeCell ref="D621:E621"/>
    <mergeCell ref="D623:E623"/>
    <mergeCell ref="D625:E625"/>
    <mergeCell ref="D627:E627"/>
    <mergeCell ref="D629:E629"/>
    <mergeCell ref="D604:E604"/>
    <mergeCell ref="D607:E607"/>
    <mergeCell ref="D609:E609"/>
    <mergeCell ref="D610:E610"/>
    <mergeCell ref="D613:E613"/>
    <mergeCell ref="D616:E616"/>
    <mergeCell ref="D643:E643"/>
    <mergeCell ref="D645:E645"/>
    <mergeCell ref="D646:E646"/>
    <mergeCell ref="D648:E648"/>
    <mergeCell ref="D650:E650"/>
    <mergeCell ref="D652:E652"/>
    <mergeCell ref="D631:E631"/>
    <mergeCell ref="D633:E633"/>
    <mergeCell ref="D635:E635"/>
    <mergeCell ref="D637:E637"/>
    <mergeCell ref="D639:E639"/>
    <mergeCell ref="D640:E640"/>
    <mergeCell ref="D666:E666"/>
    <mergeCell ref="D668:E668"/>
    <mergeCell ref="D669:E669"/>
    <mergeCell ref="D671:E671"/>
    <mergeCell ref="D673:E673"/>
    <mergeCell ref="D674:E674"/>
    <mergeCell ref="D654:E654"/>
    <mergeCell ref="D655:E655"/>
    <mergeCell ref="D658:E658"/>
    <mergeCell ref="D661:E661"/>
    <mergeCell ref="D663:E663"/>
    <mergeCell ref="D665:E665"/>
    <mergeCell ref="D687:E687"/>
    <mergeCell ref="D688:E688"/>
    <mergeCell ref="D690:E690"/>
    <mergeCell ref="D691:E691"/>
    <mergeCell ref="D693:E693"/>
    <mergeCell ref="D694:E694"/>
    <mergeCell ref="D676:E676"/>
    <mergeCell ref="D678:E678"/>
    <mergeCell ref="D680:E680"/>
    <mergeCell ref="D682:E682"/>
    <mergeCell ref="D684:E684"/>
    <mergeCell ref="D685:E685"/>
    <mergeCell ref="D705:E705"/>
    <mergeCell ref="D706:E706"/>
    <mergeCell ref="D708:E708"/>
    <mergeCell ref="D709:E709"/>
    <mergeCell ref="D711:E711"/>
    <mergeCell ref="D712:E712"/>
    <mergeCell ref="D696:E696"/>
    <mergeCell ref="D697:E697"/>
    <mergeCell ref="D699:E699"/>
    <mergeCell ref="D700:E700"/>
    <mergeCell ref="D702:E702"/>
    <mergeCell ref="D703:E703"/>
    <mergeCell ref="D723:E723"/>
    <mergeCell ref="D724:E724"/>
    <mergeCell ref="D726:E726"/>
    <mergeCell ref="D728:E728"/>
    <mergeCell ref="D730:E730"/>
    <mergeCell ref="D732:E732"/>
    <mergeCell ref="D714:E714"/>
    <mergeCell ref="D715:E715"/>
    <mergeCell ref="D717:E717"/>
    <mergeCell ref="D718:E718"/>
    <mergeCell ref="D720:E720"/>
    <mergeCell ref="D721:E721"/>
    <mergeCell ref="D747:E747"/>
    <mergeCell ref="D748:E748"/>
    <mergeCell ref="D754:E754"/>
    <mergeCell ref="D756:E756"/>
    <mergeCell ref="D757:E757"/>
    <mergeCell ref="D760:E760"/>
    <mergeCell ref="D733:E733"/>
    <mergeCell ref="D734:E734"/>
    <mergeCell ref="D736:E736"/>
    <mergeCell ref="D738:E738"/>
    <mergeCell ref="D741:E741"/>
    <mergeCell ref="D744:E744"/>
    <mergeCell ref="D776:E776"/>
    <mergeCell ref="D778:E778"/>
    <mergeCell ref="D779:E779"/>
    <mergeCell ref="D781:E781"/>
    <mergeCell ref="D782:E782"/>
    <mergeCell ref="D785:E785"/>
    <mergeCell ref="D763:E763"/>
    <mergeCell ref="D765:E765"/>
    <mergeCell ref="D768:E768"/>
    <mergeCell ref="D769:E769"/>
    <mergeCell ref="D772:E772"/>
    <mergeCell ref="D774:E774"/>
    <mergeCell ref="D798:E798"/>
    <mergeCell ref="D801:E801"/>
    <mergeCell ref="D803:E803"/>
    <mergeCell ref="D804:E804"/>
    <mergeCell ref="D806:E806"/>
    <mergeCell ref="D808:E808"/>
    <mergeCell ref="D787:E787"/>
    <mergeCell ref="D789:E789"/>
    <mergeCell ref="D791:E791"/>
    <mergeCell ref="D793:E793"/>
    <mergeCell ref="D795:E795"/>
    <mergeCell ref="D796:E796"/>
    <mergeCell ref="D821:E821"/>
    <mergeCell ref="D823:E823"/>
    <mergeCell ref="D826:E826"/>
    <mergeCell ref="D829:E829"/>
    <mergeCell ref="D831:E831"/>
    <mergeCell ref="D834:E834"/>
    <mergeCell ref="D810:E810"/>
    <mergeCell ref="D812:E812"/>
    <mergeCell ref="D814:E814"/>
    <mergeCell ref="D816:E816"/>
    <mergeCell ref="D818:E818"/>
    <mergeCell ref="D820:E820"/>
    <mergeCell ref="D857:E857"/>
    <mergeCell ref="D860:E860"/>
    <mergeCell ref="D863:E863"/>
    <mergeCell ref="D866:E866"/>
    <mergeCell ref="D868:E868"/>
    <mergeCell ref="D873:E873"/>
    <mergeCell ref="D835:E835"/>
    <mergeCell ref="D839:E839"/>
    <mergeCell ref="D840:E840"/>
    <mergeCell ref="D845:E845"/>
    <mergeCell ref="D850:E850"/>
    <mergeCell ref="D855:E855"/>
    <mergeCell ref="D890:E890"/>
    <mergeCell ref="D892:E892"/>
    <mergeCell ref="D894:E894"/>
    <mergeCell ref="D896:E896"/>
    <mergeCell ref="D899:E899"/>
    <mergeCell ref="D902:E902"/>
    <mergeCell ref="D876:E876"/>
    <mergeCell ref="D879:E879"/>
    <mergeCell ref="D881:E881"/>
    <mergeCell ref="D883:E883"/>
    <mergeCell ref="D885:E885"/>
    <mergeCell ref="D888:E888"/>
    <mergeCell ref="D919:E919"/>
    <mergeCell ref="D921:E921"/>
    <mergeCell ref="D924:E924"/>
    <mergeCell ref="D927:E927"/>
    <mergeCell ref="D929:E929"/>
    <mergeCell ref="D931:E931"/>
    <mergeCell ref="D905:E905"/>
    <mergeCell ref="D908:E908"/>
    <mergeCell ref="D911:E911"/>
    <mergeCell ref="D914:E914"/>
    <mergeCell ref="D916:E916"/>
    <mergeCell ref="D918:E918"/>
    <mergeCell ref="D947:E947"/>
    <mergeCell ref="D949:E949"/>
    <mergeCell ref="D951:E951"/>
    <mergeCell ref="D952:E952"/>
    <mergeCell ref="D954:E954"/>
    <mergeCell ref="D956:E956"/>
    <mergeCell ref="D933:E933"/>
    <mergeCell ref="D935:E935"/>
    <mergeCell ref="D937:E937"/>
    <mergeCell ref="D938:E938"/>
    <mergeCell ref="D941:E941"/>
    <mergeCell ref="D944:E944"/>
    <mergeCell ref="D972:E972"/>
    <mergeCell ref="D974:E974"/>
    <mergeCell ref="D976:E976"/>
    <mergeCell ref="D978:E978"/>
    <mergeCell ref="D980:E980"/>
    <mergeCell ref="D982:E982"/>
    <mergeCell ref="D958:E958"/>
    <mergeCell ref="D960:E960"/>
    <mergeCell ref="D962:E962"/>
    <mergeCell ref="D964:E964"/>
    <mergeCell ref="D967:E967"/>
    <mergeCell ref="D970:E970"/>
    <mergeCell ref="D995:E995"/>
    <mergeCell ref="D997:E997"/>
    <mergeCell ref="D999:E999"/>
    <mergeCell ref="D1001:E1001"/>
    <mergeCell ref="D1003:E1003"/>
    <mergeCell ref="D1005:E1005"/>
    <mergeCell ref="D983:E983"/>
    <mergeCell ref="D985:E985"/>
    <mergeCell ref="D987:E987"/>
    <mergeCell ref="D989:E989"/>
    <mergeCell ref="D991:E991"/>
    <mergeCell ref="D993:E993"/>
    <mergeCell ref="D1018:E1018"/>
    <mergeCell ref="D1020:E1020"/>
    <mergeCell ref="D1022:E1022"/>
    <mergeCell ref="D1024:E1024"/>
    <mergeCell ref="D1025:E1025"/>
    <mergeCell ref="D1027:E1027"/>
    <mergeCell ref="D1006:E1006"/>
    <mergeCell ref="D1008:E1008"/>
    <mergeCell ref="D1010:E1010"/>
    <mergeCell ref="D1012:E1012"/>
    <mergeCell ref="D1014:E1014"/>
    <mergeCell ref="D1016:E1016"/>
    <mergeCell ref="D1043:E1043"/>
    <mergeCell ref="D1044:E1044"/>
    <mergeCell ref="D1046:E1046"/>
    <mergeCell ref="D1048:E1048"/>
    <mergeCell ref="D1049:E1049"/>
    <mergeCell ref="D1051:E1051"/>
    <mergeCell ref="D1030:E1030"/>
    <mergeCell ref="D1031:E1031"/>
    <mergeCell ref="D1033:E1033"/>
    <mergeCell ref="D1036:E1036"/>
    <mergeCell ref="D1038:E1038"/>
    <mergeCell ref="D1040:E1040"/>
    <mergeCell ref="D1063:E1063"/>
    <mergeCell ref="D1064:E1064"/>
    <mergeCell ref="D1066:E1066"/>
    <mergeCell ref="D1067:E1067"/>
    <mergeCell ref="D1069:E1069"/>
    <mergeCell ref="D1070:E1070"/>
    <mergeCell ref="D1053:E1053"/>
    <mergeCell ref="D1055:E1055"/>
    <mergeCell ref="D1056:E1056"/>
    <mergeCell ref="D1058:E1058"/>
    <mergeCell ref="D1060:E1060"/>
    <mergeCell ref="D1061:E1061"/>
    <mergeCell ref="D1081:E1081"/>
    <mergeCell ref="D1082:E1082"/>
    <mergeCell ref="D1084:E1084"/>
    <mergeCell ref="D1085:E1085"/>
    <mergeCell ref="D1086:E1086"/>
    <mergeCell ref="D1088:E1088"/>
    <mergeCell ref="D1072:E1072"/>
    <mergeCell ref="D1073:E1073"/>
    <mergeCell ref="D1075:E1075"/>
    <mergeCell ref="D1076:E1076"/>
    <mergeCell ref="D1078:E1078"/>
    <mergeCell ref="D1079:E1079"/>
    <mergeCell ref="D1097:E1097"/>
    <mergeCell ref="D1098:E1098"/>
    <mergeCell ref="D1100:E1100"/>
    <mergeCell ref="D1101:E1101"/>
    <mergeCell ref="D1103:E1103"/>
    <mergeCell ref="D1105:E1105"/>
    <mergeCell ref="D1089:E1089"/>
    <mergeCell ref="D1090:E1090"/>
    <mergeCell ref="D1092:E1092"/>
    <mergeCell ref="D1093:E1093"/>
    <mergeCell ref="D1094:E1094"/>
    <mergeCell ref="D1096:E1096"/>
    <mergeCell ref="D1116:E1116"/>
    <mergeCell ref="D1118:E1118"/>
    <mergeCell ref="D1119:E1119"/>
    <mergeCell ref="D1121:E1121"/>
    <mergeCell ref="D1123:E1123"/>
    <mergeCell ref="D1125:E1125"/>
    <mergeCell ref="D1106:E1106"/>
    <mergeCell ref="D1108:E1108"/>
    <mergeCell ref="D1109:E1109"/>
    <mergeCell ref="D1111:E1111"/>
    <mergeCell ref="D1113:E1113"/>
    <mergeCell ref="D1115:E1115"/>
    <mergeCell ref="D1139:E1139"/>
    <mergeCell ref="D1141:E1141"/>
    <mergeCell ref="D1143:E1143"/>
    <mergeCell ref="D1145:E1145"/>
    <mergeCell ref="D1147:E1147"/>
    <mergeCell ref="D1149:E1149"/>
    <mergeCell ref="D1127:E1127"/>
    <mergeCell ref="D1129:E1129"/>
    <mergeCell ref="D1131:E1131"/>
    <mergeCell ref="D1133:E1133"/>
    <mergeCell ref="D1135:E1135"/>
    <mergeCell ref="D1137:E1137"/>
    <mergeCell ref="D1162:E1162"/>
    <mergeCell ref="D1164:E1164"/>
    <mergeCell ref="D1166:E1166"/>
    <mergeCell ref="D1168:E1168"/>
    <mergeCell ref="D1170:E1170"/>
    <mergeCell ref="D1172:E1172"/>
    <mergeCell ref="D1151:E1151"/>
    <mergeCell ref="D1153:E1153"/>
    <mergeCell ref="D1155:E1155"/>
    <mergeCell ref="D1157:E1157"/>
    <mergeCell ref="D1158:E1158"/>
    <mergeCell ref="D1160:E1160"/>
    <mergeCell ref="D1186:E1186"/>
    <mergeCell ref="D1188:E1188"/>
    <mergeCell ref="D1190:E1190"/>
    <mergeCell ref="D1192:E1192"/>
    <mergeCell ref="D1194:E1194"/>
    <mergeCell ref="D1196:E1196"/>
    <mergeCell ref="D1174:E1174"/>
    <mergeCell ref="D1176:E1176"/>
    <mergeCell ref="D1178:E1178"/>
    <mergeCell ref="D1180:E1180"/>
    <mergeCell ref="D1182:E1182"/>
    <mergeCell ref="D1184:E1184"/>
    <mergeCell ref="D1210:E1210"/>
    <mergeCell ref="D1212:E1212"/>
    <mergeCell ref="D1214:E1214"/>
    <mergeCell ref="D1216:E1216"/>
    <mergeCell ref="D1218:E1218"/>
    <mergeCell ref="D1220:E1220"/>
    <mergeCell ref="D1198:E1198"/>
    <mergeCell ref="D1200:E1200"/>
    <mergeCell ref="D1202:E1202"/>
    <mergeCell ref="D1204:E1204"/>
    <mergeCell ref="D1206:E1206"/>
    <mergeCell ref="D1208:E1208"/>
    <mergeCell ref="D1234:E1234"/>
    <mergeCell ref="D1236:E1236"/>
    <mergeCell ref="D1238:E1238"/>
    <mergeCell ref="D1240:E1240"/>
    <mergeCell ref="D1241:E1241"/>
    <mergeCell ref="D1243:E1243"/>
    <mergeCell ref="D1221:E1221"/>
    <mergeCell ref="D1223:E1223"/>
    <mergeCell ref="D1226:E1226"/>
    <mergeCell ref="D1228:E1228"/>
    <mergeCell ref="D1230:E1230"/>
    <mergeCell ref="D1232:E1232"/>
    <mergeCell ref="D1255:E1255"/>
    <mergeCell ref="D1257:E1257"/>
    <mergeCell ref="D1259:E1259"/>
    <mergeCell ref="D1261:E1261"/>
    <mergeCell ref="D1263:E1263"/>
    <mergeCell ref="D1265:E1265"/>
    <mergeCell ref="D1245:E1245"/>
    <mergeCell ref="D1246:E1246"/>
    <mergeCell ref="D1248:E1248"/>
    <mergeCell ref="D1249:E1249"/>
    <mergeCell ref="D1251:E1251"/>
    <mergeCell ref="D1253:E1253"/>
    <mergeCell ref="D1279:E1279"/>
    <mergeCell ref="D1281:E1281"/>
    <mergeCell ref="D1283:E1283"/>
    <mergeCell ref="D1285:E1285"/>
    <mergeCell ref="D1287:E1287"/>
    <mergeCell ref="D1289:E1289"/>
    <mergeCell ref="D1267:E1267"/>
    <mergeCell ref="D1269:E1269"/>
    <mergeCell ref="D1271:E1271"/>
    <mergeCell ref="D1273:E1273"/>
    <mergeCell ref="D1275:E1275"/>
    <mergeCell ref="D1277:E1277"/>
    <mergeCell ref="D1303:E1303"/>
    <mergeCell ref="D1305:E1305"/>
    <mergeCell ref="D1307:E1307"/>
    <mergeCell ref="D1309:E1309"/>
    <mergeCell ref="D1311:E1311"/>
    <mergeCell ref="D1313:E1313"/>
    <mergeCell ref="D1291:E1291"/>
    <mergeCell ref="D1293:E1293"/>
    <mergeCell ref="D1295:E1295"/>
    <mergeCell ref="D1297:E1297"/>
    <mergeCell ref="D1299:E1299"/>
    <mergeCell ref="D1301:E1301"/>
    <mergeCell ref="D1326:E1326"/>
    <mergeCell ref="D1328:E1328"/>
    <mergeCell ref="D1329:E1329"/>
    <mergeCell ref="D1331:E1331"/>
    <mergeCell ref="D1332:E1332"/>
    <mergeCell ref="D1334:E1334"/>
    <mergeCell ref="D1315:E1315"/>
    <mergeCell ref="D1317:E1317"/>
    <mergeCell ref="D1318:E1318"/>
    <mergeCell ref="D1320:E1320"/>
    <mergeCell ref="D1322:E1322"/>
    <mergeCell ref="D1324:E1324"/>
    <mergeCell ref="D1344:E1344"/>
    <mergeCell ref="D1345:E1345"/>
    <mergeCell ref="D1346:E1346"/>
    <mergeCell ref="D1348:E1348"/>
    <mergeCell ref="D1349:E1349"/>
    <mergeCell ref="D1350:E1350"/>
    <mergeCell ref="D1335:E1335"/>
    <mergeCell ref="D1337:E1337"/>
    <mergeCell ref="D1338:E1338"/>
    <mergeCell ref="D1340:E1340"/>
    <mergeCell ref="D1341:E1341"/>
    <mergeCell ref="D1342:E1342"/>
    <mergeCell ref="D1363:E1363"/>
    <mergeCell ref="D1365:E1365"/>
    <mergeCell ref="D1366:E1366"/>
    <mergeCell ref="D1368:E1368"/>
    <mergeCell ref="D1369:E1369"/>
    <mergeCell ref="D1371:E1371"/>
    <mergeCell ref="D1352:E1352"/>
    <mergeCell ref="D1354:E1354"/>
    <mergeCell ref="D1356:E1356"/>
    <mergeCell ref="D1357:E1357"/>
    <mergeCell ref="D1359:E1359"/>
    <mergeCell ref="D1361:E1361"/>
    <mergeCell ref="D1385:E1385"/>
    <mergeCell ref="D1386:E1386"/>
    <mergeCell ref="D1388:E1388"/>
    <mergeCell ref="D1390:E1390"/>
    <mergeCell ref="D1391:E1391"/>
    <mergeCell ref="D1393:E1393"/>
    <mergeCell ref="D1373:E1373"/>
    <mergeCell ref="D1374:E1374"/>
    <mergeCell ref="D1376:E1376"/>
    <mergeCell ref="D1378:E1378"/>
    <mergeCell ref="D1381:E1381"/>
    <mergeCell ref="D1383:E1383"/>
    <mergeCell ref="D1409:E1409"/>
    <mergeCell ref="D1411:E1411"/>
    <mergeCell ref="D1413:E1413"/>
    <mergeCell ref="D1415:E1415"/>
    <mergeCell ref="D1417:E1417"/>
    <mergeCell ref="D1419:E1419"/>
    <mergeCell ref="D1394:E1394"/>
    <mergeCell ref="D1396:E1396"/>
    <mergeCell ref="D1399:E1399"/>
    <mergeCell ref="D1402:E1402"/>
    <mergeCell ref="D1405:E1405"/>
    <mergeCell ref="D1407:E1407"/>
    <mergeCell ref="D1432:E1432"/>
    <mergeCell ref="D1434:E1434"/>
    <mergeCell ref="D1436:E1436"/>
    <mergeCell ref="D1438:E1438"/>
    <mergeCell ref="D1440:E1440"/>
    <mergeCell ref="D1441:E1441"/>
    <mergeCell ref="D1421:E1421"/>
    <mergeCell ref="D1423:E1423"/>
    <mergeCell ref="D1424:E1424"/>
    <mergeCell ref="D1426:E1426"/>
    <mergeCell ref="D1428:E1428"/>
    <mergeCell ref="D1430:E1430"/>
    <mergeCell ref="D1452:E1452"/>
    <mergeCell ref="D1453:E1453"/>
    <mergeCell ref="D1455:E1455"/>
    <mergeCell ref="D1456:E1456"/>
    <mergeCell ref="D1458:E1458"/>
    <mergeCell ref="D1460:E1460"/>
    <mergeCell ref="D1443:E1443"/>
    <mergeCell ref="D1444:E1444"/>
    <mergeCell ref="D1446:E1446"/>
    <mergeCell ref="D1447:E1447"/>
    <mergeCell ref="D1448:E1448"/>
    <mergeCell ref="D1450:E1450"/>
    <mergeCell ref="D1471:E1471"/>
    <mergeCell ref="D1473:E1473"/>
    <mergeCell ref="D1475:E1475"/>
    <mergeCell ref="D1476:E1476"/>
    <mergeCell ref="D1478:E1478"/>
    <mergeCell ref="D1479:E1479"/>
    <mergeCell ref="D1461:E1461"/>
    <mergeCell ref="D1463:E1463"/>
    <mergeCell ref="D1465:E1465"/>
    <mergeCell ref="D1466:E1466"/>
    <mergeCell ref="D1468:E1468"/>
    <mergeCell ref="D1469:E1469"/>
    <mergeCell ref="D1491:E1491"/>
    <mergeCell ref="D1493:E1493"/>
    <mergeCell ref="D1495:E1495"/>
    <mergeCell ref="D1496:E1496"/>
    <mergeCell ref="D1498:E1498"/>
    <mergeCell ref="D1501:E1501"/>
    <mergeCell ref="D1481:E1481"/>
    <mergeCell ref="D1483:E1483"/>
    <mergeCell ref="D1484:E1484"/>
    <mergeCell ref="D1486:E1486"/>
    <mergeCell ref="D1488:E1488"/>
    <mergeCell ref="D1490:E1490"/>
    <mergeCell ref="D1514:E1514"/>
    <mergeCell ref="D1516:E1516"/>
    <mergeCell ref="D1518:E1518"/>
    <mergeCell ref="D1520:E1520"/>
    <mergeCell ref="D1522:E1522"/>
    <mergeCell ref="D1524:E1524"/>
    <mergeCell ref="D1503:E1503"/>
    <mergeCell ref="D1505:E1505"/>
    <mergeCell ref="D1506:E1506"/>
    <mergeCell ref="D1508:E1508"/>
    <mergeCell ref="D1510:E1510"/>
    <mergeCell ref="D1512:E1512"/>
    <mergeCell ref="D1538:E1538"/>
    <mergeCell ref="D1539:E1539"/>
    <mergeCell ref="D1541:E1541"/>
    <mergeCell ref="D1543:E1543"/>
    <mergeCell ref="D1544:E1544"/>
    <mergeCell ref="D1546:E1546"/>
    <mergeCell ref="D1526:E1526"/>
    <mergeCell ref="D1528:E1528"/>
    <mergeCell ref="D1530:E1530"/>
    <mergeCell ref="D1532:E1532"/>
    <mergeCell ref="D1534:E1534"/>
    <mergeCell ref="D1536:E1536"/>
    <mergeCell ref="D1557:E1557"/>
    <mergeCell ref="D1559:E1559"/>
    <mergeCell ref="D1561:E1561"/>
    <mergeCell ref="D1563:E1563"/>
    <mergeCell ref="I1565:J1565"/>
    <mergeCell ref="A1567:N1567"/>
    <mergeCell ref="D1547:E1547"/>
    <mergeCell ref="D1549:E1549"/>
    <mergeCell ref="D1551:E1551"/>
    <mergeCell ref="D1552:E1552"/>
    <mergeCell ref="D1553:E1553"/>
    <mergeCell ref="D1555:E1555"/>
  </mergeCells>
  <pageMargins left="0.39400000000000002" right="0.39400000000000002" top="0.59099999999999997" bottom="0.59099999999999997" header="0" footer="0"/>
  <pageSetup paperSize="9" scale="26" firstPageNumber="0" fitToHeight="0" orientation="landscape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J45"/>
  <sheetViews>
    <sheetView view="pageBreakPreview" zoomScale="60" zoomScaleNormal="100" workbookViewId="0">
      <selection activeCell="C28" sqref="C28"/>
    </sheetView>
  </sheetViews>
  <sheetFormatPr defaultRowHeight="14.5"/>
  <cols>
    <col min="1" max="1" width="58.85546875" customWidth="1"/>
    <col min="2" max="2" width="28.140625" customWidth="1"/>
    <col min="3" max="3" width="26.85546875" customWidth="1"/>
    <col min="4" max="4" width="42.7109375" customWidth="1"/>
    <col min="9" max="9" width="12.7109375" customWidth="1"/>
  </cols>
  <sheetData>
    <row r="1" spans="1:10">
      <c r="A1" s="111" t="s">
        <v>2683</v>
      </c>
      <c r="B1" s="112" t="s">
        <v>2975</v>
      </c>
      <c r="C1" s="112" t="s">
        <v>2976</v>
      </c>
      <c r="D1" s="112" t="s">
        <v>2977</v>
      </c>
    </row>
    <row r="2" spans="1:10">
      <c r="A2" s="113" t="s">
        <v>2978</v>
      </c>
      <c r="B2" s="114"/>
      <c r="C2" s="114"/>
      <c r="D2" s="114"/>
    </row>
    <row r="3" spans="1:10">
      <c r="A3" s="115" t="s">
        <v>2979</v>
      </c>
      <c r="B3" s="116">
        <f>'ROZPOČET  VZT'!F313+'ROZPOČET  VZT'!F355+'ROZPOČET  VZT'!F69+'ROZPOČET  VZT'!F120+'ROZPOČET  VZT'!F191+'ROZPOČET  VZT'!F241+'ROZPOČET  VZT'!F274</f>
        <v>0</v>
      </c>
      <c r="C3" s="116">
        <f>'ROZPOČET  VZT'!H313+'ROZPOČET  VZT'!H355+'ROZPOČET  VZT'!H69+'ROZPOČET  VZT'!H120+'ROZPOČET  VZT'!H191+'ROZPOČET  VZT'!H241+'ROZPOČET  VZT'!H274</f>
        <v>0</v>
      </c>
      <c r="D3" s="116"/>
    </row>
    <row r="4" spans="1:10">
      <c r="A4" s="115" t="s">
        <v>1838</v>
      </c>
      <c r="B4" s="116"/>
      <c r="C4" s="116">
        <f>0 + 0</f>
        <v>0</v>
      </c>
      <c r="D4" s="116"/>
    </row>
    <row r="5" spans="1:10">
      <c r="A5" s="117" t="s">
        <v>2980</v>
      </c>
      <c r="B5" s="118">
        <f>B3</f>
        <v>0</v>
      </c>
      <c r="C5" s="118">
        <f>C3 + C4</f>
        <v>0</v>
      </c>
      <c r="D5" s="118"/>
    </row>
    <row r="6" spans="1:10" ht="15" thickBot="1">
      <c r="A6" s="115" t="str">
        <f>CONCATENATE("Doprava ",[1]Parametry!B16," % z dodávky zařízení")</f>
        <v>Doprava 6 % z dodávky zařízení</v>
      </c>
      <c r="B6" s="116">
        <f>B3 * 6/100</f>
        <v>0</v>
      </c>
      <c r="C6" s="116"/>
      <c r="D6" s="116"/>
    </row>
    <row r="7" spans="1:10" ht="15" thickBot="1">
      <c r="A7" s="115" t="str">
        <f>CONCATENATE("Přesun ",[1]Parametry!B17," Kč/kg: Cena, Hmotnost")</f>
        <v>Přesun 5 Kč/kg: Cena, Hmotnost</v>
      </c>
      <c r="B7" s="116"/>
      <c r="C7" s="116">
        <f>('ROZPOČET  VZT'!L313+'ROZPOČET  VZT'!L355+'ROZPOČET  VZT'!L69+'ROZPOČET  VZT'!L120+'ROZPOČET  VZT'!L191+'ROZPOČET  VZT'!L241+'ROZPOČET  VZT'!L274+'ROZPOČET  VZT'!L355)*J7</f>
        <v>0</v>
      </c>
      <c r="D7" s="116">
        <f>('ROZPOČET  VZT'!L313+'ROZPOČET  VZT'!L355+'ROZPOČET  VZT'!L69+'ROZPOČET  VZT'!L120+'ROZPOČET  VZT'!L191+'ROZPOČET  VZT'!L241+'ROZPOČET  VZT'!L274+'ROZPOČET  VZT'!L355)</f>
        <v>12634.83</v>
      </c>
      <c r="F7" s="753" t="s">
        <v>3731</v>
      </c>
      <c r="G7" s="754"/>
      <c r="H7" s="754"/>
      <c r="I7" s="737"/>
      <c r="J7" s="624"/>
    </row>
    <row r="8" spans="1:10">
      <c r="A8" s="115" t="str">
        <f>CONCATENATE("PPV ",[1]Parametry!B18," % z montáže a nátěrů zařízení")</f>
        <v>PPV 5 % z montáže a nátěrů zařízení</v>
      </c>
      <c r="B8" s="116"/>
      <c r="C8" s="116">
        <f>C5 * 5/100</f>
        <v>0</v>
      </c>
      <c r="D8" s="116"/>
    </row>
    <row r="9" spans="1:10">
      <c r="A9" s="119" t="str">
        <f>CONCATENATE("Zednické výpomoci ",[1]Parametry!B19," % z montáže a nátěrů zařízení")</f>
        <v>Zednické výpomoci 1.6 % z montáže a nátěrů zařízení</v>
      </c>
      <c r="B9" s="116"/>
      <c r="C9" s="116">
        <f>C5 * 1.6/100</f>
        <v>0</v>
      </c>
      <c r="D9" s="116"/>
    </row>
    <row r="10" spans="1:10">
      <c r="A10" s="117" t="s">
        <v>2981</v>
      </c>
      <c r="B10" s="118">
        <f>B5 + B6</f>
        <v>0</v>
      </c>
      <c r="C10" s="118">
        <f>C5 + C7 + C8 + C9</f>
        <v>0</v>
      </c>
      <c r="D10" s="118"/>
    </row>
    <row r="11" spans="1:10">
      <c r="A11" s="115" t="s">
        <v>2982</v>
      </c>
      <c r="B11" s="116"/>
      <c r="C11" s="116">
        <f>'ROZPOČET  VZT'!F365+'ROZPOČET  VZT'!H365</f>
        <v>0</v>
      </c>
      <c r="D11" s="116"/>
    </row>
    <row r="12" spans="1:10">
      <c r="A12" s="117" t="s">
        <v>2688</v>
      </c>
      <c r="B12" s="118"/>
      <c r="C12" s="118">
        <f>C10 + C11</f>
        <v>0</v>
      </c>
      <c r="D12" s="118"/>
    </row>
    <row r="13" spans="1:10">
      <c r="A13" s="115" t="s">
        <v>2983</v>
      </c>
      <c r="B13" s="116"/>
      <c r="C13" s="116">
        <f>0 + 0</f>
        <v>0</v>
      </c>
      <c r="D13" s="116"/>
    </row>
    <row r="14" spans="1:10">
      <c r="A14" s="115" t="s">
        <v>1993</v>
      </c>
      <c r="B14" s="116"/>
      <c r="C14" s="116">
        <f>0 + 0</f>
        <v>0</v>
      </c>
      <c r="D14" s="116"/>
    </row>
    <row r="15" spans="1:10">
      <c r="A15" s="115" t="s">
        <v>2984</v>
      </c>
      <c r="B15" s="116"/>
      <c r="C15" s="116">
        <f>0 + 0</f>
        <v>0</v>
      </c>
      <c r="D15" s="116"/>
    </row>
    <row r="16" spans="1:10">
      <c r="A16" s="115" t="s">
        <v>2985</v>
      </c>
      <c r="B16" s="116"/>
      <c r="C16" s="116">
        <f>0 + 0</f>
        <v>0</v>
      </c>
      <c r="D16" s="116"/>
    </row>
    <row r="17" spans="1:4">
      <c r="A17" s="113" t="s">
        <v>2986</v>
      </c>
      <c r="B17" s="114">
        <f>B10</f>
        <v>0</v>
      </c>
      <c r="C17" s="114">
        <f>C12 + C13 + C14 + C15 + C16</f>
        <v>0</v>
      </c>
      <c r="D17" s="114"/>
    </row>
    <row r="18" spans="1:4">
      <c r="A18" s="115" t="s">
        <v>1597</v>
      </c>
      <c r="B18" s="116"/>
      <c r="C18" s="116"/>
      <c r="D18" s="116"/>
    </row>
    <row r="19" spans="1:4">
      <c r="A19" s="113" t="s">
        <v>2987</v>
      </c>
      <c r="B19" s="114"/>
      <c r="C19" s="114"/>
      <c r="D19" s="114"/>
    </row>
    <row r="20" spans="1:4">
      <c r="A20" s="119" t="str">
        <f>CONCATENATE("GZS ",[1]Parametry!B21," % z montážních nákladů, lešení a izolací")</f>
        <v>GZS 0 % z montážních nákladů, lešení a izolací</v>
      </c>
      <c r="B20" s="116"/>
      <c r="C20" s="116">
        <v>0</v>
      </c>
      <c r="D20" s="116"/>
    </row>
    <row r="21" spans="1:4">
      <c r="A21" s="115" t="str">
        <f>CONCATENATE("Provozní vlivy ",[1]Parametry!B22," % z montážních nákladů")</f>
        <v>Provozní vlivy 0 % z montážních nákladů</v>
      </c>
      <c r="B21" s="116"/>
      <c r="C21" s="116">
        <v>0</v>
      </c>
      <c r="D21" s="116"/>
    </row>
    <row r="22" spans="1:4">
      <c r="A22" s="113" t="s">
        <v>2988</v>
      </c>
      <c r="B22" s="114"/>
      <c r="C22" s="114">
        <f>C20 + C21</f>
        <v>0</v>
      </c>
      <c r="D22" s="114"/>
    </row>
    <row r="23" spans="1:4" ht="19.5">
      <c r="A23" s="119" t="str">
        <f>CONCATENATE("Provozní náklady - Komplexní zkoušky ",[1]Parametry!B20," % z montáže zařízení")</f>
        <v>Provozní náklady - Komplexní zkoušky 0 % z montáže zařízení</v>
      </c>
      <c r="B23" s="116"/>
      <c r="C23" s="116">
        <v>0</v>
      </c>
      <c r="D23" s="116"/>
    </row>
    <row r="24" spans="1:4">
      <c r="A24" s="115" t="s">
        <v>2989</v>
      </c>
      <c r="B24" s="116"/>
      <c r="C24" s="116">
        <v>0</v>
      </c>
      <c r="D24" s="116"/>
    </row>
    <row r="25" spans="1:4">
      <c r="A25" s="115" t="s">
        <v>1597</v>
      </c>
      <c r="B25" s="116"/>
      <c r="C25" s="116"/>
      <c r="D25" s="116"/>
    </row>
    <row r="26" spans="1:4">
      <c r="A26" s="120" t="s">
        <v>2990</v>
      </c>
      <c r="B26" s="121"/>
      <c r="C26" s="121">
        <f>B17 + C17 + C22 + C23 + C24</f>
        <v>0</v>
      </c>
      <c r="D26" s="121"/>
    </row>
    <row r="27" spans="1:4">
      <c r="A27" s="115" t="str">
        <f>CONCATENATE("Základ a hodnota DPH ",[1]Parametry!B29," %")</f>
        <v>Základ a hodnota DPH 21 %</v>
      </c>
      <c r="B27" s="116">
        <f>SUM('ROZPOČET  VZT'!F246:F273)+SUM('ROZPOČET  VZT'!F359:F364)+SUM('ROZPOČET  VZT'!H246:H273)+SUM('ROZPOČET  VZT'!H359:H364) + B6 + C7 + C8 + C9 + C22 + C23 + C24</f>
        <v>0</v>
      </c>
      <c r="C27" s="116">
        <f>B27 * 21 / 100</f>
        <v>0</v>
      </c>
      <c r="D27" s="116"/>
    </row>
    <row r="28" spans="1:4">
      <c r="A28" s="115" t="str">
        <f>CONCATENATE("Základ a hodnota DPH ",[1]Parametry!B30," %")</f>
        <v>Základ a hodnota DPH 15 %</v>
      </c>
      <c r="B28" s="116">
        <v>0</v>
      </c>
      <c r="C28" s="116">
        <f>B28 * 15 / 100</f>
        <v>0</v>
      </c>
      <c r="D28" s="116"/>
    </row>
    <row r="29" spans="1:4">
      <c r="A29" s="120" t="s">
        <v>2991</v>
      </c>
      <c r="B29" s="121"/>
      <c r="C29" s="121">
        <f>C26 + C27 + C28</f>
        <v>0</v>
      </c>
      <c r="D29" s="121"/>
    </row>
    <row r="30" spans="1:4">
      <c r="A30" s="115" t="s">
        <v>1597</v>
      </c>
      <c r="B30" s="116"/>
      <c r="C30" s="116"/>
      <c r="D30" s="116"/>
    </row>
    <row r="31" spans="1:4" ht="22">
      <c r="A31" s="113" t="s">
        <v>2992</v>
      </c>
      <c r="B31" s="122" t="s">
        <v>2686</v>
      </c>
      <c r="C31" s="122" t="s">
        <v>437</v>
      </c>
      <c r="D31" s="123" t="s">
        <v>2993</v>
      </c>
    </row>
    <row r="32" spans="1:4">
      <c r="A32" s="115" t="s">
        <v>2693</v>
      </c>
      <c r="B32" s="116">
        <f>'ROZPOČET  VZT'!F69</f>
        <v>0</v>
      </c>
      <c r="C32" s="116">
        <f>'ROZPOČET  VZT'!H69</f>
        <v>0</v>
      </c>
      <c r="D32" s="116">
        <f>'ROZPOČET  VZT'!L69</f>
        <v>6250.1899999999987</v>
      </c>
    </row>
    <row r="33" spans="1:4">
      <c r="A33" s="115" t="s">
        <v>2777</v>
      </c>
      <c r="B33" s="116">
        <f>'ROZPOČET  VZT'!F120</f>
        <v>0</v>
      </c>
      <c r="C33" s="116">
        <f>'ROZPOČET  VZT'!H120</f>
        <v>0</v>
      </c>
      <c r="D33" s="116">
        <f>'ROZPOČET  VZT'!L120</f>
        <v>2534.4</v>
      </c>
    </row>
    <row r="34" spans="1:4">
      <c r="A34" s="115" t="s">
        <v>2813</v>
      </c>
      <c r="B34" s="116">
        <f>'ROZPOČET  VZT'!F191</f>
        <v>0</v>
      </c>
      <c r="C34" s="116">
        <f>'ROZPOČET  VZT'!H191</f>
        <v>0</v>
      </c>
      <c r="D34" s="116">
        <f>'ROZPOČET  VZT'!L191</f>
        <v>2169.86</v>
      </c>
    </row>
    <row r="35" spans="1:4">
      <c r="A35" s="115" t="s">
        <v>2857</v>
      </c>
      <c r="B35" s="116">
        <f>'ROZPOČET  VZT'!F241</f>
        <v>0</v>
      </c>
      <c r="C35" s="116">
        <f>'ROZPOČET  VZT'!H241</f>
        <v>0</v>
      </c>
      <c r="D35" s="116">
        <f>'ROZPOČET  VZT'!L241</f>
        <v>529.64</v>
      </c>
    </row>
    <row r="36" spans="1:4">
      <c r="A36" s="115" t="s">
        <v>2893</v>
      </c>
      <c r="B36" s="116">
        <f>'ROZPOČET  VZT'!F274</f>
        <v>0</v>
      </c>
      <c r="C36" s="116">
        <f>'ROZPOČET  VZT'!H274</f>
        <v>0</v>
      </c>
      <c r="D36" s="116">
        <f>'ROZPOČET  VZT'!L274</f>
        <v>290.10000000000002</v>
      </c>
    </row>
    <row r="37" spans="1:4">
      <c r="A37" s="115" t="s">
        <v>2915</v>
      </c>
      <c r="B37" s="116">
        <f>'ROZPOČET  VZT'!F313</f>
        <v>0</v>
      </c>
      <c r="C37" s="116">
        <f>'ROZPOČET  VZT'!H313</f>
        <v>0</v>
      </c>
      <c r="D37" s="116">
        <f>'ROZPOČET  VZT'!L313</f>
        <v>271.08000000000004</v>
      </c>
    </row>
    <row r="38" spans="1:4">
      <c r="A38" s="115" t="s">
        <v>2939</v>
      </c>
      <c r="B38" s="116">
        <f>'ROZPOČET  VZT'!F355</f>
        <v>0</v>
      </c>
      <c r="C38" s="116">
        <f>'ROZPOČET  VZT'!H355</f>
        <v>0</v>
      </c>
      <c r="D38" s="116">
        <f>'ROZPOČET  VZT'!L355</f>
        <v>294.78000000000003</v>
      </c>
    </row>
    <row r="39" spans="1:4">
      <c r="A39" s="115" t="s">
        <v>2961</v>
      </c>
      <c r="B39" s="116">
        <f>'ROZPOČET  VZT'!F365</f>
        <v>0</v>
      </c>
      <c r="C39" s="116">
        <f>'ROZPOČET  VZT'!H355</f>
        <v>0</v>
      </c>
      <c r="D39" s="116">
        <f>'ROZPOČET  VZT'!L355</f>
        <v>294.78000000000003</v>
      </c>
    </row>
    <row r="40" spans="1:4">
      <c r="A40" s="124"/>
      <c r="B40" s="125"/>
      <c r="C40" s="125"/>
      <c r="D40" s="125"/>
    </row>
    <row r="41" spans="1:4">
      <c r="A41" s="124"/>
      <c r="B41" s="125"/>
      <c r="C41" s="125"/>
      <c r="D41" s="125"/>
    </row>
    <row r="42" spans="1:4">
      <c r="A42" s="126" t="s">
        <v>2994</v>
      </c>
      <c r="B42" s="127">
        <f>B17</f>
        <v>0</v>
      </c>
      <c r="C42" s="125"/>
      <c r="D42" s="125"/>
    </row>
    <row r="43" spans="1:4">
      <c r="A43" s="126" t="s">
        <v>2995</v>
      </c>
      <c r="B43" s="125"/>
      <c r="C43" s="127">
        <f>C17</f>
        <v>0</v>
      </c>
      <c r="D43" s="125"/>
    </row>
    <row r="44" spans="1:4">
      <c r="A44" s="124"/>
      <c r="B44" s="125"/>
      <c r="C44" s="125"/>
      <c r="D44" s="125"/>
    </row>
    <row r="45" spans="1:4">
      <c r="A45" s="128" t="s">
        <v>2996</v>
      </c>
      <c r="B45" s="125"/>
      <c r="C45" s="129">
        <f>B42+C43</f>
        <v>0</v>
      </c>
      <c r="D45" s="125"/>
    </row>
  </sheetData>
  <mergeCells count="1">
    <mergeCell ref="F7:I7"/>
  </mergeCells>
  <pageMargins left="0.7" right="0.7" top="0.78740157499999996" bottom="0.78740157499999996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L376"/>
  <sheetViews>
    <sheetView topLeftCell="C26" zoomScaleNormal="100" workbookViewId="0">
      <selection activeCell="C28" sqref="C28"/>
    </sheetView>
  </sheetViews>
  <sheetFormatPr defaultRowHeight="14.5"/>
  <cols>
    <col min="2" max="2" width="131.140625" style="110" customWidth="1"/>
    <col min="4" max="4" width="14.28515625" customWidth="1"/>
    <col min="5" max="5" width="30.28515625" customWidth="1"/>
    <col min="6" max="6" width="20.5703125" customWidth="1"/>
    <col min="7" max="7" width="22.42578125" customWidth="1"/>
    <col min="8" max="8" width="23.5703125" customWidth="1"/>
    <col min="9" max="9" width="17.5703125" customWidth="1"/>
    <col min="10" max="10" width="34" customWidth="1"/>
    <col min="11" max="11" width="23.140625" customWidth="1"/>
    <col min="12" max="12" width="37.140625" customWidth="1"/>
  </cols>
  <sheetData>
    <row r="1" spans="1:12">
      <c r="A1" s="107" t="s">
        <v>2682</v>
      </c>
      <c r="B1" s="109" t="s">
        <v>2683</v>
      </c>
      <c r="C1" s="107" t="s">
        <v>2684</v>
      </c>
      <c r="D1" s="108" t="s">
        <v>2685</v>
      </c>
      <c r="E1" s="108" t="s">
        <v>2686</v>
      </c>
      <c r="F1" s="108" t="s">
        <v>2687</v>
      </c>
      <c r="G1" s="108" t="s">
        <v>437</v>
      </c>
      <c r="H1" s="108" t="s">
        <v>2688</v>
      </c>
      <c r="I1" s="108" t="s">
        <v>2689</v>
      </c>
      <c r="J1" s="108" t="s">
        <v>2690</v>
      </c>
      <c r="K1" s="108" t="s">
        <v>2691</v>
      </c>
      <c r="L1" s="108" t="s">
        <v>2692</v>
      </c>
    </row>
    <row r="2" spans="1:12">
      <c r="A2" s="107" t="s">
        <v>1597</v>
      </c>
      <c r="B2" s="109" t="s">
        <v>2693</v>
      </c>
      <c r="C2" s="107" t="s">
        <v>1597</v>
      </c>
      <c r="D2" s="108"/>
      <c r="E2" s="108"/>
      <c r="F2" s="108"/>
      <c r="G2" s="108"/>
      <c r="H2" s="108"/>
      <c r="I2" s="108"/>
      <c r="J2" s="108"/>
      <c r="K2" s="108"/>
      <c r="L2" s="108"/>
    </row>
    <row r="3" spans="1:12">
      <c r="A3" s="107" t="s">
        <v>1597</v>
      </c>
      <c r="B3" s="109" t="s">
        <v>2694</v>
      </c>
      <c r="C3" s="107" t="s">
        <v>1597</v>
      </c>
      <c r="D3" s="108"/>
      <c r="E3" s="108"/>
      <c r="F3" s="108"/>
      <c r="G3" s="108"/>
      <c r="H3" s="108"/>
      <c r="I3" s="108"/>
      <c r="J3" s="108"/>
      <c r="K3" s="108"/>
      <c r="L3" s="108"/>
    </row>
    <row r="4" spans="1:12" ht="101.5">
      <c r="A4" s="107" t="s">
        <v>2695</v>
      </c>
      <c r="B4" s="109" t="s">
        <v>2696</v>
      </c>
      <c r="C4" s="107" t="s">
        <v>2697</v>
      </c>
      <c r="D4" s="108">
        <v>1</v>
      </c>
      <c r="E4" s="623"/>
      <c r="F4" s="108">
        <f t="shared" ref="F4:F10" si="0">D4*E4</f>
        <v>0</v>
      </c>
      <c r="G4" s="623"/>
      <c r="H4" s="108">
        <f t="shared" ref="H4:H10" si="1">D4*G4</f>
        <v>0</v>
      </c>
      <c r="I4" s="108">
        <f t="shared" ref="I4:J17" si="2">E4+G4</f>
        <v>0</v>
      </c>
      <c r="J4" s="108">
        <f t="shared" si="2"/>
        <v>0</v>
      </c>
      <c r="K4" s="108">
        <v>598</v>
      </c>
      <c r="L4" s="108">
        <f t="shared" ref="L4:L10" si="3">D4*K4</f>
        <v>598</v>
      </c>
    </row>
    <row r="5" spans="1:12">
      <c r="A5" s="107" t="s">
        <v>1597</v>
      </c>
      <c r="B5" s="109" t="s">
        <v>2698</v>
      </c>
      <c r="C5" s="107" t="s">
        <v>2697</v>
      </c>
      <c r="D5" s="108">
        <v>1</v>
      </c>
      <c r="E5" s="108">
        <v>0</v>
      </c>
      <c r="F5" s="108">
        <f t="shared" si="0"/>
        <v>0</v>
      </c>
      <c r="G5" s="108">
        <v>0</v>
      </c>
      <c r="H5" s="108">
        <f t="shared" si="1"/>
        <v>0</v>
      </c>
      <c r="I5" s="108">
        <f t="shared" si="2"/>
        <v>0</v>
      </c>
      <c r="J5" s="108">
        <f t="shared" si="2"/>
        <v>0</v>
      </c>
      <c r="K5" s="108">
        <v>0</v>
      </c>
      <c r="L5" s="108">
        <f t="shared" si="3"/>
        <v>0</v>
      </c>
    </row>
    <row r="6" spans="1:12">
      <c r="A6" s="107" t="s">
        <v>1597</v>
      </c>
      <c r="B6" s="109" t="s">
        <v>2699</v>
      </c>
      <c r="C6" s="107" t="s">
        <v>2697</v>
      </c>
      <c r="D6" s="108">
        <v>1</v>
      </c>
      <c r="E6" s="623"/>
      <c r="F6" s="108">
        <f t="shared" si="0"/>
        <v>0</v>
      </c>
      <c r="G6" s="108">
        <v>0</v>
      </c>
      <c r="H6" s="108">
        <f t="shared" si="1"/>
        <v>0</v>
      </c>
      <c r="I6" s="108">
        <f t="shared" si="2"/>
        <v>0</v>
      </c>
      <c r="J6" s="108">
        <f t="shared" si="2"/>
        <v>0</v>
      </c>
      <c r="K6" s="108">
        <v>0</v>
      </c>
      <c r="L6" s="108">
        <f t="shared" si="3"/>
        <v>0</v>
      </c>
    </row>
    <row r="7" spans="1:12">
      <c r="A7" s="107" t="s">
        <v>1597</v>
      </c>
      <c r="B7" s="109" t="s">
        <v>2700</v>
      </c>
      <c r="C7" s="107" t="s">
        <v>2697</v>
      </c>
      <c r="D7" s="108">
        <v>1</v>
      </c>
      <c r="E7" s="623"/>
      <c r="F7" s="108">
        <f t="shared" si="0"/>
        <v>0</v>
      </c>
      <c r="G7" s="108">
        <v>0</v>
      </c>
      <c r="H7" s="108">
        <f t="shared" si="1"/>
        <v>0</v>
      </c>
      <c r="I7" s="108">
        <f t="shared" si="2"/>
        <v>0</v>
      </c>
      <c r="J7" s="108">
        <f t="shared" si="2"/>
        <v>0</v>
      </c>
      <c r="K7" s="108">
        <v>0</v>
      </c>
      <c r="L7" s="108">
        <f t="shared" si="3"/>
        <v>0</v>
      </c>
    </row>
    <row r="8" spans="1:12">
      <c r="A8" s="107" t="s">
        <v>1597</v>
      </c>
      <c r="B8" s="109" t="s">
        <v>2701</v>
      </c>
      <c r="C8" s="107" t="s">
        <v>2697</v>
      </c>
      <c r="D8" s="108">
        <v>1</v>
      </c>
      <c r="E8" s="623"/>
      <c r="F8" s="108">
        <f t="shared" si="0"/>
        <v>0</v>
      </c>
      <c r="G8" s="108">
        <v>0</v>
      </c>
      <c r="H8" s="108">
        <f t="shared" si="1"/>
        <v>0</v>
      </c>
      <c r="I8" s="108">
        <f t="shared" si="2"/>
        <v>0</v>
      </c>
      <c r="J8" s="108">
        <f t="shared" si="2"/>
        <v>0</v>
      </c>
      <c r="K8" s="108">
        <v>0</v>
      </c>
      <c r="L8" s="108">
        <f t="shared" si="3"/>
        <v>0</v>
      </c>
    </row>
    <row r="9" spans="1:12">
      <c r="A9" s="107" t="s">
        <v>1597</v>
      </c>
      <c r="B9" s="109" t="s">
        <v>2702</v>
      </c>
      <c r="C9" s="107" t="s">
        <v>2697</v>
      </c>
      <c r="D9" s="108">
        <v>1</v>
      </c>
      <c r="E9" s="623"/>
      <c r="F9" s="108">
        <f t="shared" si="0"/>
        <v>0</v>
      </c>
      <c r="G9" s="108">
        <v>0</v>
      </c>
      <c r="H9" s="108">
        <f t="shared" si="1"/>
        <v>0</v>
      </c>
      <c r="I9" s="108">
        <f t="shared" si="2"/>
        <v>0</v>
      </c>
      <c r="J9" s="108">
        <f t="shared" si="2"/>
        <v>0</v>
      </c>
      <c r="K9" s="108">
        <v>0</v>
      </c>
      <c r="L9" s="108">
        <f t="shared" si="3"/>
        <v>0</v>
      </c>
    </row>
    <row r="10" spans="1:12">
      <c r="A10" s="107" t="s">
        <v>1597</v>
      </c>
      <c r="B10" s="109" t="s">
        <v>2703</v>
      </c>
      <c r="C10" s="107" t="s">
        <v>2697</v>
      </c>
      <c r="D10" s="108">
        <v>1</v>
      </c>
      <c r="E10" s="623"/>
      <c r="F10" s="108">
        <f t="shared" si="0"/>
        <v>0</v>
      </c>
      <c r="G10" s="108">
        <v>0</v>
      </c>
      <c r="H10" s="108">
        <f t="shared" si="1"/>
        <v>0</v>
      </c>
      <c r="I10" s="108">
        <f t="shared" si="2"/>
        <v>0</v>
      </c>
      <c r="J10" s="108">
        <f t="shared" si="2"/>
        <v>0</v>
      </c>
      <c r="K10" s="108">
        <v>0</v>
      </c>
      <c r="L10" s="108">
        <f t="shared" si="3"/>
        <v>0</v>
      </c>
    </row>
    <row r="11" spans="1:12">
      <c r="A11" s="107" t="s">
        <v>1597</v>
      </c>
      <c r="B11" s="109" t="s">
        <v>2704</v>
      </c>
      <c r="C11" s="107" t="s">
        <v>1597</v>
      </c>
      <c r="D11" s="108"/>
      <c r="E11" s="108"/>
      <c r="F11" s="108"/>
      <c r="G11" s="108"/>
      <c r="H11" s="108"/>
      <c r="I11" s="108"/>
      <c r="J11" s="108"/>
      <c r="K11" s="108"/>
      <c r="L11" s="108"/>
    </row>
    <row r="12" spans="1:12" ht="43.5">
      <c r="A12" s="107" t="s">
        <v>2705</v>
      </c>
      <c r="B12" s="109" t="s">
        <v>2706</v>
      </c>
      <c r="C12" s="107" t="s">
        <v>2697</v>
      </c>
      <c r="D12" s="108">
        <v>1</v>
      </c>
      <c r="E12" s="623"/>
      <c r="F12" s="108">
        <f>D12*E12</f>
        <v>0</v>
      </c>
      <c r="G12" s="623"/>
      <c r="H12" s="108">
        <f>D12*G12</f>
        <v>0</v>
      </c>
      <c r="I12" s="108">
        <f t="shared" si="2"/>
        <v>0</v>
      </c>
      <c r="J12" s="108">
        <f t="shared" si="2"/>
        <v>0</v>
      </c>
      <c r="K12" s="108">
        <v>170</v>
      </c>
      <c r="L12" s="108">
        <f>D12*K12</f>
        <v>170</v>
      </c>
    </row>
    <row r="13" spans="1:12">
      <c r="A13" s="107" t="s">
        <v>1597</v>
      </c>
      <c r="B13" s="109" t="s">
        <v>2707</v>
      </c>
      <c r="C13" s="107" t="s">
        <v>2697</v>
      </c>
      <c r="D13" s="108">
        <v>1</v>
      </c>
      <c r="E13" s="623"/>
      <c r="F13" s="108">
        <f>D13*E13</f>
        <v>0</v>
      </c>
      <c r="G13" s="108">
        <v>0</v>
      </c>
      <c r="H13" s="108">
        <f>D13*G13</f>
        <v>0</v>
      </c>
      <c r="I13" s="108">
        <f t="shared" si="2"/>
        <v>0</v>
      </c>
      <c r="J13" s="108">
        <f t="shared" si="2"/>
        <v>0</v>
      </c>
      <c r="K13" s="108">
        <v>0</v>
      </c>
      <c r="L13" s="108">
        <f>D13*K13</f>
        <v>0</v>
      </c>
    </row>
    <row r="14" spans="1:12">
      <c r="A14" s="107" t="s">
        <v>1597</v>
      </c>
      <c r="B14" s="109" t="s">
        <v>2708</v>
      </c>
      <c r="C14" s="107" t="s">
        <v>2709</v>
      </c>
      <c r="D14" s="108">
        <v>1</v>
      </c>
      <c r="E14" s="623"/>
      <c r="F14" s="108">
        <f>D14*E14</f>
        <v>0</v>
      </c>
      <c r="G14" s="108">
        <v>0</v>
      </c>
      <c r="H14" s="108">
        <f>D14*G14</f>
        <v>0</v>
      </c>
      <c r="I14" s="108">
        <f t="shared" si="2"/>
        <v>0</v>
      </c>
      <c r="J14" s="108">
        <f t="shared" si="2"/>
        <v>0</v>
      </c>
      <c r="K14" s="108">
        <v>0</v>
      </c>
      <c r="L14" s="108">
        <f>D14*K14</f>
        <v>0</v>
      </c>
    </row>
    <row r="15" spans="1:12">
      <c r="A15" s="107" t="s">
        <v>1597</v>
      </c>
      <c r="B15" s="109" t="s">
        <v>2710</v>
      </c>
      <c r="C15" s="107" t="s">
        <v>2697</v>
      </c>
      <c r="D15" s="108">
        <v>1</v>
      </c>
      <c r="E15" s="623"/>
      <c r="F15" s="108">
        <f>D15*E15</f>
        <v>0</v>
      </c>
      <c r="G15" s="108">
        <v>0</v>
      </c>
      <c r="H15" s="108">
        <f>D15*G15</f>
        <v>0</v>
      </c>
      <c r="I15" s="108">
        <f t="shared" si="2"/>
        <v>0</v>
      </c>
      <c r="J15" s="108">
        <f t="shared" si="2"/>
        <v>0</v>
      </c>
      <c r="K15" s="108">
        <v>35</v>
      </c>
      <c r="L15" s="108">
        <f>D15*K15</f>
        <v>35</v>
      </c>
    </row>
    <row r="16" spans="1:12">
      <c r="A16" s="107" t="s">
        <v>1597</v>
      </c>
      <c r="B16" s="109" t="s">
        <v>2711</v>
      </c>
      <c r="C16" s="107" t="s">
        <v>1597</v>
      </c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2">
      <c r="A17" s="107" t="s">
        <v>1597</v>
      </c>
      <c r="B17" s="109" t="s">
        <v>2712</v>
      </c>
      <c r="C17" s="107" t="s">
        <v>2713</v>
      </c>
      <c r="D17" s="108">
        <v>10</v>
      </c>
      <c r="E17" s="623"/>
      <c r="F17" s="108">
        <f>D17*E17</f>
        <v>0</v>
      </c>
      <c r="G17" s="623"/>
      <c r="H17" s="108">
        <f>D17*G17</f>
        <v>0</v>
      </c>
      <c r="I17" s="108">
        <f t="shared" si="2"/>
        <v>0</v>
      </c>
      <c r="J17" s="108">
        <f t="shared" si="2"/>
        <v>0</v>
      </c>
      <c r="K17" s="108">
        <v>3.9</v>
      </c>
      <c r="L17" s="108">
        <f>D17*K17</f>
        <v>39</v>
      </c>
    </row>
    <row r="18" spans="1:12">
      <c r="A18" s="107" t="s">
        <v>1597</v>
      </c>
      <c r="B18" s="109" t="s">
        <v>2714</v>
      </c>
      <c r="C18" s="107" t="s">
        <v>1597</v>
      </c>
      <c r="D18" s="108"/>
      <c r="E18" s="108"/>
      <c r="F18" s="108"/>
      <c r="G18" s="108"/>
      <c r="H18" s="108"/>
      <c r="I18" s="108"/>
      <c r="J18" s="108"/>
      <c r="K18" s="108"/>
      <c r="L18" s="108"/>
    </row>
    <row r="19" spans="1:12">
      <c r="A19" s="107" t="s">
        <v>2715</v>
      </c>
      <c r="B19" s="109" t="s">
        <v>2716</v>
      </c>
      <c r="C19" s="107" t="s">
        <v>2697</v>
      </c>
      <c r="D19" s="108">
        <v>1</v>
      </c>
      <c r="E19" s="623"/>
      <c r="F19" s="108">
        <f>D19*E19</f>
        <v>0</v>
      </c>
      <c r="G19" s="623"/>
      <c r="H19" s="108">
        <f>D19*G19</f>
        <v>0</v>
      </c>
      <c r="I19" s="108">
        <f>E19+G19</f>
        <v>0</v>
      </c>
      <c r="J19" s="108">
        <f>F19+H19</f>
        <v>0</v>
      </c>
      <c r="K19" s="108">
        <v>0</v>
      </c>
      <c r="L19" s="108">
        <f>D19*K19</f>
        <v>0</v>
      </c>
    </row>
    <row r="20" spans="1:12" ht="43.5">
      <c r="A20" s="107" t="s">
        <v>1597</v>
      </c>
      <c r="B20" s="109" t="s">
        <v>3645</v>
      </c>
      <c r="C20" s="107" t="s">
        <v>1597</v>
      </c>
      <c r="D20" s="108"/>
      <c r="E20" s="108"/>
      <c r="F20" s="108"/>
      <c r="G20" s="108"/>
      <c r="H20" s="108"/>
      <c r="I20" s="108"/>
      <c r="J20" s="108"/>
      <c r="K20" s="108"/>
      <c r="L20" s="108"/>
    </row>
    <row r="21" spans="1:12">
      <c r="A21" s="107" t="s">
        <v>2717</v>
      </c>
      <c r="B21" s="109" t="s">
        <v>2718</v>
      </c>
      <c r="C21" s="107" t="s">
        <v>2697</v>
      </c>
      <c r="D21" s="108">
        <v>24</v>
      </c>
      <c r="E21" s="623"/>
      <c r="F21" s="108">
        <f>D21*E21</f>
        <v>0</v>
      </c>
      <c r="G21" s="623"/>
      <c r="H21" s="108">
        <f>D21*G21</f>
        <v>0</v>
      </c>
      <c r="I21" s="108">
        <f t="shared" ref="I21:J25" si="4">E21+G21</f>
        <v>0</v>
      </c>
      <c r="J21" s="108">
        <f t="shared" si="4"/>
        <v>0</v>
      </c>
      <c r="K21" s="108">
        <v>14</v>
      </c>
      <c r="L21" s="108">
        <f>D21*K21</f>
        <v>336</v>
      </c>
    </row>
    <row r="22" spans="1:12">
      <c r="A22" s="107" t="s">
        <v>2719</v>
      </c>
      <c r="B22" s="109" t="s">
        <v>2718</v>
      </c>
      <c r="C22" s="107" t="s">
        <v>2697</v>
      </c>
      <c r="D22" s="108">
        <v>24</v>
      </c>
      <c r="E22" s="623"/>
      <c r="F22" s="108">
        <f>D22*E22</f>
        <v>0</v>
      </c>
      <c r="G22" s="623"/>
      <c r="H22" s="108">
        <f>D22*G22</f>
        <v>0</v>
      </c>
      <c r="I22" s="108">
        <f t="shared" si="4"/>
        <v>0</v>
      </c>
      <c r="J22" s="108">
        <f t="shared" si="4"/>
        <v>0</v>
      </c>
      <c r="K22" s="108">
        <v>14</v>
      </c>
      <c r="L22" s="108">
        <f>D22*K22</f>
        <v>336</v>
      </c>
    </row>
    <row r="23" spans="1:12">
      <c r="A23" s="107" t="s">
        <v>2720</v>
      </c>
      <c r="B23" s="109" t="s">
        <v>2721</v>
      </c>
      <c r="C23" s="107" t="s">
        <v>2697</v>
      </c>
      <c r="D23" s="108">
        <v>6</v>
      </c>
      <c r="E23" s="623"/>
      <c r="F23" s="108">
        <f>D23*E23</f>
        <v>0</v>
      </c>
      <c r="G23" s="623"/>
      <c r="H23" s="108">
        <f>D23*G23</f>
        <v>0</v>
      </c>
      <c r="I23" s="108">
        <f t="shared" si="4"/>
        <v>0</v>
      </c>
      <c r="J23" s="108">
        <f t="shared" si="4"/>
        <v>0</v>
      </c>
      <c r="K23" s="108">
        <v>21</v>
      </c>
      <c r="L23" s="108">
        <f>D23*K23</f>
        <v>126</v>
      </c>
    </row>
    <row r="24" spans="1:12">
      <c r="A24" s="107" t="s">
        <v>2722</v>
      </c>
      <c r="B24" s="109" t="s">
        <v>2718</v>
      </c>
      <c r="C24" s="107" t="s">
        <v>2697</v>
      </c>
      <c r="D24" s="108">
        <v>18</v>
      </c>
      <c r="E24" s="623"/>
      <c r="F24" s="108">
        <f>D24*E24</f>
        <v>0</v>
      </c>
      <c r="G24" s="623"/>
      <c r="H24" s="108">
        <f>D24*G24</f>
        <v>0</v>
      </c>
      <c r="I24" s="108">
        <f t="shared" si="4"/>
        <v>0</v>
      </c>
      <c r="J24" s="108">
        <f t="shared" si="4"/>
        <v>0</v>
      </c>
      <c r="K24" s="108">
        <v>14</v>
      </c>
      <c r="L24" s="108">
        <f>D24*K24</f>
        <v>252</v>
      </c>
    </row>
    <row r="25" spans="1:12">
      <c r="A25" s="107" t="s">
        <v>2723</v>
      </c>
      <c r="B25" s="109" t="s">
        <v>2718</v>
      </c>
      <c r="C25" s="107" t="s">
        <v>2697</v>
      </c>
      <c r="D25" s="108">
        <v>40</v>
      </c>
      <c r="E25" s="623"/>
      <c r="F25" s="108">
        <f>D25*E25</f>
        <v>0</v>
      </c>
      <c r="G25" s="623"/>
      <c r="H25" s="108">
        <f>D25*G25</f>
        <v>0</v>
      </c>
      <c r="I25" s="108">
        <f t="shared" si="4"/>
        <v>0</v>
      </c>
      <c r="J25" s="108">
        <f t="shared" si="4"/>
        <v>0</v>
      </c>
      <c r="K25" s="108">
        <v>14</v>
      </c>
      <c r="L25" s="108">
        <f>D25*K25</f>
        <v>560</v>
      </c>
    </row>
    <row r="26" spans="1:12" ht="43.5">
      <c r="A26" s="107" t="s">
        <v>1597</v>
      </c>
      <c r="B26" s="109" t="s">
        <v>3646</v>
      </c>
      <c r="C26" s="107" t="s">
        <v>1597</v>
      </c>
      <c r="D26" s="108"/>
      <c r="E26" s="108"/>
      <c r="F26" s="108"/>
      <c r="G26" s="108"/>
      <c r="H26" s="108"/>
      <c r="I26" s="108"/>
      <c r="J26" s="108"/>
      <c r="K26" s="108"/>
      <c r="L26" s="108"/>
    </row>
    <row r="27" spans="1:12">
      <c r="A27" s="107" t="s">
        <v>2724</v>
      </c>
      <c r="B27" s="109" t="s">
        <v>2725</v>
      </c>
      <c r="C27" s="107" t="s">
        <v>1923</v>
      </c>
      <c r="D27" s="108">
        <v>6.5</v>
      </c>
      <c r="E27" s="623"/>
      <c r="F27" s="108">
        <f>D27*E27</f>
        <v>0</v>
      </c>
      <c r="G27" s="623"/>
      <c r="H27" s="108">
        <f>D27*G27</f>
        <v>0</v>
      </c>
      <c r="I27" s="108">
        <f>E27+G27</f>
        <v>0</v>
      </c>
      <c r="J27" s="108">
        <f>F27+H27</f>
        <v>0</v>
      </c>
      <c r="K27" s="108">
        <v>0</v>
      </c>
      <c r="L27" s="108">
        <f>D27*K27</f>
        <v>0</v>
      </c>
    </row>
    <row r="28" spans="1:12">
      <c r="A28" s="107" t="s">
        <v>2726</v>
      </c>
      <c r="B28" s="109" t="s">
        <v>2727</v>
      </c>
      <c r="C28" s="107" t="s">
        <v>1923</v>
      </c>
      <c r="D28" s="108">
        <v>2.1</v>
      </c>
      <c r="E28" s="623"/>
      <c r="F28" s="108">
        <f>D28*E28</f>
        <v>0</v>
      </c>
      <c r="G28" s="623"/>
      <c r="H28" s="108">
        <f>D28*G28</f>
        <v>0</v>
      </c>
      <c r="I28" s="108">
        <f>E28+G28</f>
        <v>0</v>
      </c>
      <c r="J28" s="108">
        <f>F28+H28</f>
        <v>0</v>
      </c>
      <c r="K28" s="108">
        <v>0</v>
      </c>
      <c r="L28" s="108">
        <f>D28*K28</f>
        <v>0</v>
      </c>
    </row>
    <row r="29" spans="1:12">
      <c r="A29" s="107" t="s">
        <v>1597</v>
      </c>
      <c r="B29" s="109" t="s">
        <v>2728</v>
      </c>
      <c r="C29" s="107" t="s">
        <v>1597</v>
      </c>
      <c r="D29" s="108"/>
      <c r="E29" s="108"/>
      <c r="F29" s="108"/>
      <c r="G29" s="108"/>
      <c r="H29" s="108"/>
      <c r="I29" s="108"/>
      <c r="J29" s="108"/>
      <c r="K29" s="108"/>
      <c r="L29" s="108"/>
    </row>
    <row r="30" spans="1:12">
      <c r="A30" s="107" t="s">
        <v>2729</v>
      </c>
      <c r="B30" s="109" t="s">
        <v>2730</v>
      </c>
      <c r="C30" s="107" t="s">
        <v>2697</v>
      </c>
      <c r="D30" s="108">
        <v>17</v>
      </c>
      <c r="E30" s="623"/>
      <c r="F30" s="108">
        <f>D30*E30</f>
        <v>0</v>
      </c>
      <c r="G30" s="623"/>
      <c r="H30" s="108">
        <f>D30*G30</f>
        <v>0</v>
      </c>
      <c r="I30" s="108">
        <f t="shared" ref="I30:J32" si="5">E30+G30</f>
        <v>0</v>
      </c>
      <c r="J30" s="108">
        <f t="shared" si="5"/>
        <v>0</v>
      </c>
      <c r="K30" s="108">
        <v>2.8</v>
      </c>
      <c r="L30" s="108">
        <f>D30*K30</f>
        <v>47.599999999999994</v>
      </c>
    </row>
    <row r="31" spans="1:12">
      <c r="A31" s="107" t="s">
        <v>1597</v>
      </c>
      <c r="B31" s="109" t="s">
        <v>3647</v>
      </c>
      <c r="C31" s="107" t="s">
        <v>1597</v>
      </c>
      <c r="D31" s="108"/>
      <c r="E31" s="108"/>
      <c r="F31" s="108"/>
      <c r="G31" s="108"/>
      <c r="H31" s="108"/>
      <c r="I31" s="108"/>
      <c r="J31" s="108"/>
      <c r="K31" s="108"/>
      <c r="L31" s="108"/>
    </row>
    <row r="32" spans="1:12" ht="29">
      <c r="A32" s="107" t="s">
        <v>2731</v>
      </c>
      <c r="B32" s="109" t="s">
        <v>3648</v>
      </c>
      <c r="C32" s="107" t="s">
        <v>2697</v>
      </c>
      <c r="D32" s="108">
        <v>17</v>
      </c>
      <c r="E32" s="623"/>
      <c r="F32" s="108">
        <f>D32*E32</f>
        <v>0</v>
      </c>
      <c r="G32" s="623"/>
      <c r="H32" s="108">
        <f>D32*G32</f>
        <v>0</v>
      </c>
      <c r="I32" s="108">
        <f t="shared" si="5"/>
        <v>0</v>
      </c>
      <c r="J32" s="108">
        <f t="shared" si="5"/>
        <v>0</v>
      </c>
      <c r="K32" s="108">
        <v>7</v>
      </c>
      <c r="L32" s="108">
        <f>D32*K32</f>
        <v>119</v>
      </c>
    </row>
    <row r="33" spans="1:12" ht="29">
      <c r="A33" s="107" t="s">
        <v>1597</v>
      </c>
      <c r="B33" s="109" t="s">
        <v>2732</v>
      </c>
      <c r="C33" s="107" t="s">
        <v>1597</v>
      </c>
      <c r="D33" s="108"/>
      <c r="E33" s="108"/>
      <c r="F33" s="108"/>
      <c r="G33" s="108"/>
      <c r="H33" s="108"/>
      <c r="I33" s="108"/>
      <c r="J33" s="108"/>
      <c r="K33" s="108"/>
      <c r="L33" s="108"/>
    </row>
    <row r="34" spans="1:12">
      <c r="A34" s="107" t="s">
        <v>2733</v>
      </c>
      <c r="B34" s="109" t="s">
        <v>2734</v>
      </c>
      <c r="C34" s="107" t="s">
        <v>2697</v>
      </c>
      <c r="D34" s="108">
        <v>3</v>
      </c>
      <c r="E34" s="623"/>
      <c r="F34" s="108">
        <f>D34*E34</f>
        <v>0</v>
      </c>
      <c r="G34" s="623"/>
      <c r="H34" s="108">
        <f>D34*G34</f>
        <v>0</v>
      </c>
      <c r="I34" s="108">
        <f>E34+G34</f>
        <v>0</v>
      </c>
      <c r="J34" s="108">
        <f>F34+H34</f>
        <v>0</v>
      </c>
      <c r="K34" s="108">
        <v>4</v>
      </c>
      <c r="L34" s="108">
        <f>D34*K34</f>
        <v>12</v>
      </c>
    </row>
    <row r="35" spans="1:12">
      <c r="A35" s="107" t="s">
        <v>1597</v>
      </c>
      <c r="B35" s="109" t="s">
        <v>2735</v>
      </c>
      <c r="C35" s="107" t="s">
        <v>1597</v>
      </c>
      <c r="D35" s="108"/>
      <c r="E35" s="108"/>
      <c r="F35" s="108"/>
      <c r="G35" s="108"/>
      <c r="H35" s="108"/>
      <c r="I35" s="108"/>
      <c r="J35" s="108"/>
      <c r="K35" s="108"/>
      <c r="L35" s="108"/>
    </row>
    <row r="36" spans="1:12">
      <c r="A36" s="107" t="s">
        <v>1597</v>
      </c>
      <c r="B36" s="109" t="s">
        <v>3649</v>
      </c>
      <c r="C36" s="107" t="s">
        <v>1597</v>
      </c>
      <c r="D36" s="108"/>
      <c r="E36" s="108"/>
      <c r="F36" s="108"/>
      <c r="G36" s="108"/>
      <c r="H36" s="108"/>
      <c r="I36" s="108"/>
      <c r="J36" s="108"/>
      <c r="K36" s="108"/>
      <c r="L36" s="108"/>
    </row>
    <row r="37" spans="1:12">
      <c r="A37" s="107" t="s">
        <v>2736</v>
      </c>
      <c r="B37" s="109" t="s">
        <v>3650</v>
      </c>
      <c r="C37" s="107" t="s">
        <v>2697</v>
      </c>
      <c r="D37" s="108">
        <v>3</v>
      </c>
      <c r="E37" s="623"/>
      <c r="F37" s="108">
        <f>D37*E37</f>
        <v>0</v>
      </c>
      <c r="G37" s="623"/>
      <c r="H37" s="108">
        <f>D37*G37</f>
        <v>0</v>
      </c>
      <c r="I37" s="108">
        <f>E37+G37</f>
        <v>0</v>
      </c>
      <c r="J37" s="108">
        <f>F37+H37</f>
        <v>0</v>
      </c>
      <c r="K37" s="108">
        <v>12</v>
      </c>
      <c r="L37" s="108">
        <f>D37*K37</f>
        <v>36</v>
      </c>
    </row>
    <row r="38" spans="1:12" ht="29">
      <c r="A38" s="107" t="s">
        <v>1597</v>
      </c>
      <c r="B38" s="109" t="s">
        <v>3651</v>
      </c>
      <c r="C38" s="107" t="s">
        <v>1597</v>
      </c>
      <c r="D38" s="108"/>
      <c r="E38" s="108"/>
      <c r="F38" s="108"/>
      <c r="G38" s="108"/>
      <c r="H38" s="108"/>
      <c r="I38" s="108"/>
      <c r="J38" s="108"/>
      <c r="K38" s="108"/>
      <c r="L38" s="108"/>
    </row>
    <row r="39" spans="1:12">
      <c r="A39" s="107" t="s">
        <v>1597</v>
      </c>
      <c r="B39" s="109" t="s">
        <v>2737</v>
      </c>
      <c r="C39" s="107" t="s">
        <v>1597</v>
      </c>
      <c r="D39" s="108"/>
      <c r="E39" s="108"/>
      <c r="F39" s="108"/>
      <c r="G39" s="108"/>
      <c r="H39" s="108"/>
      <c r="I39" s="108"/>
      <c r="J39" s="108"/>
      <c r="K39" s="108"/>
      <c r="L39" s="108"/>
    </row>
    <row r="40" spans="1:12">
      <c r="A40" s="107" t="s">
        <v>2738</v>
      </c>
      <c r="B40" s="109" t="s">
        <v>2739</v>
      </c>
      <c r="C40" s="107" t="s">
        <v>2697</v>
      </c>
      <c r="D40" s="108">
        <v>2</v>
      </c>
      <c r="E40" s="623"/>
      <c r="F40" s="108">
        <f>D40*E40</f>
        <v>0</v>
      </c>
      <c r="G40" s="623"/>
      <c r="H40" s="108">
        <f>D40*G40</f>
        <v>0</v>
      </c>
      <c r="I40" s="108">
        <f>E40+G40</f>
        <v>0</v>
      </c>
      <c r="J40" s="108">
        <f>F40+H40</f>
        <v>0</v>
      </c>
      <c r="K40" s="108">
        <v>2.23</v>
      </c>
      <c r="L40" s="108">
        <f>D40*K40</f>
        <v>4.46</v>
      </c>
    </row>
    <row r="41" spans="1:12">
      <c r="A41" s="107" t="s">
        <v>1597</v>
      </c>
      <c r="B41" s="109" t="s">
        <v>2740</v>
      </c>
      <c r="C41" s="107" t="s">
        <v>1597</v>
      </c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>
      <c r="A42" s="107" t="s">
        <v>2741</v>
      </c>
      <c r="B42" s="109" t="s">
        <v>2742</v>
      </c>
      <c r="C42" s="107" t="s">
        <v>2697</v>
      </c>
      <c r="D42" s="108">
        <v>2</v>
      </c>
      <c r="E42" s="623"/>
      <c r="F42" s="108">
        <f>D42*E42</f>
        <v>0</v>
      </c>
      <c r="G42" s="623"/>
      <c r="H42" s="108">
        <f>D42*G42</f>
        <v>0</v>
      </c>
      <c r="I42" s="108">
        <f>E42+G42</f>
        <v>0</v>
      </c>
      <c r="J42" s="108">
        <f>F42+H42</f>
        <v>0</v>
      </c>
      <c r="K42" s="108">
        <v>1.87</v>
      </c>
      <c r="L42" s="108">
        <f>D42*K42</f>
        <v>3.74</v>
      </c>
    </row>
    <row r="43" spans="1:12">
      <c r="A43" s="107" t="s">
        <v>2743</v>
      </c>
      <c r="B43" s="109" t="s">
        <v>2744</v>
      </c>
      <c r="C43" s="107" t="s">
        <v>2697</v>
      </c>
      <c r="D43" s="108">
        <v>1</v>
      </c>
      <c r="E43" s="623"/>
      <c r="F43" s="108">
        <f>D43*E43</f>
        <v>0</v>
      </c>
      <c r="G43" s="623"/>
      <c r="H43" s="108">
        <f>D43*G43</f>
        <v>0</v>
      </c>
      <c r="I43" s="108">
        <f>E43+G43</f>
        <v>0</v>
      </c>
      <c r="J43" s="108">
        <f>F43+H43</f>
        <v>0</v>
      </c>
      <c r="K43" s="108">
        <v>3.09</v>
      </c>
      <c r="L43" s="108">
        <f>D43*K43</f>
        <v>3.09</v>
      </c>
    </row>
    <row r="44" spans="1:12" ht="29">
      <c r="A44" s="107" t="s">
        <v>1597</v>
      </c>
      <c r="B44" s="109" t="s">
        <v>2745</v>
      </c>
      <c r="C44" s="107" t="s">
        <v>1597</v>
      </c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>
      <c r="A45" s="107" t="s">
        <v>2746</v>
      </c>
      <c r="B45" s="109" t="s">
        <v>2747</v>
      </c>
      <c r="C45" s="107" t="s">
        <v>2697</v>
      </c>
      <c r="D45" s="108">
        <v>1</v>
      </c>
      <c r="E45" s="623"/>
      <c r="F45" s="108">
        <f>D45*E45</f>
        <v>0</v>
      </c>
      <c r="G45" s="623"/>
      <c r="H45" s="108">
        <f>D45*G45</f>
        <v>0</v>
      </c>
      <c r="I45" s="108">
        <f>E45+G45</f>
        <v>0</v>
      </c>
      <c r="J45" s="108">
        <f>F45+H45</f>
        <v>0</v>
      </c>
      <c r="K45" s="108">
        <v>8</v>
      </c>
      <c r="L45" s="108">
        <f>D45*K45</f>
        <v>8</v>
      </c>
    </row>
    <row r="46" spans="1:12">
      <c r="A46" s="107" t="s">
        <v>2748</v>
      </c>
      <c r="B46" s="109" t="s">
        <v>2749</v>
      </c>
      <c r="C46" s="107" t="s">
        <v>1597</v>
      </c>
      <c r="D46" s="108"/>
      <c r="E46" s="108"/>
      <c r="F46" s="108"/>
      <c r="G46" s="108"/>
      <c r="H46" s="108"/>
      <c r="I46" s="108"/>
      <c r="J46" s="108"/>
      <c r="K46" s="108"/>
      <c r="L46" s="108"/>
    </row>
    <row r="47" spans="1:12" ht="29">
      <c r="A47" s="107" t="s">
        <v>1597</v>
      </c>
      <c r="B47" s="109" t="s">
        <v>2750</v>
      </c>
      <c r="C47" s="107" t="s">
        <v>1597</v>
      </c>
      <c r="D47" s="108"/>
      <c r="E47" s="108"/>
      <c r="F47" s="108"/>
      <c r="G47" s="108"/>
      <c r="H47" s="108"/>
      <c r="I47" s="108"/>
      <c r="J47" s="108"/>
      <c r="K47" s="108"/>
      <c r="L47" s="108"/>
    </row>
    <row r="48" spans="1:12">
      <c r="A48" s="107" t="s">
        <v>1597</v>
      </c>
      <c r="B48" s="109" t="s">
        <v>2751</v>
      </c>
      <c r="C48" s="107" t="s">
        <v>1597</v>
      </c>
      <c r="D48" s="108"/>
      <c r="E48" s="108"/>
      <c r="F48" s="108"/>
      <c r="G48" s="108"/>
      <c r="H48" s="108"/>
      <c r="I48" s="108"/>
      <c r="J48" s="108"/>
      <c r="K48" s="108"/>
      <c r="L48" s="108"/>
    </row>
    <row r="49" spans="1:12">
      <c r="A49" s="107" t="s">
        <v>2752</v>
      </c>
      <c r="B49" s="109" t="s">
        <v>2753</v>
      </c>
      <c r="C49" s="107" t="s">
        <v>2274</v>
      </c>
      <c r="D49" s="108">
        <v>29.69</v>
      </c>
      <c r="E49" s="623"/>
      <c r="F49" s="108">
        <f>D49*E49</f>
        <v>0</v>
      </c>
      <c r="G49" s="108">
        <v>0</v>
      </c>
      <c r="H49" s="108">
        <f>D49*G49</f>
        <v>0</v>
      </c>
      <c r="I49" s="108">
        <f t="shared" ref="I49:J51" si="6">E49+G49</f>
        <v>0</v>
      </c>
      <c r="J49" s="108">
        <f t="shared" si="6"/>
        <v>0</v>
      </c>
      <c r="K49" s="108">
        <v>0</v>
      </c>
      <c r="L49" s="108">
        <f>D49*K49</f>
        <v>0</v>
      </c>
    </row>
    <row r="50" spans="1:12">
      <c r="A50" s="107" t="s">
        <v>2754</v>
      </c>
      <c r="B50" s="109" t="s">
        <v>2755</v>
      </c>
      <c r="C50" s="107" t="s">
        <v>2274</v>
      </c>
      <c r="D50" s="108">
        <v>180.72</v>
      </c>
      <c r="E50" s="623"/>
      <c r="F50" s="108">
        <f>D50*E50</f>
        <v>0</v>
      </c>
      <c r="G50" s="108">
        <v>0</v>
      </c>
      <c r="H50" s="108">
        <f>D50*G50</f>
        <v>0</v>
      </c>
      <c r="I50" s="108">
        <f t="shared" si="6"/>
        <v>0</v>
      </c>
      <c r="J50" s="108">
        <f t="shared" si="6"/>
        <v>0</v>
      </c>
      <c r="K50" s="108">
        <v>0</v>
      </c>
      <c r="L50" s="108">
        <f>D50*K50</f>
        <v>0</v>
      </c>
    </row>
    <row r="51" spans="1:12">
      <c r="A51" s="107" t="s">
        <v>2756</v>
      </c>
      <c r="B51" s="109" t="s">
        <v>2753</v>
      </c>
      <c r="C51" s="107" t="s">
        <v>2274</v>
      </c>
      <c r="D51" s="108">
        <v>49.88</v>
      </c>
      <c r="E51" s="623"/>
      <c r="F51" s="108">
        <f>D51*E51</f>
        <v>0</v>
      </c>
      <c r="G51" s="108">
        <v>0</v>
      </c>
      <c r="H51" s="108">
        <f>D51*G51</f>
        <v>0</v>
      </c>
      <c r="I51" s="108">
        <f t="shared" si="6"/>
        <v>0</v>
      </c>
      <c r="J51" s="108">
        <f t="shared" si="6"/>
        <v>0</v>
      </c>
      <c r="K51" s="108">
        <v>0</v>
      </c>
      <c r="L51" s="108">
        <f>D51*K51</f>
        <v>0</v>
      </c>
    </row>
    <row r="52" spans="1:12" ht="72.5">
      <c r="A52" s="107" t="s">
        <v>1597</v>
      </c>
      <c r="B52" s="109" t="s">
        <v>2757</v>
      </c>
      <c r="C52" s="107" t="s">
        <v>1597</v>
      </c>
      <c r="D52" s="108"/>
      <c r="E52" s="108"/>
      <c r="F52" s="108"/>
      <c r="G52" s="108"/>
      <c r="H52" s="108"/>
      <c r="I52" s="108"/>
      <c r="J52" s="108"/>
      <c r="K52" s="108"/>
      <c r="L52" s="108"/>
    </row>
    <row r="53" spans="1:12">
      <c r="A53" s="107" t="s">
        <v>2758</v>
      </c>
      <c r="B53" s="109" t="s">
        <v>2759</v>
      </c>
      <c r="C53" s="107" t="s">
        <v>2274</v>
      </c>
      <c r="D53" s="108">
        <v>8.4</v>
      </c>
      <c r="E53" s="623"/>
      <c r="F53" s="108">
        <f>D53*E53</f>
        <v>0</v>
      </c>
      <c r="G53" s="108">
        <v>0</v>
      </c>
      <c r="H53" s="108">
        <f>D53*G53</f>
        <v>0</v>
      </c>
      <c r="I53" s="108">
        <f>E53+G53</f>
        <v>0</v>
      </c>
      <c r="J53" s="108">
        <f>F53+H53</f>
        <v>0</v>
      </c>
      <c r="K53" s="108">
        <v>0</v>
      </c>
      <c r="L53" s="108">
        <f>D53*K53</f>
        <v>0</v>
      </c>
    </row>
    <row r="54" spans="1:12" ht="72.5">
      <c r="A54" s="107" t="s">
        <v>1597</v>
      </c>
      <c r="B54" s="109" t="s">
        <v>2760</v>
      </c>
      <c r="C54" s="107" t="s">
        <v>1597</v>
      </c>
      <c r="D54" s="108"/>
      <c r="E54" s="108"/>
      <c r="F54" s="108"/>
      <c r="G54" s="108"/>
      <c r="H54" s="108"/>
      <c r="I54" s="108"/>
      <c r="J54" s="108"/>
      <c r="K54" s="108"/>
      <c r="L54" s="108"/>
    </row>
    <row r="55" spans="1:12">
      <c r="A55" s="107" t="s">
        <v>2761</v>
      </c>
      <c r="B55" s="109" t="s">
        <v>2762</v>
      </c>
      <c r="C55" s="107" t="s">
        <v>2274</v>
      </c>
      <c r="D55" s="108">
        <v>119.9</v>
      </c>
      <c r="E55" s="623"/>
      <c r="F55" s="108">
        <f>D55*E55</f>
        <v>0</v>
      </c>
      <c r="G55" s="108">
        <v>0</v>
      </c>
      <c r="H55" s="108">
        <f>D55*G55</f>
        <v>0</v>
      </c>
      <c r="I55" s="108">
        <f>E55+G55</f>
        <v>0</v>
      </c>
      <c r="J55" s="108">
        <f>F55+H55</f>
        <v>0</v>
      </c>
      <c r="K55" s="108">
        <v>0</v>
      </c>
      <c r="L55" s="108">
        <f>D55*K55</f>
        <v>0</v>
      </c>
    </row>
    <row r="56" spans="1:12" ht="29">
      <c r="A56" s="107" t="s">
        <v>1597</v>
      </c>
      <c r="B56" s="109" t="s">
        <v>2763</v>
      </c>
      <c r="C56" s="107" t="s">
        <v>1597</v>
      </c>
      <c r="D56" s="108"/>
      <c r="E56" s="108"/>
      <c r="F56" s="108"/>
      <c r="G56" s="108"/>
      <c r="H56" s="108"/>
      <c r="I56" s="108"/>
      <c r="J56" s="108"/>
      <c r="K56" s="108"/>
      <c r="L56" s="108"/>
    </row>
    <row r="57" spans="1:12">
      <c r="A57" s="107" t="s">
        <v>1597</v>
      </c>
      <c r="B57" s="109" t="s">
        <v>2764</v>
      </c>
      <c r="C57" s="107" t="s">
        <v>2713</v>
      </c>
      <c r="D57" s="108">
        <v>8.6</v>
      </c>
      <c r="E57" s="623"/>
      <c r="F57" s="108">
        <f t="shared" ref="F57:F63" si="7">D57*E57</f>
        <v>0</v>
      </c>
      <c r="G57" s="623"/>
      <c r="H57" s="108">
        <f t="shared" ref="H57:H63" si="8">D57*G57</f>
        <v>0</v>
      </c>
      <c r="I57" s="108">
        <f t="shared" ref="I57:J63" si="9">E57+G57</f>
        <v>0</v>
      </c>
      <c r="J57" s="108">
        <f t="shared" si="9"/>
        <v>0</v>
      </c>
      <c r="K57" s="108">
        <v>10</v>
      </c>
      <c r="L57" s="108">
        <f t="shared" ref="L57:L63" si="10">D57*K57</f>
        <v>86</v>
      </c>
    </row>
    <row r="58" spans="1:12">
      <c r="A58" s="107" t="s">
        <v>1597</v>
      </c>
      <c r="B58" s="109" t="s">
        <v>2765</v>
      </c>
      <c r="C58" s="107" t="s">
        <v>2713</v>
      </c>
      <c r="D58" s="108">
        <v>33.5</v>
      </c>
      <c r="E58" s="623"/>
      <c r="F58" s="108">
        <f t="shared" si="7"/>
        <v>0</v>
      </c>
      <c r="G58" s="623"/>
      <c r="H58" s="108">
        <f t="shared" si="8"/>
        <v>0</v>
      </c>
      <c r="I58" s="108">
        <f t="shared" si="9"/>
        <v>0</v>
      </c>
      <c r="J58" s="108">
        <f t="shared" si="9"/>
        <v>0</v>
      </c>
      <c r="K58" s="108">
        <v>15</v>
      </c>
      <c r="L58" s="108">
        <f t="shared" si="10"/>
        <v>502.5</v>
      </c>
    </row>
    <row r="59" spans="1:12">
      <c r="A59" s="107" t="s">
        <v>1597</v>
      </c>
      <c r="B59" s="109" t="s">
        <v>2766</v>
      </c>
      <c r="C59" s="107" t="s">
        <v>2713</v>
      </c>
      <c r="D59" s="108">
        <v>2.2999999999999998</v>
      </c>
      <c r="E59" s="623"/>
      <c r="F59" s="108">
        <f t="shared" si="7"/>
        <v>0</v>
      </c>
      <c r="G59" s="623"/>
      <c r="H59" s="108">
        <f t="shared" si="8"/>
        <v>0</v>
      </c>
      <c r="I59" s="108">
        <f t="shared" si="9"/>
        <v>0</v>
      </c>
      <c r="J59" s="108">
        <f t="shared" si="9"/>
        <v>0</v>
      </c>
      <c r="K59" s="108">
        <v>19</v>
      </c>
      <c r="L59" s="108">
        <f t="shared" si="10"/>
        <v>43.699999999999996</v>
      </c>
    </row>
    <row r="60" spans="1:12">
      <c r="A60" s="107" t="s">
        <v>1597</v>
      </c>
      <c r="B60" s="109" t="s">
        <v>2767</v>
      </c>
      <c r="C60" s="107" t="s">
        <v>2713</v>
      </c>
      <c r="D60" s="108">
        <v>38.299999999999997</v>
      </c>
      <c r="E60" s="623"/>
      <c r="F60" s="108">
        <f t="shared" si="7"/>
        <v>0</v>
      </c>
      <c r="G60" s="623"/>
      <c r="H60" s="108">
        <f t="shared" si="8"/>
        <v>0</v>
      </c>
      <c r="I60" s="108">
        <f t="shared" si="9"/>
        <v>0</v>
      </c>
      <c r="J60" s="108">
        <f t="shared" si="9"/>
        <v>0</v>
      </c>
      <c r="K60" s="108">
        <v>29</v>
      </c>
      <c r="L60" s="108">
        <f t="shared" si="10"/>
        <v>1110.6999999999998</v>
      </c>
    </row>
    <row r="61" spans="1:12">
      <c r="A61" s="107" t="s">
        <v>1597</v>
      </c>
      <c r="B61" s="109" t="s">
        <v>2768</v>
      </c>
      <c r="C61" s="107" t="s">
        <v>2713</v>
      </c>
      <c r="D61" s="108">
        <v>15.8</v>
      </c>
      <c r="E61" s="623"/>
      <c r="F61" s="108">
        <f t="shared" si="7"/>
        <v>0</v>
      </c>
      <c r="G61" s="623"/>
      <c r="H61" s="108">
        <f t="shared" si="8"/>
        <v>0</v>
      </c>
      <c r="I61" s="108">
        <f t="shared" si="9"/>
        <v>0</v>
      </c>
      <c r="J61" s="108">
        <f t="shared" si="9"/>
        <v>0</v>
      </c>
      <c r="K61" s="108">
        <v>38</v>
      </c>
      <c r="L61" s="108">
        <f t="shared" si="10"/>
        <v>600.4</v>
      </c>
    </row>
    <row r="62" spans="1:12">
      <c r="A62" s="107" t="s">
        <v>1597</v>
      </c>
      <c r="B62" s="109" t="s">
        <v>2769</v>
      </c>
      <c r="C62" s="107" t="s">
        <v>2713</v>
      </c>
      <c r="D62" s="108">
        <v>9.6999999999999993</v>
      </c>
      <c r="E62" s="623"/>
      <c r="F62" s="108">
        <f t="shared" si="7"/>
        <v>0</v>
      </c>
      <c r="G62" s="623"/>
      <c r="H62" s="108">
        <f t="shared" si="8"/>
        <v>0</v>
      </c>
      <c r="I62" s="108">
        <f t="shared" si="9"/>
        <v>0</v>
      </c>
      <c r="J62" s="108">
        <f t="shared" si="9"/>
        <v>0</v>
      </c>
      <c r="K62" s="108">
        <v>54</v>
      </c>
      <c r="L62" s="108">
        <f t="shared" si="10"/>
        <v>523.79999999999995</v>
      </c>
    </row>
    <row r="63" spans="1:12">
      <c r="A63" s="107" t="s">
        <v>1597</v>
      </c>
      <c r="B63" s="109" t="s">
        <v>2770</v>
      </c>
      <c r="C63" s="107" t="s">
        <v>2713</v>
      </c>
      <c r="D63" s="108">
        <v>2.2000000000000002</v>
      </c>
      <c r="E63" s="623"/>
      <c r="F63" s="108">
        <f t="shared" si="7"/>
        <v>0</v>
      </c>
      <c r="G63" s="623"/>
      <c r="H63" s="108">
        <f t="shared" si="8"/>
        <v>0</v>
      </c>
      <c r="I63" s="108">
        <f t="shared" si="9"/>
        <v>0</v>
      </c>
      <c r="J63" s="108">
        <f t="shared" si="9"/>
        <v>0</v>
      </c>
      <c r="K63" s="108">
        <v>82</v>
      </c>
      <c r="L63" s="108">
        <f t="shared" si="10"/>
        <v>180.4</v>
      </c>
    </row>
    <row r="64" spans="1:12" ht="29">
      <c r="A64" s="107" t="s">
        <v>1597</v>
      </c>
      <c r="B64" s="109" t="s">
        <v>2771</v>
      </c>
      <c r="C64" s="107" t="s">
        <v>1597</v>
      </c>
      <c r="D64" s="108"/>
      <c r="E64" s="108"/>
      <c r="F64" s="108"/>
      <c r="G64" s="108"/>
      <c r="H64" s="108"/>
      <c r="I64" s="108"/>
      <c r="J64" s="108"/>
      <c r="K64" s="108"/>
      <c r="L64" s="108"/>
    </row>
    <row r="65" spans="1:12">
      <c r="A65" s="107" t="s">
        <v>1597</v>
      </c>
      <c r="B65" s="109" t="s">
        <v>2772</v>
      </c>
      <c r="C65" s="107" t="s">
        <v>2713</v>
      </c>
      <c r="D65" s="108">
        <v>30.4</v>
      </c>
      <c r="E65" s="623"/>
      <c r="F65" s="108">
        <f>D65*E65</f>
        <v>0</v>
      </c>
      <c r="G65" s="623"/>
      <c r="H65" s="108">
        <f>D65*G65</f>
        <v>0</v>
      </c>
      <c r="I65" s="108">
        <f>E65+G65</f>
        <v>0</v>
      </c>
      <c r="J65" s="108">
        <f>F65+H65</f>
        <v>0</v>
      </c>
      <c r="K65" s="108">
        <v>7</v>
      </c>
      <c r="L65" s="108">
        <f>D65*K65</f>
        <v>212.79999999999998</v>
      </c>
    </row>
    <row r="66" spans="1:12">
      <c r="A66" s="107" t="s">
        <v>1597</v>
      </c>
      <c r="B66" s="109" t="s">
        <v>2773</v>
      </c>
      <c r="C66" s="107" t="s">
        <v>2713</v>
      </c>
      <c r="D66" s="108">
        <v>30.4</v>
      </c>
      <c r="E66" s="623"/>
      <c r="F66" s="108">
        <f>D66*E66</f>
        <v>0</v>
      </c>
      <c r="G66" s="623"/>
      <c r="H66" s="108">
        <f>D66*G66</f>
        <v>0</v>
      </c>
      <c r="I66" s="108">
        <f>E66+G66</f>
        <v>0</v>
      </c>
      <c r="J66" s="108">
        <f>F66+H66</f>
        <v>0</v>
      </c>
      <c r="K66" s="108">
        <v>10</v>
      </c>
      <c r="L66" s="108">
        <f>D66*K66</f>
        <v>304</v>
      </c>
    </row>
    <row r="67" spans="1:12" ht="43.5">
      <c r="A67" s="107" t="s">
        <v>1597</v>
      </c>
      <c r="B67" s="109" t="s">
        <v>2774</v>
      </c>
      <c r="C67" s="107" t="s">
        <v>1597</v>
      </c>
      <c r="D67" s="108"/>
      <c r="E67" s="108"/>
      <c r="F67" s="108"/>
      <c r="G67" s="108"/>
      <c r="H67" s="108"/>
      <c r="I67" s="108"/>
      <c r="J67" s="108"/>
      <c r="K67" s="108"/>
      <c r="L67" s="108"/>
    </row>
    <row r="68" spans="1:12">
      <c r="A68" s="107" t="s">
        <v>1597</v>
      </c>
      <c r="B68" s="109" t="s">
        <v>2775</v>
      </c>
      <c r="C68" s="107" t="s">
        <v>1781</v>
      </c>
      <c r="D68" s="108">
        <v>1</v>
      </c>
      <c r="E68" s="623"/>
      <c r="F68" s="108">
        <f>D68*E68</f>
        <v>0</v>
      </c>
      <c r="G68" s="108">
        <v>0</v>
      </c>
      <c r="H68" s="108">
        <f>D68*G68</f>
        <v>0</v>
      </c>
      <c r="I68" s="108">
        <f>E68+G68</f>
        <v>0</v>
      </c>
      <c r="J68" s="108">
        <f>F68+H68</f>
        <v>0</v>
      </c>
      <c r="K68" s="108">
        <v>0</v>
      </c>
      <c r="L68" s="108">
        <f>D68*K68</f>
        <v>0</v>
      </c>
    </row>
    <row r="69" spans="1:12">
      <c r="A69" s="107" t="s">
        <v>1597</v>
      </c>
      <c r="B69" s="109" t="s">
        <v>2776</v>
      </c>
      <c r="C69" s="107" t="s">
        <v>1597</v>
      </c>
      <c r="D69" s="108"/>
      <c r="E69" s="108"/>
      <c r="F69" s="108">
        <f>SUM(F3:F68)</f>
        <v>0</v>
      </c>
      <c r="G69" s="108"/>
      <c r="H69" s="108">
        <f>SUM(H3:H68)</f>
        <v>0</v>
      </c>
      <c r="I69" s="108"/>
      <c r="J69" s="108">
        <f>SUM(J3:J68)</f>
        <v>0</v>
      </c>
      <c r="K69" s="108"/>
      <c r="L69" s="108">
        <f>SUM(L3:L68)</f>
        <v>6250.1899999999987</v>
      </c>
    </row>
    <row r="70" spans="1:12">
      <c r="A70" s="107" t="s">
        <v>1597</v>
      </c>
      <c r="B70" s="109" t="s">
        <v>1597</v>
      </c>
      <c r="C70" s="107" t="s">
        <v>1597</v>
      </c>
      <c r="D70" s="108"/>
      <c r="E70" s="108"/>
      <c r="F70" s="108"/>
      <c r="G70" s="108"/>
      <c r="H70" s="108"/>
      <c r="I70" s="108"/>
      <c r="J70" s="108"/>
      <c r="K70" s="108"/>
      <c r="L70" s="108"/>
    </row>
    <row r="71" spans="1:12">
      <c r="A71" s="107" t="s">
        <v>1597</v>
      </c>
      <c r="B71" s="109" t="s">
        <v>1597</v>
      </c>
      <c r="C71" s="107" t="s">
        <v>1597</v>
      </c>
      <c r="D71" s="108"/>
      <c r="E71" s="108"/>
      <c r="F71" s="108"/>
      <c r="G71" s="108"/>
      <c r="H71" s="108"/>
      <c r="I71" s="108"/>
      <c r="J71" s="108"/>
      <c r="K71" s="108"/>
      <c r="L71" s="108"/>
    </row>
    <row r="72" spans="1:12">
      <c r="A72" s="107" t="s">
        <v>1597</v>
      </c>
      <c r="B72" s="109" t="s">
        <v>2777</v>
      </c>
      <c r="C72" s="107" t="s">
        <v>1597</v>
      </c>
      <c r="D72" s="108"/>
      <c r="E72" s="108"/>
      <c r="F72" s="108"/>
      <c r="G72" s="108"/>
      <c r="H72" s="108"/>
      <c r="I72" s="108"/>
      <c r="J72" s="108"/>
      <c r="K72" s="108"/>
      <c r="L72" s="108"/>
    </row>
    <row r="73" spans="1:12">
      <c r="A73" s="107" t="s">
        <v>1597</v>
      </c>
      <c r="B73" s="109" t="s">
        <v>2694</v>
      </c>
      <c r="C73" s="107" t="s">
        <v>1597</v>
      </c>
      <c r="D73" s="108"/>
      <c r="E73" s="108"/>
      <c r="F73" s="108"/>
      <c r="G73" s="108"/>
      <c r="H73" s="108"/>
      <c r="I73" s="108"/>
      <c r="J73" s="108"/>
      <c r="K73" s="108"/>
      <c r="L73" s="108"/>
    </row>
    <row r="74" spans="1:12" ht="101.5">
      <c r="A74" s="107" t="s">
        <v>2778</v>
      </c>
      <c r="B74" s="109" t="s">
        <v>2779</v>
      </c>
      <c r="C74" s="107" t="s">
        <v>2697</v>
      </c>
      <c r="D74" s="108">
        <v>1</v>
      </c>
      <c r="E74" s="623"/>
      <c r="F74" s="108">
        <f t="shared" ref="F74:F80" si="11">D74*E74</f>
        <v>0</v>
      </c>
      <c r="G74" s="623"/>
      <c r="H74" s="108">
        <f t="shared" ref="H74:H80" si="12">D74*G74</f>
        <v>0</v>
      </c>
      <c r="I74" s="108">
        <f t="shared" ref="I74:J88" si="13">E74+G74</f>
        <v>0</v>
      </c>
      <c r="J74" s="108">
        <f t="shared" si="13"/>
        <v>0</v>
      </c>
      <c r="K74" s="108">
        <v>384</v>
      </c>
      <c r="L74" s="108">
        <f t="shared" ref="L74:L80" si="14">D74*K74</f>
        <v>384</v>
      </c>
    </row>
    <row r="75" spans="1:12">
      <c r="A75" s="107" t="s">
        <v>1597</v>
      </c>
      <c r="B75" s="109" t="s">
        <v>2780</v>
      </c>
      <c r="C75" s="107" t="s">
        <v>2697</v>
      </c>
      <c r="D75" s="108">
        <v>1</v>
      </c>
      <c r="E75" s="108">
        <v>0</v>
      </c>
      <c r="F75" s="108">
        <f t="shared" si="11"/>
        <v>0</v>
      </c>
      <c r="G75" s="108">
        <v>0</v>
      </c>
      <c r="H75" s="108">
        <f t="shared" si="12"/>
        <v>0</v>
      </c>
      <c r="I75" s="108">
        <f t="shared" si="13"/>
        <v>0</v>
      </c>
      <c r="J75" s="108">
        <f t="shared" si="13"/>
        <v>0</v>
      </c>
      <c r="K75" s="108">
        <v>0</v>
      </c>
      <c r="L75" s="108">
        <f t="shared" si="14"/>
        <v>0</v>
      </c>
    </row>
    <row r="76" spans="1:12">
      <c r="A76" s="107" t="s">
        <v>1597</v>
      </c>
      <c r="B76" s="109" t="s">
        <v>2699</v>
      </c>
      <c r="C76" s="107" t="s">
        <v>2697</v>
      </c>
      <c r="D76" s="108">
        <v>1</v>
      </c>
      <c r="E76" s="623"/>
      <c r="F76" s="108">
        <f t="shared" si="11"/>
        <v>0</v>
      </c>
      <c r="G76" s="108">
        <v>0</v>
      </c>
      <c r="H76" s="108">
        <f t="shared" si="12"/>
        <v>0</v>
      </c>
      <c r="I76" s="108">
        <f t="shared" si="13"/>
        <v>0</v>
      </c>
      <c r="J76" s="108">
        <f t="shared" si="13"/>
        <v>0</v>
      </c>
      <c r="K76" s="108">
        <v>0</v>
      </c>
      <c r="L76" s="108">
        <f t="shared" si="14"/>
        <v>0</v>
      </c>
    </row>
    <row r="77" spans="1:12">
      <c r="A77" s="107" t="s">
        <v>1597</v>
      </c>
      <c r="B77" s="109" t="s">
        <v>2700</v>
      </c>
      <c r="C77" s="107" t="s">
        <v>2697</v>
      </c>
      <c r="D77" s="108">
        <v>1</v>
      </c>
      <c r="E77" s="623"/>
      <c r="F77" s="108">
        <f t="shared" si="11"/>
        <v>0</v>
      </c>
      <c r="G77" s="108">
        <v>0</v>
      </c>
      <c r="H77" s="108">
        <f t="shared" si="12"/>
        <v>0</v>
      </c>
      <c r="I77" s="108">
        <f t="shared" si="13"/>
        <v>0</v>
      </c>
      <c r="J77" s="108">
        <f t="shared" si="13"/>
        <v>0</v>
      </c>
      <c r="K77" s="108">
        <v>0</v>
      </c>
      <c r="L77" s="108">
        <f t="shared" si="14"/>
        <v>0</v>
      </c>
    </row>
    <row r="78" spans="1:12">
      <c r="A78" s="107" t="s">
        <v>1597</v>
      </c>
      <c r="B78" s="109" t="s">
        <v>2701</v>
      </c>
      <c r="C78" s="107" t="s">
        <v>2697</v>
      </c>
      <c r="D78" s="108">
        <v>1</v>
      </c>
      <c r="E78" s="623"/>
      <c r="F78" s="108">
        <f t="shared" si="11"/>
        <v>0</v>
      </c>
      <c r="G78" s="108">
        <v>0</v>
      </c>
      <c r="H78" s="108">
        <f t="shared" si="12"/>
        <v>0</v>
      </c>
      <c r="I78" s="108">
        <f t="shared" si="13"/>
        <v>0</v>
      </c>
      <c r="J78" s="108">
        <f t="shared" si="13"/>
        <v>0</v>
      </c>
      <c r="K78" s="108">
        <v>0</v>
      </c>
      <c r="L78" s="108">
        <f t="shared" si="14"/>
        <v>0</v>
      </c>
    </row>
    <row r="79" spans="1:12">
      <c r="A79" s="107" t="s">
        <v>1597</v>
      </c>
      <c r="B79" s="109" t="s">
        <v>2702</v>
      </c>
      <c r="C79" s="107" t="s">
        <v>2697</v>
      </c>
      <c r="D79" s="108">
        <v>1</v>
      </c>
      <c r="E79" s="623"/>
      <c r="F79" s="108">
        <f t="shared" si="11"/>
        <v>0</v>
      </c>
      <c r="G79" s="108">
        <v>0</v>
      </c>
      <c r="H79" s="108">
        <f t="shared" si="12"/>
        <v>0</v>
      </c>
      <c r="I79" s="108">
        <f t="shared" si="13"/>
        <v>0</v>
      </c>
      <c r="J79" s="108">
        <f t="shared" si="13"/>
        <v>0</v>
      </c>
      <c r="K79" s="108">
        <v>0</v>
      </c>
      <c r="L79" s="108">
        <f t="shared" si="14"/>
        <v>0</v>
      </c>
    </row>
    <row r="80" spans="1:12">
      <c r="A80" s="107" t="s">
        <v>1597</v>
      </c>
      <c r="B80" s="109" t="s">
        <v>2703</v>
      </c>
      <c r="C80" s="107" t="s">
        <v>2697</v>
      </c>
      <c r="D80" s="108">
        <v>1</v>
      </c>
      <c r="E80" s="623"/>
      <c r="F80" s="108">
        <f t="shared" si="11"/>
        <v>0</v>
      </c>
      <c r="G80" s="108">
        <v>0</v>
      </c>
      <c r="H80" s="108">
        <f t="shared" si="12"/>
        <v>0</v>
      </c>
      <c r="I80" s="108">
        <f t="shared" si="13"/>
        <v>0</v>
      </c>
      <c r="J80" s="108">
        <f t="shared" si="13"/>
        <v>0</v>
      </c>
      <c r="K80" s="108">
        <v>0</v>
      </c>
      <c r="L80" s="108">
        <f t="shared" si="14"/>
        <v>0</v>
      </c>
    </row>
    <row r="81" spans="1:12">
      <c r="A81" s="107" t="s">
        <v>1597</v>
      </c>
      <c r="B81" s="109" t="s">
        <v>2704</v>
      </c>
      <c r="C81" s="107" t="s">
        <v>1597</v>
      </c>
      <c r="D81" s="108"/>
      <c r="E81" s="108"/>
      <c r="F81" s="108"/>
      <c r="G81" s="108"/>
      <c r="H81" s="108"/>
      <c r="I81" s="108"/>
      <c r="J81" s="108"/>
      <c r="K81" s="108"/>
      <c r="L81" s="108"/>
    </row>
    <row r="82" spans="1:12" ht="43.5">
      <c r="A82" s="107" t="s">
        <v>2781</v>
      </c>
      <c r="B82" s="109" t="s">
        <v>2782</v>
      </c>
      <c r="C82" s="107" t="s">
        <v>2697</v>
      </c>
      <c r="D82" s="108">
        <v>1</v>
      </c>
      <c r="E82" s="623"/>
      <c r="F82" s="108">
        <f>D82*E82</f>
        <v>0</v>
      </c>
      <c r="G82" s="623"/>
      <c r="H82" s="108">
        <f>D82*G82</f>
        <v>0</v>
      </c>
      <c r="I82" s="108">
        <f t="shared" si="13"/>
        <v>0</v>
      </c>
      <c r="J82" s="108">
        <f t="shared" si="13"/>
        <v>0</v>
      </c>
      <c r="K82" s="108">
        <v>104</v>
      </c>
      <c r="L82" s="108">
        <f>D82*K82</f>
        <v>104</v>
      </c>
    </row>
    <row r="83" spans="1:12">
      <c r="A83" s="107" t="s">
        <v>1597</v>
      </c>
      <c r="B83" s="109" t="s">
        <v>2707</v>
      </c>
      <c r="C83" s="107" t="s">
        <v>2697</v>
      </c>
      <c r="D83" s="108">
        <v>1</v>
      </c>
      <c r="E83" s="623"/>
      <c r="F83" s="108">
        <f>D83*E83</f>
        <v>0</v>
      </c>
      <c r="G83" s="108">
        <v>0</v>
      </c>
      <c r="H83" s="108">
        <f>D83*G83</f>
        <v>0</v>
      </c>
      <c r="I83" s="108">
        <f t="shared" si="13"/>
        <v>0</v>
      </c>
      <c r="J83" s="108">
        <f t="shared" si="13"/>
        <v>0</v>
      </c>
      <c r="K83" s="108">
        <v>0</v>
      </c>
      <c r="L83" s="108">
        <f>D83*K83</f>
        <v>0</v>
      </c>
    </row>
    <row r="84" spans="1:12">
      <c r="A84" s="107" t="s">
        <v>1597</v>
      </c>
      <c r="B84" s="109" t="s">
        <v>2710</v>
      </c>
      <c r="C84" s="107" t="s">
        <v>2697</v>
      </c>
      <c r="D84" s="108">
        <v>1</v>
      </c>
      <c r="E84" s="623"/>
      <c r="F84" s="108">
        <f>D84*E84</f>
        <v>0</v>
      </c>
      <c r="G84" s="108">
        <v>0</v>
      </c>
      <c r="H84" s="108">
        <f>D84*G84</f>
        <v>0</v>
      </c>
      <c r="I84" s="108">
        <f t="shared" si="13"/>
        <v>0</v>
      </c>
      <c r="J84" s="108">
        <f t="shared" si="13"/>
        <v>0</v>
      </c>
      <c r="K84" s="108">
        <v>35</v>
      </c>
      <c r="L84" s="108">
        <f>D84*K84</f>
        <v>35</v>
      </c>
    </row>
    <row r="85" spans="1:12">
      <c r="A85" s="107" t="s">
        <v>1597</v>
      </c>
      <c r="B85" s="109" t="s">
        <v>2711</v>
      </c>
      <c r="C85" s="107" t="s">
        <v>1597</v>
      </c>
      <c r="D85" s="108"/>
      <c r="E85" s="108"/>
      <c r="F85" s="108"/>
      <c r="G85" s="108"/>
      <c r="H85" s="108"/>
      <c r="I85" s="108"/>
      <c r="J85" s="108"/>
      <c r="K85" s="108"/>
      <c r="L85" s="108"/>
    </row>
    <row r="86" spans="1:12">
      <c r="A86" s="107" t="s">
        <v>1597</v>
      </c>
      <c r="B86" s="109" t="s">
        <v>2783</v>
      </c>
      <c r="C86" s="107" t="s">
        <v>2713</v>
      </c>
      <c r="D86" s="108">
        <v>35</v>
      </c>
      <c r="E86" s="623"/>
      <c r="F86" s="108">
        <f>D86*E86</f>
        <v>0</v>
      </c>
      <c r="G86" s="623"/>
      <c r="H86" s="108">
        <f>D86*G86</f>
        <v>0</v>
      </c>
      <c r="I86" s="108">
        <f t="shared" si="13"/>
        <v>0</v>
      </c>
      <c r="J86" s="108">
        <f t="shared" si="13"/>
        <v>0</v>
      </c>
      <c r="K86" s="108">
        <v>3.6</v>
      </c>
      <c r="L86" s="108">
        <f>D86*K86</f>
        <v>126</v>
      </c>
    </row>
    <row r="87" spans="1:12">
      <c r="A87" s="107" t="s">
        <v>1597</v>
      </c>
      <c r="B87" s="109" t="s">
        <v>2784</v>
      </c>
      <c r="C87" s="107" t="s">
        <v>1597</v>
      </c>
      <c r="D87" s="108"/>
      <c r="E87" s="108"/>
      <c r="F87" s="108"/>
      <c r="G87" s="108"/>
      <c r="H87" s="108"/>
      <c r="I87" s="108"/>
      <c r="J87" s="108"/>
      <c r="K87" s="108"/>
      <c r="L87" s="108"/>
    </row>
    <row r="88" spans="1:12" ht="29">
      <c r="A88" s="107" t="s">
        <v>2785</v>
      </c>
      <c r="B88" s="109" t="s">
        <v>2786</v>
      </c>
      <c r="C88" s="107" t="s">
        <v>2697</v>
      </c>
      <c r="D88" s="108">
        <v>1</v>
      </c>
      <c r="E88" s="623"/>
      <c r="F88" s="108">
        <f>D88*E88</f>
        <v>0</v>
      </c>
      <c r="G88" s="623"/>
      <c r="H88" s="108">
        <f>D88*G88</f>
        <v>0</v>
      </c>
      <c r="I88" s="108">
        <f t="shared" si="13"/>
        <v>0</v>
      </c>
      <c r="J88" s="108">
        <f t="shared" si="13"/>
        <v>0</v>
      </c>
      <c r="K88" s="108">
        <v>103</v>
      </c>
      <c r="L88" s="108">
        <f>D88*K88</f>
        <v>103</v>
      </c>
    </row>
    <row r="89" spans="1:12" ht="43.5">
      <c r="A89" s="107" t="s">
        <v>1597</v>
      </c>
      <c r="B89" s="109" t="s">
        <v>2787</v>
      </c>
      <c r="C89" s="107" t="s">
        <v>1597</v>
      </c>
      <c r="D89" s="108"/>
      <c r="E89" s="108"/>
      <c r="F89" s="108"/>
      <c r="G89" s="108"/>
      <c r="H89" s="108"/>
      <c r="I89" s="108"/>
      <c r="J89" s="108"/>
      <c r="K89" s="108"/>
      <c r="L89" s="108"/>
    </row>
    <row r="90" spans="1:12">
      <c r="A90" s="107" t="s">
        <v>2788</v>
      </c>
      <c r="B90" s="109" t="s">
        <v>2789</v>
      </c>
      <c r="C90" s="107" t="s">
        <v>2697</v>
      </c>
      <c r="D90" s="108">
        <v>1</v>
      </c>
      <c r="E90" s="623"/>
      <c r="F90" s="108">
        <f>D90*E90</f>
        <v>0</v>
      </c>
      <c r="G90" s="623"/>
      <c r="H90" s="108">
        <f>D90*G90</f>
        <v>0</v>
      </c>
      <c r="I90" s="108">
        <f>E90+G90</f>
        <v>0</v>
      </c>
      <c r="J90" s="108">
        <f>F90+H90</f>
        <v>0</v>
      </c>
      <c r="K90" s="108">
        <v>12</v>
      </c>
      <c r="L90" s="108">
        <f>D90*K90</f>
        <v>12</v>
      </c>
    </row>
    <row r="91" spans="1:12" ht="40.5" customHeight="1">
      <c r="A91" s="107" t="s">
        <v>1597</v>
      </c>
      <c r="B91" s="109" t="s">
        <v>3652</v>
      </c>
      <c r="C91" s="107" t="s">
        <v>1597</v>
      </c>
      <c r="D91" s="108"/>
      <c r="E91" s="108"/>
      <c r="F91" s="108"/>
      <c r="G91" s="108"/>
      <c r="H91" s="108"/>
      <c r="I91" s="108"/>
      <c r="J91" s="108"/>
      <c r="K91" s="108"/>
      <c r="L91" s="108"/>
    </row>
    <row r="92" spans="1:12">
      <c r="A92" s="107" t="s">
        <v>2790</v>
      </c>
      <c r="B92" s="109" t="s">
        <v>2718</v>
      </c>
      <c r="C92" s="107" t="s">
        <v>2697</v>
      </c>
      <c r="D92" s="108">
        <v>6</v>
      </c>
      <c r="E92" s="623"/>
      <c r="F92" s="108">
        <f>D92*E92</f>
        <v>0</v>
      </c>
      <c r="G92" s="623"/>
      <c r="H92" s="108">
        <f>D92*G92</f>
        <v>0</v>
      </c>
      <c r="I92" s="108">
        <f t="shared" ref="I92:J96" si="15">E92+G92</f>
        <v>0</v>
      </c>
      <c r="J92" s="108">
        <f t="shared" si="15"/>
        <v>0</v>
      </c>
      <c r="K92" s="108">
        <v>14</v>
      </c>
      <c r="L92" s="108">
        <f>D92*K92</f>
        <v>84</v>
      </c>
    </row>
    <row r="93" spans="1:12">
      <c r="A93" s="107" t="s">
        <v>2791</v>
      </c>
      <c r="B93" s="109" t="s">
        <v>2718</v>
      </c>
      <c r="C93" s="107" t="s">
        <v>2697</v>
      </c>
      <c r="D93" s="108">
        <v>12</v>
      </c>
      <c r="E93" s="623"/>
      <c r="F93" s="108">
        <f>D93*E93</f>
        <v>0</v>
      </c>
      <c r="G93" s="623"/>
      <c r="H93" s="108">
        <f>D93*G93</f>
        <v>0</v>
      </c>
      <c r="I93" s="108">
        <f t="shared" si="15"/>
        <v>0</v>
      </c>
      <c r="J93" s="108">
        <f t="shared" si="15"/>
        <v>0</v>
      </c>
      <c r="K93" s="108">
        <v>14</v>
      </c>
      <c r="L93" s="108">
        <f>D93*K93</f>
        <v>168</v>
      </c>
    </row>
    <row r="94" spans="1:12">
      <c r="A94" s="107" t="s">
        <v>2792</v>
      </c>
      <c r="B94" s="109" t="s">
        <v>2718</v>
      </c>
      <c r="C94" s="107" t="s">
        <v>2697</v>
      </c>
      <c r="D94" s="108">
        <v>6</v>
      </c>
      <c r="E94" s="623"/>
      <c r="F94" s="108">
        <f>D94*E94</f>
        <v>0</v>
      </c>
      <c r="G94" s="623"/>
      <c r="H94" s="108">
        <f>D94*G94</f>
        <v>0</v>
      </c>
      <c r="I94" s="108">
        <f t="shared" si="15"/>
        <v>0</v>
      </c>
      <c r="J94" s="108">
        <f t="shared" si="15"/>
        <v>0</v>
      </c>
      <c r="K94" s="108">
        <v>14</v>
      </c>
      <c r="L94" s="108">
        <f>D94*K94</f>
        <v>84</v>
      </c>
    </row>
    <row r="95" spans="1:12">
      <c r="A95" s="107" t="s">
        <v>2793</v>
      </c>
      <c r="B95" s="109" t="s">
        <v>2718</v>
      </c>
      <c r="C95" s="107" t="s">
        <v>2697</v>
      </c>
      <c r="D95" s="108">
        <v>9</v>
      </c>
      <c r="E95" s="623"/>
      <c r="F95" s="108">
        <f>D95*E95</f>
        <v>0</v>
      </c>
      <c r="G95" s="623"/>
      <c r="H95" s="108">
        <f>D95*G95</f>
        <v>0</v>
      </c>
      <c r="I95" s="108">
        <f t="shared" si="15"/>
        <v>0</v>
      </c>
      <c r="J95" s="108">
        <f t="shared" si="15"/>
        <v>0</v>
      </c>
      <c r="K95" s="108">
        <v>14</v>
      </c>
      <c r="L95" s="108">
        <f>D95*K95</f>
        <v>126</v>
      </c>
    </row>
    <row r="96" spans="1:12">
      <c r="A96" s="107" t="s">
        <v>2794</v>
      </c>
      <c r="B96" s="109" t="s">
        <v>2721</v>
      </c>
      <c r="C96" s="107" t="s">
        <v>2697</v>
      </c>
      <c r="D96" s="108">
        <v>3</v>
      </c>
      <c r="E96" s="623"/>
      <c r="F96" s="108">
        <f>D96*E96</f>
        <v>0</v>
      </c>
      <c r="G96" s="623"/>
      <c r="H96" s="108">
        <f>D96*G96</f>
        <v>0</v>
      </c>
      <c r="I96" s="108">
        <f t="shared" si="15"/>
        <v>0</v>
      </c>
      <c r="J96" s="108">
        <f t="shared" si="15"/>
        <v>0</v>
      </c>
      <c r="K96" s="108">
        <v>21</v>
      </c>
      <c r="L96" s="108">
        <f>D96*K96</f>
        <v>63</v>
      </c>
    </row>
    <row r="97" spans="1:12" ht="29">
      <c r="A97" s="107" t="s">
        <v>1597</v>
      </c>
      <c r="B97" s="109" t="s">
        <v>2795</v>
      </c>
      <c r="C97" s="107" t="s">
        <v>1597</v>
      </c>
      <c r="D97" s="108"/>
      <c r="E97" s="108"/>
      <c r="F97" s="108"/>
      <c r="G97" s="108"/>
      <c r="H97" s="108"/>
      <c r="I97" s="108"/>
      <c r="J97" s="108"/>
      <c r="K97" s="108"/>
      <c r="L97" s="108"/>
    </row>
    <row r="98" spans="1:12" ht="43.5">
      <c r="A98" s="107" t="s">
        <v>2796</v>
      </c>
      <c r="B98" s="109" t="s">
        <v>2797</v>
      </c>
      <c r="C98" s="107" t="s">
        <v>2697</v>
      </c>
      <c r="D98" s="108">
        <v>1</v>
      </c>
      <c r="E98" s="623"/>
      <c r="F98" s="108">
        <f>D98*E98</f>
        <v>0</v>
      </c>
      <c r="G98" s="623"/>
      <c r="H98" s="108">
        <f>D98*G98</f>
        <v>0</v>
      </c>
      <c r="I98" s="108">
        <f>E98+G98</f>
        <v>0</v>
      </c>
      <c r="J98" s="108">
        <f>F98+H98</f>
        <v>0</v>
      </c>
      <c r="K98" s="108">
        <v>12.5</v>
      </c>
      <c r="L98" s="108">
        <f>D98*K98</f>
        <v>12.5</v>
      </c>
    </row>
    <row r="99" spans="1:12">
      <c r="A99" s="107" t="s">
        <v>1597</v>
      </c>
      <c r="B99" s="109" t="s">
        <v>3653</v>
      </c>
      <c r="C99" s="107" t="s">
        <v>1597</v>
      </c>
      <c r="D99" s="108"/>
      <c r="E99" s="108"/>
      <c r="F99" s="108"/>
      <c r="G99" s="108"/>
      <c r="H99" s="108"/>
      <c r="I99" s="108"/>
      <c r="J99" s="108"/>
      <c r="K99" s="108"/>
      <c r="L99" s="108"/>
    </row>
    <row r="100" spans="1:12">
      <c r="A100" s="107" t="s">
        <v>2798</v>
      </c>
      <c r="B100" s="109" t="s">
        <v>2799</v>
      </c>
      <c r="C100" s="107" t="s">
        <v>2697</v>
      </c>
      <c r="D100" s="108">
        <v>1</v>
      </c>
      <c r="E100" s="623"/>
      <c r="F100" s="108">
        <f>D100*E100</f>
        <v>0</v>
      </c>
      <c r="G100" s="623"/>
      <c r="H100" s="108">
        <f>D100*G100</f>
        <v>0</v>
      </c>
      <c r="I100" s="108">
        <f>E100+G100</f>
        <v>0</v>
      </c>
      <c r="J100" s="108">
        <f>F100+H100</f>
        <v>0</v>
      </c>
      <c r="K100" s="108">
        <v>0</v>
      </c>
      <c r="L100" s="108">
        <f>D100*K100</f>
        <v>0</v>
      </c>
    </row>
    <row r="101" spans="1:12" ht="29">
      <c r="A101" s="107" t="s">
        <v>1597</v>
      </c>
      <c r="B101" s="109" t="s">
        <v>2750</v>
      </c>
      <c r="C101" s="107" t="s">
        <v>1597</v>
      </c>
      <c r="D101" s="108"/>
      <c r="E101" s="108"/>
      <c r="F101" s="108"/>
      <c r="G101" s="108"/>
      <c r="H101" s="108"/>
      <c r="I101" s="108"/>
      <c r="J101" s="108"/>
      <c r="K101" s="108"/>
      <c r="L101" s="108"/>
    </row>
    <row r="102" spans="1:12">
      <c r="A102" s="107" t="s">
        <v>1597</v>
      </c>
      <c r="B102" s="109" t="s">
        <v>2751</v>
      </c>
      <c r="C102" s="107" t="s">
        <v>1597</v>
      </c>
      <c r="D102" s="108"/>
      <c r="E102" s="108"/>
      <c r="F102" s="108"/>
      <c r="G102" s="108"/>
      <c r="H102" s="108"/>
      <c r="I102" s="108"/>
      <c r="J102" s="108"/>
      <c r="K102" s="108"/>
      <c r="L102" s="108"/>
    </row>
    <row r="103" spans="1:12">
      <c r="A103" s="107" t="s">
        <v>2800</v>
      </c>
      <c r="B103" s="109" t="s">
        <v>2753</v>
      </c>
      <c r="C103" s="107" t="s">
        <v>2274</v>
      </c>
      <c r="D103" s="108">
        <v>27.77</v>
      </c>
      <c r="E103" s="623"/>
      <c r="F103" s="108">
        <f>D103*E103</f>
        <v>0</v>
      </c>
      <c r="G103" s="108">
        <v>0</v>
      </c>
      <c r="H103" s="108">
        <f>D103*G103</f>
        <v>0</v>
      </c>
      <c r="I103" s="108">
        <f t="shared" ref="I103:J105" si="16">E103+G103</f>
        <v>0</v>
      </c>
      <c r="J103" s="108">
        <f t="shared" si="16"/>
        <v>0</v>
      </c>
      <c r="K103" s="108">
        <v>0</v>
      </c>
      <c r="L103" s="108">
        <f>D103*K103</f>
        <v>0</v>
      </c>
    </row>
    <row r="104" spans="1:12">
      <c r="A104" s="107" t="s">
        <v>2801</v>
      </c>
      <c r="B104" s="109" t="s">
        <v>2753</v>
      </c>
      <c r="C104" s="107" t="s">
        <v>2274</v>
      </c>
      <c r="D104" s="108">
        <v>35.78</v>
      </c>
      <c r="E104" s="623"/>
      <c r="F104" s="108">
        <f>D104*E104</f>
        <v>0</v>
      </c>
      <c r="G104" s="108">
        <v>0</v>
      </c>
      <c r="H104" s="108">
        <f>D104*G104</f>
        <v>0</v>
      </c>
      <c r="I104" s="108">
        <f t="shared" si="16"/>
        <v>0</v>
      </c>
      <c r="J104" s="108">
        <f t="shared" si="16"/>
        <v>0</v>
      </c>
      <c r="K104" s="108">
        <v>0</v>
      </c>
      <c r="L104" s="108">
        <f>D104*K104</f>
        <v>0</v>
      </c>
    </row>
    <row r="105" spans="1:12">
      <c r="A105" s="107" t="s">
        <v>2802</v>
      </c>
      <c r="B105" s="109" t="s">
        <v>2755</v>
      </c>
      <c r="C105" s="107" t="s">
        <v>2274</v>
      </c>
      <c r="D105" s="108">
        <v>24</v>
      </c>
      <c r="E105" s="623"/>
      <c r="F105" s="108">
        <f>D105*E105</f>
        <v>0</v>
      </c>
      <c r="G105" s="108">
        <v>0</v>
      </c>
      <c r="H105" s="108">
        <f>D105*G105</f>
        <v>0</v>
      </c>
      <c r="I105" s="108">
        <f t="shared" si="16"/>
        <v>0</v>
      </c>
      <c r="J105" s="108">
        <f t="shared" si="16"/>
        <v>0</v>
      </c>
      <c r="K105" s="108">
        <v>0</v>
      </c>
      <c r="L105" s="108">
        <f>D105*K105</f>
        <v>0</v>
      </c>
    </row>
    <row r="106" spans="1:12" ht="72.5">
      <c r="A106" s="107" t="s">
        <v>1597</v>
      </c>
      <c r="B106" s="109" t="s">
        <v>2757</v>
      </c>
      <c r="C106" s="107" t="s">
        <v>1597</v>
      </c>
      <c r="D106" s="108"/>
      <c r="E106" s="108"/>
      <c r="F106" s="108"/>
      <c r="G106" s="108"/>
      <c r="H106" s="108"/>
      <c r="I106" s="108"/>
      <c r="J106" s="108"/>
      <c r="K106" s="108"/>
      <c r="L106" s="108"/>
    </row>
    <row r="107" spans="1:12">
      <c r="A107" s="107" t="s">
        <v>2802</v>
      </c>
      <c r="B107" s="109" t="s">
        <v>2759</v>
      </c>
      <c r="C107" s="107" t="s">
        <v>2274</v>
      </c>
      <c r="D107" s="108">
        <v>2.88</v>
      </c>
      <c r="E107" s="623"/>
      <c r="F107" s="108">
        <f>D107*E107</f>
        <v>0</v>
      </c>
      <c r="G107" s="108">
        <v>0</v>
      </c>
      <c r="H107" s="108">
        <f>D107*G107</f>
        <v>0</v>
      </c>
      <c r="I107" s="108">
        <f>E107+G107</f>
        <v>0</v>
      </c>
      <c r="J107" s="108">
        <f>F107+H107</f>
        <v>0</v>
      </c>
      <c r="K107" s="108">
        <v>0</v>
      </c>
      <c r="L107" s="108">
        <f>D107*K107</f>
        <v>0</v>
      </c>
    </row>
    <row r="108" spans="1:12">
      <c r="A108" s="107" t="s">
        <v>2803</v>
      </c>
      <c r="B108" s="109" t="s">
        <v>2759</v>
      </c>
      <c r="C108" s="107" t="s">
        <v>2274</v>
      </c>
      <c r="D108" s="108">
        <v>3.34</v>
      </c>
      <c r="E108" s="623"/>
      <c r="F108" s="108">
        <f>D108*E108</f>
        <v>0</v>
      </c>
      <c r="G108" s="108">
        <v>0</v>
      </c>
      <c r="H108" s="108">
        <f>D108*G108</f>
        <v>0</v>
      </c>
      <c r="I108" s="108">
        <f>E108+G108</f>
        <v>0</v>
      </c>
      <c r="J108" s="108">
        <f>F108+H108</f>
        <v>0</v>
      </c>
      <c r="K108" s="108">
        <v>0</v>
      </c>
      <c r="L108" s="108">
        <f>D108*K108</f>
        <v>0</v>
      </c>
    </row>
    <row r="109" spans="1:12" ht="58">
      <c r="A109" s="107" t="s">
        <v>1597</v>
      </c>
      <c r="B109" s="109" t="s">
        <v>2804</v>
      </c>
      <c r="C109" s="107" t="s">
        <v>1597</v>
      </c>
      <c r="D109" s="108"/>
      <c r="E109" s="108"/>
      <c r="F109" s="108"/>
      <c r="G109" s="108"/>
      <c r="H109" s="108"/>
      <c r="I109" s="108"/>
      <c r="J109" s="108"/>
      <c r="K109" s="108"/>
      <c r="L109" s="108"/>
    </row>
    <row r="110" spans="1:12">
      <c r="A110" s="107" t="s">
        <v>2805</v>
      </c>
      <c r="B110" s="109" t="s">
        <v>2806</v>
      </c>
      <c r="C110" s="107" t="s">
        <v>2274</v>
      </c>
      <c r="D110" s="108">
        <v>17.87</v>
      </c>
      <c r="E110" s="623"/>
      <c r="F110" s="108">
        <f>D110*E110</f>
        <v>0</v>
      </c>
      <c r="G110" s="108">
        <v>0</v>
      </c>
      <c r="H110" s="108">
        <f>D110*G110</f>
        <v>0</v>
      </c>
      <c r="I110" s="108">
        <f>E110+G110</f>
        <v>0</v>
      </c>
      <c r="J110" s="108">
        <f>F110+H110</f>
        <v>0</v>
      </c>
      <c r="K110" s="108">
        <v>0</v>
      </c>
      <c r="L110" s="108">
        <f>D110*K110</f>
        <v>0</v>
      </c>
    </row>
    <row r="111" spans="1:12" ht="29">
      <c r="A111" s="107" t="s">
        <v>1597</v>
      </c>
      <c r="B111" s="109" t="s">
        <v>2763</v>
      </c>
      <c r="C111" s="107" t="s">
        <v>1597</v>
      </c>
      <c r="D111" s="108"/>
      <c r="E111" s="108"/>
      <c r="F111" s="108"/>
      <c r="G111" s="108"/>
      <c r="H111" s="108"/>
      <c r="I111" s="108"/>
      <c r="J111" s="108"/>
      <c r="K111" s="108"/>
      <c r="L111" s="108"/>
    </row>
    <row r="112" spans="1:12">
      <c r="A112" s="107" t="s">
        <v>1597</v>
      </c>
      <c r="B112" s="109" t="s">
        <v>2807</v>
      </c>
      <c r="C112" s="107" t="s">
        <v>2713</v>
      </c>
      <c r="D112" s="108">
        <v>3.8</v>
      </c>
      <c r="E112" s="623"/>
      <c r="F112" s="108">
        <f>D112*E112</f>
        <v>0</v>
      </c>
      <c r="G112" s="623"/>
      <c r="H112" s="108">
        <f>D112*G112</f>
        <v>0</v>
      </c>
      <c r="I112" s="108">
        <f t="shared" ref="I112:J115" si="17">E112+G112</f>
        <v>0</v>
      </c>
      <c r="J112" s="108">
        <f t="shared" si="17"/>
        <v>0</v>
      </c>
      <c r="K112" s="108">
        <v>10</v>
      </c>
      <c r="L112" s="108">
        <f>D112*K112</f>
        <v>38</v>
      </c>
    </row>
    <row r="113" spans="1:12">
      <c r="A113" s="107" t="s">
        <v>1597</v>
      </c>
      <c r="B113" s="109" t="s">
        <v>2765</v>
      </c>
      <c r="C113" s="107" t="s">
        <v>2713</v>
      </c>
      <c r="D113" s="108">
        <v>28.3</v>
      </c>
      <c r="E113" s="623"/>
      <c r="F113" s="108">
        <f>D113*E113</f>
        <v>0</v>
      </c>
      <c r="G113" s="623"/>
      <c r="H113" s="108">
        <f>D113*G113</f>
        <v>0</v>
      </c>
      <c r="I113" s="108">
        <f t="shared" si="17"/>
        <v>0</v>
      </c>
      <c r="J113" s="108">
        <f t="shared" si="17"/>
        <v>0</v>
      </c>
      <c r="K113" s="108">
        <v>15</v>
      </c>
      <c r="L113" s="108">
        <f>D113*K113</f>
        <v>424.5</v>
      </c>
    </row>
    <row r="114" spans="1:12">
      <c r="A114" s="107" t="s">
        <v>1597</v>
      </c>
      <c r="B114" s="109" t="s">
        <v>2808</v>
      </c>
      <c r="C114" s="107" t="s">
        <v>2713</v>
      </c>
      <c r="D114" s="108">
        <v>8.8000000000000007</v>
      </c>
      <c r="E114" s="623"/>
      <c r="F114" s="108">
        <f>D114*E114</f>
        <v>0</v>
      </c>
      <c r="G114" s="623"/>
      <c r="H114" s="108">
        <f>D114*G114</f>
        <v>0</v>
      </c>
      <c r="I114" s="108">
        <f t="shared" si="17"/>
        <v>0</v>
      </c>
      <c r="J114" s="108">
        <f t="shared" si="17"/>
        <v>0</v>
      </c>
      <c r="K114" s="108">
        <v>19</v>
      </c>
      <c r="L114" s="108">
        <f>D114*K114</f>
        <v>167.20000000000002</v>
      </c>
    </row>
    <row r="115" spans="1:12">
      <c r="A115" s="107" t="s">
        <v>1597</v>
      </c>
      <c r="B115" s="109" t="s">
        <v>2809</v>
      </c>
      <c r="C115" s="107" t="s">
        <v>2713</v>
      </c>
      <c r="D115" s="108">
        <v>20.8</v>
      </c>
      <c r="E115" s="623"/>
      <c r="F115" s="108">
        <f>D115*E115</f>
        <v>0</v>
      </c>
      <c r="G115" s="623"/>
      <c r="H115" s="108">
        <f>D115*G115</f>
        <v>0</v>
      </c>
      <c r="I115" s="108">
        <f t="shared" si="17"/>
        <v>0</v>
      </c>
      <c r="J115" s="108">
        <f t="shared" si="17"/>
        <v>0</v>
      </c>
      <c r="K115" s="108">
        <v>29</v>
      </c>
      <c r="L115" s="108">
        <f>D115*K115</f>
        <v>603.20000000000005</v>
      </c>
    </row>
    <row r="116" spans="1:12" ht="29">
      <c r="A116" s="107" t="s">
        <v>1597</v>
      </c>
      <c r="B116" s="109" t="s">
        <v>2810</v>
      </c>
      <c r="C116" s="107" t="s">
        <v>1597</v>
      </c>
      <c r="D116" s="108"/>
      <c r="E116" s="108"/>
      <c r="F116" s="108"/>
      <c r="G116" s="108"/>
      <c r="H116" s="108"/>
      <c r="I116" s="108"/>
      <c r="J116" s="108"/>
      <c r="K116" s="108"/>
      <c r="L116" s="108"/>
    </row>
    <row r="117" spans="1:12">
      <c r="A117" s="107" t="s">
        <v>1597</v>
      </c>
      <c r="B117" s="109" t="s">
        <v>2811</v>
      </c>
      <c r="C117" s="107" t="s">
        <v>2697</v>
      </c>
      <c r="D117" s="108">
        <v>1</v>
      </c>
      <c r="E117" s="623"/>
      <c r="F117" s="108">
        <f>D117*E117</f>
        <v>0</v>
      </c>
      <c r="G117" s="108">
        <v>0</v>
      </c>
      <c r="H117" s="108">
        <f>D117*G117</f>
        <v>0</v>
      </c>
      <c r="I117" s="108">
        <f>E117+G117</f>
        <v>0</v>
      </c>
      <c r="J117" s="108">
        <f>F117+H117</f>
        <v>0</v>
      </c>
      <c r="K117" s="108">
        <v>0</v>
      </c>
      <c r="L117" s="108">
        <f>D117*K117</f>
        <v>0</v>
      </c>
    </row>
    <row r="118" spans="1:12" ht="43.5">
      <c r="A118" s="107" t="s">
        <v>1597</v>
      </c>
      <c r="B118" s="109" t="s">
        <v>2774</v>
      </c>
      <c r="C118" s="107" t="s">
        <v>1597</v>
      </c>
      <c r="D118" s="108"/>
      <c r="E118" s="108"/>
      <c r="F118" s="108"/>
      <c r="G118" s="108"/>
      <c r="H118" s="108"/>
      <c r="I118" s="108"/>
      <c r="J118" s="108"/>
      <c r="K118" s="108"/>
      <c r="L118" s="108"/>
    </row>
    <row r="119" spans="1:12">
      <c r="A119" s="107" t="s">
        <v>1597</v>
      </c>
      <c r="B119" s="109" t="s">
        <v>2775</v>
      </c>
      <c r="C119" s="107" t="s">
        <v>1781</v>
      </c>
      <c r="D119" s="108">
        <v>1</v>
      </c>
      <c r="E119" s="623"/>
      <c r="F119" s="108">
        <f>D119*E119</f>
        <v>0</v>
      </c>
      <c r="G119" s="108">
        <v>0</v>
      </c>
      <c r="H119" s="108">
        <f>D119*G119</f>
        <v>0</v>
      </c>
      <c r="I119" s="108">
        <f>E119+G119</f>
        <v>0</v>
      </c>
      <c r="J119" s="108">
        <f>F119+H119</f>
        <v>0</v>
      </c>
      <c r="K119" s="108">
        <v>0</v>
      </c>
      <c r="L119" s="108">
        <f>D119*K119</f>
        <v>0</v>
      </c>
    </row>
    <row r="120" spans="1:12">
      <c r="A120" s="107" t="s">
        <v>1597</v>
      </c>
      <c r="B120" s="109" t="s">
        <v>2812</v>
      </c>
      <c r="C120" s="107" t="s">
        <v>1597</v>
      </c>
      <c r="D120" s="108"/>
      <c r="E120" s="108"/>
      <c r="F120" s="108">
        <f>SUM(F73:F119)</f>
        <v>0</v>
      </c>
      <c r="G120" s="108"/>
      <c r="H120" s="108">
        <f>SUM(H73:H119)</f>
        <v>0</v>
      </c>
      <c r="I120" s="108"/>
      <c r="J120" s="108">
        <f>SUM(J73:J119)</f>
        <v>0</v>
      </c>
      <c r="K120" s="108"/>
      <c r="L120" s="108">
        <f>SUM(L73:L119)</f>
        <v>2534.4</v>
      </c>
    </row>
    <row r="121" spans="1:12">
      <c r="A121" s="107" t="s">
        <v>1597</v>
      </c>
      <c r="B121" s="109" t="s">
        <v>1597</v>
      </c>
      <c r="C121" s="107" t="s">
        <v>1597</v>
      </c>
      <c r="D121" s="108"/>
      <c r="E121" s="108"/>
      <c r="F121" s="108"/>
      <c r="G121" s="108"/>
      <c r="H121" s="108"/>
      <c r="I121" s="108"/>
      <c r="J121" s="108"/>
      <c r="K121" s="108"/>
      <c r="L121" s="108"/>
    </row>
    <row r="122" spans="1:12">
      <c r="A122" s="107" t="s">
        <v>1597</v>
      </c>
      <c r="B122" s="109" t="s">
        <v>1597</v>
      </c>
      <c r="C122" s="107" t="s">
        <v>1597</v>
      </c>
      <c r="D122" s="108"/>
      <c r="E122" s="108"/>
      <c r="F122" s="108"/>
      <c r="G122" s="108"/>
      <c r="H122" s="108"/>
      <c r="I122" s="108"/>
      <c r="J122" s="108"/>
      <c r="K122" s="108"/>
      <c r="L122" s="108"/>
    </row>
    <row r="123" spans="1:12">
      <c r="A123" s="107" t="s">
        <v>1597</v>
      </c>
      <c r="B123" s="109" t="s">
        <v>2813</v>
      </c>
      <c r="C123" s="107" t="s">
        <v>1597</v>
      </c>
      <c r="D123" s="108"/>
      <c r="E123" s="108"/>
      <c r="F123" s="108"/>
      <c r="G123" s="108"/>
      <c r="H123" s="108"/>
      <c r="I123" s="108"/>
      <c r="J123" s="108"/>
      <c r="K123" s="108"/>
      <c r="L123" s="108"/>
    </row>
    <row r="124" spans="1:12">
      <c r="A124" s="107" t="s">
        <v>1597</v>
      </c>
      <c r="B124" s="109" t="s">
        <v>2694</v>
      </c>
      <c r="C124" s="107" t="s">
        <v>1597</v>
      </c>
      <c r="D124" s="108"/>
      <c r="E124" s="108"/>
      <c r="F124" s="108"/>
      <c r="G124" s="108"/>
      <c r="H124" s="108"/>
      <c r="I124" s="108"/>
      <c r="J124" s="108"/>
      <c r="K124" s="108"/>
      <c r="L124" s="108"/>
    </row>
    <row r="125" spans="1:12" ht="87">
      <c r="A125" s="107" t="s">
        <v>2814</v>
      </c>
      <c r="B125" s="109" t="s">
        <v>2815</v>
      </c>
      <c r="C125" s="107" t="s">
        <v>2697</v>
      </c>
      <c r="D125" s="108">
        <v>1</v>
      </c>
      <c r="E125" s="623"/>
      <c r="F125" s="108">
        <f t="shared" ref="F125:F131" si="18">D125*E125</f>
        <v>0</v>
      </c>
      <c r="G125" s="623"/>
      <c r="H125" s="108">
        <f t="shared" ref="H125:H131" si="19">D125*G125</f>
        <v>0</v>
      </c>
      <c r="I125" s="108">
        <f t="shared" ref="I125:J137" si="20">E125+G125</f>
        <v>0</v>
      </c>
      <c r="J125" s="108">
        <f t="shared" si="20"/>
        <v>0</v>
      </c>
      <c r="K125" s="108">
        <v>389</v>
      </c>
      <c r="L125" s="108">
        <f t="shared" ref="L125:L131" si="21">D125*K125</f>
        <v>389</v>
      </c>
    </row>
    <row r="126" spans="1:12">
      <c r="A126" s="107" t="s">
        <v>1597</v>
      </c>
      <c r="B126" s="109" t="s">
        <v>2780</v>
      </c>
      <c r="C126" s="107" t="s">
        <v>2697</v>
      </c>
      <c r="D126" s="108">
        <v>1</v>
      </c>
      <c r="E126" s="108">
        <v>0</v>
      </c>
      <c r="F126" s="108">
        <f t="shared" si="18"/>
        <v>0</v>
      </c>
      <c r="G126" s="108">
        <v>0</v>
      </c>
      <c r="H126" s="108">
        <f t="shared" si="19"/>
        <v>0</v>
      </c>
      <c r="I126" s="108">
        <f t="shared" si="20"/>
        <v>0</v>
      </c>
      <c r="J126" s="108">
        <f t="shared" si="20"/>
        <v>0</v>
      </c>
      <c r="K126" s="108">
        <v>0</v>
      </c>
      <c r="L126" s="108">
        <f t="shared" si="21"/>
        <v>0</v>
      </c>
    </row>
    <row r="127" spans="1:12">
      <c r="A127" s="107" t="s">
        <v>1597</v>
      </c>
      <c r="B127" s="109" t="s">
        <v>2699</v>
      </c>
      <c r="C127" s="107" t="s">
        <v>2697</v>
      </c>
      <c r="D127" s="108">
        <v>1</v>
      </c>
      <c r="E127" s="623"/>
      <c r="F127" s="108">
        <f t="shared" si="18"/>
        <v>0</v>
      </c>
      <c r="G127" s="108">
        <v>0</v>
      </c>
      <c r="H127" s="108">
        <f t="shared" si="19"/>
        <v>0</v>
      </c>
      <c r="I127" s="108">
        <f t="shared" si="20"/>
        <v>0</v>
      </c>
      <c r="J127" s="108">
        <f t="shared" si="20"/>
        <v>0</v>
      </c>
      <c r="K127" s="108">
        <v>0</v>
      </c>
      <c r="L127" s="108">
        <f t="shared" si="21"/>
        <v>0</v>
      </c>
    </row>
    <row r="128" spans="1:12">
      <c r="A128" s="107" t="s">
        <v>1597</v>
      </c>
      <c r="B128" s="109" t="s">
        <v>2700</v>
      </c>
      <c r="C128" s="107" t="s">
        <v>2697</v>
      </c>
      <c r="D128" s="108">
        <v>1</v>
      </c>
      <c r="E128" s="623"/>
      <c r="F128" s="108">
        <f t="shared" si="18"/>
        <v>0</v>
      </c>
      <c r="G128" s="108">
        <v>0</v>
      </c>
      <c r="H128" s="108">
        <f t="shared" si="19"/>
        <v>0</v>
      </c>
      <c r="I128" s="108">
        <f t="shared" si="20"/>
        <v>0</v>
      </c>
      <c r="J128" s="108">
        <f t="shared" si="20"/>
        <v>0</v>
      </c>
      <c r="K128" s="108">
        <v>0</v>
      </c>
      <c r="L128" s="108">
        <f t="shared" si="21"/>
        <v>0</v>
      </c>
    </row>
    <row r="129" spans="1:12">
      <c r="A129" s="107" t="s">
        <v>1597</v>
      </c>
      <c r="B129" s="109" t="s">
        <v>2701</v>
      </c>
      <c r="C129" s="107" t="s">
        <v>2697</v>
      </c>
      <c r="D129" s="108">
        <v>1</v>
      </c>
      <c r="E129" s="623"/>
      <c r="F129" s="108">
        <f t="shared" si="18"/>
        <v>0</v>
      </c>
      <c r="G129" s="108">
        <v>0</v>
      </c>
      <c r="H129" s="108">
        <f t="shared" si="19"/>
        <v>0</v>
      </c>
      <c r="I129" s="108">
        <f t="shared" si="20"/>
        <v>0</v>
      </c>
      <c r="J129" s="108">
        <f t="shared" si="20"/>
        <v>0</v>
      </c>
      <c r="K129" s="108">
        <v>0</v>
      </c>
      <c r="L129" s="108">
        <f t="shared" si="21"/>
        <v>0</v>
      </c>
    </row>
    <row r="130" spans="1:12">
      <c r="A130" s="107" t="s">
        <v>1597</v>
      </c>
      <c r="B130" s="109" t="s">
        <v>2702</v>
      </c>
      <c r="C130" s="107" t="s">
        <v>2697</v>
      </c>
      <c r="D130" s="108">
        <v>1</v>
      </c>
      <c r="E130" s="623"/>
      <c r="F130" s="108">
        <f t="shared" si="18"/>
        <v>0</v>
      </c>
      <c r="G130" s="108">
        <v>0</v>
      </c>
      <c r="H130" s="108">
        <f t="shared" si="19"/>
        <v>0</v>
      </c>
      <c r="I130" s="108">
        <f t="shared" si="20"/>
        <v>0</v>
      </c>
      <c r="J130" s="108">
        <f t="shared" si="20"/>
        <v>0</v>
      </c>
      <c r="K130" s="108">
        <v>0</v>
      </c>
      <c r="L130" s="108">
        <f t="shared" si="21"/>
        <v>0</v>
      </c>
    </row>
    <row r="131" spans="1:12">
      <c r="A131" s="107" t="s">
        <v>1597</v>
      </c>
      <c r="B131" s="109" t="s">
        <v>2703</v>
      </c>
      <c r="C131" s="107" t="s">
        <v>2697</v>
      </c>
      <c r="D131" s="108">
        <v>1</v>
      </c>
      <c r="E131" s="623"/>
      <c r="F131" s="108">
        <f t="shared" si="18"/>
        <v>0</v>
      </c>
      <c r="G131" s="108">
        <v>0</v>
      </c>
      <c r="H131" s="108">
        <f t="shared" si="19"/>
        <v>0</v>
      </c>
      <c r="I131" s="108">
        <f t="shared" si="20"/>
        <v>0</v>
      </c>
      <c r="J131" s="108">
        <f t="shared" si="20"/>
        <v>0</v>
      </c>
      <c r="K131" s="108">
        <v>0</v>
      </c>
      <c r="L131" s="108">
        <f t="shared" si="21"/>
        <v>0</v>
      </c>
    </row>
    <row r="132" spans="1:12">
      <c r="A132" s="107" t="s">
        <v>1597</v>
      </c>
      <c r="B132" s="109" t="s">
        <v>2704</v>
      </c>
      <c r="C132" s="107" t="s">
        <v>1597</v>
      </c>
      <c r="D132" s="108"/>
      <c r="E132" s="108"/>
      <c r="F132" s="108"/>
      <c r="G132" s="108"/>
      <c r="H132" s="108"/>
      <c r="I132" s="108"/>
      <c r="J132" s="108"/>
      <c r="K132" s="108"/>
      <c r="L132" s="108"/>
    </row>
    <row r="133" spans="1:12" ht="43.5">
      <c r="A133" s="107" t="s">
        <v>2816</v>
      </c>
      <c r="B133" s="109" t="s">
        <v>2817</v>
      </c>
      <c r="C133" s="107" t="s">
        <v>2697</v>
      </c>
      <c r="D133" s="108">
        <v>1</v>
      </c>
      <c r="E133" s="623"/>
      <c r="F133" s="108">
        <f>D133*E133</f>
        <v>0</v>
      </c>
      <c r="G133" s="623"/>
      <c r="H133" s="108">
        <f>D133*G133</f>
        <v>0</v>
      </c>
      <c r="I133" s="108">
        <f t="shared" si="20"/>
        <v>0</v>
      </c>
      <c r="J133" s="108">
        <f t="shared" si="20"/>
        <v>0</v>
      </c>
      <c r="K133" s="108">
        <v>65</v>
      </c>
      <c r="L133" s="108">
        <f>D133*K133</f>
        <v>65</v>
      </c>
    </row>
    <row r="134" spans="1:12">
      <c r="A134" s="107" t="s">
        <v>1597</v>
      </c>
      <c r="B134" s="109" t="s">
        <v>2707</v>
      </c>
      <c r="C134" s="107" t="s">
        <v>2697</v>
      </c>
      <c r="D134" s="108">
        <v>1</v>
      </c>
      <c r="E134" s="623"/>
      <c r="F134" s="108">
        <f>D134*E134</f>
        <v>0</v>
      </c>
      <c r="G134" s="108">
        <v>0</v>
      </c>
      <c r="H134" s="108">
        <f>D134*G134</f>
        <v>0</v>
      </c>
      <c r="I134" s="108">
        <f t="shared" si="20"/>
        <v>0</v>
      </c>
      <c r="J134" s="108">
        <f t="shared" si="20"/>
        <v>0</v>
      </c>
      <c r="K134" s="108">
        <v>0</v>
      </c>
      <c r="L134" s="108">
        <f>D134*K134</f>
        <v>0</v>
      </c>
    </row>
    <row r="135" spans="1:12">
      <c r="A135" s="107" t="s">
        <v>1597</v>
      </c>
      <c r="B135" s="109" t="s">
        <v>2710</v>
      </c>
      <c r="C135" s="107" t="s">
        <v>2697</v>
      </c>
      <c r="D135" s="108">
        <v>1</v>
      </c>
      <c r="E135" s="623"/>
      <c r="F135" s="108">
        <f>D135*E135</f>
        <v>0</v>
      </c>
      <c r="G135" s="108">
        <v>0</v>
      </c>
      <c r="H135" s="108">
        <f>D135*G135</f>
        <v>0</v>
      </c>
      <c r="I135" s="108">
        <f t="shared" si="20"/>
        <v>0</v>
      </c>
      <c r="J135" s="108">
        <f t="shared" si="20"/>
        <v>0</v>
      </c>
      <c r="K135" s="108">
        <v>35</v>
      </c>
      <c r="L135" s="108">
        <f>D135*K135</f>
        <v>35</v>
      </c>
    </row>
    <row r="136" spans="1:12">
      <c r="A136" s="107" t="s">
        <v>1597</v>
      </c>
      <c r="B136" s="109" t="s">
        <v>2711</v>
      </c>
      <c r="C136" s="107" t="s">
        <v>1597</v>
      </c>
      <c r="D136" s="108"/>
      <c r="E136" s="108"/>
      <c r="F136" s="108"/>
      <c r="G136" s="108"/>
      <c r="H136" s="108"/>
      <c r="I136" s="108"/>
      <c r="J136" s="108"/>
      <c r="K136" s="108"/>
      <c r="L136" s="108"/>
    </row>
    <row r="137" spans="1:12">
      <c r="A137" s="107" t="s">
        <v>1597</v>
      </c>
      <c r="B137" s="109" t="s">
        <v>2783</v>
      </c>
      <c r="C137" s="107" t="s">
        <v>2713</v>
      </c>
      <c r="D137" s="108">
        <v>15</v>
      </c>
      <c r="E137" s="623"/>
      <c r="F137" s="108">
        <f>D137*E137</f>
        <v>0</v>
      </c>
      <c r="G137" s="623"/>
      <c r="H137" s="108">
        <f>D137*G137</f>
        <v>0</v>
      </c>
      <c r="I137" s="108">
        <f t="shared" si="20"/>
        <v>0</v>
      </c>
      <c r="J137" s="108">
        <f t="shared" si="20"/>
        <v>0</v>
      </c>
      <c r="K137" s="108">
        <v>3.6</v>
      </c>
      <c r="L137" s="108">
        <f>D137*K137</f>
        <v>54</v>
      </c>
    </row>
    <row r="138" spans="1:12">
      <c r="A138" s="107" t="s">
        <v>1597</v>
      </c>
      <c r="B138" s="109" t="s">
        <v>2818</v>
      </c>
      <c r="C138" s="107" t="s">
        <v>1597</v>
      </c>
      <c r="D138" s="108"/>
      <c r="E138" s="108"/>
      <c r="F138" s="108"/>
      <c r="G138" s="108"/>
      <c r="H138" s="108"/>
      <c r="I138" s="108"/>
      <c r="J138" s="108"/>
      <c r="K138" s="108"/>
      <c r="L138" s="108"/>
    </row>
    <row r="139" spans="1:12">
      <c r="A139" s="107" t="s">
        <v>2819</v>
      </c>
      <c r="B139" s="109" t="s">
        <v>2820</v>
      </c>
      <c r="C139" s="107" t="s">
        <v>2697</v>
      </c>
      <c r="D139" s="108">
        <v>1</v>
      </c>
      <c r="E139" s="623"/>
      <c r="F139" s="108">
        <f>D139*E139</f>
        <v>0</v>
      </c>
      <c r="G139" s="623"/>
      <c r="H139" s="108">
        <f>D139*G139</f>
        <v>0</v>
      </c>
      <c r="I139" s="108">
        <f>E139+G139</f>
        <v>0</v>
      </c>
      <c r="J139" s="108">
        <f>F139+H139</f>
        <v>0</v>
      </c>
      <c r="K139" s="108">
        <v>14.2</v>
      </c>
      <c r="L139" s="108">
        <f>D139*K139</f>
        <v>14.2</v>
      </c>
    </row>
    <row r="140" spans="1:12">
      <c r="A140" s="107" t="s">
        <v>2821</v>
      </c>
      <c r="B140" s="109" t="s">
        <v>2820</v>
      </c>
      <c r="C140" s="107" t="s">
        <v>2697</v>
      </c>
      <c r="D140" s="108">
        <v>1</v>
      </c>
      <c r="E140" s="623"/>
      <c r="F140" s="108">
        <f>D140*E140</f>
        <v>0</v>
      </c>
      <c r="G140" s="623"/>
      <c r="H140" s="108">
        <f>D140*G140</f>
        <v>0</v>
      </c>
      <c r="I140" s="108">
        <f>E140+G140</f>
        <v>0</v>
      </c>
      <c r="J140" s="108">
        <f>F140+H140</f>
        <v>0</v>
      </c>
      <c r="K140" s="108">
        <v>14.2</v>
      </c>
      <c r="L140" s="108">
        <f>D140*K140</f>
        <v>14.2</v>
      </c>
    </row>
    <row r="141" spans="1:12" ht="43.5">
      <c r="A141" s="107" t="s">
        <v>1597</v>
      </c>
      <c r="B141" s="109" t="s">
        <v>3645</v>
      </c>
      <c r="C141" s="107" t="s">
        <v>1597</v>
      </c>
      <c r="D141" s="108"/>
      <c r="E141" s="108"/>
      <c r="F141" s="108"/>
      <c r="G141" s="108"/>
      <c r="H141" s="108"/>
      <c r="I141" s="108"/>
      <c r="J141" s="108"/>
      <c r="K141" s="108"/>
      <c r="L141" s="108"/>
    </row>
    <row r="142" spans="1:12">
      <c r="A142" s="107" t="s">
        <v>2822</v>
      </c>
      <c r="B142" s="109" t="s">
        <v>2718</v>
      </c>
      <c r="C142" s="107" t="s">
        <v>2697</v>
      </c>
      <c r="D142" s="108">
        <v>6</v>
      </c>
      <c r="E142" s="623"/>
      <c r="F142" s="108">
        <f>D142*E142</f>
        <v>0</v>
      </c>
      <c r="G142" s="623"/>
      <c r="H142" s="108">
        <f>D142*G142</f>
        <v>0</v>
      </c>
      <c r="I142" s="108">
        <f t="shared" ref="I142:J144" si="22">E142+G142</f>
        <v>0</v>
      </c>
      <c r="J142" s="108">
        <f t="shared" si="22"/>
        <v>0</v>
      </c>
      <c r="K142" s="108">
        <v>14</v>
      </c>
      <c r="L142" s="108">
        <f>D142*K142</f>
        <v>84</v>
      </c>
    </row>
    <row r="143" spans="1:12">
      <c r="A143" s="107" t="s">
        <v>2823</v>
      </c>
      <c r="B143" s="109" t="s">
        <v>2721</v>
      </c>
      <c r="C143" s="107" t="s">
        <v>2697</v>
      </c>
      <c r="D143" s="108">
        <v>6</v>
      </c>
      <c r="E143" s="623"/>
      <c r="F143" s="108">
        <f>D143*E143</f>
        <v>0</v>
      </c>
      <c r="G143" s="623"/>
      <c r="H143" s="108">
        <f>D143*G143</f>
        <v>0</v>
      </c>
      <c r="I143" s="108">
        <f t="shared" si="22"/>
        <v>0</v>
      </c>
      <c r="J143" s="108">
        <f t="shared" si="22"/>
        <v>0</v>
      </c>
      <c r="K143" s="108">
        <v>21</v>
      </c>
      <c r="L143" s="108">
        <f>D143*K143</f>
        <v>126</v>
      </c>
    </row>
    <row r="144" spans="1:12">
      <c r="A144" s="107" t="s">
        <v>2824</v>
      </c>
      <c r="B144" s="109" t="s">
        <v>2718</v>
      </c>
      <c r="C144" s="107" t="s">
        <v>2697</v>
      </c>
      <c r="D144" s="108">
        <v>6</v>
      </c>
      <c r="E144" s="623"/>
      <c r="F144" s="108">
        <f>D144*E144</f>
        <v>0</v>
      </c>
      <c r="G144" s="623"/>
      <c r="H144" s="108">
        <f>D144*G144</f>
        <v>0</v>
      </c>
      <c r="I144" s="108">
        <f t="shared" si="22"/>
        <v>0</v>
      </c>
      <c r="J144" s="108">
        <f t="shared" si="22"/>
        <v>0</v>
      </c>
      <c r="K144" s="108">
        <v>14</v>
      </c>
      <c r="L144" s="108">
        <f>D144*K144</f>
        <v>84</v>
      </c>
    </row>
    <row r="145" spans="1:12" ht="29">
      <c r="A145" s="107" t="s">
        <v>1597</v>
      </c>
      <c r="B145" s="109" t="s">
        <v>3654</v>
      </c>
      <c r="C145" s="107" t="s">
        <v>1597</v>
      </c>
      <c r="D145" s="108"/>
      <c r="E145" s="108"/>
      <c r="F145" s="108"/>
      <c r="G145" s="108"/>
      <c r="H145" s="108"/>
      <c r="I145" s="108"/>
      <c r="J145" s="108"/>
      <c r="K145" s="108"/>
      <c r="L145" s="108"/>
    </row>
    <row r="146" spans="1:12">
      <c r="A146" s="107" t="s">
        <v>2825</v>
      </c>
      <c r="B146" s="109" t="s">
        <v>3655</v>
      </c>
      <c r="C146" s="107" t="s">
        <v>1923</v>
      </c>
      <c r="D146" s="108">
        <v>5.5</v>
      </c>
      <c r="E146" s="623"/>
      <c r="F146" s="108">
        <f>D146*E146</f>
        <v>0</v>
      </c>
      <c r="G146" s="623"/>
      <c r="H146" s="108">
        <f>D146*G146</f>
        <v>0</v>
      </c>
      <c r="I146" s="108">
        <f>E146+G146</f>
        <v>0</v>
      </c>
      <c r="J146" s="108">
        <f>F146+H146</f>
        <v>0</v>
      </c>
      <c r="K146" s="108">
        <v>0</v>
      </c>
      <c r="L146" s="108">
        <f>D146*K146</f>
        <v>0</v>
      </c>
    </row>
    <row r="147" spans="1:12" ht="29">
      <c r="A147" s="107" t="s">
        <v>1597</v>
      </c>
      <c r="B147" s="109" t="s">
        <v>2732</v>
      </c>
      <c r="C147" s="107" t="s">
        <v>1597</v>
      </c>
      <c r="D147" s="108"/>
      <c r="E147" s="108"/>
      <c r="F147" s="108"/>
      <c r="G147" s="108"/>
      <c r="H147" s="108"/>
      <c r="I147" s="108"/>
      <c r="J147" s="108"/>
      <c r="K147" s="108"/>
      <c r="L147" s="108"/>
    </row>
    <row r="148" spans="1:12">
      <c r="A148" s="107" t="s">
        <v>2826</v>
      </c>
      <c r="B148" s="109" t="s">
        <v>2734</v>
      </c>
      <c r="C148" s="107" t="s">
        <v>2697</v>
      </c>
      <c r="D148" s="108">
        <v>3</v>
      </c>
      <c r="E148" s="623"/>
      <c r="F148" s="108">
        <f>D148*E148</f>
        <v>0</v>
      </c>
      <c r="G148" s="623"/>
      <c r="H148" s="108">
        <f>D148*G148</f>
        <v>0</v>
      </c>
      <c r="I148" s="108">
        <f>E148+G148</f>
        <v>0</v>
      </c>
      <c r="J148" s="108">
        <f>F148+H148</f>
        <v>0</v>
      </c>
      <c r="K148" s="108">
        <v>4</v>
      </c>
      <c r="L148" s="108">
        <f>D148*K148</f>
        <v>12</v>
      </c>
    </row>
    <row r="149" spans="1:12">
      <c r="A149" s="107" t="s">
        <v>1597</v>
      </c>
      <c r="B149" s="109" t="s">
        <v>2735</v>
      </c>
      <c r="C149" s="107" t="s">
        <v>1597</v>
      </c>
      <c r="D149" s="108"/>
      <c r="E149" s="108"/>
      <c r="F149" s="108"/>
      <c r="G149" s="108"/>
      <c r="H149" s="108"/>
      <c r="I149" s="108"/>
      <c r="J149" s="108"/>
      <c r="K149" s="108"/>
      <c r="L149" s="108"/>
    </row>
    <row r="150" spans="1:12">
      <c r="A150" s="107" t="s">
        <v>1597</v>
      </c>
      <c r="B150" s="109" t="s">
        <v>3656</v>
      </c>
      <c r="C150" s="107" t="s">
        <v>1597</v>
      </c>
      <c r="D150" s="108"/>
      <c r="E150" s="108"/>
      <c r="F150" s="108"/>
      <c r="G150" s="108"/>
      <c r="H150" s="108"/>
      <c r="I150" s="108"/>
      <c r="J150" s="108"/>
      <c r="K150" s="108"/>
      <c r="L150" s="108"/>
    </row>
    <row r="151" spans="1:12">
      <c r="A151" s="107" t="s">
        <v>2827</v>
      </c>
      <c r="B151" s="109" t="s">
        <v>3657</v>
      </c>
      <c r="C151" s="107" t="s">
        <v>2697</v>
      </c>
      <c r="D151" s="108">
        <v>3</v>
      </c>
      <c r="E151" s="623"/>
      <c r="F151" s="108">
        <f>D151*E151</f>
        <v>0</v>
      </c>
      <c r="G151" s="623"/>
      <c r="H151" s="108">
        <f>D151*G151</f>
        <v>0</v>
      </c>
      <c r="I151" s="108">
        <f>E151+G151</f>
        <v>0</v>
      </c>
      <c r="J151" s="108">
        <f>F151+H151</f>
        <v>0</v>
      </c>
      <c r="K151" s="108">
        <v>12</v>
      </c>
      <c r="L151" s="108">
        <f>D151*K151</f>
        <v>36</v>
      </c>
    </row>
    <row r="152" spans="1:12">
      <c r="A152" s="107" t="s">
        <v>1597</v>
      </c>
      <c r="B152" s="109" t="s">
        <v>3658</v>
      </c>
      <c r="C152" s="107" t="s">
        <v>1597</v>
      </c>
      <c r="D152" s="108"/>
      <c r="E152" s="108"/>
      <c r="F152" s="108"/>
      <c r="G152" s="108"/>
      <c r="H152" s="108"/>
      <c r="I152" s="108"/>
      <c r="J152" s="108"/>
      <c r="K152" s="108"/>
      <c r="L152" s="108"/>
    </row>
    <row r="153" spans="1:12" ht="29">
      <c r="A153" s="107" t="s">
        <v>1597</v>
      </c>
      <c r="B153" s="109" t="s">
        <v>2732</v>
      </c>
      <c r="C153" s="107" t="s">
        <v>1597</v>
      </c>
      <c r="D153" s="108"/>
      <c r="E153" s="108"/>
      <c r="F153" s="108"/>
      <c r="G153" s="108"/>
      <c r="H153" s="108"/>
      <c r="I153" s="108"/>
      <c r="J153" s="108"/>
      <c r="K153" s="108"/>
      <c r="L153" s="108"/>
    </row>
    <row r="154" spans="1:12">
      <c r="A154" s="107" t="s">
        <v>2828</v>
      </c>
      <c r="B154" s="109" t="s">
        <v>2829</v>
      </c>
      <c r="C154" s="107" t="s">
        <v>2697</v>
      </c>
      <c r="D154" s="108">
        <v>2</v>
      </c>
      <c r="E154" s="623"/>
      <c r="F154" s="108">
        <f>D154*E154</f>
        <v>0</v>
      </c>
      <c r="G154" s="623"/>
      <c r="H154" s="108">
        <f>D154*G154</f>
        <v>0</v>
      </c>
      <c r="I154" s="108">
        <f>E154+G154</f>
        <v>0</v>
      </c>
      <c r="J154" s="108">
        <f>F154+H154</f>
        <v>0</v>
      </c>
      <c r="K154" s="108">
        <v>4</v>
      </c>
      <c r="L154" s="108">
        <f>D154*K154</f>
        <v>8</v>
      </c>
    </row>
    <row r="155" spans="1:12">
      <c r="A155" s="107" t="s">
        <v>1597</v>
      </c>
      <c r="B155" s="109" t="s">
        <v>2830</v>
      </c>
      <c r="C155" s="107" t="s">
        <v>1597</v>
      </c>
      <c r="D155" s="108"/>
      <c r="E155" s="108"/>
      <c r="F155" s="108"/>
      <c r="G155" s="108"/>
      <c r="H155" s="108"/>
      <c r="I155" s="108"/>
      <c r="J155" s="108"/>
      <c r="K155" s="108"/>
      <c r="L155" s="108"/>
    </row>
    <row r="156" spans="1:12">
      <c r="A156" s="107" t="s">
        <v>1597</v>
      </c>
      <c r="B156" s="109" t="s">
        <v>3656</v>
      </c>
      <c r="C156" s="107" t="s">
        <v>1597</v>
      </c>
      <c r="D156" s="108"/>
      <c r="E156" s="108"/>
      <c r="F156" s="108"/>
      <c r="G156" s="108"/>
      <c r="H156" s="108"/>
      <c r="I156" s="108"/>
      <c r="J156" s="108"/>
      <c r="K156" s="108"/>
      <c r="L156" s="108"/>
    </row>
    <row r="157" spans="1:12">
      <c r="A157" s="107" t="s">
        <v>2831</v>
      </c>
      <c r="B157" s="109" t="s">
        <v>3659</v>
      </c>
      <c r="C157" s="107" t="s">
        <v>2697</v>
      </c>
      <c r="D157" s="108">
        <v>2</v>
      </c>
      <c r="E157" s="623"/>
      <c r="F157" s="108">
        <f>D157*E157</f>
        <v>0</v>
      </c>
      <c r="G157" s="623"/>
      <c r="H157" s="108">
        <f>D157*G157</f>
        <v>0</v>
      </c>
      <c r="I157" s="108">
        <f>E157+G157</f>
        <v>0</v>
      </c>
      <c r="J157" s="108">
        <f>F157+H157</f>
        <v>0</v>
      </c>
      <c r="K157" s="108">
        <v>12</v>
      </c>
      <c r="L157" s="108">
        <f>D157*K157</f>
        <v>24</v>
      </c>
    </row>
    <row r="158" spans="1:12">
      <c r="A158" s="107" t="s">
        <v>1597</v>
      </c>
      <c r="B158" s="109" t="s">
        <v>3660</v>
      </c>
      <c r="C158" s="107" t="s">
        <v>1597</v>
      </c>
      <c r="D158" s="108"/>
      <c r="E158" s="108"/>
      <c r="F158" s="108"/>
      <c r="G158" s="108"/>
      <c r="H158" s="108"/>
      <c r="I158" s="108"/>
      <c r="J158" s="108"/>
      <c r="K158" s="108"/>
      <c r="L158" s="108"/>
    </row>
    <row r="159" spans="1:12">
      <c r="A159" s="107" t="s">
        <v>1597</v>
      </c>
      <c r="B159" s="109" t="s">
        <v>3661</v>
      </c>
      <c r="C159" s="107" t="s">
        <v>1597</v>
      </c>
      <c r="D159" s="108"/>
      <c r="E159" s="108"/>
      <c r="F159" s="108"/>
      <c r="G159" s="108"/>
      <c r="H159" s="108"/>
      <c r="I159" s="108"/>
      <c r="J159" s="108"/>
      <c r="K159" s="108"/>
      <c r="L159" s="108"/>
    </row>
    <row r="160" spans="1:12">
      <c r="A160" s="107" t="s">
        <v>2832</v>
      </c>
      <c r="B160" s="109" t="s">
        <v>2833</v>
      </c>
      <c r="C160" s="107" t="s">
        <v>2697</v>
      </c>
      <c r="D160" s="108">
        <v>1</v>
      </c>
      <c r="E160" s="623"/>
      <c r="F160" s="108">
        <f>D160*E160</f>
        <v>0</v>
      </c>
      <c r="G160" s="623"/>
      <c r="H160" s="108">
        <f>D160*G160</f>
        <v>0</v>
      </c>
      <c r="I160" s="108">
        <f>E160+G160</f>
        <v>0</v>
      </c>
      <c r="J160" s="108">
        <f>F160+H160</f>
        <v>0</v>
      </c>
      <c r="K160" s="108">
        <v>5.23</v>
      </c>
      <c r="L160" s="108">
        <f>D160*K160</f>
        <v>5.23</v>
      </c>
    </row>
    <row r="161" spans="1:12">
      <c r="A161" s="107" t="s">
        <v>1597</v>
      </c>
      <c r="B161" s="109" t="s">
        <v>3661</v>
      </c>
      <c r="C161" s="107" t="s">
        <v>1597</v>
      </c>
      <c r="D161" s="108"/>
      <c r="E161" s="108"/>
      <c r="F161" s="108"/>
      <c r="G161" s="108"/>
      <c r="H161" s="108"/>
      <c r="I161" s="108"/>
      <c r="J161" s="108"/>
      <c r="K161" s="108"/>
      <c r="L161" s="108"/>
    </row>
    <row r="162" spans="1:12">
      <c r="A162" s="107" t="s">
        <v>2834</v>
      </c>
      <c r="B162" s="109" t="s">
        <v>2744</v>
      </c>
      <c r="C162" s="107" t="s">
        <v>2697</v>
      </c>
      <c r="D162" s="108">
        <v>1</v>
      </c>
      <c r="E162" s="623"/>
      <c r="F162" s="108">
        <f>D162*E162</f>
        <v>0</v>
      </c>
      <c r="G162" s="623"/>
      <c r="H162" s="108">
        <f>D162*G162</f>
        <v>0</v>
      </c>
      <c r="I162" s="108">
        <f>E162+G162</f>
        <v>0</v>
      </c>
      <c r="J162" s="108">
        <f>F162+H162</f>
        <v>0</v>
      </c>
      <c r="K162" s="108">
        <v>3.33</v>
      </c>
      <c r="L162" s="108">
        <f>D162*K162</f>
        <v>3.33</v>
      </c>
    </row>
    <row r="163" spans="1:12" ht="29">
      <c r="A163" s="107" t="s">
        <v>1597</v>
      </c>
      <c r="B163" s="109" t="s">
        <v>2835</v>
      </c>
      <c r="C163" s="107" t="s">
        <v>1597</v>
      </c>
      <c r="D163" s="108"/>
      <c r="E163" s="108"/>
      <c r="F163" s="108"/>
      <c r="G163" s="108"/>
      <c r="H163" s="108"/>
      <c r="I163" s="108"/>
      <c r="J163" s="108"/>
      <c r="K163" s="108"/>
      <c r="L163" s="108"/>
    </row>
    <row r="164" spans="1:12">
      <c r="A164" s="107" t="s">
        <v>2836</v>
      </c>
      <c r="B164" s="109" t="s">
        <v>2837</v>
      </c>
      <c r="C164" s="107" t="s">
        <v>2697</v>
      </c>
      <c r="D164" s="108">
        <v>1</v>
      </c>
      <c r="E164" s="623"/>
      <c r="F164" s="108">
        <f>D164*E164</f>
        <v>0</v>
      </c>
      <c r="G164" s="623"/>
      <c r="H164" s="108">
        <f>D164*G164</f>
        <v>0</v>
      </c>
      <c r="I164" s="108">
        <f t="shared" ref="I164:J165" si="23">E164+G164</f>
        <v>0</v>
      </c>
      <c r="J164" s="108">
        <f t="shared" si="23"/>
        <v>0</v>
      </c>
      <c r="K164" s="108">
        <v>0.3</v>
      </c>
      <c r="L164" s="108">
        <f>D164*K164</f>
        <v>0.3</v>
      </c>
    </row>
    <row r="165" spans="1:12">
      <c r="A165" s="107" t="s">
        <v>2838</v>
      </c>
      <c r="B165" s="109" t="s">
        <v>2839</v>
      </c>
      <c r="C165" s="107" t="s">
        <v>2697</v>
      </c>
      <c r="D165" s="108">
        <v>10</v>
      </c>
      <c r="E165" s="623"/>
      <c r="F165" s="108">
        <f>D165*E165</f>
        <v>0</v>
      </c>
      <c r="G165" s="623"/>
      <c r="H165" s="108">
        <f>D165*G165</f>
        <v>0</v>
      </c>
      <c r="I165" s="108">
        <f t="shared" si="23"/>
        <v>0</v>
      </c>
      <c r="J165" s="108">
        <f t="shared" si="23"/>
        <v>0</v>
      </c>
      <c r="K165" s="108">
        <v>0.3</v>
      </c>
      <c r="L165" s="108">
        <f>D165*K165</f>
        <v>3</v>
      </c>
    </row>
    <row r="166" spans="1:12">
      <c r="A166" s="107" t="s">
        <v>2840</v>
      </c>
      <c r="B166" s="109" t="s">
        <v>2749</v>
      </c>
      <c r="C166" s="107" t="s">
        <v>1597</v>
      </c>
      <c r="D166" s="108"/>
      <c r="E166" s="108"/>
      <c r="F166" s="108"/>
      <c r="G166" s="108"/>
      <c r="H166" s="108"/>
      <c r="I166" s="108"/>
      <c r="J166" s="108"/>
      <c r="K166" s="108"/>
      <c r="L166" s="108"/>
    </row>
    <row r="167" spans="1:12" ht="29">
      <c r="A167" s="107" t="s">
        <v>1597</v>
      </c>
      <c r="B167" s="109" t="s">
        <v>2750</v>
      </c>
      <c r="C167" s="107" t="s">
        <v>1597</v>
      </c>
      <c r="D167" s="108"/>
      <c r="E167" s="108"/>
      <c r="F167" s="108"/>
      <c r="G167" s="108"/>
      <c r="H167" s="108"/>
      <c r="I167" s="108"/>
      <c r="J167" s="108"/>
      <c r="K167" s="108"/>
      <c r="L167" s="108"/>
    </row>
    <row r="168" spans="1:12">
      <c r="A168" s="107" t="s">
        <v>1597</v>
      </c>
      <c r="B168" s="109" t="s">
        <v>2751</v>
      </c>
      <c r="C168" s="107" t="s">
        <v>1597</v>
      </c>
      <c r="D168" s="108"/>
      <c r="E168" s="108"/>
      <c r="F168" s="108"/>
      <c r="G168" s="108"/>
      <c r="H168" s="108"/>
      <c r="I168" s="108"/>
      <c r="J168" s="108"/>
      <c r="K168" s="108"/>
      <c r="L168" s="108"/>
    </row>
    <row r="169" spans="1:12">
      <c r="A169" s="107" t="s">
        <v>2841</v>
      </c>
      <c r="B169" s="109" t="s">
        <v>2753</v>
      </c>
      <c r="C169" s="107" t="s">
        <v>2274</v>
      </c>
      <c r="D169" s="108">
        <v>2.7</v>
      </c>
      <c r="E169" s="623"/>
      <c r="F169" s="108">
        <f>D169*E169</f>
        <v>0</v>
      </c>
      <c r="G169" s="108">
        <v>0</v>
      </c>
      <c r="H169" s="108">
        <f>D169*G169</f>
        <v>0</v>
      </c>
      <c r="I169" s="108">
        <f t="shared" ref="I169:J171" si="24">E169+G169</f>
        <v>0</v>
      </c>
      <c r="J169" s="108">
        <f t="shared" si="24"/>
        <v>0</v>
      </c>
      <c r="K169" s="108">
        <v>0</v>
      </c>
      <c r="L169" s="108">
        <f>D169*K169</f>
        <v>0</v>
      </c>
    </row>
    <row r="170" spans="1:12">
      <c r="A170" s="107" t="s">
        <v>2842</v>
      </c>
      <c r="B170" s="109" t="s">
        <v>2753</v>
      </c>
      <c r="C170" s="107" t="s">
        <v>2274</v>
      </c>
      <c r="D170" s="108">
        <v>3.91</v>
      </c>
      <c r="E170" s="623"/>
      <c r="F170" s="108">
        <f>D170*E170</f>
        <v>0</v>
      </c>
      <c r="G170" s="108">
        <v>0</v>
      </c>
      <c r="H170" s="108">
        <f>D170*G170</f>
        <v>0</v>
      </c>
      <c r="I170" s="108">
        <f t="shared" si="24"/>
        <v>0</v>
      </c>
      <c r="J170" s="108">
        <f t="shared" si="24"/>
        <v>0</v>
      </c>
      <c r="K170" s="108">
        <v>0</v>
      </c>
      <c r="L170" s="108">
        <f>D170*K170</f>
        <v>0</v>
      </c>
    </row>
    <row r="171" spans="1:12">
      <c r="A171" s="107" t="s">
        <v>2843</v>
      </c>
      <c r="B171" s="109" t="s">
        <v>2755</v>
      </c>
      <c r="C171" s="107" t="s">
        <v>2274</v>
      </c>
      <c r="D171" s="108">
        <v>44.35</v>
      </c>
      <c r="E171" s="623"/>
      <c r="F171" s="108">
        <f>D171*E171</f>
        <v>0</v>
      </c>
      <c r="G171" s="108">
        <v>0</v>
      </c>
      <c r="H171" s="108">
        <f>D171*G171</f>
        <v>0</v>
      </c>
      <c r="I171" s="108">
        <f t="shared" si="24"/>
        <v>0</v>
      </c>
      <c r="J171" s="108">
        <f t="shared" si="24"/>
        <v>0</v>
      </c>
      <c r="K171" s="108">
        <v>0</v>
      </c>
      <c r="L171" s="108">
        <f>D171*K171</f>
        <v>0</v>
      </c>
    </row>
    <row r="172" spans="1:12" ht="72.5">
      <c r="A172" s="107" t="s">
        <v>1597</v>
      </c>
      <c r="B172" s="109" t="s">
        <v>2844</v>
      </c>
      <c r="C172" s="107" t="s">
        <v>1597</v>
      </c>
      <c r="D172" s="108"/>
      <c r="E172" s="108"/>
      <c r="F172" s="108"/>
      <c r="G172" s="108"/>
      <c r="H172" s="108"/>
      <c r="I172" s="108"/>
      <c r="J172" s="108"/>
      <c r="K172" s="108"/>
      <c r="L172" s="108"/>
    </row>
    <row r="173" spans="1:12">
      <c r="A173" s="107" t="s">
        <v>2845</v>
      </c>
      <c r="B173" s="109" t="s">
        <v>2846</v>
      </c>
      <c r="C173" s="107" t="s">
        <v>2274</v>
      </c>
      <c r="D173" s="108">
        <v>21.02</v>
      </c>
      <c r="E173" s="623"/>
      <c r="F173" s="108">
        <f>D173*E173</f>
        <v>0</v>
      </c>
      <c r="G173" s="108">
        <v>0</v>
      </c>
      <c r="H173" s="108">
        <f>D173*G173</f>
        <v>0</v>
      </c>
      <c r="I173" s="108">
        <f>E173+G173</f>
        <v>0</v>
      </c>
      <c r="J173" s="108">
        <f>F173+H173</f>
        <v>0</v>
      </c>
      <c r="K173" s="108">
        <v>0</v>
      </c>
      <c r="L173" s="108">
        <f>D173*K173</f>
        <v>0</v>
      </c>
    </row>
    <row r="174" spans="1:12" ht="72.5">
      <c r="A174" s="107" t="s">
        <v>1597</v>
      </c>
      <c r="B174" s="109" t="s">
        <v>2760</v>
      </c>
      <c r="C174" s="107" t="s">
        <v>1597</v>
      </c>
      <c r="D174" s="108"/>
      <c r="E174" s="108"/>
      <c r="F174" s="108"/>
      <c r="G174" s="108"/>
      <c r="H174" s="108"/>
      <c r="I174" s="108"/>
      <c r="J174" s="108"/>
      <c r="K174" s="108"/>
      <c r="L174" s="108"/>
    </row>
    <row r="175" spans="1:12">
      <c r="A175" s="107" t="s">
        <v>2845</v>
      </c>
      <c r="B175" s="109" t="s">
        <v>2762</v>
      </c>
      <c r="C175" s="107" t="s">
        <v>2274</v>
      </c>
      <c r="D175" s="108">
        <v>18.29</v>
      </c>
      <c r="E175" s="623"/>
      <c r="F175" s="108">
        <f>D175*E175</f>
        <v>0</v>
      </c>
      <c r="G175" s="108">
        <v>0</v>
      </c>
      <c r="H175" s="108">
        <f>D175*G175</f>
        <v>0</v>
      </c>
      <c r="I175" s="108">
        <f>E175+G175</f>
        <v>0</v>
      </c>
      <c r="J175" s="108">
        <f>F175+H175</f>
        <v>0</v>
      </c>
      <c r="K175" s="108">
        <v>0</v>
      </c>
      <c r="L175" s="108">
        <f>D175*K175</f>
        <v>0</v>
      </c>
    </row>
    <row r="176" spans="1:12" ht="58">
      <c r="A176" s="107" t="s">
        <v>1597</v>
      </c>
      <c r="B176" s="109" t="s">
        <v>2804</v>
      </c>
      <c r="C176" s="107" t="s">
        <v>1597</v>
      </c>
      <c r="D176" s="108"/>
      <c r="E176" s="108"/>
      <c r="F176" s="108"/>
      <c r="G176" s="108"/>
      <c r="H176" s="108"/>
      <c r="I176" s="108"/>
      <c r="J176" s="108"/>
      <c r="K176" s="108"/>
      <c r="L176" s="108"/>
    </row>
    <row r="177" spans="1:12">
      <c r="A177" s="107" t="s">
        <v>2847</v>
      </c>
      <c r="B177" s="109" t="s">
        <v>2806</v>
      </c>
      <c r="C177" s="107" t="s">
        <v>2274</v>
      </c>
      <c r="D177" s="108">
        <v>8.75</v>
      </c>
      <c r="E177" s="623"/>
      <c r="F177" s="108">
        <f>D177*E177</f>
        <v>0</v>
      </c>
      <c r="G177" s="108">
        <v>0</v>
      </c>
      <c r="H177" s="108">
        <f>D177*G177</f>
        <v>0</v>
      </c>
      <c r="I177" s="108">
        <f>E177+G177</f>
        <v>0</v>
      </c>
      <c r="J177" s="108">
        <f>F177+H177</f>
        <v>0</v>
      </c>
      <c r="K177" s="108">
        <v>0</v>
      </c>
      <c r="L177" s="108">
        <f>D177*K177</f>
        <v>0</v>
      </c>
    </row>
    <row r="178" spans="1:12">
      <c r="A178" s="107" t="s">
        <v>2848</v>
      </c>
      <c r="B178" s="109" t="s">
        <v>2806</v>
      </c>
      <c r="C178" s="107" t="s">
        <v>2274</v>
      </c>
      <c r="D178" s="108">
        <v>7.93</v>
      </c>
      <c r="E178" s="623"/>
      <c r="F178" s="108">
        <f>D178*E178</f>
        <v>0</v>
      </c>
      <c r="G178" s="108">
        <v>0</v>
      </c>
      <c r="H178" s="108">
        <f>D178*G178</f>
        <v>0</v>
      </c>
      <c r="I178" s="108">
        <f>E178+G178</f>
        <v>0</v>
      </c>
      <c r="J178" s="108">
        <f>F178+H178</f>
        <v>0</v>
      </c>
      <c r="K178" s="108">
        <v>0</v>
      </c>
      <c r="L178" s="108">
        <f>D178*K178</f>
        <v>0</v>
      </c>
    </row>
    <row r="179" spans="1:12" ht="29">
      <c r="A179" s="107" t="s">
        <v>1597</v>
      </c>
      <c r="B179" s="109" t="s">
        <v>2763</v>
      </c>
      <c r="C179" s="107" t="s">
        <v>1597</v>
      </c>
      <c r="D179" s="108"/>
      <c r="E179" s="108"/>
      <c r="F179" s="108"/>
      <c r="G179" s="108"/>
      <c r="H179" s="108"/>
      <c r="I179" s="108"/>
      <c r="J179" s="108"/>
      <c r="K179" s="108"/>
      <c r="L179" s="108"/>
    </row>
    <row r="180" spans="1:12">
      <c r="A180" s="107" t="s">
        <v>1597</v>
      </c>
      <c r="B180" s="109" t="s">
        <v>2849</v>
      </c>
      <c r="C180" s="107" t="s">
        <v>2713</v>
      </c>
      <c r="D180" s="108">
        <v>4.3</v>
      </c>
      <c r="E180" s="623"/>
      <c r="F180" s="108">
        <f>D180*E180</f>
        <v>0</v>
      </c>
      <c r="G180" s="623"/>
      <c r="H180" s="108">
        <f>D180*G180</f>
        <v>0</v>
      </c>
      <c r="I180" s="108">
        <f t="shared" ref="I180:J183" si="25">E180+G180</f>
        <v>0</v>
      </c>
      <c r="J180" s="108">
        <f t="shared" si="25"/>
        <v>0</v>
      </c>
      <c r="K180" s="108">
        <v>10</v>
      </c>
      <c r="L180" s="108">
        <f>D180*K180</f>
        <v>43</v>
      </c>
    </row>
    <row r="181" spans="1:12">
      <c r="A181" s="107" t="s">
        <v>1597</v>
      </c>
      <c r="B181" s="109" t="s">
        <v>2850</v>
      </c>
      <c r="C181" s="107" t="s">
        <v>2713</v>
      </c>
      <c r="D181" s="108">
        <v>35.700000000000003</v>
      </c>
      <c r="E181" s="623"/>
      <c r="F181" s="108">
        <f>D181*E181</f>
        <v>0</v>
      </c>
      <c r="G181" s="623"/>
      <c r="H181" s="108">
        <f>D181*G181</f>
        <v>0</v>
      </c>
      <c r="I181" s="108">
        <f t="shared" si="25"/>
        <v>0</v>
      </c>
      <c r="J181" s="108">
        <f t="shared" si="25"/>
        <v>0</v>
      </c>
      <c r="K181" s="108">
        <v>15</v>
      </c>
      <c r="L181" s="108">
        <f>D181*K181</f>
        <v>535.5</v>
      </c>
    </row>
    <row r="182" spans="1:12">
      <c r="A182" s="107" t="s">
        <v>1597</v>
      </c>
      <c r="B182" s="109" t="s">
        <v>2851</v>
      </c>
      <c r="C182" s="107" t="s">
        <v>2713</v>
      </c>
      <c r="D182" s="108">
        <v>7.8</v>
      </c>
      <c r="E182" s="623"/>
      <c r="F182" s="108">
        <f>D182*E182</f>
        <v>0</v>
      </c>
      <c r="G182" s="623"/>
      <c r="H182" s="108">
        <f>D182*G182</f>
        <v>0</v>
      </c>
      <c r="I182" s="108">
        <f t="shared" si="25"/>
        <v>0</v>
      </c>
      <c r="J182" s="108">
        <f t="shared" si="25"/>
        <v>0</v>
      </c>
      <c r="K182" s="108">
        <v>19</v>
      </c>
      <c r="L182" s="108">
        <f>D182*K182</f>
        <v>148.19999999999999</v>
      </c>
    </row>
    <row r="183" spans="1:12">
      <c r="A183" s="107" t="s">
        <v>1597</v>
      </c>
      <c r="B183" s="109" t="s">
        <v>2809</v>
      </c>
      <c r="C183" s="107" t="s">
        <v>2713</v>
      </c>
      <c r="D183" s="108">
        <v>12.7</v>
      </c>
      <c r="E183" s="623"/>
      <c r="F183" s="108">
        <f>D183*E183</f>
        <v>0</v>
      </c>
      <c r="G183" s="623"/>
      <c r="H183" s="108">
        <f>D183*G183</f>
        <v>0</v>
      </c>
      <c r="I183" s="108">
        <f t="shared" si="25"/>
        <v>0</v>
      </c>
      <c r="J183" s="108">
        <f t="shared" si="25"/>
        <v>0</v>
      </c>
      <c r="K183" s="108">
        <v>29</v>
      </c>
      <c r="L183" s="108">
        <f>D183*K183</f>
        <v>368.29999999999995</v>
      </c>
    </row>
    <row r="184" spans="1:12" ht="29">
      <c r="A184" s="107" t="s">
        <v>1597</v>
      </c>
      <c r="B184" s="109" t="s">
        <v>2771</v>
      </c>
      <c r="C184" s="107" t="s">
        <v>1597</v>
      </c>
      <c r="D184" s="108"/>
      <c r="E184" s="108"/>
      <c r="F184" s="108"/>
      <c r="G184" s="108"/>
      <c r="H184" s="108"/>
      <c r="I184" s="108"/>
      <c r="J184" s="108"/>
      <c r="K184" s="108"/>
      <c r="L184" s="108"/>
    </row>
    <row r="185" spans="1:12">
      <c r="A185" s="107" t="s">
        <v>1597</v>
      </c>
      <c r="B185" s="109" t="s">
        <v>2852</v>
      </c>
      <c r="C185" s="107" t="s">
        <v>2713</v>
      </c>
      <c r="D185" s="108">
        <v>8.4</v>
      </c>
      <c r="E185" s="623"/>
      <c r="F185" s="108">
        <f>D185*E185</f>
        <v>0</v>
      </c>
      <c r="G185" s="623"/>
      <c r="H185" s="108">
        <f>D185*G185</f>
        <v>0</v>
      </c>
      <c r="I185" s="108">
        <f t="shared" ref="I185:J188" si="26">E185+G185</f>
        <v>0</v>
      </c>
      <c r="J185" s="108">
        <f t="shared" si="26"/>
        <v>0</v>
      </c>
      <c r="K185" s="108">
        <v>2</v>
      </c>
      <c r="L185" s="108">
        <f>D185*K185</f>
        <v>16.8</v>
      </c>
    </row>
    <row r="186" spans="1:12">
      <c r="A186" s="107" t="s">
        <v>1597</v>
      </c>
      <c r="B186" s="109" t="s">
        <v>2853</v>
      </c>
      <c r="C186" s="107" t="s">
        <v>2713</v>
      </c>
      <c r="D186" s="108">
        <v>5.4</v>
      </c>
      <c r="E186" s="623"/>
      <c r="F186" s="108">
        <f>D186*E186</f>
        <v>0</v>
      </c>
      <c r="G186" s="623"/>
      <c r="H186" s="108">
        <f>D186*G186</f>
        <v>0</v>
      </c>
      <c r="I186" s="108">
        <f t="shared" si="26"/>
        <v>0</v>
      </c>
      <c r="J186" s="108">
        <f t="shared" si="26"/>
        <v>0</v>
      </c>
      <c r="K186" s="108">
        <v>3</v>
      </c>
      <c r="L186" s="108">
        <f>D186*K186</f>
        <v>16.200000000000003</v>
      </c>
    </row>
    <row r="187" spans="1:12">
      <c r="A187" s="107" t="s">
        <v>1597</v>
      </c>
      <c r="B187" s="109" t="s">
        <v>2854</v>
      </c>
      <c r="C187" s="107" t="s">
        <v>2713</v>
      </c>
      <c r="D187" s="108">
        <v>15.8</v>
      </c>
      <c r="E187" s="623"/>
      <c r="F187" s="108">
        <f>D187*E187</f>
        <v>0</v>
      </c>
      <c r="G187" s="623"/>
      <c r="H187" s="108">
        <f>D187*G187</f>
        <v>0</v>
      </c>
      <c r="I187" s="108">
        <f t="shared" si="26"/>
        <v>0</v>
      </c>
      <c r="J187" s="108">
        <f t="shared" si="26"/>
        <v>0</v>
      </c>
      <c r="K187" s="108">
        <v>5</v>
      </c>
      <c r="L187" s="108">
        <f>D187*K187</f>
        <v>79</v>
      </c>
    </row>
    <row r="188" spans="1:12">
      <c r="A188" s="107" t="s">
        <v>1597</v>
      </c>
      <c r="B188" s="109" t="s">
        <v>2855</v>
      </c>
      <c r="C188" s="107" t="s">
        <v>2713</v>
      </c>
      <c r="D188" s="108">
        <v>0.8</v>
      </c>
      <c r="E188" s="623"/>
      <c r="F188" s="108">
        <f>D188*E188</f>
        <v>0</v>
      </c>
      <c r="G188" s="623"/>
      <c r="H188" s="108">
        <f>D188*G188</f>
        <v>0</v>
      </c>
      <c r="I188" s="108">
        <f t="shared" si="26"/>
        <v>0</v>
      </c>
      <c r="J188" s="108">
        <f t="shared" si="26"/>
        <v>0</v>
      </c>
      <c r="K188" s="108">
        <v>7</v>
      </c>
      <c r="L188" s="108">
        <f>D188*K188</f>
        <v>5.6000000000000005</v>
      </c>
    </row>
    <row r="189" spans="1:12" ht="43.5">
      <c r="A189" s="107" t="s">
        <v>1597</v>
      </c>
      <c r="B189" s="109" t="s">
        <v>2774</v>
      </c>
      <c r="C189" s="107" t="s">
        <v>1597</v>
      </c>
      <c r="D189" s="108"/>
      <c r="E189" s="108"/>
      <c r="F189" s="108"/>
      <c r="G189" s="108"/>
      <c r="H189" s="108"/>
      <c r="I189" s="108"/>
      <c r="J189" s="108"/>
      <c r="K189" s="108"/>
      <c r="L189" s="108"/>
    </row>
    <row r="190" spans="1:12">
      <c r="A190" s="107" t="s">
        <v>1597</v>
      </c>
      <c r="B190" s="109" t="s">
        <v>2775</v>
      </c>
      <c r="C190" s="107" t="s">
        <v>1781</v>
      </c>
      <c r="D190" s="108">
        <v>1</v>
      </c>
      <c r="E190" s="623"/>
      <c r="F190" s="108">
        <f>D190*E190</f>
        <v>0</v>
      </c>
      <c r="G190" s="108">
        <v>0</v>
      </c>
      <c r="H190" s="108">
        <f>D190*G190</f>
        <v>0</v>
      </c>
      <c r="I190" s="108">
        <f>E190+G190</f>
        <v>0</v>
      </c>
      <c r="J190" s="108">
        <f>F190+H190</f>
        <v>0</v>
      </c>
      <c r="K190" s="108">
        <v>0</v>
      </c>
      <c r="L190" s="108">
        <f>D190*K190</f>
        <v>0</v>
      </c>
    </row>
    <row r="191" spans="1:12">
      <c r="A191" s="107" t="s">
        <v>1597</v>
      </c>
      <c r="B191" s="109" t="s">
        <v>2856</v>
      </c>
      <c r="C191" s="107" t="s">
        <v>1597</v>
      </c>
      <c r="D191" s="108"/>
      <c r="E191" s="108"/>
      <c r="F191" s="108">
        <f>SUM(F124:F190)</f>
        <v>0</v>
      </c>
      <c r="G191" s="108"/>
      <c r="H191" s="108">
        <f>SUM(H124:H190)</f>
        <v>0</v>
      </c>
      <c r="I191" s="108"/>
      <c r="J191" s="108">
        <f>SUM(J124:J190)</f>
        <v>0</v>
      </c>
      <c r="K191" s="108"/>
      <c r="L191" s="108">
        <f>SUM(L124:L190)</f>
        <v>2169.86</v>
      </c>
    </row>
    <row r="192" spans="1:12">
      <c r="A192" s="107" t="s">
        <v>1597</v>
      </c>
      <c r="B192" s="109" t="s">
        <v>1597</v>
      </c>
      <c r="C192" s="107" t="s">
        <v>1597</v>
      </c>
      <c r="D192" s="108"/>
      <c r="E192" s="108"/>
      <c r="F192" s="108"/>
      <c r="G192" s="108"/>
      <c r="H192" s="108"/>
      <c r="I192" s="108"/>
      <c r="J192" s="108"/>
      <c r="K192" s="108"/>
      <c r="L192" s="108"/>
    </row>
    <row r="193" spans="1:12">
      <c r="A193" s="107" t="s">
        <v>1597</v>
      </c>
      <c r="B193" s="109" t="s">
        <v>1597</v>
      </c>
      <c r="C193" s="107" t="s">
        <v>1597</v>
      </c>
      <c r="D193" s="108"/>
      <c r="E193" s="108"/>
      <c r="F193" s="108"/>
      <c r="G193" s="108"/>
      <c r="H193" s="108"/>
      <c r="I193" s="108"/>
      <c r="J193" s="108"/>
      <c r="K193" s="108"/>
      <c r="L193" s="108"/>
    </row>
    <row r="194" spans="1:12">
      <c r="A194" s="107" t="s">
        <v>1597</v>
      </c>
      <c r="B194" s="109" t="s">
        <v>2857</v>
      </c>
      <c r="C194" s="107" t="s">
        <v>1597</v>
      </c>
      <c r="D194" s="108"/>
      <c r="E194" s="108"/>
      <c r="F194" s="108"/>
      <c r="G194" s="108"/>
      <c r="H194" s="108"/>
      <c r="I194" s="108"/>
      <c r="J194" s="108"/>
      <c r="K194" s="108"/>
      <c r="L194" s="108"/>
    </row>
    <row r="195" spans="1:12">
      <c r="A195" s="107" t="s">
        <v>1597</v>
      </c>
      <c r="B195" s="109" t="s">
        <v>2858</v>
      </c>
      <c r="C195" s="107" t="s">
        <v>1597</v>
      </c>
      <c r="D195" s="108"/>
      <c r="E195" s="108"/>
      <c r="F195" s="108"/>
      <c r="G195" s="108"/>
      <c r="H195" s="108"/>
      <c r="I195" s="108"/>
      <c r="J195" s="108"/>
      <c r="K195" s="108"/>
      <c r="L195" s="108"/>
    </row>
    <row r="196" spans="1:12" ht="87">
      <c r="A196" s="107" t="s">
        <v>2859</v>
      </c>
      <c r="B196" s="109" t="s">
        <v>2860</v>
      </c>
      <c r="C196" s="107" t="s">
        <v>2697</v>
      </c>
      <c r="D196" s="108">
        <v>1</v>
      </c>
      <c r="E196" s="623"/>
      <c r="F196" s="108">
        <f t="shared" ref="F196:F202" si="27">D196*E196</f>
        <v>0</v>
      </c>
      <c r="G196" s="623"/>
      <c r="H196" s="108">
        <f t="shared" ref="H196:H202" si="28">D196*G196</f>
        <v>0</v>
      </c>
      <c r="I196" s="108">
        <f t="shared" ref="I196:J202" si="29">E196+G196</f>
        <v>0</v>
      </c>
      <c r="J196" s="108">
        <f t="shared" si="29"/>
        <v>0</v>
      </c>
      <c r="K196" s="108">
        <v>100</v>
      </c>
      <c r="L196" s="108">
        <f t="shared" ref="L196:L202" si="30">D196*K196</f>
        <v>100</v>
      </c>
    </row>
    <row r="197" spans="1:12">
      <c r="A197" s="107" t="s">
        <v>1597</v>
      </c>
      <c r="B197" s="109" t="s">
        <v>2780</v>
      </c>
      <c r="C197" s="107" t="s">
        <v>2697</v>
      </c>
      <c r="D197" s="108">
        <v>1</v>
      </c>
      <c r="E197" s="108">
        <v>0</v>
      </c>
      <c r="F197" s="108">
        <f t="shared" si="27"/>
        <v>0</v>
      </c>
      <c r="G197" s="108">
        <v>0</v>
      </c>
      <c r="H197" s="108">
        <f t="shared" si="28"/>
        <v>0</v>
      </c>
      <c r="I197" s="108">
        <f t="shared" si="29"/>
        <v>0</v>
      </c>
      <c r="J197" s="108">
        <f t="shared" si="29"/>
        <v>0</v>
      </c>
      <c r="K197" s="108">
        <v>0</v>
      </c>
      <c r="L197" s="108">
        <f t="shared" si="30"/>
        <v>0</v>
      </c>
    </row>
    <row r="198" spans="1:12">
      <c r="A198" s="107" t="s">
        <v>1597</v>
      </c>
      <c r="B198" s="109" t="s">
        <v>2861</v>
      </c>
      <c r="C198" s="107" t="s">
        <v>2709</v>
      </c>
      <c r="D198" s="108">
        <v>1</v>
      </c>
      <c r="E198" s="623"/>
      <c r="F198" s="108">
        <f t="shared" si="27"/>
        <v>0</v>
      </c>
      <c r="G198" s="108">
        <v>0</v>
      </c>
      <c r="H198" s="108">
        <f t="shared" si="28"/>
        <v>0</v>
      </c>
      <c r="I198" s="108">
        <f t="shared" si="29"/>
        <v>0</v>
      </c>
      <c r="J198" s="108">
        <f t="shared" si="29"/>
        <v>0</v>
      </c>
      <c r="K198" s="108">
        <v>0</v>
      </c>
      <c r="L198" s="108">
        <f t="shared" si="30"/>
        <v>0</v>
      </c>
    </row>
    <row r="199" spans="1:12">
      <c r="A199" s="107" t="s">
        <v>1597</v>
      </c>
      <c r="B199" s="109" t="s">
        <v>2862</v>
      </c>
      <c r="C199" s="107" t="s">
        <v>2697</v>
      </c>
      <c r="D199" s="108">
        <v>1</v>
      </c>
      <c r="E199" s="623"/>
      <c r="F199" s="108">
        <f t="shared" si="27"/>
        <v>0</v>
      </c>
      <c r="G199" s="108">
        <v>0</v>
      </c>
      <c r="H199" s="108">
        <f t="shared" si="28"/>
        <v>0</v>
      </c>
      <c r="I199" s="108">
        <f t="shared" si="29"/>
        <v>0</v>
      </c>
      <c r="J199" s="108">
        <f t="shared" si="29"/>
        <v>0</v>
      </c>
      <c r="K199" s="108">
        <v>0</v>
      </c>
      <c r="L199" s="108">
        <f t="shared" si="30"/>
        <v>0</v>
      </c>
    </row>
    <row r="200" spans="1:12">
      <c r="A200" s="107" t="s">
        <v>1597</v>
      </c>
      <c r="B200" s="109" t="s">
        <v>2863</v>
      </c>
      <c r="C200" s="107" t="s">
        <v>2697</v>
      </c>
      <c r="D200" s="108">
        <v>1</v>
      </c>
      <c r="E200" s="623"/>
      <c r="F200" s="108">
        <f t="shared" si="27"/>
        <v>0</v>
      </c>
      <c r="G200" s="108">
        <v>0</v>
      </c>
      <c r="H200" s="108">
        <f t="shared" si="28"/>
        <v>0</v>
      </c>
      <c r="I200" s="108">
        <f t="shared" si="29"/>
        <v>0</v>
      </c>
      <c r="J200" s="108">
        <f t="shared" si="29"/>
        <v>0</v>
      </c>
      <c r="K200" s="108">
        <v>0</v>
      </c>
      <c r="L200" s="108">
        <f t="shared" si="30"/>
        <v>0</v>
      </c>
    </row>
    <row r="201" spans="1:12">
      <c r="A201" s="107" t="s">
        <v>1597</v>
      </c>
      <c r="B201" s="109" t="s">
        <v>2701</v>
      </c>
      <c r="C201" s="107" t="s">
        <v>2697</v>
      </c>
      <c r="D201" s="108">
        <v>1</v>
      </c>
      <c r="E201" s="623"/>
      <c r="F201" s="108">
        <f t="shared" si="27"/>
        <v>0</v>
      </c>
      <c r="G201" s="108">
        <v>0</v>
      </c>
      <c r="H201" s="108">
        <f t="shared" si="28"/>
        <v>0</v>
      </c>
      <c r="I201" s="108">
        <f t="shared" si="29"/>
        <v>0</v>
      </c>
      <c r="J201" s="108">
        <f t="shared" si="29"/>
        <v>0</v>
      </c>
      <c r="K201" s="108">
        <v>0</v>
      </c>
      <c r="L201" s="108">
        <f t="shared" si="30"/>
        <v>0</v>
      </c>
    </row>
    <row r="202" spans="1:12">
      <c r="A202" s="107" t="s">
        <v>1597</v>
      </c>
      <c r="B202" s="109" t="s">
        <v>2702</v>
      </c>
      <c r="C202" s="107" t="s">
        <v>2697</v>
      </c>
      <c r="D202" s="108">
        <v>1</v>
      </c>
      <c r="E202" s="623"/>
      <c r="F202" s="108">
        <f t="shared" si="27"/>
        <v>0</v>
      </c>
      <c r="G202" s="108">
        <v>0</v>
      </c>
      <c r="H202" s="108">
        <f t="shared" si="28"/>
        <v>0</v>
      </c>
      <c r="I202" s="108">
        <f t="shared" si="29"/>
        <v>0</v>
      </c>
      <c r="J202" s="108">
        <f t="shared" si="29"/>
        <v>0</v>
      </c>
      <c r="K202" s="108">
        <v>0</v>
      </c>
      <c r="L202" s="108">
        <f t="shared" si="30"/>
        <v>0</v>
      </c>
    </row>
    <row r="203" spans="1:12">
      <c r="A203" s="107" t="s">
        <v>2864</v>
      </c>
      <c r="B203" s="109" t="s">
        <v>2749</v>
      </c>
      <c r="C203" s="107" t="s">
        <v>1597</v>
      </c>
      <c r="D203" s="108"/>
      <c r="E203" s="108"/>
      <c r="F203" s="108"/>
      <c r="G203" s="108"/>
      <c r="H203" s="108"/>
      <c r="I203" s="108"/>
      <c r="J203" s="108"/>
      <c r="K203" s="108"/>
      <c r="L203" s="108"/>
    </row>
    <row r="204" spans="1:12" ht="43.5">
      <c r="A204" s="107" t="s">
        <v>1597</v>
      </c>
      <c r="B204" s="109" t="s">
        <v>2865</v>
      </c>
      <c r="C204" s="107" t="s">
        <v>1597</v>
      </c>
      <c r="D204" s="108"/>
      <c r="E204" s="108"/>
      <c r="F204" s="108"/>
      <c r="G204" s="108"/>
      <c r="H204" s="108"/>
      <c r="I204" s="108"/>
      <c r="J204" s="108"/>
      <c r="K204" s="108"/>
      <c r="L204" s="108"/>
    </row>
    <row r="205" spans="1:12">
      <c r="A205" s="107" t="s">
        <v>2866</v>
      </c>
      <c r="B205" s="109" t="s">
        <v>2867</v>
      </c>
      <c r="C205" s="107" t="s">
        <v>2697</v>
      </c>
      <c r="D205" s="108">
        <v>2</v>
      </c>
      <c r="E205" s="623"/>
      <c r="F205" s="108">
        <f>D205*E205</f>
        <v>0</v>
      </c>
      <c r="G205" s="623"/>
      <c r="H205" s="108">
        <f>D205*G205</f>
        <v>0</v>
      </c>
      <c r="I205" s="108">
        <f>E205+G205</f>
        <v>0</v>
      </c>
      <c r="J205" s="108">
        <f>F205+H205</f>
        <v>0</v>
      </c>
      <c r="K205" s="108">
        <v>7</v>
      </c>
      <c r="L205" s="108">
        <f>D205*K205</f>
        <v>14</v>
      </c>
    </row>
    <row r="206" spans="1:12" ht="43.5">
      <c r="A206" s="107" t="s">
        <v>1597</v>
      </c>
      <c r="B206" s="109" t="s">
        <v>3645</v>
      </c>
      <c r="C206" s="107" t="s">
        <v>1597</v>
      </c>
      <c r="D206" s="108"/>
      <c r="E206" s="108"/>
      <c r="F206" s="108"/>
      <c r="G206" s="108"/>
      <c r="H206" s="108"/>
      <c r="I206" s="108"/>
      <c r="J206" s="108"/>
      <c r="K206" s="108"/>
      <c r="L206" s="108"/>
    </row>
    <row r="207" spans="1:12">
      <c r="A207" s="107" t="s">
        <v>2868</v>
      </c>
      <c r="B207" s="109" t="s">
        <v>2721</v>
      </c>
      <c r="C207" s="107" t="s">
        <v>2697</v>
      </c>
      <c r="D207" s="108">
        <v>2</v>
      </c>
      <c r="E207" s="623"/>
      <c r="F207" s="108">
        <f>D207*E207</f>
        <v>0</v>
      </c>
      <c r="G207" s="623"/>
      <c r="H207" s="108">
        <f>D207*G207</f>
        <v>0</v>
      </c>
      <c r="I207" s="108">
        <f>E207+G207</f>
        <v>0</v>
      </c>
      <c r="J207" s="108">
        <f>F207+H207</f>
        <v>0</v>
      </c>
      <c r="K207" s="108">
        <v>21</v>
      </c>
      <c r="L207" s="108">
        <f>D207*K207</f>
        <v>42</v>
      </c>
    </row>
    <row r="208" spans="1:12" ht="29">
      <c r="A208" s="107" t="s">
        <v>1597</v>
      </c>
      <c r="B208" s="109" t="s">
        <v>3662</v>
      </c>
      <c r="C208" s="107" t="s">
        <v>1597</v>
      </c>
      <c r="D208" s="108"/>
      <c r="E208" s="108"/>
      <c r="F208" s="108"/>
      <c r="G208" s="108"/>
      <c r="H208" s="108"/>
      <c r="I208" s="108"/>
      <c r="J208" s="108"/>
      <c r="K208" s="108"/>
      <c r="L208" s="108"/>
    </row>
    <row r="209" spans="1:12">
      <c r="A209" s="107" t="s">
        <v>2870</v>
      </c>
      <c r="B209" s="109" t="s">
        <v>3663</v>
      </c>
      <c r="C209" s="107" t="s">
        <v>2697</v>
      </c>
      <c r="D209" s="108">
        <v>5</v>
      </c>
      <c r="E209" s="623"/>
      <c r="F209" s="108">
        <f>D209*E209</f>
        <v>0</v>
      </c>
      <c r="G209" s="623"/>
      <c r="H209" s="108">
        <f>D209*G209</f>
        <v>0</v>
      </c>
      <c r="I209" s="108">
        <f>E209+G209</f>
        <v>0</v>
      </c>
      <c r="J209" s="108">
        <f>F209+H209</f>
        <v>0</v>
      </c>
      <c r="K209" s="108">
        <v>10.6</v>
      </c>
      <c r="L209" s="108">
        <f>D209*K209</f>
        <v>53</v>
      </c>
    </row>
    <row r="210" spans="1:12">
      <c r="A210" s="107" t="s">
        <v>2871</v>
      </c>
      <c r="B210" s="109" t="s">
        <v>3664</v>
      </c>
      <c r="C210" s="107" t="s">
        <v>2697</v>
      </c>
      <c r="D210" s="108">
        <v>1</v>
      </c>
      <c r="E210" s="623"/>
      <c r="F210" s="108">
        <f>D210*E210</f>
        <v>0</v>
      </c>
      <c r="G210" s="623"/>
      <c r="H210" s="108">
        <f>D210*G210</f>
        <v>0</v>
      </c>
      <c r="I210" s="108">
        <f>E210+G210</f>
        <v>0</v>
      </c>
      <c r="J210" s="108">
        <f>F210+H210</f>
        <v>0</v>
      </c>
      <c r="K210" s="108">
        <v>7.3</v>
      </c>
      <c r="L210" s="108">
        <f>D210*K210</f>
        <v>7.3</v>
      </c>
    </row>
    <row r="211" spans="1:12" ht="29">
      <c r="A211" s="107" t="s">
        <v>1597</v>
      </c>
      <c r="B211" s="109" t="s">
        <v>2872</v>
      </c>
      <c r="C211" s="107" t="s">
        <v>1597</v>
      </c>
      <c r="D211" s="108"/>
      <c r="E211" s="108"/>
      <c r="F211" s="108"/>
      <c r="G211" s="108"/>
      <c r="H211" s="108"/>
      <c r="I211" s="108"/>
      <c r="J211" s="108"/>
      <c r="K211" s="108"/>
      <c r="L211" s="108"/>
    </row>
    <row r="212" spans="1:12">
      <c r="A212" s="107" t="s">
        <v>2873</v>
      </c>
      <c r="B212" s="109" t="s">
        <v>2874</v>
      </c>
      <c r="C212" s="107" t="s">
        <v>2697</v>
      </c>
      <c r="D212" s="108">
        <v>2</v>
      </c>
      <c r="E212" s="623"/>
      <c r="F212" s="108">
        <f>D212*E212</f>
        <v>0</v>
      </c>
      <c r="G212" s="623"/>
      <c r="H212" s="108">
        <f>D212*G212</f>
        <v>0</v>
      </c>
      <c r="I212" s="108">
        <f>E212+G212</f>
        <v>0</v>
      </c>
      <c r="J212" s="108">
        <f>F212+H212</f>
        <v>0</v>
      </c>
      <c r="K212" s="108">
        <v>0.3</v>
      </c>
      <c r="L212" s="108">
        <f>D212*K212</f>
        <v>0.6</v>
      </c>
    </row>
    <row r="213" spans="1:12">
      <c r="A213" s="107" t="s">
        <v>1597</v>
      </c>
      <c r="B213" s="109" t="s">
        <v>2875</v>
      </c>
      <c r="C213" s="107" t="s">
        <v>1597</v>
      </c>
      <c r="D213" s="108"/>
      <c r="E213" s="108"/>
      <c r="F213" s="108"/>
      <c r="G213" s="108"/>
      <c r="H213" s="108"/>
      <c r="I213" s="108"/>
      <c r="J213" s="108"/>
      <c r="K213" s="108"/>
      <c r="L213" s="108"/>
    </row>
    <row r="214" spans="1:12">
      <c r="A214" s="107" t="s">
        <v>2873</v>
      </c>
      <c r="B214" s="109" t="s">
        <v>3666</v>
      </c>
      <c r="C214" s="107" t="s">
        <v>2697</v>
      </c>
      <c r="D214" s="108">
        <v>4</v>
      </c>
      <c r="E214" s="623"/>
      <c r="F214" s="108">
        <f>D214*E214</f>
        <v>0</v>
      </c>
      <c r="G214" s="623"/>
      <c r="H214" s="108">
        <f>D214*G214</f>
        <v>0</v>
      </c>
      <c r="I214" s="108">
        <f>E214+G214</f>
        <v>0</v>
      </c>
      <c r="J214" s="108">
        <f>F214+H214</f>
        <v>0</v>
      </c>
      <c r="K214" s="108">
        <v>1.19</v>
      </c>
      <c r="L214" s="108">
        <f>D214*K214</f>
        <v>4.76</v>
      </c>
    </row>
    <row r="215" spans="1:12" ht="29">
      <c r="A215" s="107" t="s">
        <v>1597</v>
      </c>
      <c r="B215" s="109" t="s">
        <v>2876</v>
      </c>
      <c r="C215" s="107" t="s">
        <v>1597</v>
      </c>
      <c r="D215" s="108"/>
      <c r="E215" s="108"/>
      <c r="F215" s="108"/>
      <c r="G215" s="108"/>
      <c r="H215" s="108"/>
      <c r="I215" s="108"/>
      <c r="J215" s="108"/>
      <c r="K215" s="108"/>
      <c r="L215" s="108"/>
    </row>
    <row r="216" spans="1:12">
      <c r="A216" s="107" t="s">
        <v>2877</v>
      </c>
      <c r="B216" s="109" t="s">
        <v>2878</v>
      </c>
      <c r="C216" s="107" t="s">
        <v>2697</v>
      </c>
      <c r="D216" s="108">
        <v>1</v>
      </c>
      <c r="E216" s="623"/>
      <c r="F216" s="108">
        <f>D216*E216</f>
        <v>0</v>
      </c>
      <c r="G216" s="108">
        <v>0</v>
      </c>
      <c r="H216" s="108">
        <f>D216*G216</f>
        <v>0</v>
      </c>
      <c r="I216" s="108">
        <f>E216+G216</f>
        <v>0</v>
      </c>
      <c r="J216" s="108">
        <f>F216+H216</f>
        <v>0</v>
      </c>
      <c r="K216" s="108">
        <v>0.4</v>
      </c>
      <c r="L216" s="108">
        <f>D216*K216</f>
        <v>0.4</v>
      </c>
    </row>
    <row r="217" spans="1:12">
      <c r="A217" s="107" t="s">
        <v>1597</v>
      </c>
      <c r="B217" s="109" t="s">
        <v>2875</v>
      </c>
      <c r="C217" s="107" t="s">
        <v>1597</v>
      </c>
      <c r="D217" s="108"/>
      <c r="E217" s="108"/>
      <c r="F217" s="108"/>
      <c r="G217" s="108"/>
      <c r="H217" s="108"/>
      <c r="I217" s="108"/>
      <c r="J217" s="108"/>
      <c r="K217" s="108"/>
      <c r="L217" s="108"/>
    </row>
    <row r="218" spans="1:12">
      <c r="A218" s="107" t="s">
        <v>2879</v>
      </c>
      <c r="B218" s="109" t="s">
        <v>3665</v>
      </c>
      <c r="C218" s="107" t="s">
        <v>2697</v>
      </c>
      <c r="D218" s="108">
        <v>4</v>
      </c>
      <c r="E218" s="623"/>
      <c r="F218" s="108">
        <f>D218*E218</f>
        <v>0</v>
      </c>
      <c r="G218" s="623"/>
      <c r="H218" s="108">
        <f>D218*G218</f>
        <v>0</v>
      </c>
      <c r="I218" s="108">
        <f>E218+G218</f>
        <v>0</v>
      </c>
      <c r="J218" s="108">
        <f>F218+H218</f>
        <v>0</v>
      </c>
      <c r="K218" s="108">
        <v>0.95</v>
      </c>
      <c r="L218" s="108">
        <f>D218*K218</f>
        <v>3.8</v>
      </c>
    </row>
    <row r="219" spans="1:12">
      <c r="A219" s="107" t="s">
        <v>2880</v>
      </c>
      <c r="B219" s="109" t="s">
        <v>3667</v>
      </c>
      <c r="C219" s="107" t="s">
        <v>2697</v>
      </c>
      <c r="D219" s="108">
        <v>3</v>
      </c>
      <c r="E219" s="623"/>
      <c r="F219" s="108">
        <f>D219*E219</f>
        <v>0</v>
      </c>
      <c r="G219" s="623"/>
      <c r="H219" s="108">
        <f>D219*G219</f>
        <v>0</v>
      </c>
      <c r="I219" s="108">
        <f>E219+G219</f>
        <v>0</v>
      </c>
      <c r="J219" s="108">
        <f>F219+H219</f>
        <v>0</v>
      </c>
      <c r="K219" s="108">
        <v>0.86</v>
      </c>
      <c r="L219" s="108">
        <f>D219*K219</f>
        <v>2.58</v>
      </c>
    </row>
    <row r="220" spans="1:12" ht="29">
      <c r="A220" s="107" t="s">
        <v>1597</v>
      </c>
      <c r="B220" s="109" t="s">
        <v>2835</v>
      </c>
      <c r="C220" s="107" t="s">
        <v>1597</v>
      </c>
      <c r="D220" s="108"/>
      <c r="E220" s="108"/>
      <c r="F220" s="108"/>
      <c r="G220" s="108"/>
      <c r="H220" s="108"/>
      <c r="I220" s="108"/>
      <c r="J220" s="108"/>
      <c r="K220" s="108"/>
      <c r="L220" s="108"/>
    </row>
    <row r="221" spans="1:12">
      <c r="A221" s="107" t="s">
        <v>2881</v>
      </c>
      <c r="B221" s="109" t="s">
        <v>2839</v>
      </c>
      <c r="C221" s="107" t="s">
        <v>2697</v>
      </c>
      <c r="D221" s="108">
        <v>1</v>
      </c>
      <c r="E221" s="623"/>
      <c r="F221" s="108">
        <f>D221*E221</f>
        <v>0</v>
      </c>
      <c r="G221" s="623"/>
      <c r="H221" s="108">
        <f>D221*G221</f>
        <v>0</v>
      </c>
      <c r="I221" s="108">
        <f>E221+G221</f>
        <v>0</v>
      </c>
      <c r="J221" s="108">
        <f>F221+H221</f>
        <v>0</v>
      </c>
      <c r="K221" s="108">
        <v>0.3</v>
      </c>
      <c r="L221" s="108">
        <f>D221*K221</f>
        <v>0.3</v>
      </c>
    </row>
    <row r="222" spans="1:12">
      <c r="A222" s="107" t="s">
        <v>2882</v>
      </c>
      <c r="B222" s="109" t="s">
        <v>2749</v>
      </c>
      <c r="C222" s="107" t="s">
        <v>1597</v>
      </c>
      <c r="D222" s="108"/>
      <c r="E222" s="108"/>
      <c r="F222" s="108"/>
      <c r="G222" s="108"/>
      <c r="H222" s="108"/>
      <c r="I222" s="108"/>
      <c r="J222" s="108"/>
      <c r="K222" s="108"/>
      <c r="L222" s="108"/>
    </row>
    <row r="223" spans="1:12" ht="29">
      <c r="A223" s="107" t="s">
        <v>1597</v>
      </c>
      <c r="B223" s="109" t="s">
        <v>2750</v>
      </c>
      <c r="C223" s="107" t="s">
        <v>1597</v>
      </c>
      <c r="D223" s="108"/>
      <c r="E223" s="108"/>
      <c r="F223" s="108"/>
      <c r="G223" s="108"/>
      <c r="H223" s="108"/>
      <c r="I223" s="108"/>
      <c r="J223" s="108"/>
      <c r="K223" s="108"/>
      <c r="L223" s="108"/>
    </row>
    <row r="224" spans="1:12">
      <c r="A224" s="107" t="s">
        <v>1597</v>
      </c>
      <c r="B224" s="109" t="s">
        <v>2751</v>
      </c>
      <c r="C224" s="107" t="s">
        <v>1597</v>
      </c>
      <c r="D224" s="108"/>
      <c r="E224" s="108"/>
      <c r="F224" s="108"/>
      <c r="G224" s="108"/>
      <c r="H224" s="108"/>
      <c r="I224" s="108"/>
      <c r="J224" s="108"/>
      <c r="K224" s="108"/>
      <c r="L224" s="108"/>
    </row>
    <row r="225" spans="1:12">
      <c r="A225" s="107" t="s">
        <v>2883</v>
      </c>
      <c r="B225" s="109" t="s">
        <v>2753</v>
      </c>
      <c r="C225" s="107" t="s">
        <v>2274</v>
      </c>
      <c r="D225" s="108">
        <v>9.86</v>
      </c>
      <c r="E225" s="623"/>
      <c r="F225" s="108">
        <f>D225*E225</f>
        <v>0</v>
      </c>
      <c r="G225" s="108">
        <v>0</v>
      </c>
      <c r="H225" s="108">
        <f>D225*G225</f>
        <v>0</v>
      </c>
      <c r="I225" s="108">
        <f>E225+G225</f>
        <v>0</v>
      </c>
      <c r="J225" s="108">
        <f>F225+H225</f>
        <v>0</v>
      </c>
      <c r="K225" s="108">
        <v>0</v>
      </c>
      <c r="L225" s="108">
        <f>D225*K225</f>
        <v>0</v>
      </c>
    </row>
    <row r="226" spans="1:12">
      <c r="A226" s="107" t="s">
        <v>2884</v>
      </c>
      <c r="B226" s="109" t="s">
        <v>2753</v>
      </c>
      <c r="C226" s="107" t="s">
        <v>2274</v>
      </c>
      <c r="D226" s="108">
        <v>10.199999999999999</v>
      </c>
      <c r="E226" s="623"/>
      <c r="F226" s="108">
        <f>D226*E226</f>
        <v>0</v>
      </c>
      <c r="G226" s="108">
        <v>0</v>
      </c>
      <c r="H226" s="108">
        <f>D226*G226</f>
        <v>0</v>
      </c>
      <c r="I226" s="108">
        <f>E226+G226</f>
        <v>0</v>
      </c>
      <c r="J226" s="108">
        <f>F226+H226</f>
        <v>0</v>
      </c>
      <c r="K226" s="108">
        <v>0</v>
      </c>
      <c r="L226" s="108">
        <f>D226*K226</f>
        <v>0</v>
      </c>
    </row>
    <row r="227" spans="1:12" ht="29">
      <c r="A227" s="107" t="s">
        <v>1597</v>
      </c>
      <c r="B227" s="109" t="s">
        <v>2763</v>
      </c>
      <c r="C227" s="107" t="s">
        <v>1597</v>
      </c>
      <c r="D227" s="108"/>
      <c r="E227" s="108"/>
      <c r="F227" s="108"/>
      <c r="G227" s="108"/>
      <c r="H227" s="108"/>
      <c r="I227" s="108"/>
      <c r="J227" s="108"/>
      <c r="K227" s="108"/>
      <c r="L227" s="108"/>
    </row>
    <row r="228" spans="1:12">
      <c r="A228" s="107" t="s">
        <v>1597</v>
      </c>
      <c r="B228" s="109" t="s">
        <v>2885</v>
      </c>
      <c r="C228" s="107" t="s">
        <v>2713</v>
      </c>
      <c r="D228" s="108">
        <v>1.5</v>
      </c>
      <c r="E228" s="623"/>
      <c r="F228" s="108">
        <f>D228*E228</f>
        <v>0</v>
      </c>
      <c r="G228" s="623"/>
      <c r="H228" s="108">
        <f>D228*G228</f>
        <v>0</v>
      </c>
      <c r="I228" s="108">
        <f t="shared" ref="I228:J230" si="31">E228+G228</f>
        <v>0</v>
      </c>
      <c r="J228" s="108">
        <f t="shared" si="31"/>
        <v>0</v>
      </c>
      <c r="K228" s="108">
        <v>10</v>
      </c>
      <c r="L228" s="108">
        <f>D228*K228</f>
        <v>15</v>
      </c>
    </row>
    <row r="229" spans="1:12">
      <c r="A229" s="107" t="s">
        <v>1597</v>
      </c>
      <c r="B229" s="109" t="s">
        <v>2886</v>
      </c>
      <c r="C229" s="107" t="s">
        <v>2713</v>
      </c>
      <c r="D229" s="108">
        <v>7</v>
      </c>
      <c r="E229" s="623"/>
      <c r="F229" s="108">
        <f>D229*E229</f>
        <v>0</v>
      </c>
      <c r="G229" s="623"/>
      <c r="H229" s="108">
        <f>D229*G229</f>
        <v>0</v>
      </c>
      <c r="I229" s="108">
        <f t="shared" si="31"/>
        <v>0</v>
      </c>
      <c r="J229" s="108">
        <f t="shared" si="31"/>
        <v>0</v>
      </c>
      <c r="K229" s="108">
        <v>15</v>
      </c>
      <c r="L229" s="108">
        <f>D229*K229</f>
        <v>105</v>
      </c>
    </row>
    <row r="230" spans="1:12">
      <c r="A230" s="107" t="s">
        <v>1597</v>
      </c>
      <c r="B230" s="109" t="s">
        <v>2808</v>
      </c>
      <c r="C230" s="107" t="s">
        <v>2713</v>
      </c>
      <c r="D230" s="108">
        <v>1.5</v>
      </c>
      <c r="E230" s="623"/>
      <c r="F230" s="108">
        <f>D230*E230</f>
        <v>0</v>
      </c>
      <c r="G230" s="623"/>
      <c r="H230" s="108">
        <f>D230*G230</f>
        <v>0</v>
      </c>
      <c r="I230" s="108">
        <f t="shared" si="31"/>
        <v>0</v>
      </c>
      <c r="J230" s="108">
        <f t="shared" si="31"/>
        <v>0</v>
      </c>
      <c r="K230" s="108">
        <v>19</v>
      </c>
      <c r="L230" s="108">
        <f>D230*K230</f>
        <v>28.5</v>
      </c>
    </row>
    <row r="231" spans="1:12" ht="29">
      <c r="A231" s="107" t="s">
        <v>1597</v>
      </c>
      <c r="B231" s="109" t="s">
        <v>2810</v>
      </c>
      <c r="C231" s="107" t="s">
        <v>1597</v>
      </c>
      <c r="D231" s="108"/>
      <c r="E231" s="108"/>
      <c r="F231" s="108"/>
      <c r="G231" s="108"/>
      <c r="H231" s="108"/>
      <c r="I231" s="108"/>
      <c r="J231" s="108"/>
      <c r="K231" s="108"/>
      <c r="L231" s="108"/>
    </row>
    <row r="232" spans="1:12">
      <c r="A232" s="107" t="s">
        <v>1597</v>
      </c>
      <c r="B232" s="109" t="s">
        <v>2887</v>
      </c>
      <c r="C232" s="107" t="s">
        <v>2697</v>
      </c>
      <c r="D232" s="108">
        <v>2</v>
      </c>
      <c r="E232" s="623"/>
      <c r="F232" s="108">
        <f>D232*E232</f>
        <v>0</v>
      </c>
      <c r="G232" s="108">
        <v>0</v>
      </c>
      <c r="H232" s="108">
        <f>D232*G232</f>
        <v>0</v>
      </c>
      <c r="I232" s="108">
        <f>E232+G232</f>
        <v>0</v>
      </c>
      <c r="J232" s="108">
        <f>F232+H232</f>
        <v>0</v>
      </c>
      <c r="K232" s="108">
        <v>0</v>
      </c>
      <c r="L232" s="108">
        <f>D232*K232</f>
        <v>0</v>
      </c>
    </row>
    <row r="233" spans="1:12" ht="29">
      <c r="A233" s="107" t="s">
        <v>1597</v>
      </c>
      <c r="B233" s="109" t="s">
        <v>2771</v>
      </c>
      <c r="C233" s="107" t="s">
        <v>1597</v>
      </c>
      <c r="D233" s="108"/>
      <c r="E233" s="108"/>
      <c r="F233" s="108"/>
      <c r="G233" s="108"/>
      <c r="H233" s="108"/>
      <c r="I233" s="108"/>
      <c r="J233" s="108"/>
      <c r="K233" s="108"/>
      <c r="L233" s="108"/>
    </row>
    <row r="234" spans="1:12">
      <c r="A234" s="107" t="s">
        <v>1597</v>
      </c>
      <c r="B234" s="109" t="s">
        <v>2888</v>
      </c>
      <c r="C234" s="107" t="s">
        <v>2713</v>
      </c>
      <c r="D234" s="108">
        <v>3.2</v>
      </c>
      <c r="E234" s="623"/>
      <c r="F234" s="108">
        <f>D234*E234</f>
        <v>0</v>
      </c>
      <c r="G234" s="623"/>
      <c r="H234" s="108">
        <f>D234*G234</f>
        <v>0</v>
      </c>
      <c r="I234" s="108">
        <f t="shared" ref="I234:J236" si="32">E234+G234</f>
        <v>0</v>
      </c>
      <c r="J234" s="108">
        <f t="shared" si="32"/>
        <v>0</v>
      </c>
      <c r="K234" s="108">
        <v>2</v>
      </c>
      <c r="L234" s="108">
        <f>D234*K234</f>
        <v>6.4</v>
      </c>
    </row>
    <row r="235" spans="1:12">
      <c r="A235" s="107" t="s">
        <v>1597</v>
      </c>
      <c r="B235" s="109" t="s">
        <v>2889</v>
      </c>
      <c r="C235" s="107" t="s">
        <v>2713</v>
      </c>
      <c r="D235" s="108">
        <v>27.8</v>
      </c>
      <c r="E235" s="623"/>
      <c r="F235" s="108">
        <f>D235*E235</f>
        <v>0</v>
      </c>
      <c r="G235" s="623"/>
      <c r="H235" s="108">
        <f>D235*G235</f>
        <v>0</v>
      </c>
      <c r="I235" s="108">
        <f t="shared" si="32"/>
        <v>0</v>
      </c>
      <c r="J235" s="108">
        <f t="shared" si="32"/>
        <v>0</v>
      </c>
      <c r="K235" s="108">
        <v>5</v>
      </c>
      <c r="L235" s="108">
        <f>D235*K235</f>
        <v>139</v>
      </c>
    </row>
    <row r="236" spans="1:12">
      <c r="A236" s="107" t="s">
        <v>1597</v>
      </c>
      <c r="B236" s="109" t="s">
        <v>2855</v>
      </c>
      <c r="C236" s="107" t="s">
        <v>2713</v>
      </c>
      <c r="D236" s="108">
        <v>1</v>
      </c>
      <c r="E236" s="623"/>
      <c r="F236" s="108">
        <f>D236*E236</f>
        <v>0</v>
      </c>
      <c r="G236" s="623"/>
      <c r="H236" s="108">
        <f>D236*G236</f>
        <v>0</v>
      </c>
      <c r="I236" s="108">
        <f t="shared" si="32"/>
        <v>0</v>
      </c>
      <c r="J236" s="108">
        <f t="shared" si="32"/>
        <v>0</v>
      </c>
      <c r="K236" s="108">
        <v>7</v>
      </c>
      <c r="L236" s="108">
        <f>D236*K236</f>
        <v>7</v>
      </c>
    </row>
    <row r="237" spans="1:12" ht="29">
      <c r="A237" s="107" t="s">
        <v>1597</v>
      </c>
      <c r="B237" s="109" t="s">
        <v>2890</v>
      </c>
      <c r="C237" s="107" t="s">
        <v>1597</v>
      </c>
      <c r="D237" s="108"/>
      <c r="E237" s="108"/>
      <c r="F237" s="108"/>
      <c r="G237" s="108"/>
      <c r="H237" s="108"/>
      <c r="I237" s="108"/>
      <c r="J237" s="108"/>
      <c r="K237" s="108"/>
      <c r="L237" s="108"/>
    </row>
    <row r="238" spans="1:12">
      <c r="A238" s="107" t="s">
        <v>1597</v>
      </c>
      <c r="B238" s="109" t="s">
        <v>2891</v>
      </c>
      <c r="C238" s="107" t="s">
        <v>2697</v>
      </c>
      <c r="D238" s="108">
        <v>2</v>
      </c>
      <c r="E238" s="623"/>
      <c r="F238" s="108">
        <f>D238*E238</f>
        <v>0</v>
      </c>
      <c r="G238" s="108">
        <v>0</v>
      </c>
      <c r="H238" s="108">
        <f>D238*G238</f>
        <v>0</v>
      </c>
      <c r="I238" s="108">
        <f>E238+G238</f>
        <v>0</v>
      </c>
      <c r="J238" s="108">
        <f>F238+H238</f>
        <v>0</v>
      </c>
      <c r="K238" s="108">
        <v>0</v>
      </c>
      <c r="L238" s="108">
        <f>D238*K238</f>
        <v>0</v>
      </c>
    </row>
    <row r="239" spans="1:12" ht="43.5">
      <c r="A239" s="107" t="s">
        <v>1597</v>
      </c>
      <c r="B239" s="109" t="s">
        <v>2774</v>
      </c>
      <c r="C239" s="107" t="s">
        <v>1597</v>
      </c>
      <c r="D239" s="108"/>
      <c r="E239" s="108"/>
      <c r="F239" s="108"/>
      <c r="G239" s="108"/>
      <c r="H239" s="108"/>
      <c r="I239" s="108"/>
      <c r="J239" s="108"/>
      <c r="K239" s="108"/>
      <c r="L239" s="108"/>
    </row>
    <row r="240" spans="1:12">
      <c r="A240" s="107" t="s">
        <v>1597</v>
      </c>
      <c r="B240" s="109" t="s">
        <v>2775</v>
      </c>
      <c r="C240" s="107" t="s">
        <v>1781</v>
      </c>
      <c r="D240" s="108">
        <v>1</v>
      </c>
      <c r="E240" s="623"/>
      <c r="F240" s="108">
        <f>D240*E240</f>
        <v>0</v>
      </c>
      <c r="G240" s="108">
        <v>0</v>
      </c>
      <c r="H240" s="108">
        <f>D240*G240</f>
        <v>0</v>
      </c>
      <c r="I240" s="108">
        <f>E240+G240</f>
        <v>0</v>
      </c>
      <c r="J240" s="108">
        <f>F240+H240</f>
        <v>0</v>
      </c>
      <c r="K240" s="108">
        <v>0</v>
      </c>
      <c r="L240" s="108">
        <f>D240*K240</f>
        <v>0</v>
      </c>
    </row>
    <row r="241" spans="1:12">
      <c r="A241" s="107" t="s">
        <v>1597</v>
      </c>
      <c r="B241" s="109" t="s">
        <v>2892</v>
      </c>
      <c r="C241" s="107" t="s">
        <v>1597</v>
      </c>
      <c r="D241" s="108"/>
      <c r="E241" s="108"/>
      <c r="F241" s="108">
        <f>SUM(F195:F240)</f>
        <v>0</v>
      </c>
      <c r="G241" s="108"/>
      <c r="H241" s="108">
        <f>SUM(H195:H240)</f>
        <v>0</v>
      </c>
      <c r="I241" s="108"/>
      <c r="J241" s="108">
        <f>SUM(J195:J240)</f>
        <v>0</v>
      </c>
      <c r="K241" s="108"/>
      <c r="L241" s="108">
        <f>SUM(L195:L240)</f>
        <v>529.64</v>
      </c>
    </row>
    <row r="242" spans="1:12">
      <c r="A242" s="107" t="s">
        <v>1597</v>
      </c>
      <c r="B242" s="109" t="s">
        <v>1597</v>
      </c>
      <c r="C242" s="107" t="s">
        <v>1597</v>
      </c>
      <c r="D242" s="108"/>
      <c r="E242" s="108"/>
      <c r="F242" s="108"/>
      <c r="G242" s="108"/>
      <c r="H242" s="108"/>
      <c r="I242" s="108"/>
      <c r="J242" s="108"/>
      <c r="K242" s="108"/>
      <c r="L242" s="108"/>
    </row>
    <row r="243" spans="1:12">
      <c r="A243" s="107" t="s">
        <v>1597</v>
      </c>
      <c r="B243" s="109" t="s">
        <v>1597</v>
      </c>
      <c r="C243" s="107" t="s">
        <v>1597</v>
      </c>
      <c r="D243" s="108"/>
      <c r="E243" s="108"/>
      <c r="F243" s="108"/>
      <c r="G243" s="108"/>
      <c r="H243" s="108"/>
      <c r="I243" s="108"/>
      <c r="J243" s="108"/>
      <c r="K243" s="108"/>
      <c r="L243" s="108"/>
    </row>
    <row r="244" spans="1:12">
      <c r="A244" s="107" t="s">
        <v>1597</v>
      </c>
      <c r="B244" s="109" t="s">
        <v>2893</v>
      </c>
      <c r="C244" s="107" t="s">
        <v>1597</v>
      </c>
      <c r="D244" s="108"/>
      <c r="E244" s="108"/>
      <c r="F244" s="108"/>
      <c r="G244" s="108"/>
      <c r="H244" s="108"/>
      <c r="I244" s="108"/>
      <c r="J244" s="108"/>
      <c r="K244" s="108"/>
      <c r="L244" s="108"/>
    </row>
    <row r="245" spans="1:12">
      <c r="A245" s="107" t="s">
        <v>1597</v>
      </c>
      <c r="B245" s="109" t="s">
        <v>2894</v>
      </c>
      <c r="C245" s="107" t="s">
        <v>1597</v>
      </c>
      <c r="D245" s="108"/>
      <c r="E245" s="108"/>
      <c r="F245" s="108"/>
      <c r="G245" s="108"/>
      <c r="H245" s="108"/>
      <c r="I245" s="108"/>
      <c r="J245" s="108"/>
      <c r="K245" s="108"/>
      <c r="L245" s="108"/>
    </row>
    <row r="246" spans="1:12" ht="87">
      <c r="A246" s="107" t="s">
        <v>2895</v>
      </c>
      <c r="B246" s="109" t="s">
        <v>2896</v>
      </c>
      <c r="C246" s="107" t="s">
        <v>2697</v>
      </c>
      <c r="D246" s="108">
        <v>1</v>
      </c>
      <c r="E246" s="623"/>
      <c r="F246" s="108">
        <f>D246*E246</f>
        <v>0</v>
      </c>
      <c r="G246" s="623"/>
      <c r="H246" s="108">
        <f>D246*G246</f>
        <v>0</v>
      </c>
      <c r="I246" s="108">
        <f t="shared" ref="I246:J250" si="33">E246+G246</f>
        <v>0</v>
      </c>
      <c r="J246" s="108">
        <f t="shared" si="33"/>
        <v>0</v>
      </c>
      <c r="K246" s="108">
        <v>105</v>
      </c>
      <c r="L246" s="108">
        <f>D246*K246</f>
        <v>105</v>
      </c>
    </row>
    <row r="247" spans="1:12">
      <c r="A247" s="107" t="s">
        <v>1597</v>
      </c>
      <c r="B247" s="109" t="s">
        <v>2780</v>
      </c>
      <c r="C247" s="107" t="s">
        <v>2697</v>
      </c>
      <c r="D247" s="108">
        <v>1</v>
      </c>
      <c r="E247" s="108">
        <v>0</v>
      </c>
      <c r="F247" s="108">
        <f>D247*E247</f>
        <v>0</v>
      </c>
      <c r="G247" s="108">
        <v>0</v>
      </c>
      <c r="H247" s="108">
        <f>D247*G247</f>
        <v>0</v>
      </c>
      <c r="I247" s="108">
        <f t="shared" si="33"/>
        <v>0</v>
      </c>
      <c r="J247" s="108">
        <f t="shared" si="33"/>
        <v>0</v>
      </c>
      <c r="K247" s="108">
        <v>0</v>
      </c>
      <c r="L247" s="108">
        <f>D247*K247</f>
        <v>0</v>
      </c>
    </row>
    <row r="248" spans="1:12">
      <c r="A248" s="107" t="s">
        <v>1597</v>
      </c>
      <c r="B248" s="109" t="s">
        <v>2862</v>
      </c>
      <c r="C248" s="107" t="s">
        <v>2697</v>
      </c>
      <c r="D248" s="108">
        <v>1</v>
      </c>
      <c r="E248" s="623"/>
      <c r="F248" s="108">
        <f>D248*E248</f>
        <v>0</v>
      </c>
      <c r="G248" s="108">
        <v>0</v>
      </c>
      <c r="H248" s="108">
        <f>D248*G248</f>
        <v>0</v>
      </c>
      <c r="I248" s="108">
        <f t="shared" si="33"/>
        <v>0</v>
      </c>
      <c r="J248" s="108">
        <f t="shared" si="33"/>
        <v>0</v>
      </c>
      <c r="K248" s="108">
        <v>0</v>
      </c>
      <c r="L248" s="108">
        <f>D248*K248</f>
        <v>0</v>
      </c>
    </row>
    <row r="249" spans="1:12">
      <c r="A249" s="107" t="s">
        <v>1597</v>
      </c>
      <c r="B249" s="109" t="s">
        <v>2897</v>
      </c>
      <c r="C249" s="107" t="s">
        <v>2697</v>
      </c>
      <c r="D249" s="108">
        <v>1</v>
      </c>
      <c r="E249" s="623"/>
      <c r="F249" s="108">
        <f>D249*E249</f>
        <v>0</v>
      </c>
      <c r="G249" s="108">
        <v>0</v>
      </c>
      <c r="H249" s="108">
        <f>D249*G249</f>
        <v>0</v>
      </c>
      <c r="I249" s="108">
        <f t="shared" si="33"/>
        <v>0</v>
      </c>
      <c r="J249" s="108">
        <f t="shared" si="33"/>
        <v>0</v>
      </c>
      <c r="K249" s="108">
        <v>0</v>
      </c>
      <c r="L249" s="108">
        <f>D249*K249</f>
        <v>0</v>
      </c>
    </row>
    <row r="250" spans="1:12">
      <c r="A250" s="107" t="s">
        <v>1597</v>
      </c>
      <c r="B250" s="109" t="s">
        <v>2701</v>
      </c>
      <c r="C250" s="107" t="s">
        <v>2697</v>
      </c>
      <c r="D250" s="108">
        <v>1</v>
      </c>
      <c r="E250" s="623"/>
      <c r="F250" s="108">
        <f>D250*E250</f>
        <v>0</v>
      </c>
      <c r="G250" s="108">
        <v>0</v>
      </c>
      <c r="H250" s="108">
        <f>D250*G250</f>
        <v>0</v>
      </c>
      <c r="I250" s="108">
        <f t="shared" si="33"/>
        <v>0</v>
      </c>
      <c r="J250" s="108">
        <f t="shared" si="33"/>
        <v>0</v>
      </c>
      <c r="K250" s="108">
        <v>0</v>
      </c>
      <c r="L250" s="108">
        <f>D250*K250</f>
        <v>0</v>
      </c>
    </row>
    <row r="251" spans="1:12" ht="29">
      <c r="A251" s="107" t="s">
        <v>1597</v>
      </c>
      <c r="B251" s="109" t="s">
        <v>3662</v>
      </c>
      <c r="C251" s="107" t="s">
        <v>1597</v>
      </c>
      <c r="D251" s="108"/>
      <c r="E251" s="108"/>
      <c r="F251" s="108"/>
      <c r="G251" s="108"/>
      <c r="H251" s="108"/>
      <c r="I251" s="108"/>
      <c r="J251" s="108"/>
      <c r="K251" s="108"/>
      <c r="L251" s="108"/>
    </row>
    <row r="252" spans="1:12">
      <c r="A252" s="107" t="s">
        <v>2898</v>
      </c>
      <c r="B252" s="109" t="s">
        <v>3668</v>
      </c>
      <c r="C252" s="107" t="s">
        <v>2697</v>
      </c>
      <c r="D252" s="108">
        <v>1</v>
      </c>
      <c r="E252" s="623"/>
      <c r="F252" s="108">
        <f>D252*E252</f>
        <v>0</v>
      </c>
      <c r="G252" s="623"/>
      <c r="H252" s="108">
        <f>D252*G252</f>
        <v>0</v>
      </c>
      <c r="I252" s="108">
        <f t="shared" ref="I252:J254" si="34">E252+G252</f>
        <v>0</v>
      </c>
      <c r="J252" s="108">
        <f t="shared" si="34"/>
        <v>0</v>
      </c>
      <c r="K252" s="108">
        <v>7.7</v>
      </c>
      <c r="L252" s="108">
        <f>D252*K252</f>
        <v>7.7</v>
      </c>
    </row>
    <row r="253" spans="1:12">
      <c r="A253" s="107" t="s">
        <v>2899</v>
      </c>
      <c r="B253" s="109" t="s">
        <v>3663</v>
      </c>
      <c r="C253" s="107" t="s">
        <v>2697</v>
      </c>
      <c r="D253" s="108">
        <v>5</v>
      </c>
      <c r="E253" s="623"/>
      <c r="F253" s="108">
        <f>D253*E253</f>
        <v>0</v>
      </c>
      <c r="G253" s="623"/>
      <c r="H253" s="108">
        <f>D253*G253</f>
        <v>0</v>
      </c>
      <c r="I253" s="108">
        <f t="shared" si="34"/>
        <v>0</v>
      </c>
      <c r="J253" s="108">
        <f t="shared" si="34"/>
        <v>0</v>
      </c>
      <c r="K253" s="108">
        <v>10.6</v>
      </c>
      <c r="L253" s="108">
        <f>D253*K253</f>
        <v>53</v>
      </c>
    </row>
    <row r="254" spans="1:12">
      <c r="A254" s="107" t="s">
        <v>2900</v>
      </c>
      <c r="B254" s="109" t="s">
        <v>3664</v>
      </c>
      <c r="C254" s="107" t="s">
        <v>2697</v>
      </c>
      <c r="D254" s="108">
        <v>1</v>
      </c>
      <c r="E254" s="623"/>
      <c r="F254" s="108">
        <f>D254*E254</f>
        <v>0</v>
      </c>
      <c r="G254" s="623"/>
      <c r="H254" s="108">
        <f>D254*G254</f>
        <v>0</v>
      </c>
      <c r="I254" s="108">
        <f t="shared" si="34"/>
        <v>0</v>
      </c>
      <c r="J254" s="108">
        <f t="shared" si="34"/>
        <v>0</v>
      </c>
      <c r="K254" s="108">
        <v>7.3</v>
      </c>
      <c r="L254" s="108">
        <f>D254*K254</f>
        <v>7.3</v>
      </c>
    </row>
    <row r="255" spans="1:12" ht="29">
      <c r="A255" s="107" t="s">
        <v>1597</v>
      </c>
      <c r="B255" s="109" t="s">
        <v>2901</v>
      </c>
      <c r="C255" s="107" t="s">
        <v>1597</v>
      </c>
      <c r="D255" s="108"/>
      <c r="E255" s="108"/>
      <c r="F255" s="108"/>
      <c r="G255" s="108"/>
      <c r="H255" s="108"/>
      <c r="I255" s="108"/>
      <c r="J255" s="108"/>
      <c r="K255" s="108"/>
      <c r="L255" s="108"/>
    </row>
    <row r="256" spans="1:12">
      <c r="A256" s="107" t="s">
        <v>2902</v>
      </c>
      <c r="B256" s="109" t="s">
        <v>2903</v>
      </c>
      <c r="C256" s="107" t="s">
        <v>2697</v>
      </c>
      <c r="D256" s="108">
        <v>2</v>
      </c>
      <c r="E256" s="623"/>
      <c r="F256" s="108">
        <f>D256*E256</f>
        <v>0</v>
      </c>
      <c r="G256" s="623"/>
      <c r="H256" s="108">
        <f>D256*G256</f>
        <v>0</v>
      </c>
      <c r="I256" s="108">
        <f>E256+G256</f>
        <v>0</v>
      </c>
      <c r="J256" s="108">
        <f>F256+H256</f>
        <v>0</v>
      </c>
      <c r="K256" s="108">
        <v>0.3</v>
      </c>
      <c r="L256" s="108">
        <f>D256*K256</f>
        <v>0.6</v>
      </c>
    </row>
    <row r="257" spans="1:12">
      <c r="A257" s="107" t="s">
        <v>2904</v>
      </c>
      <c r="B257" s="109" t="s">
        <v>2905</v>
      </c>
      <c r="C257" s="107" t="s">
        <v>2697</v>
      </c>
      <c r="D257" s="108">
        <v>1</v>
      </c>
      <c r="E257" s="623"/>
      <c r="F257" s="108">
        <f>D257*E257</f>
        <v>0</v>
      </c>
      <c r="G257" s="623"/>
      <c r="H257" s="108">
        <f>D257*G257</f>
        <v>0</v>
      </c>
      <c r="I257" s="108">
        <f>E257+G257</f>
        <v>0</v>
      </c>
      <c r="J257" s="108">
        <f>F257+H257</f>
        <v>0</v>
      </c>
      <c r="K257" s="108">
        <v>0.3</v>
      </c>
      <c r="L257" s="108">
        <f>D257*K257</f>
        <v>0.3</v>
      </c>
    </row>
    <row r="258" spans="1:12" ht="29">
      <c r="A258" s="107" t="s">
        <v>1597</v>
      </c>
      <c r="B258" s="109" t="s">
        <v>2835</v>
      </c>
      <c r="C258" s="107" t="s">
        <v>1597</v>
      </c>
      <c r="D258" s="108"/>
      <c r="E258" s="108"/>
      <c r="F258" s="108"/>
      <c r="G258" s="108"/>
      <c r="H258" s="108"/>
      <c r="I258" s="108"/>
      <c r="J258" s="108"/>
      <c r="K258" s="108"/>
      <c r="L258" s="108"/>
    </row>
    <row r="259" spans="1:12">
      <c r="A259" s="107" t="s">
        <v>2906</v>
      </c>
      <c r="B259" s="109" t="s">
        <v>2907</v>
      </c>
      <c r="C259" s="107" t="s">
        <v>2697</v>
      </c>
      <c r="D259" s="108">
        <v>1</v>
      </c>
      <c r="E259" s="623"/>
      <c r="F259" s="108">
        <f>D259*E259</f>
        <v>0</v>
      </c>
      <c r="G259" s="623"/>
      <c r="H259" s="108">
        <f>D259*G259</f>
        <v>0</v>
      </c>
      <c r="I259" s="108">
        <f t="shared" ref="I259:J261" si="35">E259+G259</f>
        <v>0</v>
      </c>
      <c r="J259" s="108">
        <f t="shared" si="35"/>
        <v>0</v>
      </c>
      <c r="K259" s="108">
        <v>0.3</v>
      </c>
      <c r="L259" s="108">
        <f>D259*K259</f>
        <v>0.3</v>
      </c>
    </row>
    <row r="260" spans="1:12">
      <c r="A260" s="107" t="s">
        <v>2908</v>
      </c>
      <c r="B260" s="109" t="s">
        <v>2837</v>
      </c>
      <c r="C260" s="107" t="s">
        <v>2697</v>
      </c>
      <c r="D260" s="108">
        <v>1</v>
      </c>
      <c r="E260" s="623"/>
      <c r="F260" s="108">
        <f>D260*E260</f>
        <v>0</v>
      </c>
      <c r="G260" s="623"/>
      <c r="H260" s="108">
        <f>D260*G260</f>
        <v>0</v>
      </c>
      <c r="I260" s="108">
        <f t="shared" si="35"/>
        <v>0</v>
      </c>
      <c r="J260" s="108">
        <f t="shared" si="35"/>
        <v>0</v>
      </c>
      <c r="K260" s="108">
        <v>0.3</v>
      </c>
      <c r="L260" s="108">
        <f>D260*K260</f>
        <v>0.3</v>
      </c>
    </row>
    <row r="261" spans="1:12">
      <c r="A261" s="107" t="s">
        <v>2909</v>
      </c>
      <c r="B261" s="109" t="s">
        <v>2839</v>
      </c>
      <c r="C261" s="107" t="s">
        <v>2697</v>
      </c>
      <c r="D261" s="108">
        <v>2</v>
      </c>
      <c r="E261" s="623"/>
      <c r="F261" s="108">
        <f>D261*E261</f>
        <v>0</v>
      </c>
      <c r="G261" s="623"/>
      <c r="H261" s="108">
        <f>D261*G261</f>
        <v>0</v>
      </c>
      <c r="I261" s="108">
        <f t="shared" si="35"/>
        <v>0</v>
      </c>
      <c r="J261" s="108">
        <f t="shared" si="35"/>
        <v>0</v>
      </c>
      <c r="K261" s="108">
        <v>0.3</v>
      </c>
      <c r="L261" s="108">
        <f>D261*K261</f>
        <v>0.6</v>
      </c>
    </row>
    <row r="262" spans="1:12" ht="43.5">
      <c r="A262" s="107" t="s">
        <v>1597</v>
      </c>
      <c r="B262" s="109" t="s">
        <v>2910</v>
      </c>
      <c r="C262" s="107" t="s">
        <v>1597</v>
      </c>
      <c r="D262" s="108"/>
      <c r="E262" s="108"/>
      <c r="F262" s="108"/>
      <c r="G262" s="108"/>
      <c r="H262" s="108"/>
      <c r="I262" s="108"/>
      <c r="J262" s="108"/>
      <c r="K262" s="108"/>
      <c r="L262" s="108"/>
    </row>
    <row r="263" spans="1:12">
      <c r="A263" s="107" t="s">
        <v>2911</v>
      </c>
      <c r="B263" s="109" t="s">
        <v>2874</v>
      </c>
      <c r="C263" s="107" t="s">
        <v>2697</v>
      </c>
      <c r="D263" s="108">
        <v>2</v>
      </c>
      <c r="E263" s="623"/>
      <c r="F263" s="108">
        <f>D263*E263</f>
        <v>0</v>
      </c>
      <c r="G263" s="623"/>
      <c r="H263" s="108">
        <f>D263*G263</f>
        <v>0</v>
      </c>
      <c r="I263" s="108">
        <f>E263+G263</f>
        <v>0</v>
      </c>
      <c r="J263" s="108">
        <f>F263+H263</f>
        <v>0</v>
      </c>
      <c r="K263" s="108">
        <v>0.4</v>
      </c>
      <c r="L263" s="108">
        <f>D263*K263</f>
        <v>0.8</v>
      </c>
    </row>
    <row r="264" spans="1:12" ht="29">
      <c r="A264" s="107" t="s">
        <v>1597</v>
      </c>
      <c r="B264" s="109" t="s">
        <v>2750</v>
      </c>
      <c r="C264" s="107" t="s">
        <v>1597</v>
      </c>
      <c r="D264" s="108"/>
      <c r="E264" s="108"/>
      <c r="F264" s="108"/>
      <c r="G264" s="108"/>
      <c r="H264" s="108"/>
      <c r="I264" s="108"/>
      <c r="J264" s="108"/>
      <c r="K264" s="108"/>
      <c r="L264" s="108"/>
    </row>
    <row r="265" spans="1:12">
      <c r="A265" s="107" t="s">
        <v>1597</v>
      </c>
      <c r="B265" s="109" t="s">
        <v>2751</v>
      </c>
      <c r="C265" s="107" t="s">
        <v>1597</v>
      </c>
      <c r="D265" s="108"/>
      <c r="E265" s="108"/>
      <c r="F265" s="108"/>
      <c r="G265" s="108"/>
      <c r="H265" s="108"/>
      <c r="I265" s="108"/>
      <c r="J265" s="108"/>
      <c r="K265" s="108"/>
      <c r="L265" s="108"/>
    </row>
    <row r="266" spans="1:12">
      <c r="A266" s="107" t="s">
        <v>2912</v>
      </c>
      <c r="B266" s="109" t="s">
        <v>2753</v>
      </c>
      <c r="C266" s="107" t="s">
        <v>2274</v>
      </c>
      <c r="D266" s="108">
        <v>1.51</v>
      </c>
      <c r="E266" s="623"/>
      <c r="F266" s="108">
        <f>D266*E266</f>
        <v>0</v>
      </c>
      <c r="G266" s="108">
        <v>0</v>
      </c>
      <c r="H266" s="108">
        <f>D266*G266</f>
        <v>0</v>
      </c>
      <c r="I266" s="108">
        <f>E266+G266</f>
        <v>0</v>
      </c>
      <c r="J266" s="108">
        <f>F266+H266</f>
        <v>0</v>
      </c>
      <c r="K266" s="108">
        <v>0</v>
      </c>
      <c r="L266" s="108">
        <f>D266*K266</f>
        <v>0</v>
      </c>
    </row>
    <row r="267" spans="1:12">
      <c r="A267" s="107" t="s">
        <v>2913</v>
      </c>
      <c r="B267" s="109" t="s">
        <v>2753</v>
      </c>
      <c r="C267" s="107" t="s">
        <v>2274</v>
      </c>
      <c r="D267" s="108">
        <v>2.23</v>
      </c>
      <c r="E267" s="623"/>
      <c r="F267" s="108">
        <f>D267*E267</f>
        <v>0</v>
      </c>
      <c r="G267" s="108">
        <v>0</v>
      </c>
      <c r="H267" s="108">
        <f>D267*G267</f>
        <v>0</v>
      </c>
      <c r="I267" s="108">
        <f>E267+G267</f>
        <v>0</v>
      </c>
      <c r="J267" s="108">
        <f>F267+H267</f>
        <v>0</v>
      </c>
      <c r="K267" s="108">
        <v>0</v>
      </c>
      <c r="L267" s="108">
        <f>D267*K267</f>
        <v>0</v>
      </c>
    </row>
    <row r="268" spans="1:12" ht="29">
      <c r="A268" s="107" t="s">
        <v>1597</v>
      </c>
      <c r="B268" s="109" t="s">
        <v>2771</v>
      </c>
      <c r="C268" s="107" t="s">
        <v>1597</v>
      </c>
      <c r="D268" s="108"/>
      <c r="E268" s="108"/>
      <c r="F268" s="108"/>
      <c r="G268" s="108"/>
      <c r="H268" s="108"/>
      <c r="I268" s="108"/>
      <c r="J268" s="108"/>
      <c r="K268" s="108"/>
      <c r="L268" s="108"/>
    </row>
    <row r="269" spans="1:12">
      <c r="A269" s="107" t="s">
        <v>1597</v>
      </c>
      <c r="B269" s="109" t="s">
        <v>2888</v>
      </c>
      <c r="C269" s="107" t="s">
        <v>2713</v>
      </c>
      <c r="D269" s="108">
        <v>3.3</v>
      </c>
      <c r="E269" s="623"/>
      <c r="F269" s="108">
        <f>D269*E269</f>
        <v>0</v>
      </c>
      <c r="G269" s="623"/>
      <c r="H269" s="108">
        <f>D269*G269</f>
        <v>0</v>
      </c>
      <c r="I269" s="108">
        <f t="shared" ref="I269:J271" si="36">E269+G269</f>
        <v>0</v>
      </c>
      <c r="J269" s="108">
        <f t="shared" si="36"/>
        <v>0</v>
      </c>
      <c r="K269" s="108">
        <v>2</v>
      </c>
      <c r="L269" s="108">
        <f>D269*K269</f>
        <v>6.6</v>
      </c>
    </row>
    <row r="270" spans="1:12">
      <c r="A270" s="107" t="s">
        <v>1597</v>
      </c>
      <c r="B270" s="109" t="s">
        <v>2853</v>
      </c>
      <c r="C270" s="107" t="s">
        <v>2713</v>
      </c>
      <c r="D270" s="108">
        <v>4.7</v>
      </c>
      <c r="E270" s="623"/>
      <c r="F270" s="108">
        <f>D270*E270</f>
        <v>0</v>
      </c>
      <c r="G270" s="623"/>
      <c r="H270" s="108">
        <f>D270*G270</f>
        <v>0</v>
      </c>
      <c r="I270" s="108">
        <f t="shared" si="36"/>
        <v>0</v>
      </c>
      <c r="J270" s="108">
        <f t="shared" si="36"/>
        <v>0</v>
      </c>
      <c r="K270" s="108">
        <v>3</v>
      </c>
      <c r="L270" s="108">
        <f>D270*K270</f>
        <v>14.100000000000001</v>
      </c>
    </row>
    <row r="271" spans="1:12">
      <c r="A271" s="107" t="s">
        <v>1597</v>
      </c>
      <c r="B271" s="109" t="s">
        <v>2854</v>
      </c>
      <c r="C271" s="107" t="s">
        <v>2713</v>
      </c>
      <c r="D271" s="108">
        <v>18.7</v>
      </c>
      <c r="E271" s="623"/>
      <c r="F271" s="108">
        <f>D271*E271</f>
        <v>0</v>
      </c>
      <c r="G271" s="623"/>
      <c r="H271" s="108">
        <f>D271*G271</f>
        <v>0</v>
      </c>
      <c r="I271" s="108">
        <f t="shared" si="36"/>
        <v>0</v>
      </c>
      <c r="J271" s="108">
        <f t="shared" si="36"/>
        <v>0</v>
      </c>
      <c r="K271" s="108">
        <v>5</v>
      </c>
      <c r="L271" s="108">
        <f>D271*K271</f>
        <v>93.5</v>
      </c>
    </row>
    <row r="272" spans="1:12" ht="43.5">
      <c r="A272" s="107" t="s">
        <v>1597</v>
      </c>
      <c r="B272" s="109" t="s">
        <v>2774</v>
      </c>
      <c r="C272" s="107" t="s">
        <v>1597</v>
      </c>
      <c r="D272" s="108"/>
      <c r="E272" s="108"/>
      <c r="F272" s="108"/>
      <c r="G272" s="108"/>
      <c r="H272" s="108"/>
      <c r="I272" s="108"/>
      <c r="J272" s="108"/>
      <c r="K272" s="108"/>
      <c r="L272" s="108"/>
    </row>
    <row r="273" spans="1:12">
      <c r="A273" s="107" t="s">
        <v>1597</v>
      </c>
      <c r="B273" s="109" t="s">
        <v>2775</v>
      </c>
      <c r="C273" s="107" t="s">
        <v>1781</v>
      </c>
      <c r="D273" s="108">
        <v>1</v>
      </c>
      <c r="E273" s="623"/>
      <c r="F273" s="108">
        <f>D273*E273</f>
        <v>0</v>
      </c>
      <c r="G273" s="108">
        <v>0</v>
      </c>
      <c r="H273" s="108">
        <f>D273*G273</f>
        <v>0</v>
      </c>
      <c r="I273" s="108">
        <f>E273+G273</f>
        <v>0</v>
      </c>
      <c r="J273" s="108">
        <f>F273+H273</f>
        <v>0</v>
      </c>
      <c r="K273" s="108">
        <v>0</v>
      </c>
      <c r="L273" s="108">
        <f>D273*K273</f>
        <v>0</v>
      </c>
    </row>
    <row r="274" spans="1:12">
      <c r="A274" s="107" t="s">
        <v>1597</v>
      </c>
      <c r="B274" s="109" t="s">
        <v>2914</v>
      </c>
      <c r="C274" s="107" t="s">
        <v>1597</v>
      </c>
      <c r="D274" s="108"/>
      <c r="E274" s="108"/>
      <c r="F274" s="108">
        <f>SUM(F245:F273)</f>
        <v>0</v>
      </c>
      <c r="G274" s="108"/>
      <c r="H274" s="108">
        <f>SUM(H245:H273)</f>
        <v>0</v>
      </c>
      <c r="I274" s="108"/>
      <c r="J274" s="108">
        <f>SUM(J245:J273)</f>
        <v>0</v>
      </c>
      <c r="K274" s="108"/>
      <c r="L274" s="108">
        <f>SUM(L245:L273)</f>
        <v>290.10000000000002</v>
      </c>
    </row>
    <row r="275" spans="1:12">
      <c r="A275" s="107" t="s">
        <v>1597</v>
      </c>
      <c r="B275" s="109" t="s">
        <v>1597</v>
      </c>
      <c r="C275" s="107" t="s">
        <v>1597</v>
      </c>
      <c r="D275" s="108"/>
      <c r="E275" s="108"/>
      <c r="F275" s="108"/>
      <c r="G275" s="108"/>
      <c r="H275" s="108"/>
      <c r="I275" s="108"/>
      <c r="J275" s="108"/>
      <c r="K275" s="108"/>
      <c r="L275" s="108"/>
    </row>
    <row r="276" spans="1:12">
      <c r="A276" s="107" t="s">
        <v>1597</v>
      </c>
      <c r="B276" s="109" t="s">
        <v>1597</v>
      </c>
      <c r="C276" s="107" t="s">
        <v>1597</v>
      </c>
      <c r="D276" s="108"/>
      <c r="E276" s="108"/>
      <c r="F276" s="108"/>
      <c r="G276" s="108"/>
      <c r="H276" s="108"/>
      <c r="I276" s="108"/>
      <c r="J276" s="108"/>
      <c r="K276" s="108"/>
      <c r="L276" s="108"/>
    </row>
    <row r="277" spans="1:12">
      <c r="A277" s="107" t="s">
        <v>1597</v>
      </c>
      <c r="B277" s="109" t="s">
        <v>2915</v>
      </c>
      <c r="C277" s="107" t="s">
        <v>1597</v>
      </c>
      <c r="D277" s="108"/>
      <c r="E277" s="108"/>
      <c r="F277" s="108"/>
      <c r="G277" s="108"/>
      <c r="H277" s="108"/>
      <c r="I277" s="108"/>
      <c r="J277" s="108"/>
      <c r="K277" s="108"/>
      <c r="L277" s="108"/>
    </row>
    <row r="278" spans="1:12">
      <c r="A278" s="107" t="s">
        <v>1597</v>
      </c>
      <c r="B278" s="109" t="s">
        <v>2894</v>
      </c>
      <c r="C278" s="107" t="s">
        <v>1597</v>
      </c>
      <c r="D278" s="108"/>
      <c r="E278" s="108"/>
      <c r="F278" s="108"/>
      <c r="G278" s="108"/>
      <c r="H278" s="108"/>
      <c r="I278" s="108"/>
      <c r="J278" s="108"/>
      <c r="K278" s="108"/>
      <c r="L278" s="108"/>
    </row>
    <row r="279" spans="1:12" ht="87">
      <c r="A279" s="107" t="s">
        <v>2916</v>
      </c>
      <c r="B279" s="109" t="s">
        <v>2917</v>
      </c>
      <c r="C279" s="107" t="s">
        <v>2697</v>
      </c>
      <c r="D279" s="108">
        <v>1</v>
      </c>
      <c r="E279" s="623"/>
      <c r="F279" s="108">
        <f t="shared" ref="F279:F285" si="37">D279*E279</f>
        <v>0</v>
      </c>
      <c r="G279" s="623"/>
      <c r="H279" s="108">
        <f t="shared" ref="H279:H285" si="38">D279*G279</f>
        <v>0</v>
      </c>
      <c r="I279" s="108">
        <f t="shared" ref="I279:J286" si="39">E279+G279</f>
        <v>0</v>
      </c>
      <c r="J279" s="108">
        <f t="shared" si="39"/>
        <v>0</v>
      </c>
      <c r="K279" s="108">
        <v>74</v>
      </c>
      <c r="L279" s="108">
        <f t="shared" ref="L279:L285" si="40">D279*K279</f>
        <v>74</v>
      </c>
    </row>
    <row r="280" spans="1:12">
      <c r="A280" s="107" t="s">
        <v>1597</v>
      </c>
      <c r="B280" s="109" t="s">
        <v>2780</v>
      </c>
      <c r="C280" s="107" t="s">
        <v>2697</v>
      </c>
      <c r="D280" s="108">
        <v>1</v>
      </c>
      <c r="E280" s="108">
        <v>0</v>
      </c>
      <c r="F280" s="108">
        <f t="shared" si="37"/>
        <v>0</v>
      </c>
      <c r="G280" s="108">
        <v>0</v>
      </c>
      <c r="H280" s="108">
        <f t="shared" si="38"/>
        <v>0</v>
      </c>
      <c r="I280" s="108">
        <f t="shared" si="39"/>
        <v>0</v>
      </c>
      <c r="J280" s="108">
        <f t="shared" si="39"/>
        <v>0</v>
      </c>
      <c r="K280" s="108">
        <v>0</v>
      </c>
      <c r="L280" s="108">
        <f t="shared" si="40"/>
        <v>0</v>
      </c>
    </row>
    <row r="281" spans="1:12">
      <c r="A281" s="107" t="s">
        <v>1597</v>
      </c>
      <c r="B281" s="109" t="s">
        <v>2918</v>
      </c>
      <c r="C281" s="107" t="s">
        <v>2697</v>
      </c>
      <c r="D281" s="108">
        <v>1</v>
      </c>
      <c r="E281" s="623"/>
      <c r="F281" s="108">
        <f t="shared" si="37"/>
        <v>0</v>
      </c>
      <c r="G281" s="108">
        <v>0</v>
      </c>
      <c r="H281" s="108">
        <f t="shared" si="38"/>
        <v>0</v>
      </c>
      <c r="I281" s="108">
        <f t="shared" si="39"/>
        <v>0</v>
      </c>
      <c r="J281" s="108">
        <f t="shared" si="39"/>
        <v>0</v>
      </c>
      <c r="K281" s="108">
        <v>0</v>
      </c>
      <c r="L281" s="108">
        <f t="shared" si="40"/>
        <v>0</v>
      </c>
    </row>
    <row r="282" spans="1:12">
      <c r="A282" s="107" t="s">
        <v>1597</v>
      </c>
      <c r="B282" s="109" t="s">
        <v>2897</v>
      </c>
      <c r="C282" s="107" t="s">
        <v>2697</v>
      </c>
      <c r="D282" s="108">
        <v>1</v>
      </c>
      <c r="E282" s="623"/>
      <c r="F282" s="108">
        <f t="shared" si="37"/>
        <v>0</v>
      </c>
      <c r="G282" s="108">
        <v>0</v>
      </c>
      <c r="H282" s="108">
        <f t="shared" si="38"/>
        <v>0</v>
      </c>
      <c r="I282" s="108">
        <f t="shared" si="39"/>
        <v>0</v>
      </c>
      <c r="J282" s="108">
        <f t="shared" si="39"/>
        <v>0</v>
      </c>
      <c r="K282" s="108">
        <v>0</v>
      </c>
      <c r="L282" s="108">
        <f t="shared" si="40"/>
        <v>0</v>
      </c>
    </row>
    <row r="283" spans="1:12">
      <c r="A283" s="107" t="s">
        <v>1597</v>
      </c>
      <c r="B283" s="109" t="s">
        <v>2701</v>
      </c>
      <c r="C283" s="107" t="s">
        <v>2697</v>
      </c>
      <c r="D283" s="108">
        <v>1</v>
      </c>
      <c r="E283" s="623"/>
      <c r="F283" s="108">
        <f t="shared" si="37"/>
        <v>0</v>
      </c>
      <c r="G283" s="108">
        <v>0</v>
      </c>
      <c r="H283" s="108">
        <f t="shared" si="38"/>
        <v>0</v>
      </c>
      <c r="I283" s="108">
        <f t="shared" si="39"/>
        <v>0</v>
      </c>
      <c r="J283" s="108">
        <f t="shared" si="39"/>
        <v>0</v>
      </c>
      <c r="K283" s="108">
        <v>0</v>
      </c>
      <c r="L283" s="108">
        <f t="shared" si="40"/>
        <v>0</v>
      </c>
    </row>
    <row r="284" spans="1:12">
      <c r="A284" s="107" t="s">
        <v>1597</v>
      </c>
      <c r="B284" s="109" t="s">
        <v>2861</v>
      </c>
      <c r="C284" s="107" t="s">
        <v>2709</v>
      </c>
      <c r="D284" s="108">
        <v>1</v>
      </c>
      <c r="E284" s="623"/>
      <c r="F284" s="108">
        <f t="shared" si="37"/>
        <v>0</v>
      </c>
      <c r="G284" s="108">
        <v>0</v>
      </c>
      <c r="H284" s="108">
        <f t="shared" si="38"/>
        <v>0</v>
      </c>
      <c r="I284" s="108">
        <f t="shared" si="39"/>
        <v>0</v>
      </c>
      <c r="J284" s="108">
        <f t="shared" si="39"/>
        <v>0</v>
      </c>
      <c r="K284" s="108">
        <v>0</v>
      </c>
      <c r="L284" s="108">
        <f t="shared" si="40"/>
        <v>0</v>
      </c>
    </row>
    <row r="285" spans="1:12">
      <c r="A285" s="107" t="s">
        <v>1597</v>
      </c>
      <c r="B285" s="109" t="s">
        <v>2702</v>
      </c>
      <c r="C285" s="107" t="s">
        <v>2697</v>
      </c>
      <c r="D285" s="108">
        <v>1</v>
      </c>
      <c r="E285" s="623"/>
      <c r="F285" s="108">
        <f t="shared" si="37"/>
        <v>0</v>
      </c>
      <c r="G285" s="108">
        <v>0</v>
      </c>
      <c r="H285" s="108">
        <f t="shared" si="38"/>
        <v>0</v>
      </c>
      <c r="I285" s="108">
        <f t="shared" si="39"/>
        <v>0</v>
      </c>
      <c r="J285" s="108">
        <f t="shared" si="39"/>
        <v>0</v>
      </c>
      <c r="K285" s="108">
        <v>0</v>
      </c>
      <c r="L285" s="108">
        <f t="shared" si="40"/>
        <v>0</v>
      </c>
    </row>
    <row r="286" spans="1:12">
      <c r="A286" s="107" t="s">
        <v>2919</v>
      </c>
      <c r="B286" s="109" t="s">
        <v>2749</v>
      </c>
      <c r="C286" s="107" t="s">
        <v>1597</v>
      </c>
      <c r="D286" s="108"/>
      <c r="E286" s="108"/>
      <c r="F286" s="108"/>
      <c r="G286" s="108"/>
      <c r="H286" s="108"/>
      <c r="I286" s="108">
        <f t="shared" si="39"/>
        <v>0</v>
      </c>
      <c r="J286" s="108">
        <f t="shared" si="39"/>
        <v>0</v>
      </c>
      <c r="K286" s="108"/>
      <c r="L286" s="108"/>
    </row>
    <row r="287" spans="1:12" ht="29">
      <c r="A287" s="107" t="s">
        <v>1597</v>
      </c>
      <c r="B287" s="109" t="s">
        <v>2869</v>
      </c>
      <c r="C287" s="107" t="s">
        <v>1597</v>
      </c>
      <c r="D287" s="108"/>
      <c r="E287" s="108"/>
      <c r="F287" s="108"/>
      <c r="G287" s="108"/>
      <c r="H287" s="108"/>
      <c r="I287" s="108"/>
      <c r="J287" s="108"/>
      <c r="K287" s="108"/>
      <c r="L287" s="108"/>
    </row>
    <row r="288" spans="1:12">
      <c r="A288" s="107" t="s">
        <v>2920</v>
      </c>
      <c r="B288" s="109" t="s">
        <v>2921</v>
      </c>
      <c r="C288" s="107" t="s">
        <v>2697</v>
      </c>
      <c r="D288" s="108">
        <v>8</v>
      </c>
      <c r="E288" s="623"/>
      <c r="F288" s="108">
        <f>D288*E288</f>
        <v>0</v>
      </c>
      <c r="G288" s="623"/>
      <c r="H288" s="108">
        <f>D288*G288</f>
        <v>0</v>
      </c>
      <c r="I288" s="108">
        <f>E288+G288</f>
        <v>0</v>
      </c>
      <c r="J288" s="108">
        <f>F288+H288</f>
        <v>0</v>
      </c>
      <c r="K288" s="108">
        <v>9.1</v>
      </c>
      <c r="L288" s="108">
        <f>D288*K288</f>
        <v>72.8</v>
      </c>
    </row>
    <row r="289" spans="1:12">
      <c r="A289" s="107" t="s">
        <v>2922</v>
      </c>
      <c r="B289" s="109" t="s">
        <v>2923</v>
      </c>
      <c r="C289" s="107" t="s">
        <v>2697</v>
      </c>
      <c r="D289" s="108">
        <v>1</v>
      </c>
      <c r="E289" s="623"/>
      <c r="F289" s="108">
        <f>D289*E289</f>
        <v>0</v>
      </c>
      <c r="G289" s="623"/>
      <c r="H289" s="108">
        <f>D289*G289</f>
        <v>0</v>
      </c>
      <c r="I289" s="108">
        <f>E289+G289</f>
        <v>0</v>
      </c>
      <c r="J289" s="108">
        <f>F289+H289</f>
        <v>0</v>
      </c>
      <c r="K289" s="108">
        <v>6.5</v>
      </c>
      <c r="L289" s="108">
        <f>D289*K289</f>
        <v>6.5</v>
      </c>
    </row>
    <row r="290" spans="1:12" ht="43.5">
      <c r="A290" s="107" t="s">
        <v>1597</v>
      </c>
      <c r="B290" s="109" t="s">
        <v>2924</v>
      </c>
      <c r="C290" s="107" t="s">
        <v>1597</v>
      </c>
      <c r="D290" s="108"/>
      <c r="E290" s="108"/>
      <c r="F290" s="108"/>
      <c r="G290" s="108"/>
      <c r="H290" s="108"/>
      <c r="I290" s="108"/>
      <c r="J290" s="108"/>
      <c r="K290" s="108"/>
      <c r="L290" s="108"/>
    </row>
    <row r="291" spans="1:12">
      <c r="A291" s="107" t="s">
        <v>2925</v>
      </c>
      <c r="B291" s="109" t="s">
        <v>2926</v>
      </c>
      <c r="C291" s="107" t="s">
        <v>2697</v>
      </c>
      <c r="D291" s="108">
        <v>1</v>
      </c>
      <c r="E291" s="623"/>
      <c r="F291" s="108">
        <f>D291*E291</f>
        <v>0</v>
      </c>
      <c r="G291" s="623"/>
      <c r="H291" s="108">
        <f>D291*G291</f>
        <v>0</v>
      </c>
      <c r="I291" s="108">
        <f>E291+G291</f>
        <v>0</v>
      </c>
      <c r="J291" s="108">
        <f>F291+H291</f>
        <v>0</v>
      </c>
      <c r="K291" s="108">
        <v>0.2</v>
      </c>
      <c r="L291" s="108">
        <f>D291*K291</f>
        <v>0.2</v>
      </c>
    </row>
    <row r="292" spans="1:12">
      <c r="A292" s="107" t="s">
        <v>1597</v>
      </c>
      <c r="B292" s="109" t="s">
        <v>3661</v>
      </c>
      <c r="C292" s="107" t="s">
        <v>1597</v>
      </c>
      <c r="D292" s="108"/>
      <c r="E292" s="108"/>
      <c r="F292" s="108"/>
      <c r="G292" s="108"/>
      <c r="H292" s="108"/>
      <c r="I292" s="108"/>
      <c r="J292" s="108"/>
      <c r="K292" s="108"/>
      <c r="L292" s="108"/>
    </row>
    <row r="293" spans="1:12">
      <c r="A293" s="107" t="s">
        <v>2927</v>
      </c>
      <c r="B293" s="109" t="s">
        <v>2739</v>
      </c>
      <c r="C293" s="107" t="s">
        <v>2697</v>
      </c>
      <c r="D293" s="108">
        <v>1</v>
      </c>
      <c r="E293" s="623"/>
      <c r="F293" s="108">
        <f>D293*E293</f>
        <v>0</v>
      </c>
      <c r="G293" s="623"/>
      <c r="H293" s="108">
        <f>D293*G293</f>
        <v>0</v>
      </c>
      <c r="I293" s="108">
        <f>E293+G293</f>
        <v>0</v>
      </c>
      <c r="J293" s="108">
        <f>F293+H293</f>
        <v>0</v>
      </c>
      <c r="K293" s="108">
        <v>2.38</v>
      </c>
      <c r="L293" s="108">
        <f>D293*K293</f>
        <v>2.38</v>
      </c>
    </row>
    <row r="294" spans="1:12" ht="29">
      <c r="A294" s="107" t="s">
        <v>1597</v>
      </c>
      <c r="B294" s="109" t="s">
        <v>2835</v>
      </c>
      <c r="C294" s="107" t="s">
        <v>1597</v>
      </c>
      <c r="D294" s="108"/>
      <c r="E294" s="108"/>
      <c r="F294" s="108"/>
      <c r="G294" s="108"/>
      <c r="H294" s="108"/>
      <c r="I294" s="108"/>
      <c r="J294" s="108"/>
      <c r="K294" s="108"/>
      <c r="L294" s="108"/>
    </row>
    <row r="295" spans="1:12">
      <c r="A295" s="107" t="s">
        <v>2928</v>
      </c>
      <c r="B295" s="109" t="s">
        <v>2907</v>
      </c>
      <c r="C295" s="107" t="s">
        <v>2697</v>
      </c>
      <c r="D295" s="108">
        <v>1</v>
      </c>
      <c r="E295" s="623"/>
      <c r="F295" s="108">
        <f>D295*E295</f>
        <v>0</v>
      </c>
      <c r="G295" s="623"/>
      <c r="H295" s="108">
        <f>D295*G295</f>
        <v>0</v>
      </c>
      <c r="I295" s="108">
        <f t="shared" ref="I295:J297" si="41">E295+G295</f>
        <v>0</v>
      </c>
      <c r="J295" s="108">
        <f t="shared" si="41"/>
        <v>0</v>
      </c>
      <c r="K295" s="108">
        <v>0.3</v>
      </c>
      <c r="L295" s="108">
        <f>D295*K295</f>
        <v>0.3</v>
      </c>
    </row>
    <row r="296" spans="1:12">
      <c r="A296" s="107" t="s">
        <v>2929</v>
      </c>
      <c r="B296" s="109" t="s">
        <v>2837</v>
      </c>
      <c r="C296" s="107" t="s">
        <v>2697</v>
      </c>
      <c r="D296" s="108">
        <v>1</v>
      </c>
      <c r="E296" s="623"/>
      <c r="F296" s="108">
        <f>D296*E296</f>
        <v>0</v>
      </c>
      <c r="G296" s="623"/>
      <c r="H296" s="108">
        <f>D296*G296</f>
        <v>0</v>
      </c>
      <c r="I296" s="108">
        <f t="shared" si="41"/>
        <v>0</v>
      </c>
      <c r="J296" s="108">
        <f t="shared" si="41"/>
        <v>0</v>
      </c>
      <c r="K296" s="108">
        <v>0.3</v>
      </c>
      <c r="L296" s="108">
        <f>D296*K296</f>
        <v>0.3</v>
      </c>
    </row>
    <row r="297" spans="1:12">
      <c r="A297" s="107" t="s">
        <v>2930</v>
      </c>
      <c r="B297" s="109" t="s">
        <v>2839</v>
      </c>
      <c r="C297" s="107" t="s">
        <v>2697</v>
      </c>
      <c r="D297" s="108">
        <v>2</v>
      </c>
      <c r="E297" s="623"/>
      <c r="F297" s="108">
        <f>D297*E297</f>
        <v>0</v>
      </c>
      <c r="G297" s="623"/>
      <c r="H297" s="108">
        <f>D297*G297</f>
        <v>0</v>
      </c>
      <c r="I297" s="108">
        <f t="shared" si="41"/>
        <v>0</v>
      </c>
      <c r="J297" s="108">
        <f t="shared" si="41"/>
        <v>0</v>
      </c>
      <c r="K297" s="108">
        <v>0.3</v>
      </c>
      <c r="L297" s="108">
        <f>D297*K297</f>
        <v>0.6</v>
      </c>
    </row>
    <row r="298" spans="1:12">
      <c r="A298" s="107" t="s">
        <v>2931</v>
      </c>
      <c r="B298" s="109" t="s">
        <v>2749</v>
      </c>
      <c r="C298" s="107" t="s">
        <v>1597</v>
      </c>
      <c r="D298" s="108"/>
      <c r="E298" s="108"/>
      <c r="F298" s="108"/>
      <c r="G298" s="108"/>
      <c r="H298" s="108"/>
      <c r="I298" s="108"/>
      <c r="J298" s="108"/>
      <c r="K298" s="108"/>
      <c r="L298" s="108"/>
    </row>
    <row r="299" spans="1:12" ht="29">
      <c r="A299" s="107" t="s">
        <v>1597</v>
      </c>
      <c r="B299" s="109" t="s">
        <v>2750</v>
      </c>
      <c r="C299" s="107" t="s">
        <v>1597</v>
      </c>
      <c r="D299" s="108"/>
      <c r="E299" s="108"/>
      <c r="F299" s="108"/>
      <c r="G299" s="108"/>
      <c r="H299" s="108"/>
      <c r="I299" s="108"/>
      <c r="J299" s="108"/>
      <c r="K299" s="108"/>
      <c r="L299" s="108"/>
    </row>
    <row r="300" spans="1:12">
      <c r="A300" s="107" t="s">
        <v>1597</v>
      </c>
      <c r="B300" s="109" t="s">
        <v>2751</v>
      </c>
      <c r="C300" s="107" t="s">
        <v>1597</v>
      </c>
      <c r="D300" s="108"/>
      <c r="E300" s="108"/>
      <c r="F300" s="108"/>
      <c r="G300" s="108"/>
      <c r="H300" s="108"/>
      <c r="I300" s="108"/>
      <c r="J300" s="108"/>
      <c r="K300" s="108"/>
      <c r="L300" s="108"/>
    </row>
    <row r="301" spans="1:12">
      <c r="A301" s="107" t="s">
        <v>2932</v>
      </c>
      <c r="B301" s="109" t="s">
        <v>2753</v>
      </c>
      <c r="C301" s="107" t="s">
        <v>2274</v>
      </c>
      <c r="D301" s="108">
        <v>2.64</v>
      </c>
      <c r="E301" s="623"/>
      <c r="F301" s="108">
        <f>D301*E301</f>
        <v>0</v>
      </c>
      <c r="G301" s="108">
        <v>0</v>
      </c>
      <c r="H301" s="108">
        <f>D301*G301</f>
        <v>0</v>
      </c>
      <c r="I301" s="108">
        <f>E301+G301</f>
        <v>0</v>
      </c>
      <c r="J301" s="108">
        <f>F301+H301</f>
        <v>0</v>
      </c>
      <c r="K301" s="108">
        <v>0</v>
      </c>
      <c r="L301" s="108">
        <f>D301*K301</f>
        <v>0</v>
      </c>
    </row>
    <row r="302" spans="1:12">
      <c r="A302" s="107" t="s">
        <v>2933</v>
      </c>
      <c r="B302" s="109" t="s">
        <v>2753</v>
      </c>
      <c r="C302" s="107" t="s">
        <v>2274</v>
      </c>
      <c r="D302" s="108">
        <v>4.34</v>
      </c>
      <c r="E302" s="623"/>
      <c r="F302" s="108">
        <f>D302*E302</f>
        <v>0</v>
      </c>
      <c r="G302" s="108">
        <v>0</v>
      </c>
      <c r="H302" s="108">
        <f>D302*G302</f>
        <v>0</v>
      </c>
      <c r="I302" s="108">
        <f>E302+G302</f>
        <v>0</v>
      </c>
      <c r="J302" s="108">
        <f>F302+H302</f>
        <v>0</v>
      </c>
      <c r="K302" s="108">
        <v>0</v>
      </c>
      <c r="L302" s="108">
        <f>D302*K302</f>
        <v>0</v>
      </c>
    </row>
    <row r="303" spans="1:12" ht="72.5">
      <c r="A303" s="107" t="s">
        <v>1597</v>
      </c>
      <c r="B303" s="109" t="s">
        <v>2757</v>
      </c>
      <c r="C303" s="107" t="s">
        <v>1597</v>
      </c>
      <c r="D303" s="108"/>
      <c r="E303" s="108"/>
      <c r="F303" s="108"/>
      <c r="G303" s="108"/>
      <c r="H303" s="108"/>
      <c r="I303" s="108"/>
      <c r="J303" s="108"/>
      <c r="K303" s="108"/>
      <c r="L303" s="108"/>
    </row>
    <row r="304" spans="1:12">
      <c r="A304" s="107" t="s">
        <v>2934</v>
      </c>
      <c r="B304" s="109" t="s">
        <v>2759</v>
      </c>
      <c r="C304" s="107" t="s">
        <v>2274</v>
      </c>
      <c r="D304" s="108">
        <v>0.7</v>
      </c>
      <c r="E304" s="623"/>
      <c r="F304" s="108">
        <f>D304*E304</f>
        <v>0</v>
      </c>
      <c r="G304" s="108">
        <v>0</v>
      </c>
      <c r="H304" s="108">
        <f>D304*G304</f>
        <v>0</v>
      </c>
      <c r="I304" s="108">
        <f>E304+G304</f>
        <v>0</v>
      </c>
      <c r="J304" s="108">
        <f>F304+H304</f>
        <v>0</v>
      </c>
      <c r="K304" s="108">
        <v>0</v>
      </c>
      <c r="L304" s="108">
        <f>D304*K304</f>
        <v>0</v>
      </c>
    </row>
    <row r="305" spans="1:12" ht="29">
      <c r="A305" s="107" t="s">
        <v>1597</v>
      </c>
      <c r="B305" s="109" t="s">
        <v>2763</v>
      </c>
      <c r="C305" s="107" t="s">
        <v>1597</v>
      </c>
      <c r="D305" s="108"/>
      <c r="E305" s="108"/>
      <c r="F305" s="108"/>
      <c r="G305" s="108"/>
      <c r="H305" s="108"/>
      <c r="I305" s="108"/>
      <c r="J305" s="108"/>
      <c r="K305" s="108"/>
      <c r="L305" s="108"/>
    </row>
    <row r="306" spans="1:12">
      <c r="A306" s="107" t="s">
        <v>1597</v>
      </c>
      <c r="B306" s="109" t="s">
        <v>2935</v>
      </c>
      <c r="C306" s="107" t="s">
        <v>2713</v>
      </c>
      <c r="D306" s="108">
        <v>0.3</v>
      </c>
      <c r="E306" s="623"/>
      <c r="F306" s="108">
        <f>D306*E306</f>
        <v>0</v>
      </c>
      <c r="G306" s="623"/>
      <c r="H306" s="108">
        <f>D306*G306</f>
        <v>0</v>
      </c>
      <c r="I306" s="108">
        <f>E306+G306</f>
        <v>0</v>
      </c>
      <c r="J306" s="108">
        <f>F306+H306</f>
        <v>0</v>
      </c>
      <c r="K306" s="108">
        <v>15</v>
      </c>
      <c r="L306" s="108">
        <f>D306*K306</f>
        <v>4.5</v>
      </c>
    </row>
    <row r="307" spans="1:12" ht="29">
      <c r="A307" s="107" t="s">
        <v>1597</v>
      </c>
      <c r="B307" s="109" t="s">
        <v>2771</v>
      </c>
      <c r="C307" s="107" t="s">
        <v>1597</v>
      </c>
      <c r="D307" s="108"/>
      <c r="E307" s="108"/>
      <c r="F307" s="108"/>
      <c r="G307" s="108"/>
      <c r="H307" s="108"/>
      <c r="I307" s="108"/>
      <c r="J307" s="108"/>
      <c r="K307" s="108"/>
      <c r="L307" s="108"/>
    </row>
    <row r="308" spans="1:12">
      <c r="A308" s="107" t="s">
        <v>1597</v>
      </c>
      <c r="B308" s="109" t="s">
        <v>2888</v>
      </c>
      <c r="C308" s="107" t="s">
        <v>2713</v>
      </c>
      <c r="D308" s="108">
        <v>2.2000000000000002</v>
      </c>
      <c r="E308" s="623"/>
      <c r="F308" s="108">
        <f>D308*E308</f>
        <v>0</v>
      </c>
      <c r="G308" s="623"/>
      <c r="H308" s="108">
        <f>D308*G308</f>
        <v>0</v>
      </c>
      <c r="I308" s="108">
        <f t="shared" ref="I308:J310" si="42">E308+G308</f>
        <v>0</v>
      </c>
      <c r="J308" s="108">
        <f t="shared" si="42"/>
        <v>0</v>
      </c>
      <c r="K308" s="108">
        <v>2</v>
      </c>
      <c r="L308" s="108">
        <f>D308*K308</f>
        <v>4.4000000000000004</v>
      </c>
    </row>
    <row r="309" spans="1:12">
      <c r="A309" s="107" t="s">
        <v>1597</v>
      </c>
      <c r="B309" s="109" t="s">
        <v>2936</v>
      </c>
      <c r="C309" s="107" t="s">
        <v>2713</v>
      </c>
      <c r="D309" s="108">
        <v>0.2</v>
      </c>
      <c r="E309" s="623"/>
      <c r="F309" s="108">
        <f>D309*E309</f>
        <v>0</v>
      </c>
      <c r="G309" s="623"/>
      <c r="H309" s="108">
        <f>D309*G309</f>
        <v>0</v>
      </c>
      <c r="I309" s="108">
        <f t="shared" si="42"/>
        <v>0</v>
      </c>
      <c r="J309" s="108">
        <f t="shared" si="42"/>
        <v>0</v>
      </c>
      <c r="K309" s="108">
        <v>3</v>
      </c>
      <c r="L309" s="108">
        <f>D309*K309</f>
        <v>0.60000000000000009</v>
      </c>
    </row>
    <row r="310" spans="1:12">
      <c r="A310" s="107" t="s">
        <v>1597</v>
      </c>
      <c r="B310" s="109" t="s">
        <v>2937</v>
      </c>
      <c r="C310" s="107" t="s">
        <v>2713</v>
      </c>
      <c r="D310" s="108">
        <v>20.9</v>
      </c>
      <c r="E310" s="623"/>
      <c r="F310" s="108">
        <f>D310*E310</f>
        <v>0</v>
      </c>
      <c r="G310" s="623"/>
      <c r="H310" s="108">
        <f>D310*G310</f>
        <v>0</v>
      </c>
      <c r="I310" s="108">
        <f t="shared" si="42"/>
        <v>0</v>
      </c>
      <c r="J310" s="108">
        <f t="shared" si="42"/>
        <v>0</v>
      </c>
      <c r="K310" s="108">
        <v>5</v>
      </c>
      <c r="L310" s="108">
        <f>D310*K310</f>
        <v>104.5</v>
      </c>
    </row>
    <row r="311" spans="1:12" ht="43.5">
      <c r="A311" s="107" t="s">
        <v>1597</v>
      </c>
      <c r="B311" s="109" t="s">
        <v>2774</v>
      </c>
      <c r="C311" s="107" t="s">
        <v>1597</v>
      </c>
      <c r="D311" s="108"/>
      <c r="E311" s="108"/>
      <c r="F311" s="108"/>
      <c r="G311" s="108"/>
      <c r="H311" s="108"/>
      <c r="I311" s="108"/>
      <c r="J311" s="108"/>
      <c r="K311" s="108"/>
      <c r="L311" s="108"/>
    </row>
    <row r="312" spans="1:12">
      <c r="A312" s="107" t="s">
        <v>1597</v>
      </c>
      <c r="B312" s="109" t="s">
        <v>2775</v>
      </c>
      <c r="C312" s="107" t="s">
        <v>1781</v>
      </c>
      <c r="D312" s="108">
        <v>1</v>
      </c>
      <c r="E312" s="623"/>
      <c r="F312" s="108">
        <f>D312*E312</f>
        <v>0</v>
      </c>
      <c r="G312" s="108">
        <v>0</v>
      </c>
      <c r="H312" s="108">
        <f>D312*G312</f>
        <v>0</v>
      </c>
      <c r="I312" s="108">
        <f>E312+G312</f>
        <v>0</v>
      </c>
      <c r="J312" s="108">
        <f>F312+H312</f>
        <v>0</v>
      </c>
      <c r="K312" s="108">
        <v>0</v>
      </c>
      <c r="L312" s="108">
        <f>D312*K312</f>
        <v>0</v>
      </c>
    </row>
    <row r="313" spans="1:12">
      <c r="A313" s="107" t="s">
        <v>1597</v>
      </c>
      <c r="B313" s="109" t="s">
        <v>2938</v>
      </c>
      <c r="C313" s="107" t="s">
        <v>1597</v>
      </c>
      <c r="D313" s="108"/>
      <c r="E313" s="108"/>
      <c r="F313" s="108">
        <f>SUM(F278:F312)</f>
        <v>0</v>
      </c>
      <c r="G313" s="108"/>
      <c r="H313" s="108">
        <f>SUM(H278:H312)</f>
        <v>0</v>
      </c>
      <c r="I313" s="108"/>
      <c r="J313" s="108">
        <f>SUM(J278:J312)</f>
        <v>0</v>
      </c>
      <c r="K313" s="108"/>
      <c r="L313" s="108">
        <f>SUM(L278:L312)</f>
        <v>271.08000000000004</v>
      </c>
    </row>
    <row r="314" spans="1:12">
      <c r="A314" s="107" t="s">
        <v>1597</v>
      </c>
      <c r="B314" s="109" t="s">
        <v>1597</v>
      </c>
      <c r="C314" s="107" t="s">
        <v>1597</v>
      </c>
      <c r="D314" s="108"/>
      <c r="E314" s="108"/>
      <c r="F314" s="108"/>
      <c r="G314" s="108"/>
      <c r="H314" s="108"/>
      <c r="I314" s="108"/>
      <c r="J314" s="108"/>
      <c r="K314" s="108"/>
      <c r="L314" s="108"/>
    </row>
    <row r="315" spans="1:12">
      <c r="A315" s="107" t="s">
        <v>1597</v>
      </c>
      <c r="B315" s="109" t="s">
        <v>1597</v>
      </c>
      <c r="C315" s="107" t="s">
        <v>1597</v>
      </c>
      <c r="D315" s="108"/>
      <c r="E315" s="108"/>
      <c r="F315" s="108"/>
      <c r="G315" s="108"/>
      <c r="H315" s="108"/>
      <c r="I315" s="108"/>
      <c r="J315" s="108"/>
      <c r="K315" s="108"/>
      <c r="L315" s="108"/>
    </row>
    <row r="316" spans="1:12">
      <c r="A316" s="107" t="s">
        <v>1597</v>
      </c>
      <c r="B316" s="109" t="s">
        <v>2939</v>
      </c>
      <c r="C316" s="107" t="s">
        <v>1597</v>
      </c>
      <c r="D316" s="108"/>
      <c r="E316" s="108"/>
      <c r="F316" s="108"/>
      <c r="G316" s="108"/>
      <c r="H316" s="108"/>
      <c r="I316" s="108"/>
      <c r="J316" s="108"/>
      <c r="K316" s="108"/>
      <c r="L316" s="108"/>
    </row>
    <row r="317" spans="1:12">
      <c r="A317" s="107" t="s">
        <v>1597</v>
      </c>
      <c r="B317" s="109" t="s">
        <v>2894</v>
      </c>
      <c r="C317" s="107" t="s">
        <v>1597</v>
      </c>
      <c r="D317" s="108"/>
      <c r="E317" s="108"/>
      <c r="F317" s="108"/>
      <c r="G317" s="108"/>
      <c r="H317" s="108"/>
      <c r="I317" s="108"/>
      <c r="J317" s="108"/>
      <c r="K317" s="108"/>
      <c r="L317" s="108"/>
    </row>
    <row r="318" spans="1:12" ht="87">
      <c r="A318" s="107" t="s">
        <v>2940</v>
      </c>
      <c r="B318" s="109" t="s">
        <v>2941</v>
      </c>
      <c r="C318" s="107" t="s">
        <v>2697</v>
      </c>
      <c r="D318" s="108">
        <v>1</v>
      </c>
      <c r="E318" s="623"/>
      <c r="F318" s="108">
        <f t="shared" ref="F318:F324" si="43">D318*E318</f>
        <v>0</v>
      </c>
      <c r="G318" s="623"/>
      <c r="H318" s="108">
        <f t="shared" ref="H318:H324" si="44">D318*G318</f>
        <v>0</v>
      </c>
      <c r="I318" s="108">
        <f t="shared" ref="I318:J325" si="45">E318+G318</f>
        <v>0</v>
      </c>
      <c r="J318" s="108">
        <f t="shared" si="45"/>
        <v>0</v>
      </c>
      <c r="K318" s="108">
        <v>74</v>
      </c>
      <c r="L318" s="108">
        <f t="shared" ref="L318:L324" si="46">D318*K318</f>
        <v>74</v>
      </c>
    </row>
    <row r="319" spans="1:12">
      <c r="A319" s="107" t="s">
        <v>1597</v>
      </c>
      <c r="B319" s="109" t="s">
        <v>2780</v>
      </c>
      <c r="C319" s="107" t="s">
        <v>2697</v>
      </c>
      <c r="D319" s="108">
        <v>1</v>
      </c>
      <c r="E319" s="108">
        <v>0</v>
      </c>
      <c r="F319" s="108">
        <f t="shared" si="43"/>
        <v>0</v>
      </c>
      <c r="G319" s="108">
        <v>0</v>
      </c>
      <c r="H319" s="108">
        <f t="shared" si="44"/>
        <v>0</v>
      </c>
      <c r="I319" s="108">
        <f t="shared" si="45"/>
        <v>0</v>
      </c>
      <c r="J319" s="108">
        <f t="shared" si="45"/>
        <v>0</v>
      </c>
      <c r="K319" s="108">
        <v>0</v>
      </c>
      <c r="L319" s="108">
        <f t="shared" si="46"/>
        <v>0</v>
      </c>
    </row>
    <row r="320" spans="1:12">
      <c r="A320" s="107" t="s">
        <v>1597</v>
      </c>
      <c r="B320" s="109" t="s">
        <v>2918</v>
      </c>
      <c r="C320" s="107" t="s">
        <v>2697</v>
      </c>
      <c r="D320" s="108">
        <v>1</v>
      </c>
      <c r="E320" s="623"/>
      <c r="F320" s="108">
        <f t="shared" si="43"/>
        <v>0</v>
      </c>
      <c r="G320" s="108">
        <v>0</v>
      </c>
      <c r="H320" s="108">
        <f t="shared" si="44"/>
        <v>0</v>
      </c>
      <c r="I320" s="108">
        <f t="shared" si="45"/>
        <v>0</v>
      </c>
      <c r="J320" s="108">
        <f t="shared" si="45"/>
        <v>0</v>
      </c>
      <c r="K320" s="108">
        <v>0</v>
      </c>
      <c r="L320" s="108">
        <f t="shared" si="46"/>
        <v>0</v>
      </c>
    </row>
    <row r="321" spans="1:12">
      <c r="A321" s="107" t="s">
        <v>1597</v>
      </c>
      <c r="B321" s="109" t="s">
        <v>2897</v>
      </c>
      <c r="C321" s="107" t="s">
        <v>2697</v>
      </c>
      <c r="D321" s="108">
        <v>1</v>
      </c>
      <c r="E321" s="623"/>
      <c r="F321" s="108">
        <f t="shared" si="43"/>
        <v>0</v>
      </c>
      <c r="G321" s="108">
        <v>0</v>
      </c>
      <c r="H321" s="108">
        <f t="shared" si="44"/>
        <v>0</v>
      </c>
      <c r="I321" s="108">
        <f t="shared" si="45"/>
        <v>0</v>
      </c>
      <c r="J321" s="108">
        <f t="shared" si="45"/>
        <v>0</v>
      </c>
      <c r="K321" s="108">
        <v>0</v>
      </c>
      <c r="L321" s="108">
        <f t="shared" si="46"/>
        <v>0</v>
      </c>
    </row>
    <row r="322" spans="1:12">
      <c r="A322" s="107" t="s">
        <v>1597</v>
      </c>
      <c r="B322" s="109" t="s">
        <v>2701</v>
      </c>
      <c r="C322" s="107" t="s">
        <v>2697</v>
      </c>
      <c r="D322" s="108">
        <v>1</v>
      </c>
      <c r="E322" s="623"/>
      <c r="F322" s="108">
        <f t="shared" si="43"/>
        <v>0</v>
      </c>
      <c r="G322" s="108">
        <v>0</v>
      </c>
      <c r="H322" s="108">
        <f t="shared" si="44"/>
        <v>0</v>
      </c>
      <c r="I322" s="108">
        <f t="shared" si="45"/>
        <v>0</v>
      </c>
      <c r="J322" s="108">
        <f t="shared" si="45"/>
        <v>0</v>
      </c>
      <c r="K322" s="108">
        <v>0</v>
      </c>
      <c r="L322" s="108">
        <f t="shared" si="46"/>
        <v>0</v>
      </c>
    </row>
    <row r="323" spans="1:12">
      <c r="A323" s="107" t="s">
        <v>1597</v>
      </c>
      <c r="B323" s="109" t="s">
        <v>2861</v>
      </c>
      <c r="C323" s="107" t="s">
        <v>2709</v>
      </c>
      <c r="D323" s="108">
        <v>1</v>
      </c>
      <c r="E323" s="623"/>
      <c r="F323" s="108">
        <f t="shared" si="43"/>
        <v>0</v>
      </c>
      <c r="G323" s="108">
        <v>0</v>
      </c>
      <c r="H323" s="108">
        <f t="shared" si="44"/>
        <v>0</v>
      </c>
      <c r="I323" s="108">
        <f t="shared" si="45"/>
        <v>0</v>
      </c>
      <c r="J323" s="108">
        <f t="shared" si="45"/>
        <v>0</v>
      </c>
      <c r="K323" s="108">
        <v>0</v>
      </c>
      <c r="L323" s="108">
        <f t="shared" si="46"/>
        <v>0</v>
      </c>
    </row>
    <row r="324" spans="1:12">
      <c r="A324" s="107" t="s">
        <v>1597</v>
      </c>
      <c r="B324" s="109" t="s">
        <v>2702</v>
      </c>
      <c r="C324" s="107" t="s">
        <v>2697</v>
      </c>
      <c r="D324" s="108">
        <v>1</v>
      </c>
      <c r="E324" s="623"/>
      <c r="F324" s="108">
        <f t="shared" si="43"/>
        <v>0</v>
      </c>
      <c r="G324" s="108">
        <v>0</v>
      </c>
      <c r="H324" s="108">
        <f t="shared" si="44"/>
        <v>0</v>
      </c>
      <c r="I324" s="108">
        <f t="shared" si="45"/>
        <v>0</v>
      </c>
      <c r="J324" s="108">
        <f t="shared" si="45"/>
        <v>0</v>
      </c>
      <c r="K324" s="108">
        <v>0</v>
      </c>
      <c r="L324" s="108">
        <f t="shared" si="46"/>
        <v>0</v>
      </c>
    </row>
    <row r="325" spans="1:12">
      <c r="A325" s="107" t="s">
        <v>2942</v>
      </c>
      <c r="B325" s="109" t="s">
        <v>2749</v>
      </c>
      <c r="C325" s="107" t="s">
        <v>1597</v>
      </c>
      <c r="D325" s="108"/>
      <c r="E325" s="108"/>
      <c r="F325" s="108"/>
      <c r="G325" s="108"/>
      <c r="H325" s="108"/>
      <c r="I325" s="108">
        <f t="shared" si="45"/>
        <v>0</v>
      </c>
      <c r="J325" s="108">
        <f t="shared" si="45"/>
        <v>0</v>
      </c>
      <c r="K325" s="108"/>
      <c r="L325" s="108"/>
    </row>
    <row r="326" spans="1:12" ht="29">
      <c r="A326" s="107" t="s">
        <v>1597</v>
      </c>
      <c r="B326" s="109" t="s">
        <v>2869</v>
      </c>
      <c r="C326" s="107" t="s">
        <v>1597</v>
      </c>
      <c r="D326" s="108"/>
      <c r="E326" s="108"/>
      <c r="F326" s="108"/>
      <c r="G326" s="108"/>
      <c r="H326" s="108"/>
      <c r="I326" s="108"/>
      <c r="J326" s="108"/>
      <c r="K326" s="108"/>
      <c r="L326" s="108"/>
    </row>
    <row r="327" spans="1:12">
      <c r="A327" s="107" t="s">
        <v>2943</v>
      </c>
      <c r="B327" s="109" t="s">
        <v>2921</v>
      </c>
      <c r="C327" s="107" t="s">
        <v>2697</v>
      </c>
      <c r="D327" s="108">
        <v>6</v>
      </c>
      <c r="E327" s="623"/>
      <c r="F327" s="108">
        <f>D327*E327</f>
        <v>0</v>
      </c>
      <c r="G327" s="623"/>
      <c r="H327" s="108">
        <f>D327*G327</f>
        <v>0</v>
      </c>
      <c r="I327" s="108">
        <f>E327+G327</f>
        <v>0</v>
      </c>
      <c r="J327" s="108">
        <f>F327+H327</f>
        <v>0</v>
      </c>
      <c r="K327" s="108">
        <v>9.1</v>
      </c>
      <c r="L327" s="108">
        <f>D327*K327</f>
        <v>54.599999999999994</v>
      </c>
    </row>
    <row r="328" spans="1:12">
      <c r="A328" s="107" t="s">
        <v>2944</v>
      </c>
      <c r="B328" s="109" t="s">
        <v>2923</v>
      </c>
      <c r="C328" s="107" t="s">
        <v>2697</v>
      </c>
      <c r="D328" s="108">
        <v>2</v>
      </c>
      <c r="E328" s="623"/>
      <c r="F328" s="108">
        <f>D328*E328</f>
        <v>0</v>
      </c>
      <c r="G328" s="623"/>
      <c r="H328" s="108">
        <f>D328*G328</f>
        <v>0</v>
      </c>
      <c r="I328" s="108">
        <f>E328+G328</f>
        <v>0</v>
      </c>
      <c r="J328" s="108">
        <f>F328+H328</f>
        <v>0</v>
      </c>
      <c r="K328" s="108">
        <v>6.5</v>
      </c>
      <c r="L328" s="108">
        <f>D328*K328</f>
        <v>13</v>
      </c>
    </row>
    <row r="329" spans="1:12" ht="29">
      <c r="A329" s="107" t="s">
        <v>1597</v>
      </c>
      <c r="B329" s="109" t="s">
        <v>2876</v>
      </c>
      <c r="C329" s="107" t="s">
        <v>1597</v>
      </c>
      <c r="D329" s="108"/>
      <c r="E329" s="108"/>
      <c r="F329" s="108"/>
      <c r="G329" s="108"/>
      <c r="H329" s="108"/>
      <c r="I329" s="108"/>
      <c r="J329" s="108"/>
      <c r="K329" s="108"/>
      <c r="L329" s="108"/>
    </row>
    <row r="330" spans="1:12">
      <c r="A330" s="107" t="s">
        <v>2945</v>
      </c>
      <c r="B330" s="109" t="s">
        <v>2946</v>
      </c>
      <c r="C330" s="107" t="s">
        <v>2697</v>
      </c>
      <c r="D330" s="108">
        <v>1</v>
      </c>
      <c r="E330" s="623"/>
      <c r="F330" s="108">
        <f>D330*E330</f>
        <v>0</v>
      </c>
      <c r="G330" s="623"/>
      <c r="H330" s="108">
        <f>D330*G330</f>
        <v>0</v>
      </c>
      <c r="I330" s="108">
        <f>E330+G330</f>
        <v>0</v>
      </c>
      <c r="J330" s="108">
        <f>F330+H330</f>
        <v>0</v>
      </c>
      <c r="K330" s="108">
        <v>0.3</v>
      </c>
      <c r="L330" s="108">
        <f>D330*K330</f>
        <v>0.3</v>
      </c>
    </row>
    <row r="331" spans="1:12">
      <c r="A331" s="107" t="s">
        <v>2947</v>
      </c>
      <c r="B331" s="109" t="s">
        <v>2749</v>
      </c>
      <c r="C331" s="107" t="s">
        <v>1597</v>
      </c>
      <c r="D331" s="108"/>
      <c r="E331" s="108"/>
      <c r="F331" s="108"/>
      <c r="G331" s="108"/>
      <c r="H331" s="108"/>
      <c r="I331" s="108"/>
      <c r="J331" s="108"/>
      <c r="K331" s="108"/>
      <c r="L331" s="108"/>
    </row>
    <row r="332" spans="1:12">
      <c r="A332" s="107" t="s">
        <v>1597</v>
      </c>
      <c r="B332" s="109" t="s">
        <v>3661</v>
      </c>
      <c r="C332" s="107" t="s">
        <v>1597</v>
      </c>
      <c r="D332" s="108"/>
      <c r="E332" s="108"/>
      <c r="F332" s="108"/>
      <c r="G332" s="108"/>
      <c r="H332" s="108"/>
      <c r="I332" s="108"/>
      <c r="J332" s="108"/>
      <c r="K332" s="108"/>
      <c r="L332" s="108"/>
    </row>
    <row r="333" spans="1:12">
      <c r="A333" s="107" t="s">
        <v>2948</v>
      </c>
      <c r="B333" s="109" t="s">
        <v>2739</v>
      </c>
      <c r="C333" s="107" t="s">
        <v>2697</v>
      </c>
      <c r="D333" s="108">
        <v>1</v>
      </c>
      <c r="E333" s="623"/>
      <c r="F333" s="108">
        <f>D333*E333</f>
        <v>0</v>
      </c>
      <c r="G333" s="623"/>
      <c r="H333" s="108">
        <f>D333*G333</f>
        <v>0</v>
      </c>
      <c r="I333" s="108">
        <f>E333+G333</f>
        <v>0</v>
      </c>
      <c r="J333" s="108">
        <f>F333+H333</f>
        <v>0</v>
      </c>
      <c r="K333" s="108">
        <v>2.38</v>
      </c>
      <c r="L333" s="108">
        <f>D333*K333</f>
        <v>2.38</v>
      </c>
    </row>
    <row r="334" spans="1:12" ht="29">
      <c r="A334" s="107" t="s">
        <v>1597</v>
      </c>
      <c r="B334" s="109" t="s">
        <v>2835</v>
      </c>
      <c r="C334" s="107" t="s">
        <v>1597</v>
      </c>
      <c r="D334" s="108"/>
      <c r="E334" s="108"/>
      <c r="F334" s="108"/>
      <c r="G334" s="108"/>
      <c r="H334" s="108"/>
      <c r="I334" s="108"/>
      <c r="J334" s="108"/>
      <c r="K334" s="108"/>
      <c r="L334" s="108"/>
    </row>
    <row r="335" spans="1:12">
      <c r="A335" s="107" t="s">
        <v>2949</v>
      </c>
      <c r="B335" s="109" t="s">
        <v>2907</v>
      </c>
      <c r="C335" s="107" t="s">
        <v>2697</v>
      </c>
      <c r="D335" s="108">
        <v>1</v>
      </c>
      <c r="E335" s="623"/>
      <c r="F335" s="108">
        <f>D335*E335</f>
        <v>0</v>
      </c>
      <c r="G335" s="623"/>
      <c r="H335" s="108">
        <f>D335*G335</f>
        <v>0</v>
      </c>
      <c r="I335" s="108">
        <f t="shared" ref="I335:J337" si="47">E335+G335</f>
        <v>0</v>
      </c>
      <c r="J335" s="108">
        <f t="shared" si="47"/>
        <v>0</v>
      </c>
      <c r="K335" s="108">
        <v>0.3</v>
      </c>
      <c r="L335" s="108">
        <f>D335*K335</f>
        <v>0.3</v>
      </c>
    </row>
    <row r="336" spans="1:12">
      <c r="A336" s="107" t="s">
        <v>2950</v>
      </c>
      <c r="B336" s="109" t="s">
        <v>2837</v>
      </c>
      <c r="C336" s="107" t="s">
        <v>2697</v>
      </c>
      <c r="D336" s="108">
        <v>1</v>
      </c>
      <c r="E336" s="623"/>
      <c r="F336" s="108">
        <f>D336*E336</f>
        <v>0</v>
      </c>
      <c r="G336" s="623"/>
      <c r="H336" s="108">
        <f>D336*G336</f>
        <v>0</v>
      </c>
      <c r="I336" s="108">
        <f t="shared" si="47"/>
        <v>0</v>
      </c>
      <c r="J336" s="108">
        <f t="shared" si="47"/>
        <v>0</v>
      </c>
      <c r="K336" s="108">
        <v>0.3</v>
      </c>
      <c r="L336" s="108">
        <f>D336*K336</f>
        <v>0.3</v>
      </c>
    </row>
    <row r="337" spans="1:12">
      <c r="A337" s="107" t="s">
        <v>2951</v>
      </c>
      <c r="B337" s="109" t="s">
        <v>2839</v>
      </c>
      <c r="C337" s="107" t="s">
        <v>2697</v>
      </c>
      <c r="D337" s="108">
        <v>3</v>
      </c>
      <c r="E337" s="623"/>
      <c r="F337" s="108">
        <f>D337*E337</f>
        <v>0</v>
      </c>
      <c r="G337" s="623"/>
      <c r="H337" s="108">
        <f>D337*G337</f>
        <v>0</v>
      </c>
      <c r="I337" s="108">
        <f t="shared" si="47"/>
        <v>0</v>
      </c>
      <c r="J337" s="108">
        <f t="shared" si="47"/>
        <v>0</v>
      </c>
      <c r="K337" s="108">
        <v>0.3</v>
      </c>
      <c r="L337" s="108">
        <f>D337*K337</f>
        <v>0.89999999999999991</v>
      </c>
    </row>
    <row r="338" spans="1:12">
      <c r="A338" s="107" t="s">
        <v>2952</v>
      </c>
      <c r="B338" s="109" t="s">
        <v>2749</v>
      </c>
      <c r="C338" s="107" t="s">
        <v>1597</v>
      </c>
      <c r="D338" s="108"/>
      <c r="E338" s="108"/>
      <c r="F338" s="108"/>
      <c r="G338" s="108"/>
      <c r="H338" s="108"/>
      <c r="I338" s="108"/>
      <c r="J338" s="108"/>
      <c r="K338" s="108"/>
      <c r="L338" s="108"/>
    </row>
    <row r="339" spans="1:12" ht="29">
      <c r="A339" s="107" t="s">
        <v>1597</v>
      </c>
      <c r="B339" s="109" t="s">
        <v>2750</v>
      </c>
      <c r="C339" s="107" t="s">
        <v>1597</v>
      </c>
      <c r="D339" s="108"/>
      <c r="E339" s="108"/>
      <c r="F339" s="108"/>
      <c r="G339" s="108"/>
      <c r="H339" s="108"/>
      <c r="I339" s="108"/>
      <c r="J339" s="108"/>
      <c r="K339" s="108"/>
      <c r="L339" s="108"/>
    </row>
    <row r="340" spans="1:12">
      <c r="A340" s="107" t="s">
        <v>1597</v>
      </c>
      <c r="B340" s="109" t="s">
        <v>2751</v>
      </c>
      <c r="C340" s="107" t="s">
        <v>1597</v>
      </c>
      <c r="D340" s="108"/>
      <c r="E340" s="108"/>
      <c r="F340" s="108"/>
      <c r="G340" s="108"/>
      <c r="H340" s="108"/>
      <c r="I340" s="108"/>
      <c r="J340" s="108"/>
      <c r="K340" s="108"/>
      <c r="L340" s="108"/>
    </row>
    <row r="341" spans="1:12">
      <c r="A341" s="107" t="s">
        <v>2953</v>
      </c>
      <c r="B341" s="109" t="s">
        <v>2753</v>
      </c>
      <c r="C341" s="107" t="s">
        <v>2274</v>
      </c>
      <c r="D341" s="108">
        <v>4.26</v>
      </c>
      <c r="E341" s="623"/>
      <c r="F341" s="108">
        <f>D341*E341</f>
        <v>0</v>
      </c>
      <c r="G341" s="108">
        <v>0</v>
      </c>
      <c r="H341" s="108">
        <f>D341*G341</f>
        <v>0</v>
      </c>
      <c r="I341" s="108">
        <f>E341+G341</f>
        <v>0</v>
      </c>
      <c r="J341" s="108">
        <f>F341+H341</f>
        <v>0</v>
      </c>
      <c r="K341" s="108">
        <v>0</v>
      </c>
      <c r="L341" s="108">
        <f>D341*K341</f>
        <v>0</v>
      </c>
    </row>
    <row r="342" spans="1:12">
      <c r="A342" s="107" t="s">
        <v>2954</v>
      </c>
      <c r="B342" s="109" t="s">
        <v>2753</v>
      </c>
      <c r="C342" s="107" t="s">
        <v>2274</v>
      </c>
      <c r="D342" s="108">
        <v>3.28</v>
      </c>
      <c r="E342" s="623"/>
      <c r="F342" s="108">
        <f>D342*E342</f>
        <v>0</v>
      </c>
      <c r="G342" s="108">
        <v>0</v>
      </c>
      <c r="H342" s="108">
        <f>D342*G342</f>
        <v>0</v>
      </c>
      <c r="I342" s="108">
        <f>E342+G342</f>
        <v>0</v>
      </c>
      <c r="J342" s="108">
        <f>F342+H342</f>
        <v>0</v>
      </c>
      <c r="K342" s="108">
        <v>0</v>
      </c>
      <c r="L342" s="108">
        <f>D342*K342</f>
        <v>0</v>
      </c>
    </row>
    <row r="343" spans="1:12" ht="72.5">
      <c r="A343" s="107" t="s">
        <v>1597</v>
      </c>
      <c r="B343" s="109" t="s">
        <v>2757</v>
      </c>
      <c r="C343" s="107" t="s">
        <v>1597</v>
      </c>
      <c r="D343" s="108"/>
      <c r="E343" s="108"/>
      <c r="F343" s="108"/>
      <c r="G343" s="108"/>
      <c r="H343" s="108"/>
      <c r="I343" s="108"/>
      <c r="J343" s="108"/>
      <c r="K343" s="108"/>
      <c r="L343" s="108"/>
    </row>
    <row r="344" spans="1:12">
      <c r="A344" s="107" t="s">
        <v>2955</v>
      </c>
      <c r="B344" s="109" t="s">
        <v>2759</v>
      </c>
      <c r="C344" s="107" t="s">
        <v>2274</v>
      </c>
      <c r="D344" s="108">
        <v>0.23</v>
      </c>
      <c r="E344" s="623"/>
      <c r="F344" s="108">
        <f>D344*E344</f>
        <v>0</v>
      </c>
      <c r="G344" s="108">
        <v>0</v>
      </c>
      <c r="H344" s="108">
        <f>D344*G344</f>
        <v>0</v>
      </c>
      <c r="I344" s="108">
        <f>E344+G344</f>
        <v>0</v>
      </c>
      <c r="J344" s="108">
        <f>F344+H344</f>
        <v>0</v>
      </c>
      <c r="K344" s="108">
        <v>0</v>
      </c>
      <c r="L344" s="108">
        <f>D344*K344</f>
        <v>0</v>
      </c>
    </row>
    <row r="345" spans="1:12" ht="29">
      <c r="A345" s="107" t="s">
        <v>1597</v>
      </c>
      <c r="B345" s="109" t="s">
        <v>2763</v>
      </c>
      <c r="C345" s="107" t="s">
        <v>1597</v>
      </c>
      <c r="D345" s="108"/>
      <c r="E345" s="108"/>
      <c r="F345" s="108"/>
      <c r="G345" s="108"/>
      <c r="H345" s="108"/>
      <c r="I345" s="108"/>
      <c r="J345" s="108"/>
      <c r="K345" s="108"/>
      <c r="L345" s="108"/>
    </row>
    <row r="346" spans="1:12">
      <c r="A346" s="107" t="s">
        <v>1597</v>
      </c>
      <c r="B346" s="109" t="s">
        <v>2935</v>
      </c>
      <c r="C346" s="107" t="s">
        <v>2713</v>
      </c>
      <c r="D346" s="108">
        <v>0.3</v>
      </c>
      <c r="E346" s="623"/>
      <c r="F346" s="108">
        <f>D346*E346</f>
        <v>0</v>
      </c>
      <c r="G346" s="623"/>
      <c r="H346" s="108">
        <f>D346*G346</f>
        <v>0</v>
      </c>
      <c r="I346" s="108">
        <f>E346+G346</f>
        <v>0</v>
      </c>
      <c r="J346" s="108">
        <f>F346+H346</f>
        <v>0</v>
      </c>
      <c r="K346" s="108">
        <v>15</v>
      </c>
      <c r="L346" s="108">
        <f>D346*K346</f>
        <v>4.5</v>
      </c>
    </row>
    <row r="347" spans="1:12" ht="29">
      <c r="A347" s="107" t="s">
        <v>1597</v>
      </c>
      <c r="B347" s="109" t="s">
        <v>2771</v>
      </c>
      <c r="C347" s="107" t="s">
        <v>1597</v>
      </c>
      <c r="D347" s="108"/>
      <c r="E347" s="108"/>
      <c r="F347" s="108"/>
      <c r="G347" s="108"/>
      <c r="H347" s="108"/>
      <c r="I347" s="108"/>
      <c r="J347" s="108"/>
      <c r="K347" s="108"/>
      <c r="L347" s="108"/>
    </row>
    <row r="348" spans="1:12">
      <c r="A348" s="107" t="s">
        <v>1597</v>
      </c>
      <c r="B348" s="109" t="s">
        <v>2956</v>
      </c>
      <c r="C348" s="107" t="s">
        <v>2713</v>
      </c>
      <c r="D348" s="108">
        <v>1.8</v>
      </c>
      <c r="E348" s="623"/>
      <c r="F348" s="108">
        <f>D348*E348</f>
        <v>0</v>
      </c>
      <c r="G348" s="623"/>
      <c r="H348" s="108">
        <f>D348*G348</f>
        <v>0</v>
      </c>
      <c r="I348" s="108">
        <f t="shared" ref="I348:J350" si="48">E348+G348</f>
        <v>0</v>
      </c>
      <c r="J348" s="108">
        <f t="shared" si="48"/>
        <v>0</v>
      </c>
      <c r="K348" s="108">
        <v>2</v>
      </c>
      <c r="L348" s="108">
        <f>D348*K348</f>
        <v>3.6</v>
      </c>
    </row>
    <row r="349" spans="1:12">
      <c r="A349" s="107" t="s">
        <v>1597</v>
      </c>
      <c r="B349" s="109" t="s">
        <v>2957</v>
      </c>
      <c r="C349" s="107" t="s">
        <v>2713</v>
      </c>
      <c r="D349" s="108">
        <v>11.3</v>
      </c>
      <c r="E349" s="623"/>
      <c r="F349" s="108">
        <f>D349*E349</f>
        <v>0</v>
      </c>
      <c r="G349" s="623"/>
      <c r="H349" s="108">
        <f>D349*G349</f>
        <v>0</v>
      </c>
      <c r="I349" s="108">
        <f t="shared" si="48"/>
        <v>0</v>
      </c>
      <c r="J349" s="108">
        <f t="shared" si="48"/>
        <v>0</v>
      </c>
      <c r="K349" s="108">
        <v>3</v>
      </c>
      <c r="L349" s="108">
        <f>D349*K349</f>
        <v>33.900000000000006</v>
      </c>
    </row>
    <row r="350" spans="1:12">
      <c r="A350" s="107" t="s">
        <v>1597</v>
      </c>
      <c r="B350" s="109" t="s">
        <v>2958</v>
      </c>
      <c r="C350" s="107" t="s">
        <v>2713</v>
      </c>
      <c r="D350" s="108">
        <v>16.3</v>
      </c>
      <c r="E350" s="623"/>
      <c r="F350" s="108">
        <f>D350*E350</f>
        <v>0</v>
      </c>
      <c r="G350" s="623"/>
      <c r="H350" s="108">
        <f>D350*G350</f>
        <v>0</v>
      </c>
      <c r="I350" s="108">
        <f t="shared" si="48"/>
        <v>0</v>
      </c>
      <c r="J350" s="108">
        <f t="shared" si="48"/>
        <v>0</v>
      </c>
      <c r="K350" s="108">
        <v>5</v>
      </c>
      <c r="L350" s="108">
        <f>D350*K350</f>
        <v>81.5</v>
      </c>
    </row>
    <row r="351" spans="1:12" ht="29">
      <c r="A351" s="107" t="s">
        <v>1597</v>
      </c>
      <c r="B351" s="109" t="s">
        <v>2959</v>
      </c>
      <c r="C351" s="107" t="s">
        <v>1597</v>
      </c>
      <c r="D351" s="108"/>
      <c r="E351" s="108"/>
      <c r="F351" s="108"/>
      <c r="G351" s="108"/>
      <c r="H351" s="108"/>
      <c r="I351" s="108"/>
      <c r="J351" s="108"/>
      <c r="K351" s="108"/>
      <c r="L351" s="108"/>
    </row>
    <row r="352" spans="1:12">
      <c r="A352" s="107" t="s">
        <v>1597</v>
      </c>
      <c r="B352" s="109" t="s">
        <v>2958</v>
      </c>
      <c r="C352" s="107" t="s">
        <v>2713</v>
      </c>
      <c r="D352" s="108">
        <v>5.0999999999999996</v>
      </c>
      <c r="E352" s="623"/>
      <c r="F352" s="108">
        <f>D352*E352</f>
        <v>0</v>
      </c>
      <c r="G352" s="623"/>
      <c r="H352" s="108">
        <f>D352*G352</f>
        <v>0</v>
      </c>
      <c r="I352" s="108">
        <f>E352+G352</f>
        <v>0</v>
      </c>
      <c r="J352" s="108">
        <f>F352+H352</f>
        <v>0</v>
      </c>
      <c r="K352" s="108">
        <v>5</v>
      </c>
      <c r="L352" s="108">
        <f>D352*K352</f>
        <v>25.5</v>
      </c>
    </row>
    <row r="353" spans="1:12" ht="43.5">
      <c r="A353" s="107" t="s">
        <v>1597</v>
      </c>
      <c r="B353" s="109" t="s">
        <v>2774</v>
      </c>
      <c r="C353" s="107" t="s">
        <v>1597</v>
      </c>
      <c r="D353" s="108"/>
      <c r="E353" s="108"/>
      <c r="F353" s="108"/>
      <c r="G353" s="108"/>
      <c r="H353" s="108"/>
      <c r="I353" s="108"/>
      <c r="J353" s="108"/>
      <c r="K353" s="108"/>
      <c r="L353" s="108"/>
    </row>
    <row r="354" spans="1:12">
      <c r="A354" s="107" t="s">
        <v>1597</v>
      </c>
      <c r="B354" s="109" t="s">
        <v>2775</v>
      </c>
      <c r="C354" s="107" t="s">
        <v>1781</v>
      </c>
      <c r="D354" s="108">
        <v>1</v>
      </c>
      <c r="E354" s="623"/>
      <c r="F354" s="108">
        <f>D354*E354</f>
        <v>0</v>
      </c>
      <c r="G354" s="108">
        <v>0</v>
      </c>
      <c r="H354" s="108">
        <f>D354*G354</f>
        <v>0</v>
      </c>
      <c r="I354" s="108">
        <f>E354+G354</f>
        <v>0</v>
      </c>
      <c r="J354" s="108">
        <f>F354+H354</f>
        <v>0</v>
      </c>
      <c r="K354" s="108">
        <v>0</v>
      </c>
      <c r="L354" s="108">
        <f>D354*K354</f>
        <v>0</v>
      </c>
    </row>
    <row r="355" spans="1:12">
      <c r="A355" s="107" t="s">
        <v>1597</v>
      </c>
      <c r="B355" s="109" t="s">
        <v>2960</v>
      </c>
      <c r="C355" s="107" t="s">
        <v>1597</v>
      </c>
      <c r="D355" s="108"/>
      <c r="E355" s="108"/>
      <c r="F355" s="108">
        <f>SUM(F317:F354)</f>
        <v>0</v>
      </c>
      <c r="G355" s="108"/>
      <c r="H355" s="108">
        <f>SUM(H317:H354)</f>
        <v>0</v>
      </c>
      <c r="I355" s="108"/>
      <c r="J355" s="108">
        <f>SUM(J317:J354)</f>
        <v>0</v>
      </c>
      <c r="K355" s="108"/>
      <c r="L355" s="108">
        <f>SUM(L317:L354)</f>
        <v>294.78000000000003</v>
      </c>
    </row>
    <row r="356" spans="1:12">
      <c r="A356" s="107" t="s">
        <v>1597</v>
      </c>
      <c r="B356" s="109" t="s">
        <v>1597</v>
      </c>
      <c r="C356" s="107" t="s">
        <v>1597</v>
      </c>
      <c r="D356" s="108"/>
      <c r="E356" s="108"/>
      <c r="F356" s="108"/>
      <c r="G356" s="108"/>
      <c r="H356" s="108"/>
      <c r="I356" s="108"/>
      <c r="J356" s="108"/>
      <c r="K356" s="108"/>
      <c r="L356" s="108"/>
    </row>
    <row r="357" spans="1:12">
      <c r="A357" s="107" t="s">
        <v>1597</v>
      </c>
      <c r="B357" s="109" t="s">
        <v>1597</v>
      </c>
      <c r="C357" s="107" t="s">
        <v>1597</v>
      </c>
      <c r="D357" s="108"/>
      <c r="E357" s="108"/>
      <c r="F357" s="108"/>
      <c r="G357" s="108"/>
      <c r="H357" s="108"/>
      <c r="I357" s="108"/>
      <c r="J357" s="108"/>
      <c r="K357" s="108"/>
      <c r="L357" s="108"/>
    </row>
    <row r="358" spans="1:12">
      <c r="A358" s="107" t="s">
        <v>1597</v>
      </c>
      <c r="B358" s="109" t="s">
        <v>2961</v>
      </c>
      <c r="C358" s="107" t="s">
        <v>1597</v>
      </c>
      <c r="D358" s="108"/>
      <c r="E358" s="108"/>
      <c r="F358" s="108"/>
      <c r="G358" s="108"/>
      <c r="H358" s="108"/>
      <c r="I358" s="108"/>
      <c r="J358" s="108"/>
      <c r="K358" s="108"/>
      <c r="L358" s="108"/>
    </row>
    <row r="359" spans="1:12">
      <c r="A359" s="107" t="s">
        <v>1597</v>
      </c>
      <c r="B359" s="109" t="s">
        <v>2962</v>
      </c>
      <c r="C359" s="107" t="s">
        <v>1781</v>
      </c>
      <c r="D359" s="108">
        <v>1</v>
      </c>
      <c r="E359" s="623"/>
      <c r="F359" s="108">
        <f t="shared" ref="F359:F364" si="49">D359*E359</f>
        <v>0</v>
      </c>
      <c r="G359" s="108">
        <v>0</v>
      </c>
      <c r="H359" s="108">
        <f t="shared" ref="H359:H364" si="50">D359*G359</f>
        <v>0</v>
      </c>
      <c r="I359" s="108">
        <f t="shared" ref="I359:J364" si="51">E359+G359</f>
        <v>0</v>
      </c>
      <c r="J359" s="108">
        <f t="shared" si="51"/>
        <v>0</v>
      </c>
      <c r="K359" s="108">
        <v>0</v>
      </c>
      <c r="L359" s="108">
        <f t="shared" ref="L359:L364" si="52">D359*K359</f>
        <v>0</v>
      </c>
    </row>
    <row r="360" spans="1:12">
      <c r="A360" s="107" t="s">
        <v>1597</v>
      </c>
      <c r="B360" s="109" t="s">
        <v>2963</v>
      </c>
      <c r="C360" s="107" t="s">
        <v>1781</v>
      </c>
      <c r="D360" s="108">
        <v>1</v>
      </c>
      <c r="E360" s="623"/>
      <c r="F360" s="108">
        <f t="shared" si="49"/>
        <v>0</v>
      </c>
      <c r="G360" s="108">
        <v>0</v>
      </c>
      <c r="H360" s="108">
        <f t="shared" si="50"/>
        <v>0</v>
      </c>
      <c r="I360" s="108">
        <f t="shared" si="51"/>
        <v>0</v>
      </c>
      <c r="J360" s="108">
        <f t="shared" si="51"/>
        <v>0</v>
      </c>
      <c r="K360" s="108">
        <v>0</v>
      </c>
      <c r="L360" s="108">
        <f t="shared" si="52"/>
        <v>0</v>
      </c>
    </row>
    <row r="361" spans="1:12">
      <c r="A361" s="107" t="s">
        <v>1597</v>
      </c>
      <c r="B361" s="109" t="s">
        <v>2964</v>
      </c>
      <c r="C361" s="107" t="s">
        <v>1781</v>
      </c>
      <c r="D361" s="108">
        <v>1</v>
      </c>
      <c r="E361" s="623"/>
      <c r="F361" s="108">
        <f t="shared" si="49"/>
        <v>0</v>
      </c>
      <c r="G361" s="108">
        <v>0</v>
      </c>
      <c r="H361" s="108">
        <f t="shared" si="50"/>
        <v>0</v>
      </c>
      <c r="I361" s="108">
        <f t="shared" si="51"/>
        <v>0</v>
      </c>
      <c r="J361" s="108">
        <f t="shared" si="51"/>
        <v>0</v>
      </c>
      <c r="K361" s="108">
        <v>0</v>
      </c>
      <c r="L361" s="108">
        <f t="shared" si="52"/>
        <v>0</v>
      </c>
    </row>
    <row r="362" spans="1:12">
      <c r="A362" s="107" t="s">
        <v>1597</v>
      </c>
      <c r="B362" s="109" t="s">
        <v>2965</v>
      </c>
      <c r="C362" s="107" t="s">
        <v>1781</v>
      </c>
      <c r="D362" s="108">
        <v>1</v>
      </c>
      <c r="E362" s="623"/>
      <c r="F362" s="108">
        <f t="shared" si="49"/>
        <v>0</v>
      </c>
      <c r="G362" s="108">
        <v>0</v>
      </c>
      <c r="H362" s="108">
        <f t="shared" si="50"/>
        <v>0</v>
      </c>
      <c r="I362" s="108">
        <f t="shared" si="51"/>
        <v>0</v>
      </c>
      <c r="J362" s="108">
        <f t="shared" si="51"/>
        <v>0</v>
      </c>
      <c r="K362" s="108">
        <v>0</v>
      </c>
      <c r="L362" s="108">
        <f t="shared" si="52"/>
        <v>0</v>
      </c>
    </row>
    <row r="363" spans="1:12">
      <c r="A363" s="107" t="s">
        <v>1597</v>
      </c>
      <c r="B363" s="109" t="s">
        <v>2966</v>
      </c>
      <c r="C363" s="107" t="s">
        <v>1781</v>
      </c>
      <c r="D363" s="108">
        <v>1</v>
      </c>
      <c r="E363" s="623"/>
      <c r="F363" s="108">
        <f t="shared" si="49"/>
        <v>0</v>
      </c>
      <c r="G363" s="108">
        <v>0</v>
      </c>
      <c r="H363" s="108">
        <f t="shared" si="50"/>
        <v>0</v>
      </c>
      <c r="I363" s="108">
        <f t="shared" si="51"/>
        <v>0</v>
      </c>
      <c r="J363" s="108">
        <f t="shared" si="51"/>
        <v>0</v>
      </c>
      <c r="K363" s="108">
        <v>0</v>
      </c>
      <c r="L363" s="108">
        <f t="shared" si="52"/>
        <v>0</v>
      </c>
    </row>
    <row r="364" spans="1:12">
      <c r="A364" s="107" t="s">
        <v>1597</v>
      </c>
      <c r="B364" s="109" t="s">
        <v>2967</v>
      </c>
      <c r="C364" s="107" t="s">
        <v>1781</v>
      </c>
      <c r="D364" s="108">
        <v>1</v>
      </c>
      <c r="E364" s="623"/>
      <c r="F364" s="108">
        <f t="shared" si="49"/>
        <v>0</v>
      </c>
      <c r="G364" s="108">
        <v>0</v>
      </c>
      <c r="H364" s="108">
        <f t="shared" si="50"/>
        <v>0</v>
      </c>
      <c r="I364" s="108">
        <f t="shared" si="51"/>
        <v>0</v>
      </c>
      <c r="J364" s="108">
        <f t="shared" si="51"/>
        <v>0</v>
      </c>
      <c r="K364" s="108">
        <v>0</v>
      </c>
      <c r="L364" s="108">
        <f t="shared" si="52"/>
        <v>0</v>
      </c>
    </row>
    <row r="365" spans="1:12">
      <c r="A365" s="107" t="s">
        <v>1597</v>
      </c>
      <c r="B365" s="109" t="s">
        <v>2968</v>
      </c>
      <c r="C365" s="107" t="s">
        <v>1597</v>
      </c>
      <c r="D365" s="108"/>
      <c r="E365" s="108"/>
      <c r="F365" s="108">
        <f>SUM(F359:F364)</f>
        <v>0</v>
      </c>
      <c r="G365" s="108"/>
      <c r="H365" s="108">
        <f>SUM(H359:H364)</f>
        <v>0</v>
      </c>
      <c r="I365" s="108"/>
      <c r="J365" s="108">
        <f>SUM(J359:J364)</f>
        <v>0</v>
      </c>
      <c r="K365" s="108"/>
      <c r="L365" s="108">
        <f>SUM(L359:L364)</f>
        <v>0</v>
      </c>
    </row>
    <row r="366" spans="1:12">
      <c r="A366" s="107" t="s">
        <v>1597</v>
      </c>
      <c r="B366" s="109" t="s">
        <v>1597</v>
      </c>
      <c r="C366" s="107" t="s">
        <v>1597</v>
      </c>
      <c r="D366" s="108"/>
      <c r="E366" s="108"/>
      <c r="F366" s="108"/>
      <c r="G366" s="108"/>
      <c r="H366" s="108"/>
      <c r="I366" s="108"/>
      <c r="J366" s="108"/>
      <c r="K366" s="108"/>
      <c r="L366" s="108"/>
    </row>
    <row r="367" spans="1:12">
      <c r="A367" s="107" t="s">
        <v>1597</v>
      </c>
      <c r="B367" s="109" t="s">
        <v>1597</v>
      </c>
      <c r="C367" s="107" t="s">
        <v>1597</v>
      </c>
      <c r="D367" s="108"/>
      <c r="E367" s="108"/>
      <c r="F367" s="108"/>
      <c r="G367" s="108"/>
      <c r="H367" s="108"/>
      <c r="I367" s="108"/>
      <c r="J367" s="108"/>
      <c r="K367" s="108"/>
      <c r="L367" s="108"/>
    </row>
    <row r="368" spans="1:12">
      <c r="A368" s="107" t="s">
        <v>1597</v>
      </c>
      <c r="B368" s="109" t="s">
        <v>2969</v>
      </c>
      <c r="C368" s="107" t="s">
        <v>1597</v>
      </c>
      <c r="D368" s="108"/>
      <c r="E368" s="108"/>
      <c r="F368" s="108"/>
      <c r="G368" s="108"/>
      <c r="H368" s="108"/>
      <c r="I368" s="108">
        <f t="shared" ref="I368:J376" si="53">E368+G368</f>
        <v>0</v>
      </c>
      <c r="J368" s="108">
        <f t="shared" si="53"/>
        <v>0</v>
      </c>
      <c r="K368" s="108"/>
      <c r="L368" s="108"/>
    </row>
    <row r="369" spans="1:12">
      <c r="A369" s="107" t="s">
        <v>1597</v>
      </c>
      <c r="B369" s="109" t="s">
        <v>2970</v>
      </c>
      <c r="C369" s="107" t="s">
        <v>2697</v>
      </c>
      <c r="D369" s="108">
        <v>1</v>
      </c>
      <c r="E369" s="623"/>
      <c r="F369" s="108">
        <f t="shared" ref="F369:F375" si="54">D369*E369</f>
        <v>0</v>
      </c>
      <c r="G369" s="108">
        <v>0</v>
      </c>
      <c r="H369" s="108">
        <f t="shared" ref="H369:H375" si="55">D369*G369</f>
        <v>0</v>
      </c>
      <c r="I369" s="108">
        <f t="shared" si="53"/>
        <v>0</v>
      </c>
      <c r="J369" s="108">
        <f t="shared" si="53"/>
        <v>0</v>
      </c>
      <c r="K369" s="108">
        <v>0</v>
      </c>
      <c r="L369" s="108">
        <f t="shared" ref="L369:L375" si="56">D369*K369</f>
        <v>0</v>
      </c>
    </row>
    <row r="370" spans="1:12">
      <c r="A370" s="107" t="s">
        <v>1597</v>
      </c>
      <c r="B370" s="109" t="s">
        <v>2971</v>
      </c>
      <c r="C370" s="107" t="s">
        <v>2697</v>
      </c>
      <c r="D370" s="108">
        <v>1</v>
      </c>
      <c r="E370" s="623"/>
      <c r="F370" s="108">
        <f t="shared" si="54"/>
        <v>0</v>
      </c>
      <c r="G370" s="108">
        <v>0</v>
      </c>
      <c r="H370" s="108">
        <f t="shared" si="55"/>
        <v>0</v>
      </c>
      <c r="I370" s="108">
        <f t="shared" si="53"/>
        <v>0</v>
      </c>
      <c r="J370" s="108">
        <f t="shared" si="53"/>
        <v>0</v>
      </c>
      <c r="K370" s="108">
        <v>0</v>
      </c>
      <c r="L370" s="108">
        <f t="shared" si="56"/>
        <v>0</v>
      </c>
    </row>
    <row r="371" spans="1:12">
      <c r="A371" s="107" t="s">
        <v>1597</v>
      </c>
      <c r="B371" s="109" t="s">
        <v>2702</v>
      </c>
      <c r="C371" s="107" t="s">
        <v>2697</v>
      </c>
      <c r="D371" s="108">
        <v>1</v>
      </c>
      <c r="E371" s="623"/>
      <c r="F371" s="108">
        <f t="shared" si="54"/>
        <v>0</v>
      </c>
      <c r="G371" s="108">
        <v>0</v>
      </c>
      <c r="H371" s="108">
        <f t="shared" si="55"/>
        <v>0</v>
      </c>
      <c r="I371" s="108">
        <f t="shared" si="53"/>
        <v>0</v>
      </c>
      <c r="J371" s="108">
        <f t="shared" si="53"/>
        <v>0</v>
      </c>
      <c r="K371" s="108">
        <v>0</v>
      </c>
      <c r="L371" s="108">
        <f t="shared" si="56"/>
        <v>0</v>
      </c>
    </row>
    <row r="372" spans="1:12">
      <c r="A372" s="107" t="s">
        <v>1597</v>
      </c>
      <c r="B372" s="109" t="s">
        <v>2972</v>
      </c>
      <c r="C372" s="107" t="s">
        <v>2697</v>
      </c>
      <c r="D372" s="108">
        <v>1</v>
      </c>
      <c r="E372" s="623"/>
      <c r="F372" s="108">
        <f t="shared" si="54"/>
        <v>0</v>
      </c>
      <c r="G372" s="108">
        <v>0</v>
      </c>
      <c r="H372" s="108">
        <f t="shared" si="55"/>
        <v>0</v>
      </c>
      <c r="I372" s="108">
        <f t="shared" si="53"/>
        <v>0</v>
      </c>
      <c r="J372" s="108">
        <f t="shared" si="53"/>
        <v>0</v>
      </c>
      <c r="K372" s="108">
        <v>0</v>
      </c>
      <c r="L372" s="108">
        <f t="shared" si="56"/>
        <v>0</v>
      </c>
    </row>
    <row r="373" spans="1:12">
      <c r="A373" s="107" t="s">
        <v>1597</v>
      </c>
      <c r="B373" s="109" t="s">
        <v>2973</v>
      </c>
      <c r="C373" s="107" t="s">
        <v>2697</v>
      </c>
      <c r="D373" s="108">
        <v>1</v>
      </c>
      <c r="E373" s="623"/>
      <c r="F373" s="108">
        <f t="shared" si="54"/>
        <v>0</v>
      </c>
      <c r="G373" s="108">
        <v>0</v>
      </c>
      <c r="H373" s="108">
        <f t="shared" si="55"/>
        <v>0</v>
      </c>
      <c r="I373" s="108">
        <f t="shared" si="53"/>
        <v>0</v>
      </c>
      <c r="J373" s="108">
        <f t="shared" si="53"/>
        <v>0</v>
      </c>
      <c r="K373" s="108">
        <v>0</v>
      </c>
      <c r="L373" s="108">
        <f t="shared" si="56"/>
        <v>0</v>
      </c>
    </row>
    <row r="374" spans="1:12">
      <c r="A374" s="107" t="s">
        <v>1597</v>
      </c>
      <c r="B374" s="109" t="s">
        <v>2974</v>
      </c>
      <c r="C374" s="107" t="s">
        <v>2697</v>
      </c>
      <c r="D374" s="108">
        <v>1</v>
      </c>
      <c r="E374" s="623"/>
      <c r="F374" s="108">
        <f t="shared" si="54"/>
        <v>0</v>
      </c>
      <c r="G374" s="108">
        <v>0</v>
      </c>
      <c r="H374" s="108">
        <f t="shared" si="55"/>
        <v>0</v>
      </c>
      <c r="I374" s="108">
        <f t="shared" si="53"/>
        <v>0</v>
      </c>
      <c r="J374" s="108">
        <f t="shared" si="53"/>
        <v>0</v>
      </c>
      <c r="K374" s="108">
        <v>0</v>
      </c>
      <c r="L374" s="108">
        <f t="shared" si="56"/>
        <v>0</v>
      </c>
    </row>
    <row r="375" spans="1:12">
      <c r="A375" s="107" t="s">
        <v>1597</v>
      </c>
      <c r="B375" s="109" t="s">
        <v>2703</v>
      </c>
      <c r="C375" s="107" t="s">
        <v>2697</v>
      </c>
      <c r="D375" s="108">
        <v>1</v>
      </c>
      <c r="E375" s="623"/>
      <c r="F375" s="108">
        <f t="shared" si="54"/>
        <v>0</v>
      </c>
      <c r="G375" s="108">
        <v>0</v>
      </c>
      <c r="H375" s="108">
        <f t="shared" si="55"/>
        <v>0</v>
      </c>
      <c r="I375" s="108">
        <f t="shared" si="53"/>
        <v>0</v>
      </c>
      <c r="J375" s="108">
        <f t="shared" si="53"/>
        <v>0</v>
      </c>
      <c r="K375" s="108">
        <v>0</v>
      </c>
      <c r="L375" s="108">
        <f t="shared" si="56"/>
        <v>0</v>
      </c>
    </row>
    <row r="376" spans="1:12">
      <c r="A376" s="107" t="s">
        <v>1597</v>
      </c>
      <c r="B376" s="109" t="s">
        <v>2969</v>
      </c>
      <c r="C376" s="107" t="s">
        <v>1597</v>
      </c>
      <c r="D376" s="108"/>
      <c r="E376" s="108"/>
      <c r="F376" s="108"/>
      <c r="G376" s="108"/>
      <c r="H376" s="108"/>
      <c r="I376" s="108">
        <f t="shared" si="53"/>
        <v>0</v>
      </c>
      <c r="J376" s="108">
        <f t="shared" si="53"/>
        <v>0</v>
      </c>
      <c r="K376" s="108"/>
      <c r="L376" s="108"/>
    </row>
  </sheetData>
  <pageMargins left="0.7" right="0.7" top="0.78740157499999996" bottom="0.78740157499999996" header="0.3" footer="0.3"/>
  <pageSetup paperSize="9" scale="39" orientation="portrait" r:id="rId1"/>
  <rowBreaks count="6" manualBreakCount="6">
    <brk id="71" max="16383" man="1"/>
    <brk id="122" max="16383" man="1"/>
    <brk id="193" max="16383" man="1"/>
    <brk id="243" max="16383" man="1"/>
    <brk id="276" max="16383" man="1"/>
    <brk id="31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O106"/>
  <sheetViews>
    <sheetView showGridLines="0" showZeros="0" topLeftCell="A72" zoomScale="95" zoomScaleNormal="95" zoomScaleSheetLayoutView="95" workbookViewId="0">
      <selection activeCell="C28" sqref="C28"/>
    </sheetView>
  </sheetViews>
  <sheetFormatPr defaultColWidth="14.42578125" defaultRowHeight="12.5"/>
  <cols>
    <col min="1" max="1" width="13" style="133" customWidth="1"/>
    <col min="2" max="2" width="16.42578125" style="133" customWidth="1"/>
    <col min="3" max="3" width="9.7109375" style="133" customWidth="1"/>
    <col min="4" max="4" width="21.28515625" style="133" customWidth="1"/>
    <col min="5" max="5" width="87.5703125" style="133" customWidth="1"/>
    <col min="6" max="6" width="9.140625" style="133" customWidth="1"/>
    <col min="7" max="7" width="22.28515625" style="133" customWidth="1"/>
    <col min="8" max="9" width="24.7109375" style="133" customWidth="1"/>
    <col min="10" max="10" width="27.85546875" style="133" customWidth="1"/>
    <col min="11" max="12" width="22" style="133" customWidth="1"/>
    <col min="13" max="14" width="24.7109375" style="133" customWidth="1"/>
    <col min="15" max="15" width="27.5703125" style="133" customWidth="1"/>
    <col min="16" max="16384" width="14.42578125" style="133"/>
  </cols>
  <sheetData>
    <row r="1" spans="1:15" ht="12.75" customHeight="1">
      <c r="A1" s="130" t="s">
        <v>2997</v>
      </c>
      <c r="B1" s="131"/>
      <c r="C1" s="131"/>
      <c r="D1" s="131" t="s">
        <v>2998</v>
      </c>
      <c r="E1" s="131"/>
      <c r="F1" s="131"/>
      <c r="G1" s="132"/>
      <c r="H1" s="132"/>
      <c r="I1" s="132"/>
      <c r="J1" s="132"/>
      <c r="K1" s="131"/>
      <c r="L1" s="131"/>
      <c r="M1" s="131"/>
      <c r="N1" s="131"/>
      <c r="O1" s="131"/>
    </row>
    <row r="2" spans="1:15" ht="12.75" customHeight="1">
      <c r="A2" s="130" t="s">
        <v>2999</v>
      </c>
      <c r="B2" s="131"/>
      <c r="C2" s="131"/>
      <c r="D2" s="131" t="s">
        <v>3000</v>
      </c>
      <c r="E2" s="131"/>
      <c r="F2" s="131"/>
      <c r="G2" s="132"/>
      <c r="H2" s="131"/>
      <c r="I2" s="131"/>
      <c r="J2" s="131"/>
      <c r="K2" s="131"/>
      <c r="L2" s="131"/>
      <c r="M2" s="131"/>
      <c r="N2" s="131"/>
      <c r="O2" s="131"/>
    </row>
    <row r="3" spans="1:15" ht="12.75" customHeight="1">
      <c r="A3" s="130" t="s">
        <v>3001</v>
      </c>
      <c r="B3" s="131"/>
      <c r="C3" s="131"/>
      <c r="D3" s="131" t="s">
        <v>3002</v>
      </c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</row>
    <row r="4" spans="1:15" ht="12" customHeight="1">
      <c r="A4" s="130" t="s">
        <v>1126</v>
      </c>
      <c r="B4" s="131" t="s">
        <v>3003</v>
      </c>
      <c r="C4" s="131"/>
      <c r="D4" s="134" t="s">
        <v>3004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15" ht="13">
      <c r="A5" s="131"/>
      <c r="B5" s="131"/>
      <c r="C5" s="131"/>
      <c r="D5" s="131" t="s">
        <v>3005</v>
      </c>
      <c r="E5" s="131"/>
      <c r="F5" s="131"/>
      <c r="G5" s="131"/>
      <c r="H5" s="135" t="s">
        <v>3006</v>
      </c>
      <c r="I5" s="136"/>
      <c r="J5" s="131"/>
      <c r="K5" s="131"/>
      <c r="L5" s="131"/>
      <c r="M5" s="137" t="s">
        <v>3007</v>
      </c>
      <c r="N5" s="138"/>
      <c r="O5" s="131"/>
    </row>
    <row r="6" spans="1:15" ht="19.5" customHeight="1">
      <c r="A6" s="139" t="s">
        <v>3008</v>
      </c>
      <c r="B6" s="139" t="s">
        <v>3009</v>
      </c>
      <c r="C6" s="139" t="s">
        <v>3010</v>
      </c>
      <c r="D6" s="139" t="s">
        <v>3011</v>
      </c>
      <c r="E6" s="139" t="s">
        <v>2683</v>
      </c>
      <c r="F6" s="139" t="s">
        <v>814</v>
      </c>
      <c r="G6" s="140" t="s">
        <v>1393</v>
      </c>
      <c r="H6" s="141">
        <f>[2]Rekapitulace!G4</f>
        <v>0.15</v>
      </c>
      <c r="I6" s="141">
        <f>[2]Rekapitulace!H4</f>
        <v>0.21</v>
      </c>
      <c r="J6" s="142" t="s">
        <v>2690</v>
      </c>
      <c r="K6" s="143" t="s">
        <v>3012</v>
      </c>
      <c r="L6" s="143" t="s">
        <v>3013</v>
      </c>
      <c r="M6" s="141">
        <f>[2]Rekapitulace!G4</f>
        <v>0.15</v>
      </c>
      <c r="N6" s="141">
        <v>0.21</v>
      </c>
      <c r="O6" s="139" t="s">
        <v>3014</v>
      </c>
    </row>
    <row r="7" spans="1:15" ht="12.75" customHeight="1">
      <c r="A7" s="144" t="s">
        <v>3015</v>
      </c>
      <c r="B7" s="144" t="s">
        <v>3016</v>
      </c>
      <c r="C7" s="144"/>
      <c r="D7" s="145" t="s">
        <v>3017</v>
      </c>
      <c r="E7" s="146" t="s">
        <v>3018</v>
      </c>
      <c r="F7" s="145"/>
      <c r="G7" s="147">
        <v>0</v>
      </c>
      <c r="H7" s="148"/>
      <c r="I7" s="148"/>
      <c r="J7" s="149">
        <f t="shared" ref="J7:J36" si="0">ROUND(G7*(H7+I7),2)</f>
        <v>0</v>
      </c>
      <c r="K7" s="150"/>
      <c r="L7" s="150"/>
      <c r="M7" s="148">
        <f>[2]Rekapitulace!$G$4*G7*H7</f>
        <v>0</v>
      </c>
      <c r="N7" s="148">
        <f>[2]Rekapitulace!$H$4*G7*I7</f>
        <v>0</v>
      </c>
      <c r="O7" s="145" t="s">
        <v>1597</v>
      </c>
    </row>
    <row r="8" spans="1:15" ht="12.75" customHeight="1">
      <c r="A8" s="151" t="s">
        <v>3019</v>
      </c>
      <c r="B8" s="151" t="s">
        <v>3020</v>
      </c>
      <c r="C8" s="151" t="s">
        <v>3021</v>
      </c>
      <c r="D8" s="152" t="s">
        <v>3022</v>
      </c>
      <c r="E8" s="152" t="s">
        <v>3023</v>
      </c>
      <c r="F8" s="152" t="s">
        <v>3024</v>
      </c>
      <c r="G8" s="153">
        <f>35*4*8</f>
        <v>1120</v>
      </c>
      <c r="H8" s="154"/>
      <c r="I8" s="622"/>
      <c r="J8" s="155">
        <f t="shared" si="0"/>
        <v>0</v>
      </c>
      <c r="K8" s="150">
        <v>0</v>
      </c>
      <c r="L8" s="150">
        <v>0</v>
      </c>
      <c r="M8" s="156">
        <f>[2]Rekapitulace!$G$4*G8*H8</f>
        <v>0</v>
      </c>
      <c r="N8" s="156"/>
      <c r="O8" s="157" t="s">
        <v>1597</v>
      </c>
    </row>
    <row r="9" spans="1:15" ht="12.75" customHeight="1">
      <c r="A9" s="151" t="s">
        <v>3019</v>
      </c>
      <c r="B9" s="151" t="s">
        <v>3020</v>
      </c>
      <c r="C9" s="151" t="s">
        <v>3021</v>
      </c>
      <c r="D9" s="152" t="s">
        <v>3025</v>
      </c>
      <c r="E9" s="152" t="s">
        <v>3026</v>
      </c>
      <c r="F9" s="152" t="s">
        <v>3024</v>
      </c>
      <c r="G9" s="153">
        <v>200</v>
      </c>
      <c r="H9" s="154"/>
      <c r="I9" s="622"/>
      <c r="J9" s="155">
        <f t="shared" si="0"/>
        <v>0</v>
      </c>
      <c r="K9" s="150">
        <v>0</v>
      </c>
      <c r="L9" s="150">
        <v>0</v>
      </c>
      <c r="M9" s="156">
        <f>[2]Rekapitulace!$G$4*G9*H9</f>
        <v>0</v>
      </c>
      <c r="N9" s="156"/>
      <c r="O9" s="157" t="s">
        <v>1597</v>
      </c>
    </row>
    <row r="10" spans="1:15" ht="25">
      <c r="A10" s="151" t="s">
        <v>3019</v>
      </c>
      <c r="B10" s="151" t="s">
        <v>3020</v>
      </c>
      <c r="C10" s="151" t="s">
        <v>3021</v>
      </c>
      <c r="D10" s="152" t="s">
        <v>3027</v>
      </c>
      <c r="E10" s="158" t="s">
        <v>3028</v>
      </c>
      <c r="F10" s="152" t="s">
        <v>2697</v>
      </c>
      <c r="G10" s="153">
        <v>3</v>
      </c>
      <c r="H10" s="154"/>
      <c r="I10" s="622"/>
      <c r="J10" s="155">
        <f>ROUND(G10*(H10+I10),2)</f>
        <v>0</v>
      </c>
      <c r="K10" s="150">
        <v>0</v>
      </c>
      <c r="L10" s="150">
        <v>0</v>
      </c>
      <c r="M10" s="156">
        <f>[2]Rekapitulace!$G$4*G10*H10</f>
        <v>0</v>
      </c>
      <c r="N10" s="156"/>
      <c r="O10" s="157" t="s">
        <v>1597</v>
      </c>
    </row>
    <row r="11" spans="1:15" ht="12.75" customHeight="1">
      <c r="A11" s="144" t="s">
        <v>3015</v>
      </c>
      <c r="B11" s="144" t="s">
        <v>3016</v>
      </c>
      <c r="C11" s="144"/>
      <c r="D11" s="145" t="s">
        <v>3029</v>
      </c>
      <c r="E11" s="146" t="s">
        <v>3030</v>
      </c>
      <c r="F11" s="145"/>
      <c r="G11" s="147">
        <v>0</v>
      </c>
      <c r="H11" s="148"/>
      <c r="I11" s="148"/>
      <c r="J11" s="149">
        <f t="shared" si="0"/>
        <v>0</v>
      </c>
      <c r="K11" s="150"/>
      <c r="L11" s="150"/>
      <c r="M11" s="148">
        <f>[2]Rekapitulace!$G$4*G11*H11</f>
        <v>0</v>
      </c>
      <c r="N11" s="148"/>
      <c r="O11" s="145" t="s">
        <v>1597</v>
      </c>
    </row>
    <row r="12" spans="1:15" ht="12.75" customHeight="1">
      <c r="A12" s="151" t="s">
        <v>3019</v>
      </c>
      <c r="B12" s="151" t="s">
        <v>3020</v>
      </c>
      <c r="C12" s="151" t="s">
        <v>3021</v>
      </c>
      <c r="D12" s="152" t="s">
        <v>3031</v>
      </c>
      <c r="E12" s="152" t="s">
        <v>3032</v>
      </c>
      <c r="F12" s="152" t="s">
        <v>3024</v>
      </c>
      <c r="G12" s="153">
        <v>80</v>
      </c>
      <c r="H12" s="154"/>
      <c r="I12" s="622"/>
      <c r="J12" s="155">
        <f t="shared" si="0"/>
        <v>0</v>
      </c>
      <c r="K12" s="150">
        <v>0</v>
      </c>
      <c r="L12" s="150">
        <v>0</v>
      </c>
      <c r="M12" s="156">
        <f>[2]Rekapitulace!$G$4*G12*H12</f>
        <v>0</v>
      </c>
      <c r="N12" s="156"/>
      <c r="O12" s="157" t="s">
        <v>1597</v>
      </c>
    </row>
    <row r="13" spans="1:15" ht="12.75" customHeight="1">
      <c r="A13" s="151" t="s">
        <v>3019</v>
      </c>
      <c r="B13" s="151" t="s">
        <v>3020</v>
      </c>
      <c r="C13" s="151" t="s">
        <v>3021</v>
      </c>
      <c r="D13" s="152" t="s">
        <v>3033</v>
      </c>
      <c r="E13" s="152" t="s">
        <v>3034</v>
      </c>
      <c r="F13" s="152" t="s">
        <v>3024</v>
      </c>
      <c r="G13" s="153">
        <v>30</v>
      </c>
      <c r="H13" s="154"/>
      <c r="I13" s="622"/>
      <c r="J13" s="155">
        <f t="shared" si="0"/>
        <v>0</v>
      </c>
      <c r="K13" s="150">
        <v>0</v>
      </c>
      <c r="L13" s="150">
        <v>0</v>
      </c>
      <c r="M13" s="156">
        <f>[2]Rekapitulace!$G$4*G13*H13</f>
        <v>0</v>
      </c>
      <c r="N13" s="156"/>
      <c r="O13" s="157" t="s">
        <v>1597</v>
      </c>
    </row>
    <row r="14" spans="1:15" ht="12.75" customHeight="1">
      <c r="A14" s="151" t="s">
        <v>3019</v>
      </c>
      <c r="B14" s="151" t="s">
        <v>3020</v>
      </c>
      <c r="C14" s="151" t="s">
        <v>3021</v>
      </c>
      <c r="D14" s="152" t="s">
        <v>3035</v>
      </c>
      <c r="E14" s="152" t="s">
        <v>3036</v>
      </c>
      <c r="F14" s="152" t="s">
        <v>3024</v>
      </c>
      <c r="G14" s="153">
        <v>10</v>
      </c>
      <c r="H14" s="154"/>
      <c r="I14" s="622"/>
      <c r="J14" s="155">
        <f t="shared" si="0"/>
        <v>0</v>
      </c>
      <c r="K14" s="150">
        <v>0</v>
      </c>
      <c r="L14" s="150">
        <v>0</v>
      </c>
      <c r="M14" s="156">
        <f>[2]Rekapitulace!$G$4*G14*H14</f>
        <v>0</v>
      </c>
      <c r="N14" s="156"/>
      <c r="O14" s="157" t="s">
        <v>1597</v>
      </c>
    </row>
    <row r="15" spans="1:15" ht="12.75" customHeight="1">
      <c r="A15" s="151" t="s">
        <v>3019</v>
      </c>
      <c r="B15" s="151" t="s">
        <v>3020</v>
      </c>
      <c r="C15" s="151" t="s">
        <v>3021</v>
      </c>
      <c r="D15" s="152" t="s">
        <v>3037</v>
      </c>
      <c r="E15" s="152" t="s">
        <v>3038</v>
      </c>
      <c r="F15" s="152" t="s">
        <v>2697</v>
      </c>
      <c r="G15" s="153">
        <v>1</v>
      </c>
      <c r="H15" s="154"/>
      <c r="I15" s="622"/>
      <c r="J15" s="155">
        <f t="shared" si="0"/>
        <v>0</v>
      </c>
      <c r="K15" s="150">
        <v>0</v>
      </c>
      <c r="L15" s="150">
        <v>0</v>
      </c>
      <c r="M15" s="156">
        <f>[2]Rekapitulace!$G$4*G15*H15</f>
        <v>0</v>
      </c>
      <c r="N15" s="156"/>
      <c r="O15" s="157" t="s">
        <v>1597</v>
      </c>
    </row>
    <row r="16" spans="1:15">
      <c r="A16" s="151" t="s">
        <v>3019</v>
      </c>
      <c r="B16" s="151" t="s">
        <v>3020</v>
      </c>
      <c r="C16" s="151" t="s">
        <v>3021</v>
      </c>
      <c r="D16" s="152" t="s">
        <v>3039</v>
      </c>
      <c r="E16" s="158" t="s">
        <v>3040</v>
      </c>
      <c r="F16" s="152" t="s">
        <v>2697</v>
      </c>
      <c r="G16" s="153">
        <v>1</v>
      </c>
      <c r="H16" s="154"/>
      <c r="I16" s="622"/>
      <c r="J16" s="155">
        <f t="shared" si="0"/>
        <v>0</v>
      </c>
      <c r="K16" s="150">
        <v>0</v>
      </c>
      <c r="L16" s="150">
        <v>0</v>
      </c>
      <c r="M16" s="156">
        <f>[2]Rekapitulace!$G$4*G16*H16</f>
        <v>0</v>
      </c>
      <c r="N16" s="156"/>
      <c r="O16" s="157" t="s">
        <v>1597</v>
      </c>
    </row>
    <row r="17" spans="1:15" ht="12.75" customHeight="1">
      <c r="A17" s="144" t="s">
        <v>3015</v>
      </c>
      <c r="B17" s="144" t="s">
        <v>3016</v>
      </c>
      <c r="C17" s="144"/>
      <c r="D17" s="145" t="s">
        <v>3041</v>
      </c>
      <c r="E17" s="146" t="s">
        <v>3042</v>
      </c>
      <c r="F17" s="145"/>
      <c r="G17" s="147">
        <v>0</v>
      </c>
      <c r="H17" s="148"/>
      <c r="I17" s="148"/>
      <c r="J17" s="149">
        <f t="shared" si="0"/>
        <v>0</v>
      </c>
      <c r="K17" s="150"/>
      <c r="L17" s="150"/>
      <c r="M17" s="148">
        <f>[2]Rekapitulace!$G$4*G17*H17</f>
        <v>0</v>
      </c>
      <c r="N17" s="148"/>
      <c r="O17" s="145" t="s">
        <v>1597</v>
      </c>
    </row>
    <row r="18" spans="1:15" ht="37.5">
      <c r="A18" s="151" t="s">
        <v>3019</v>
      </c>
      <c r="B18" s="151" t="s">
        <v>3020</v>
      </c>
      <c r="C18" s="151" t="s">
        <v>3021</v>
      </c>
      <c r="D18" s="152" t="s">
        <v>3043</v>
      </c>
      <c r="E18" s="158" t="s">
        <v>3044</v>
      </c>
      <c r="F18" s="152" t="s">
        <v>3024</v>
      </c>
      <c r="G18" s="153">
        <v>80</v>
      </c>
      <c r="H18" s="154"/>
      <c r="I18" s="622"/>
      <c r="J18" s="155">
        <f t="shared" si="0"/>
        <v>0</v>
      </c>
      <c r="K18" s="150">
        <v>0</v>
      </c>
      <c r="L18" s="150">
        <v>0</v>
      </c>
      <c r="M18" s="156">
        <f>[2]Rekapitulace!$G$4*G18*H18</f>
        <v>0</v>
      </c>
      <c r="N18" s="156"/>
      <c r="O18" s="157" t="s">
        <v>1597</v>
      </c>
    </row>
    <row r="19" spans="1:15" ht="12.75" customHeight="1">
      <c r="A19" s="151" t="s">
        <v>3019</v>
      </c>
      <c r="B19" s="151" t="s">
        <v>3020</v>
      </c>
      <c r="C19" s="151" t="s">
        <v>3021</v>
      </c>
      <c r="D19" s="152" t="s">
        <v>3045</v>
      </c>
      <c r="E19" s="158" t="s">
        <v>3046</v>
      </c>
      <c r="F19" s="152" t="s">
        <v>3047</v>
      </c>
      <c r="G19" s="153">
        <v>50</v>
      </c>
      <c r="H19" s="154"/>
      <c r="I19" s="622"/>
      <c r="J19" s="155">
        <f t="shared" si="0"/>
        <v>0</v>
      </c>
      <c r="K19" s="150">
        <v>0</v>
      </c>
      <c r="L19" s="150">
        <v>0</v>
      </c>
      <c r="M19" s="156">
        <f>[2]Rekapitulace!$G$4*G19*H19</f>
        <v>0</v>
      </c>
      <c r="N19" s="156"/>
      <c r="O19" s="157" t="s">
        <v>1597</v>
      </c>
    </row>
    <row r="20" spans="1:15" ht="25">
      <c r="A20" s="151" t="s">
        <v>3019</v>
      </c>
      <c r="B20" s="151" t="s">
        <v>3020</v>
      </c>
      <c r="C20" s="151" t="s">
        <v>3021</v>
      </c>
      <c r="D20" s="152" t="s">
        <v>3048</v>
      </c>
      <c r="E20" s="158" t="s">
        <v>3049</v>
      </c>
      <c r="F20" s="152" t="s">
        <v>3024</v>
      </c>
      <c r="G20" s="153">
        <v>3</v>
      </c>
      <c r="H20" s="154"/>
      <c r="I20" s="622"/>
      <c r="J20" s="155">
        <f t="shared" si="0"/>
        <v>0</v>
      </c>
      <c r="K20" s="150">
        <v>0</v>
      </c>
      <c r="L20" s="150">
        <v>0</v>
      </c>
      <c r="M20" s="156">
        <f>[2]Rekapitulace!$G$4*G20*H20</f>
        <v>0</v>
      </c>
      <c r="N20" s="156"/>
      <c r="O20" s="157" t="s">
        <v>1597</v>
      </c>
    </row>
    <row r="21" spans="1:15" ht="12.75" customHeight="1">
      <c r="A21" s="144" t="s">
        <v>3015</v>
      </c>
      <c r="B21" s="144" t="s">
        <v>3016</v>
      </c>
      <c r="C21" s="144"/>
      <c r="D21" s="145" t="s">
        <v>3050</v>
      </c>
      <c r="E21" s="146" t="s">
        <v>3051</v>
      </c>
      <c r="F21" s="145"/>
      <c r="G21" s="147">
        <v>0</v>
      </c>
      <c r="H21" s="148"/>
      <c r="I21" s="148"/>
      <c r="J21" s="149">
        <f t="shared" si="0"/>
        <v>0</v>
      </c>
      <c r="K21" s="150"/>
      <c r="L21" s="150"/>
      <c r="M21" s="148">
        <f>[2]Rekapitulace!$G$4*G21*H21</f>
        <v>0</v>
      </c>
      <c r="N21" s="148"/>
      <c r="O21" s="145" t="s">
        <v>1597</v>
      </c>
    </row>
    <row r="22" spans="1:15" ht="200">
      <c r="A22" s="151" t="s">
        <v>3020</v>
      </c>
      <c r="B22" s="151" t="s">
        <v>3052</v>
      </c>
      <c r="C22" s="151" t="s">
        <v>1814</v>
      </c>
      <c r="D22" s="152" t="s">
        <v>3053</v>
      </c>
      <c r="E22" s="159" t="s">
        <v>3054</v>
      </c>
      <c r="F22" s="152" t="s">
        <v>2697</v>
      </c>
      <c r="G22" s="153">
        <v>3</v>
      </c>
      <c r="H22" s="154"/>
      <c r="I22" s="622"/>
      <c r="J22" s="155">
        <f t="shared" si="0"/>
        <v>0</v>
      </c>
      <c r="K22" s="150">
        <v>0</v>
      </c>
      <c r="L22" s="150">
        <v>0</v>
      </c>
      <c r="M22" s="156">
        <f>[2]Rekapitulace!$G$4*G22*H22</f>
        <v>0</v>
      </c>
      <c r="N22" s="156"/>
      <c r="O22" s="157" t="s">
        <v>1597</v>
      </c>
    </row>
    <row r="23" spans="1:15" ht="50">
      <c r="A23" s="151" t="s">
        <v>3020</v>
      </c>
      <c r="B23" s="151" t="s">
        <v>3052</v>
      </c>
      <c r="C23" s="151" t="s">
        <v>1814</v>
      </c>
      <c r="D23" s="152" t="s">
        <v>3055</v>
      </c>
      <c r="E23" s="158" t="s">
        <v>3056</v>
      </c>
      <c r="F23" s="152" t="s">
        <v>2697</v>
      </c>
      <c r="G23" s="153">
        <v>1</v>
      </c>
      <c r="H23" s="154"/>
      <c r="I23" s="622"/>
      <c r="J23" s="155">
        <f t="shared" si="0"/>
        <v>0</v>
      </c>
      <c r="K23" s="150">
        <v>0</v>
      </c>
      <c r="L23" s="150">
        <v>0</v>
      </c>
      <c r="M23" s="156">
        <v>0</v>
      </c>
      <c r="N23" s="156"/>
      <c r="O23" s="157" t="s">
        <v>1597</v>
      </c>
    </row>
    <row r="24" spans="1:15" ht="50">
      <c r="A24" s="151" t="s">
        <v>3020</v>
      </c>
      <c r="B24" s="151" t="s">
        <v>3052</v>
      </c>
      <c r="C24" s="151" t="s">
        <v>1814</v>
      </c>
      <c r="D24" s="152" t="s">
        <v>3057</v>
      </c>
      <c r="E24" s="158" t="s">
        <v>3058</v>
      </c>
      <c r="F24" s="152" t="s">
        <v>2697</v>
      </c>
      <c r="G24" s="153">
        <v>2</v>
      </c>
      <c r="H24" s="154"/>
      <c r="I24" s="622"/>
      <c r="J24" s="155">
        <f t="shared" si="0"/>
        <v>0</v>
      </c>
      <c r="K24" s="150">
        <v>0</v>
      </c>
      <c r="L24" s="150">
        <v>0</v>
      </c>
      <c r="M24" s="156">
        <f>[2]Rekapitulace!$G$4*G24*H24</f>
        <v>0</v>
      </c>
      <c r="N24" s="156"/>
      <c r="O24" s="157" t="s">
        <v>1597</v>
      </c>
    </row>
    <row r="25" spans="1:15" ht="50">
      <c r="A25" s="151" t="s">
        <v>3020</v>
      </c>
      <c r="B25" s="151" t="s">
        <v>3052</v>
      </c>
      <c r="C25" s="151" t="s">
        <v>1814</v>
      </c>
      <c r="D25" s="152" t="s">
        <v>3059</v>
      </c>
      <c r="E25" s="158" t="s">
        <v>3060</v>
      </c>
      <c r="F25" s="152" t="s">
        <v>2697</v>
      </c>
      <c r="G25" s="153">
        <v>1</v>
      </c>
      <c r="H25" s="154"/>
      <c r="I25" s="622"/>
      <c r="J25" s="155">
        <f t="shared" si="0"/>
        <v>0</v>
      </c>
      <c r="K25" s="150">
        <v>0</v>
      </c>
      <c r="L25" s="150">
        <v>0</v>
      </c>
      <c r="M25" s="156">
        <f>[2]Rekapitulace!$G$4*G25*H25</f>
        <v>0</v>
      </c>
      <c r="N25" s="156"/>
      <c r="O25" s="157" t="s">
        <v>1597</v>
      </c>
    </row>
    <row r="26" spans="1:15" ht="22.5">
      <c r="A26" s="151" t="s">
        <v>3020</v>
      </c>
      <c r="B26" s="151" t="s">
        <v>3052</v>
      </c>
      <c r="C26" s="151" t="s">
        <v>1814</v>
      </c>
      <c r="D26" s="152" t="s">
        <v>3061</v>
      </c>
      <c r="E26" s="158" t="s">
        <v>3062</v>
      </c>
      <c r="F26" s="152" t="s">
        <v>2697</v>
      </c>
      <c r="G26" s="153">
        <v>1</v>
      </c>
      <c r="H26" s="154"/>
      <c r="I26" s="622"/>
      <c r="J26" s="155">
        <f t="shared" si="0"/>
        <v>0</v>
      </c>
      <c r="K26" s="150">
        <v>0</v>
      </c>
      <c r="L26" s="150">
        <v>0</v>
      </c>
      <c r="M26" s="156">
        <f>[2]Rekapitulace!$G$4*G26*H26</f>
        <v>0</v>
      </c>
      <c r="N26" s="156"/>
      <c r="O26" s="157" t="s">
        <v>1597</v>
      </c>
    </row>
    <row r="27" spans="1:15" ht="39.5">
      <c r="A27" s="151" t="s">
        <v>3020</v>
      </c>
      <c r="B27" s="151" t="s">
        <v>3052</v>
      </c>
      <c r="C27" s="151" t="s">
        <v>1814</v>
      </c>
      <c r="D27" s="152" t="s">
        <v>3063</v>
      </c>
      <c r="E27" s="158" t="s">
        <v>3064</v>
      </c>
      <c r="F27" s="152" t="s">
        <v>2697</v>
      </c>
      <c r="G27" s="153">
        <v>1</v>
      </c>
      <c r="H27" s="154"/>
      <c r="I27" s="622"/>
      <c r="J27" s="155">
        <f t="shared" si="0"/>
        <v>0</v>
      </c>
      <c r="K27" s="150">
        <v>0</v>
      </c>
      <c r="L27" s="150">
        <v>0</v>
      </c>
      <c r="M27" s="156">
        <f>[2]Rekapitulace!$G$4*G27*H27</f>
        <v>0</v>
      </c>
      <c r="N27" s="156"/>
      <c r="O27" s="157" t="s">
        <v>1597</v>
      </c>
    </row>
    <row r="28" spans="1:15" ht="39.5">
      <c r="A28" s="151" t="s">
        <v>3020</v>
      </c>
      <c r="B28" s="151" t="s">
        <v>3052</v>
      </c>
      <c r="C28" s="151" t="s">
        <v>1814</v>
      </c>
      <c r="D28" s="152" t="s">
        <v>3065</v>
      </c>
      <c r="E28" s="158" t="s">
        <v>3066</v>
      </c>
      <c r="F28" s="152" t="s">
        <v>2697</v>
      </c>
      <c r="G28" s="153">
        <v>1</v>
      </c>
      <c r="H28" s="154"/>
      <c r="I28" s="622"/>
      <c r="J28" s="155">
        <f t="shared" si="0"/>
        <v>0</v>
      </c>
      <c r="K28" s="150">
        <v>0</v>
      </c>
      <c r="L28" s="150">
        <v>0</v>
      </c>
      <c r="M28" s="156">
        <f>[2]Rekapitulace!$G$4*G28*H28</f>
        <v>0</v>
      </c>
      <c r="N28" s="156"/>
      <c r="O28" s="157" t="s">
        <v>1597</v>
      </c>
    </row>
    <row r="29" spans="1:15" ht="39.5">
      <c r="A29" s="151" t="s">
        <v>3020</v>
      </c>
      <c r="B29" s="151" t="s">
        <v>3052</v>
      </c>
      <c r="C29" s="151" t="s">
        <v>1814</v>
      </c>
      <c r="D29" s="152" t="s">
        <v>3067</v>
      </c>
      <c r="E29" s="158" t="s">
        <v>3068</v>
      </c>
      <c r="F29" s="152" t="s">
        <v>2697</v>
      </c>
      <c r="G29" s="153">
        <v>1</v>
      </c>
      <c r="H29" s="154"/>
      <c r="I29" s="622"/>
      <c r="J29" s="155">
        <f t="shared" si="0"/>
        <v>0</v>
      </c>
      <c r="K29" s="150">
        <v>0</v>
      </c>
      <c r="L29" s="150">
        <v>0</v>
      </c>
      <c r="M29" s="156">
        <f>[2]Rekapitulace!$G$4*G29*H29</f>
        <v>0</v>
      </c>
      <c r="N29" s="156"/>
      <c r="O29" s="157" t="s">
        <v>1597</v>
      </c>
    </row>
    <row r="30" spans="1:15" ht="39.5">
      <c r="A30" s="151" t="s">
        <v>3020</v>
      </c>
      <c r="B30" s="151" t="s">
        <v>3052</v>
      </c>
      <c r="C30" s="151" t="s">
        <v>1814</v>
      </c>
      <c r="D30" s="152" t="s">
        <v>3069</v>
      </c>
      <c r="E30" s="158" t="s">
        <v>3070</v>
      </c>
      <c r="F30" s="152" t="s">
        <v>2697</v>
      </c>
      <c r="G30" s="153">
        <v>1</v>
      </c>
      <c r="H30" s="154"/>
      <c r="I30" s="622"/>
      <c r="J30" s="155">
        <f t="shared" si="0"/>
        <v>0</v>
      </c>
      <c r="K30" s="150">
        <v>0</v>
      </c>
      <c r="L30" s="150">
        <v>0</v>
      </c>
      <c r="M30" s="156">
        <f>[2]Rekapitulace!$G$4*G30*H30</f>
        <v>0</v>
      </c>
      <c r="N30" s="156"/>
      <c r="O30" s="157" t="s">
        <v>1597</v>
      </c>
    </row>
    <row r="31" spans="1:15" ht="39.5">
      <c r="A31" s="151" t="s">
        <v>3020</v>
      </c>
      <c r="B31" s="151" t="s">
        <v>3052</v>
      </c>
      <c r="C31" s="151" t="s">
        <v>1814</v>
      </c>
      <c r="D31" s="152" t="s">
        <v>3071</v>
      </c>
      <c r="E31" s="158" t="s">
        <v>3072</v>
      </c>
      <c r="F31" s="152" t="s">
        <v>2697</v>
      </c>
      <c r="G31" s="153">
        <v>1</v>
      </c>
      <c r="H31" s="154"/>
      <c r="I31" s="622"/>
      <c r="J31" s="155">
        <f t="shared" si="0"/>
        <v>0</v>
      </c>
      <c r="K31" s="150">
        <v>0</v>
      </c>
      <c r="L31" s="150">
        <v>0</v>
      </c>
      <c r="M31" s="156">
        <f>[2]Rekapitulace!$G$4*G31*H31</f>
        <v>0</v>
      </c>
      <c r="N31" s="156"/>
      <c r="O31" s="157" t="s">
        <v>1597</v>
      </c>
    </row>
    <row r="32" spans="1:15" ht="39.5">
      <c r="A32" s="151" t="s">
        <v>3020</v>
      </c>
      <c r="B32" s="151" t="s">
        <v>3052</v>
      </c>
      <c r="C32" s="151" t="s">
        <v>1814</v>
      </c>
      <c r="D32" s="152" t="s">
        <v>3073</v>
      </c>
      <c r="E32" s="158" t="s">
        <v>3074</v>
      </c>
      <c r="F32" s="152" t="s">
        <v>2697</v>
      </c>
      <c r="G32" s="153">
        <v>1</v>
      </c>
      <c r="H32" s="154"/>
      <c r="I32" s="622"/>
      <c r="J32" s="155">
        <f t="shared" si="0"/>
        <v>0</v>
      </c>
      <c r="K32" s="150">
        <v>0</v>
      </c>
      <c r="L32" s="150">
        <v>0</v>
      </c>
      <c r="M32" s="156">
        <f>[2]Rekapitulace!$G$4*G32*H32</f>
        <v>0</v>
      </c>
      <c r="N32" s="156"/>
      <c r="O32" s="157" t="s">
        <v>1597</v>
      </c>
    </row>
    <row r="33" spans="1:15" ht="25">
      <c r="A33" s="151" t="s">
        <v>3020</v>
      </c>
      <c r="B33" s="151" t="s">
        <v>3052</v>
      </c>
      <c r="C33" s="151" t="s">
        <v>1814</v>
      </c>
      <c r="D33" s="152" t="s">
        <v>3075</v>
      </c>
      <c r="E33" s="158" t="s">
        <v>3076</v>
      </c>
      <c r="F33" s="152" t="s">
        <v>2697</v>
      </c>
      <c r="G33" s="153">
        <v>1</v>
      </c>
      <c r="H33" s="154"/>
      <c r="I33" s="622"/>
      <c r="J33" s="155">
        <f t="shared" si="0"/>
        <v>0</v>
      </c>
      <c r="K33" s="150">
        <v>0</v>
      </c>
      <c r="L33" s="150">
        <v>0</v>
      </c>
      <c r="M33" s="156">
        <f>[2]Rekapitulace!$G$4*G33*H33</f>
        <v>0</v>
      </c>
      <c r="N33" s="156"/>
      <c r="O33" s="157" t="s">
        <v>1597</v>
      </c>
    </row>
    <row r="34" spans="1:15" ht="25">
      <c r="A34" s="151" t="s">
        <v>3020</v>
      </c>
      <c r="B34" s="151" t="s">
        <v>3052</v>
      </c>
      <c r="C34" s="151" t="s">
        <v>1814</v>
      </c>
      <c r="D34" s="152" t="s">
        <v>3077</v>
      </c>
      <c r="E34" s="158" t="s">
        <v>3078</v>
      </c>
      <c r="F34" s="152" t="s">
        <v>2697</v>
      </c>
      <c r="G34" s="153">
        <v>2</v>
      </c>
      <c r="H34" s="154"/>
      <c r="I34" s="622"/>
      <c r="J34" s="155">
        <f>ROUND(G34*(H34+I34),2)</f>
        <v>0</v>
      </c>
      <c r="K34" s="150">
        <v>0</v>
      </c>
      <c r="L34" s="150">
        <v>0</v>
      </c>
      <c r="M34" s="156">
        <f>[2]Rekapitulace!$G$4*G34*H34</f>
        <v>0</v>
      </c>
      <c r="N34" s="156"/>
      <c r="O34" s="157" t="s">
        <v>1597</v>
      </c>
    </row>
    <row r="35" spans="1:15" ht="25">
      <c r="A35" s="151" t="s">
        <v>3020</v>
      </c>
      <c r="B35" s="151" t="s">
        <v>3052</v>
      </c>
      <c r="C35" s="151" t="s">
        <v>1814</v>
      </c>
      <c r="D35" s="152" t="s">
        <v>3079</v>
      </c>
      <c r="E35" s="158" t="s">
        <v>3080</v>
      </c>
      <c r="F35" s="152" t="s">
        <v>2697</v>
      </c>
      <c r="G35" s="153">
        <v>1</v>
      </c>
      <c r="H35" s="154"/>
      <c r="I35" s="622"/>
      <c r="J35" s="155">
        <f>ROUND(G35*(H35+I35),2)</f>
        <v>0</v>
      </c>
      <c r="K35" s="150">
        <v>0</v>
      </c>
      <c r="L35" s="150">
        <v>0</v>
      </c>
      <c r="M35" s="156">
        <f>[2]Rekapitulace!$G$4*G35*H35</f>
        <v>0</v>
      </c>
      <c r="N35" s="156"/>
      <c r="O35" s="157" t="s">
        <v>1597</v>
      </c>
    </row>
    <row r="36" spans="1:15">
      <c r="A36" s="151" t="s">
        <v>3020</v>
      </c>
      <c r="B36" s="151" t="s">
        <v>3052</v>
      </c>
      <c r="C36" s="151" t="s">
        <v>1814</v>
      </c>
      <c r="D36" s="152" t="s">
        <v>3081</v>
      </c>
      <c r="E36" s="158" t="s">
        <v>3082</v>
      </c>
      <c r="F36" s="152" t="s">
        <v>2697</v>
      </c>
      <c r="G36" s="153">
        <v>2</v>
      </c>
      <c r="H36" s="154"/>
      <c r="I36" s="622"/>
      <c r="J36" s="155">
        <f t="shared" si="0"/>
        <v>0</v>
      </c>
      <c r="K36" s="150">
        <v>0</v>
      </c>
      <c r="L36" s="150">
        <v>0</v>
      </c>
      <c r="M36" s="156">
        <f>[2]Rekapitulace!$G$4*G36*H36</f>
        <v>0</v>
      </c>
      <c r="N36" s="156"/>
      <c r="O36" s="157" t="s">
        <v>1597</v>
      </c>
    </row>
    <row r="37" spans="1:15" ht="25">
      <c r="A37" s="151" t="s">
        <v>3020</v>
      </c>
      <c r="B37" s="151" t="s">
        <v>3052</v>
      </c>
      <c r="C37" s="151" t="s">
        <v>1814</v>
      </c>
      <c r="D37" s="152" t="s">
        <v>3083</v>
      </c>
      <c r="E37" s="160" t="s">
        <v>3084</v>
      </c>
      <c r="F37" s="152" t="s">
        <v>2697</v>
      </c>
      <c r="G37" s="153">
        <v>2</v>
      </c>
      <c r="H37" s="154"/>
      <c r="I37" s="622"/>
      <c r="J37" s="155">
        <f>ROUND(G37*(H37+I37),2)</f>
        <v>0</v>
      </c>
      <c r="K37" s="150">
        <v>0</v>
      </c>
      <c r="L37" s="150">
        <v>0</v>
      </c>
      <c r="M37" s="156">
        <v>0</v>
      </c>
      <c r="N37" s="156"/>
      <c r="O37" s="157" t="s">
        <v>1597</v>
      </c>
    </row>
    <row r="38" spans="1:15">
      <c r="A38" s="151" t="s">
        <v>3020</v>
      </c>
      <c r="B38" s="151" t="s">
        <v>3052</v>
      </c>
      <c r="C38" s="151" t="s">
        <v>1814</v>
      </c>
      <c r="D38" s="152" t="s">
        <v>3085</v>
      </c>
      <c r="E38" s="158" t="s">
        <v>3086</v>
      </c>
      <c r="F38" s="152" t="s">
        <v>2697</v>
      </c>
      <c r="G38" s="153">
        <v>4</v>
      </c>
      <c r="H38" s="154"/>
      <c r="I38" s="622"/>
      <c r="J38" s="155">
        <f t="shared" ref="J38:J60" si="1">ROUND(G38*(H38+I38),2)</f>
        <v>0</v>
      </c>
      <c r="K38" s="150">
        <v>0</v>
      </c>
      <c r="L38" s="150">
        <v>0</v>
      </c>
      <c r="M38" s="156">
        <f>[2]Rekapitulace!$G$4*G38*H38</f>
        <v>0</v>
      </c>
      <c r="N38" s="156"/>
      <c r="O38" s="157" t="s">
        <v>1597</v>
      </c>
    </row>
    <row r="39" spans="1:15" ht="25">
      <c r="A39" s="151" t="s">
        <v>3020</v>
      </c>
      <c r="B39" s="151" t="s">
        <v>3052</v>
      </c>
      <c r="C39" s="151" t="s">
        <v>1814</v>
      </c>
      <c r="D39" s="152" t="s">
        <v>3087</v>
      </c>
      <c r="E39" s="158" t="s">
        <v>3088</v>
      </c>
      <c r="F39" s="152" t="s">
        <v>2697</v>
      </c>
      <c r="G39" s="153">
        <v>4</v>
      </c>
      <c r="H39" s="154"/>
      <c r="I39" s="622"/>
      <c r="J39" s="155">
        <f t="shared" si="1"/>
        <v>0</v>
      </c>
      <c r="K39" s="150">
        <v>0</v>
      </c>
      <c r="L39" s="150">
        <v>0</v>
      </c>
      <c r="M39" s="156">
        <v>0</v>
      </c>
      <c r="N39" s="156"/>
      <c r="O39" s="157" t="s">
        <v>1597</v>
      </c>
    </row>
    <row r="40" spans="1:15">
      <c r="A40" s="151" t="s">
        <v>3020</v>
      </c>
      <c r="B40" s="151" t="s">
        <v>3052</v>
      </c>
      <c r="C40" s="151" t="s">
        <v>1814</v>
      </c>
      <c r="D40" s="152" t="s">
        <v>3089</v>
      </c>
      <c r="E40" s="158" t="s">
        <v>3090</v>
      </c>
      <c r="F40" s="152" t="s">
        <v>2697</v>
      </c>
      <c r="G40" s="153">
        <v>4</v>
      </c>
      <c r="H40" s="154"/>
      <c r="I40" s="622"/>
      <c r="J40" s="155">
        <f t="shared" si="1"/>
        <v>0</v>
      </c>
      <c r="K40" s="150">
        <v>0</v>
      </c>
      <c r="L40" s="150">
        <v>0</v>
      </c>
      <c r="M40" s="156">
        <v>0</v>
      </c>
      <c r="N40" s="156"/>
      <c r="O40" s="157" t="s">
        <v>1597</v>
      </c>
    </row>
    <row r="41" spans="1:15">
      <c r="A41" s="151" t="s">
        <v>3020</v>
      </c>
      <c r="B41" s="151" t="s">
        <v>3052</v>
      </c>
      <c r="C41" s="151" t="s">
        <v>1814</v>
      </c>
      <c r="D41" s="152" t="s">
        <v>3091</v>
      </c>
      <c r="E41" s="160" t="s">
        <v>3092</v>
      </c>
      <c r="F41" s="152" t="s">
        <v>2697</v>
      </c>
      <c r="G41" s="153">
        <v>4</v>
      </c>
      <c r="H41" s="154"/>
      <c r="I41" s="622"/>
      <c r="J41" s="155">
        <f t="shared" si="1"/>
        <v>0</v>
      </c>
      <c r="K41" s="150">
        <v>0</v>
      </c>
      <c r="L41" s="150">
        <v>0</v>
      </c>
      <c r="M41" s="156">
        <v>0</v>
      </c>
      <c r="N41" s="156"/>
      <c r="O41" s="157" t="s">
        <v>1597</v>
      </c>
    </row>
    <row r="42" spans="1:15">
      <c r="A42" s="151" t="s">
        <v>3020</v>
      </c>
      <c r="B42" s="151" t="s">
        <v>3052</v>
      </c>
      <c r="C42" s="151" t="s">
        <v>1814</v>
      </c>
      <c r="D42" s="152" t="s">
        <v>3093</v>
      </c>
      <c r="E42" s="158" t="s">
        <v>3094</v>
      </c>
      <c r="F42" s="152" t="s">
        <v>2697</v>
      </c>
      <c r="G42" s="153">
        <v>26</v>
      </c>
      <c r="H42" s="154"/>
      <c r="I42" s="622"/>
      <c r="J42" s="155">
        <f t="shared" si="1"/>
        <v>0</v>
      </c>
      <c r="K42" s="150">
        <v>0</v>
      </c>
      <c r="L42" s="150">
        <v>0</v>
      </c>
      <c r="M42" s="156">
        <f>[2]Rekapitulace!$G$4*G42*H42</f>
        <v>0</v>
      </c>
      <c r="N42" s="156"/>
      <c r="O42" s="157" t="s">
        <v>1597</v>
      </c>
    </row>
    <row r="43" spans="1:15">
      <c r="A43" s="151" t="s">
        <v>3020</v>
      </c>
      <c r="B43" s="151" t="s">
        <v>3052</v>
      </c>
      <c r="C43" s="151" t="s">
        <v>1814</v>
      </c>
      <c r="D43" s="152" t="s">
        <v>3095</v>
      </c>
      <c r="E43" s="158" t="s">
        <v>3096</v>
      </c>
      <c r="F43" s="152" t="s">
        <v>2697</v>
      </c>
      <c r="G43" s="153">
        <v>18</v>
      </c>
      <c r="H43" s="154"/>
      <c r="I43" s="622"/>
      <c r="J43" s="155">
        <f t="shared" si="1"/>
        <v>0</v>
      </c>
      <c r="K43" s="150">
        <v>0</v>
      </c>
      <c r="L43" s="150">
        <v>0</v>
      </c>
      <c r="M43" s="156">
        <f>[2]Rekapitulace!$G$4*G43*H43</f>
        <v>0</v>
      </c>
      <c r="N43" s="156"/>
      <c r="O43" s="157" t="s">
        <v>1597</v>
      </c>
    </row>
    <row r="44" spans="1:15">
      <c r="A44" s="151" t="s">
        <v>3020</v>
      </c>
      <c r="B44" s="151" t="s">
        <v>3052</v>
      </c>
      <c r="C44" s="151" t="s">
        <v>1814</v>
      </c>
      <c r="D44" s="152" t="s">
        <v>3097</v>
      </c>
      <c r="E44" s="158" t="s">
        <v>3098</v>
      </c>
      <c r="F44" s="152" t="s">
        <v>2697</v>
      </c>
      <c r="G44" s="153">
        <v>2</v>
      </c>
      <c r="H44" s="154"/>
      <c r="I44" s="622"/>
      <c r="J44" s="155">
        <f t="shared" si="1"/>
        <v>0</v>
      </c>
      <c r="K44" s="150">
        <v>0</v>
      </c>
      <c r="L44" s="150">
        <v>0</v>
      </c>
      <c r="M44" s="156">
        <v>0</v>
      </c>
      <c r="N44" s="156"/>
      <c r="O44" s="157" t="s">
        <v>1597</v>
      </c>
    </row>
    <row r="45" spans="1:15">
      <c r="A45" s="151" t="s">
        <v>3020</v>
      </c>
      <c r="B45" s="151" t="s">
        <v>3052</v>
      </c>
      <c r="C45" s="151" t="s">
        <v>1814</v>
      </c>
      <c r="D45" s="152" t="s">
        <v>3099</v>
      </c>
      <c r="E45" s="158" t="s">
        <v>3100</v>
      </c>
      <c r="F45" s="152" t="s">
        <v>2697</v>
      </c>
      <c r="G45" s="153">
        <v>4</v>
      </c>
      <c r="H45" s="154"/>
      <c r="I45" s="622"/>
      <c r="J45" s="155">
        <f t="shared" si="1"/>
        <v>0</v>
      </c>
      <c r="K45" s="150">
        <v>0</v>
      </c>
      <c r="L45" s="150">
        <v>0</v>
      </c>
      <c r="M45" s="156">
        <v>0</v>
      </c>
      <c r="N45" s="156"/>
      <c r="O45" s="157" t="s">
        <v>1597</v>
      </c>
    </row>
    <row r="46" spans="1:15">
      <c r="A46" s="151" t="s">
        <v>3020</v>
      </c>
      <c r="B46" s="151" t="s">
        <v>3052</v>
      </c>
      <c r="C46" s="151" t="s">
        <v>1814</v>
      </c>
      <c r="D46" s="152" t="s">
        <v>3101</v>
      </c>
      <c r="E46" s="158" t="s">
        <v>3102</v>
      </c>
      <c r="F46" s="152" t="s">
        <v>2697</v>
      </c>
      <c r="G46" s="153">
        <v>13</v>
      </c>
      <c r="H46" s="154"/>
      <c r="I46" s="622"/>
      <c r="J46" s="155">
        <f t="shared" si="1"/>
        <v>0</v>
      </c>
      <c r="K46" s="150">
        <v>0</v>
      </c>
      <c r="L46" s="150">
        <v>0</v>
      </c>
      <c r="M46" s="156">
        <v>0</v>
      </c>
      <c r="N46" s="156"/>
      <c r="O46" s="157" t="s">
        <v>1597</v>
      </c>
    </row>
    <row r="47" spans="1:15">
      <c r="A47" s="151" t="s">
        <v>3020</v>
      </c>
      <c r="B47" s="151" t="s">
        <v>3052</v>
      </c>
      <c r="C47" s="151" t="s">
        <v>1814</v>
      </c>
      <c r="D47" s="152" t="s">
        <v>3103</v>
      </c>
      <c r="E47" s="158" t="s">
        <v>3104</v>
      </c>
      <c r="F47" s="152" t="s">
        <v>2697</v>
      </c>
      <c r="G47" s="153">
        <v>4</v>
      </c>
      <c r="H47" s="154"/>
      <c r="I47" s="622"/>
      <c r="J47" s="155">
        <f t="shared" si="1"/>
        <v>0</v>
      </c>
      <c r="K47" s="150">
        <v>0</v>
      </c>
      <c r="L47" s="150">
        <v>0</v>
      </c>
      <c r="M47" s="156">
        <v>0</v>
      </c>
      <c r="N47" s="156"/>
      <c r="O47" s="157" t="s">
        <v>1597</v>
      </c>
    </row>
    <row r="48" spans="1:15">
      <c r="A48" s="151" t="s">
        <v>3020</v>
      </c>
      <c r="B48" s="151" t="s">
        <v>3052</v>
      </c>
      <c r="C48" s="151" t="s">
        <v>1814</v>
      </c>
      <c r="D48" s="152" t="s">
        <v>3105</v>
      </c>
      <c r="E48" s="158" t="s">
        <v>3106</v>
      </c>
      <c r="F48" s="152" t="s">
        <v>2697</v>
      </c>
      <c r="G48" s="153">
        <v>6</v>
      </c>
      <c r="H48" s="154"/>
      <c r="I48" s="622"/>
      <c r="J48" s="155">
        <f t="shared" si="1"/>
        <v>0</v>
      </c>
      <c r="K48" s="150">
        <v>0</v>
      </c>
      <c r="L48" s="150">
        <v>0</v>
      </c>
      <c r="M48" s="156">
        <v>0</v>
      </c>
      <c r="N48" s="156"/>
      <c r="O48" s="157" t="s">
        <v>1597</v>
      </c>
    </row>
    <row r="49" spans="1:15">
      <c r="A49" s="151" t="s">
        <v>3020</v>
      </c>
      <c r="B49" s="151" t="s">
        <v>3052</v>
      </c>
      <c r="C49" s="151" t="s">
        <v>1814</v>
      </c>
      <c r="D49" s="152" t="s">
        <v>3107</v>
      </c>
      <c r="E49" s="160" t="s">
        <v>3108</v>
      </c>
      <c r="F49" s="152" t="s">
        <v>2697</v>
      </c>
      <c r="G49" s="153">
        <v>2</v>
      </c>
      <c r="H49" s="154"/>
      <c r="I49" s="622"/>
      <c r="J49" s="155">
        <f>ROUND(G49*(H49+I49),2)</f>
        <v>0</v>
      </c>
      <c r="K49" s="150">
        <v>0</v>
      </c>
      <c r="L49" s="150">
        <v>0</v>
      </c>
      <c r="M49" s="156">
        <v>0</v>
      </c>
      <c r="N49" s="156"/>
      <c r="O49" s="157" t="s">
        <v>1597</v>
      </c>
    </row>
    <row r="50" spans="1:15" ht="25">
      <c r="A50" s="151" t="s">
        <v>3020</v>
      </c>
      <c r="B50" s="151" t="s">
        <v>3052</v>
      </c>
      <c r="C50" s="151" t="s">
        <v>1814</v>
      </c>
      <c r="D50" s="152" t="s">
        <v>3109</v>
      </c>
      <c r="E50" s="158" t="s">
        <v>3110</v>
      </c>
      <c r="F50" s="152" t="s">
        <v>2697</v>
      </c>
      <c r="G50" s="153">
        <v>16</v>
      </c>
      <c r="H50" s="154"/>
      <c r="I50" s="622"/>
      <c r="J50" s="155">
        <f t="shared" si="1"/>
        <v>0</v>
      </c>
      <c r="K50" s="150">
        <v>0</v>
      </c>
      <c r="L50" s="150">
        <v>0</v>
      </c>
      <c r="M50" s="156">
        <v>0</v>
      </c>
      <c r="N50" s="156"/>
      <c r="O50" s="157" t="s">
        <v>1597</v>
      </c>
    </row>
    <row r="51" spans="1:15" ht="22.5">
      <c r="A51" s="151" t="s">
        <v>3020</v>
      </c>
      <c r="B51" s="151" t="s">
        <v>3052</v>
      </c>
      <c r="C51" s="151" t="s">
        <v>1814</v>
      </c>
      <c r="D51" s="152" t="s">
        <v>3111</v>
      </c>
      <c r="E51" s="158" t="s">
        <v>3112</v>
      </c>
      <c r="F51" s="152" t="s">
        <v>2697</v>
      </c>
      <c r="G51" s="153">
        <v>15</v>
      </c>
      <c r="H51" s="154"/>
      <c r="I51" s="622"/>
      <c r="J51" s="155">
        <f t="shared" si="1"/>
        <v>0</v>
      </c>
      <c r="K51" s="150">
        <v>0</v>
      </c>
      <c r="L51" s="150">
        <v>0</v>
      </c>
      <c r="M51" s="156">
        <v>0</v>
      </c>
      <c r="N51" s="156"/>
      <c r="O51" s="157" t="s">
        <v>1597</v>
      </c>
    </row>
    <row r="52" spans="1:15">
      <c r="A52" s="151" t="s">
        <v>3020</v>
      </c>
      <c r="B52" s="151" t="s">
        <v>3052</v>
      </c>
      <c r="C52" s="151" t="s">
        <v>1814</v>
      </c>
      <c r="D52" s="152" t="s">
        <v>3113</v>
      </c>
      <c r="E52" s="160" t="s">
        <v>3114</v>
      </c>
      <c r="F52" s="152" t="s">
        <v>2697</v>
      </c>
      <c r="G52" s="153">
        <v>4</v>
      </c>
      <c r="H52" s="154"/>
      <c r="I52" s="622"/>
      <c r="J52" s="155">
        <f t="shared" si="1"/>
        <v>0</v>
      </c>
      <c r="K52" s="150">
        <v>0</v>
      </c>
      <c r="L52" s="150">
        <v>0</v>
      </c>
      <c r="M52" s="156">
        <v>0</v>
      </c>
      <c r="N52" s="156"/>
      <c r="O52" s="157" t="s">
        <v>1597</v>
      </c>
    </row>
    <row r="53" spans="1:15">
      <c r="A53" s="151" t="s">
        <v>3020</v>
      </c>
      <c r="B53" s="151" t="s">
        <v>3052</v>
      </c>
      <c r="C53" s="151" t="s">
        <v>1814</v>
      </c>
      <c r="D53" s="152" t="s">
        <v>3115</v>
      </c>
      <c r="E53" s="160" t="s">
        <v>3116</v>
      </c>
      <c r="F53" s="152" t="s">
        <v>2697</v>
      </c>
      <c r="G53" s="153">
        <v>1</v>
      </c>
      <c r="H53" s="154"/>
      <c r="I53" s="622"/>
      <c r="J53" s="155">
        <f t="shared" si="1"/>
        <v>0</v>
      </c>
      <c r="K53" s="150">
        <v>0</v>
      </c>
      <c r="L53" s="150">
        <v>0</v>
      </c>
      <c r="M53" s="156">
        <v>0</v>
      </c>
      <c r="N53" s="156"/>
      <c r="O53" s="157" t="s">
        <v>1597</v>
      </c>
    </row>
    <row r="54" spans="1:15">
      <c r="A54" s="151" t="s">
        <v>3020</v>
      </c>
      <c r="B54" s="151" t="s">
        <v>3052</v>
      </c>
      <c r="C54" s="151" t="s">
        <v>1814</v>
      </c>
      <c r="D54" s="152" t="s">
        <v>3117</v>
      </c>
      <c r="E54" s="160" t="s">
        <v>3118</v>
      </c>
      <c r="F54" s="152" t="s">
        <v>2697</v>
      </c>
      <c r="G54" s="153">
        <v>1</v>
      </c>
      <c r="H54" s="154"/>
      <c r="I54" s="622"/>
      <c r="J54" s="155">
        <f>ROUND(G54*(H54+I54),2)</f>
        <v>0</v>
      </c>
      <c r="K54" s="150">
        <v>0</v>
      </c>
      <c r="L54" s="150">
        <v>0</v>
      </c>
      <c r="M54" s="156">
        <v>0</v>
      </c>
      <c r="N54" s="156"/>
      <c r="O54" s="157" t="s">
        <v>1597</v>
      </c>
    </row>
    <row r="55" spans="1:15">
      <c r="A55" s="151" t="s">
        <v>3020</v>
      </c>
      <c r="B55" s="151" t="s">
        <v>3052</v>
      </c>
      <c r="C55" s="151" t="s">
        <v>1814</v>
      </c>
      <c r="D55" s="152" t="s">
        <v>3119</v>
      </c>
      <c r="E55" s="158" t="s">
        <v>3120</v>
      </c>
      <c r="F55" s="152" t="s">
        <v>2697</v>
      </c>
      <c r="G55" s="153">
        <v>4</v>
      </c>
      <c r="H55" s="154"/>
      <c r="I55" s="622"/>
      <c r="J55" s="155">
        <f t="shared" si="1"/>
        <v>0</v>
      </c>
      <c r="K55" s="150">
        <v>0</v>
      </c>
      <c r="L55" s="150">
        <v>0</v>
      </c>
      <c r="M55" s="156">
        <v>0</v>
      </c>
      <c r="N55" s="156"/>
      <c r="O55" s="157" t="s">
        <v>1597</v>
      </c>
    </row>
    <row r="56" spans="1:15">
      <c r="A56" s="151" t="s">
        <v>3020</v>
      </c>
      <c r="B56" s="151" t="s">
        <v>3052</v>
      </c>
      <c r="C56" s="151" t="s">
        <v>1814</v>
      </c>
      <c r="D56" s="152" t="s">
        <v>3121</v>
      </c>
      <c r="E56" s="158" t="s">
        <v>3122</v>
      </c>
      <c r="F56" s="152" t="s">
        <v>2697</v>
      </c>
      <c r="G56" s="153">
        <v>1</v>
      </c>
      <c r="H56" s="154"/>
      <c r="I56" s="622"/>
      <c r="J56" s="155">
        <f t="shared" si="1"/>
        <v>0</v>
      </c>
      <c r="K56" s="150">
        <v>0</v>
      </c>
      <c r="L56" s="150">
        <v>0</v>
      </c>
      <c r="M56" s="156">
        <v>0</v>
      </c>
      <c r="N56" s="156"/>
      <c r="O56" s="157" t="s">
        <v>1597</v>
      </c>
    </row>
    <row r="57" spans="1:15">
      <c r="A57" s="151" t="s">
        <v>3020</v>
      </c>
      <c r="B57" s="151" t="s">
        <v>3052</v>
      </c>
      <c r="C57" s="151" t="s">
        <v>1814</v>
      </c>
      <c r="D57" s="152" t="s">
        <v>3123</v>
      </c>
      <c r="E57" s="158" t="s">
        <v>3124</v>
      </c>
      <c r="F57" s="152" t="s">
        <v>2697</v>
      </c>
      <c r="G57" s="153">
        <v>2</v>
      </c>
      <c r="H57" s="154"/>
      <c r="I57" s="622"/>
      <c r="J57" s="155">
        <f t="shared" si="1"/>
        <v>0</v>
      </c>
      <c r="K57" s="150">
        <v>0</v>
      </c>
      <c r="L57" s="150">
        <v>0</v>
      </c>
      <c r="M57" s="156">
        <v>0</v>
      </c>
      <c r="N57" s="156"/>
      <c r="O57" s="157" t="s">
        <v>1597</v>
      </c>
    </row>
    <row r="58" spans="1:15" ht="25">
      <c r="A58" s="151" t="s">
        <v>3020</v>
      </c>
      <c r="B58" s="151" t="s">
        <v>3052</v>
      </c>
      <c r="C58" s="151" t="s">
        <v>1814</v>
      </c>
      <c r="D58" s="152" t="s">
        <v>3125</v>
      </c>
      <c r="E58" s="160" t="s">
        <v>3126</v>
      </c>
      <c r="F58" s="152" t="s">
        <v>2697</v>
      </c>
      <c r="G58" s="153">
        <v>1</v>
      </c>
      <c r="H58" s="154"/>
      <c r="I58" s="622"/>
      <c r="J58" s="155">
        <f t="shared" si="1"/>
        <v>0</v>
      </c>
      <c r="K58" s="150">
        <v>0</v>
      </c>
      <c r="L58" s="150">
        <v>0</v>
      </c>
      <c r="M58" s="156">
        <v>0</v>
      </c>
      <c r="N58" s="156"/>
      <c r="O58" s="157" t="s">
        <v>1597</v>
      </c>
    </row>
    <row r="59" spans="1:15" ht="15.5">
      <c r="A59" s="151" t="s">
        <v>3020</v>
      </c>
      <c r="B59" s="151" t="s">
        <v>3052</v>
      </c>
      <c r="C59" s="151" t="s">
        <v>1814</v>
      </c>
      <c r="D59" s="152" t="s">
        <v>3127</v>
      </c>
      <c r="E59" s="160" t="s">
        <v>3669</v>
      </c>
      <c r="F59" s="152" t="s">
        <v>2697</v>
      </c>
      <c r="G59" s="153">
        <v>9</v>
      </c>
      <c r="H59" s="154"/>
      <c r="I59" s="622"/>
      <c r="J59" s="155">
        <f t="shared" si="1"/>
        <v>0</v>
      </c>
      <c r="K59" s="150">
        <v>0</v>
      </c>
      <c r="L59" s="150">
        <v>0</v>
      </c>
      <c r="M59" s="156">
        <v>0</v>
      </c>
      <c r="N59" s="156"/>
      <c r="O59" s="157" t="s">
        <v>1597</v>
      </c>
    </row>
    <row r="60" spans="1:15" ht="75">
      <c r="A60" s="151" t="s">
        <v>3020</v>
      </c>
      <c r="B60" s="151" t="s">
        <v>3052</v>
      </c>
      <c r="C60" s="151" t="s">
        <v>1814</v>
      </c>
      <c r="D60" s="152" t="s">
        <v>3128</v>
      </c>
      <c r="E60" s="506" t="s">
        <v>3670</v>
      </c>
      <c r="F60" s="152" t="s">
        <v>2697</v>
      </c>
      <c r="G60" s="153">
        <v>2</v>
      </c>
      <c r="H60" s="154"/>
      <c r="I60" s="622"/>
      <c r="J60" s="155">
        <f t="shared" si="1"/>
        <v>0</v>
      </c>
      <c r="K60" s="150">
        <v>0</v>
      </c>
      <c r="L60" s="150">
        <v>0</v>
      </c>
      <c r="M60" s="156">
        <v>0</v>
      </c>
      <c r="N60" s="156"/>
      <c r="O60" s="157" t="s">
        <v>1597</v>
      </c>
    </row>
    <row r="61" spans="1:15" ht="75">
      <c r="A61" s="151" t="s">
        <v>3020</v>
      </c>
      <c r="B61" s="151" t="s">
        <v>3052</v>
      </c>
      <c r="C61" s="151" t="s">
        <v>1814</v>
      </c>
      <c r="D61" s="152" t="s">
        <v>3129</v>
      </c>
      <c r="E61" s="506" t="s">
        <v>3671</v>
      </c>
      <c r="F61" s="152" t="s">
        <v>2697</v>
      </c>
      <c r="G61" s="153">
        <v>4</v>
      </c>
      <c r="H61" s="154"/>
      <c r="I61" s="622"/>
      <c r="J61" s="155">
        <f>ROUND(G61*(H61+I61),2)</f>
        <v>0</v>
      </c>
      <c r="K61" s="150">
        <v>0</v>
      </c>
      <c r="L61" s="150">
        <v>0</v>
      </c>
      <c r="M61" s="156">
        <v>0</v>
      </c>
      <c r="N61" s="156"/>
      <c r="O61" s="157" t="s">
        <v>1597</v>
      </c>
    </row>
    <row r="62" spans="1:15" ht="13">
      <c r="A62" s="144" t="s">
        <v>3015</v>
      </c>
      <c r="B62" s="144" t="s">
        <v>3016</v>
      </c>
      <c r="C62" s="144"/>
      <c r="D62" s="145" t="s">
        <v>3130</v>
      </c>
      <c r="E62" s="146" t="s">
        <v>3131</v>
      </c>
      <c r="F62" s="145"/>
      <c r="G62" s="147">
        <v>0</v>
      </c>
      <c r="H62" s="148"/>
      <c r="I62" s="148"/>
      <c r="J62" s="149">
        <f t="shared" ref="J62:J80" si="2">ROUND(G62*(H62+I62),2)</f>
        <v>0</v>
      </c>
      <c r="K62" s="150"/>
      <c r="L62" s="150"/>
      <c r="M62" s="148">
        <f>[2]Rekapitulace!$G$4*G62*H62</f>
        <v>0</v>
      </c>
      <c r="N62" s="148"/>
      <c r="O62" s="145" t="s">
        <v>1597</v>
      </c>
    </row>
    <row r="63" spans="1:15">
      <c r="A63" s="151" t="s">
        <v>3020</v>
      </c>
      <c r="B63" s="151" t="s">
        <v>3052</v>
      </c>
      <c r="C63" s="151" t="s">
        <v>1814</v>
      </c>
      <c r="D63" s="152" t="s">
        <v>3132</v>
      </c>
      <c r="E63" s="160" t="s">
        <v>3133</v>
      </c>
      <c r="F63" s="152" t="s">
        <v>1923</v>
      </c>
      <c r="G63" s="153">
        <v>28</v>
      </c>
      <c r="H63" s="154"/>
      <c r="I63" s="622"/>
      <c r="J63" s="155">
        <f t="shared" si="2"/>
        <v>0</v>
      </c>
      <c r="K63" s="150">
        <v>0</v>
      </c>
      <c r="L63" s="150">
        <v>0</v>
      </c>
      <c r="M63" s="156">
        <f>[2]Rekapitulace!$G$4*G63*H63</f>
        <v>0</v>
      </c>
      <c r="N63" s="156"/>
      <c r="O63" s="157" t="s">
        <v>1597</v>
      </c>
    </row>
    <row r="64" spans="1:15">
      <c r="A64" s="151" t="s">
        <v>3020</v>
      </c>
      <c r="B64" s="151" t="s">
        <v>3052</v>
      </c>
      <c r="C64" s="151" t="s">
        <v>1814</v>
      </c>
      <c r="D64" s="152" t="s">
        <v>3134</v>
      </c>
      <c r="E64" s="158" t="s">
        <v>3135</v>
      </c>
      <c r="F64" s="152" t="s">
        <v>1923</v>
      </c>
      <c r="G64" s="153">
        <v>5</v>
      </c>
      <c r="H64" s="154"/>
      <c r="I64" s="622"/>
      <c r="J64" s="155">
        <f>ROUND(G64*(H64+I64),2)</f>
        <v>0</v>
      </c>
      <c r="K64" s="150">
        <v>0</v>
      </c>
      <c r="L64" s="150">
        <v>0</v>
      </c>
      <c r="M64" s="156">
        <f>[2]Rekapitulace!$G$4*G64*H64</f>
        <v>0</v>
      </c>
      <c r="N64" s="156"/>
      <c r="O64" s="157" t="s">
        <v>1597</v>
      </c>
    </row>
    <row r="65" spans="1:15">
      <c r="A65" s="151" t="s">
        <v>3020</v>
      </c>
      <c r="B65" s="151" t="s">
        <v>3052</v>
      </c>
      <c r="C65" s="151" t="s">
        <v>1814</v>
      </c>
      <c r="D65" s="152" t="s">
        <v>3136</v>
      </c>
      <c r="E65" s="158" t="s">
        <v>3137</v>
      </c>
      <c r="F65" s="152" t="s">
        <v>1923</v>
      </c>
      <c r="G65" s="153">
        <v>68</v>
      </c>
      <c r="H65" s="154"/>
      <c r="I65" s="622"/>
      <c r="J65" s="155">
        <f t="shared" si="2"/>
        <v>0</v>
      </c>
      <c r="K65" s="150">
        <v>0</v>
      </c>
      <c r="L65" s="150">
        <v>0</v>
      </c>
      <c r="M65" s="156">
        <f>[2]Rekapitulace!$G$4*G65*H65</f>
        <v>0</v>
      </c>
      <c r="N65" s="156"/>
      <c r="O65" s="157" t="s">
        <v>1597</v>
      </c>
    </row>
    <row r="66" spans="1:15">
      <c r="A66" s="151" t="s">
        <v>3020</v>
      </c>
      <c r="B66" s="151" t="s">
        <v>3052</v>
      </c>
      <c r="C66" s="151" t="s">
        <v>1814</v>
      </c>
      <c r="D66" s="152" t="s">
        <v>3138</v>
      </c>
      <c r="E66" s="158" t="s">
        <v>3139</v>
      </c>
      <c r="F66" s="152" t="s">
        <v>1923</v>
      </c>
      <c r="G66" s="153">
        <v>37</v>
      </c>
      <c r="H66" s="154"/>
      <c r="I66" s="622"/>
      <c r="J66" s="155">
        <f t="shared" si="2"/>
        <v>0</v>
      </c>
      <c r="K66" s="150">
        <v>0</v>
      </c>
      <c r="L66" s="150">
        <v>0</v>
      </c>
      <c r="M66" s="156">
        <f>[2]Rekapitulace!$G$4*G66*H66</f>
        <v>0</v>
      </c>
      <c r="N66" s="156"/>
      <c r="O66" s="157" t="s">
        <v>1597</v>
      </c>
    </row>
    <row r="67" spans="1:15">
      <c r="A67" s="151" t="s">
        <v>3020</v>
      </c>
      <c r="B67" s="151" t="s">
        <v>3052</v>
      </c>
      <c r="C67" s="151" t="s">
        <v>1814</v>
      </c>
      <c r="D67" s="152" t="s">
        <v>3140</v>
      </c>
      <c r="E67" s="158" t="s">
        <v>3141</v>
      </c>
      <c r="F67" s="152" t="s">
        <v>1923</v>
      </c>
      <c r="G67" s="153">
        <v>81</v>
      </c>
      <c r="H67" s="154"/>
      <c r="I67" s="622"/>
      <c r="J67" s="155">
        <f t="shared" si="2"/>
        <v>0</v>
      </c>
      <c r="K67" s="150">
        <v>0</v>
      </c>
      <c r="L67" s="150">
        <v>0</v>
      </c>
      <c r="M67" s="156">
        <f>[2]Rekapitulace!$G$4*G67*H67</f>
        <v>0</v>
      </c>
      <c r="N67" s="156"/>
      <c r="O67" s="157" t="s">
        <v>1597</v>
      </c>
    </row>
    <row r="68" spans="1:15">
      <c r="A68" s="151" t="s">
        <v>3020</v>
      </c>
      <c r="B68" s="151" t="s">
        <v>3052</v>
      </c>
      <c r="C68" s="151" t="s">
        <v>1814</v>
      </c>
      <c r="D68" s="152" t="s">
        <v>3142</v>
      </c>
      <c r="E68" s="158" t="s">
        <v>3143</v>
      </c>
      <c r="F68" s="152" t="s">
        <v>1923</v>
      </c>
      <c r="G68" s="153">
        <v>175</v>
      </c>
      <c r="H68" s="154"/>
      <c r="I68" s="622"/>
      <c r="J68" s="155">
        <f t="shared" si="2"/>
        <v>0</v>
      </c>
      <c r="K68" s="150">
        <v>0</v>
      </c>
      <c r="L68" s="150">
        <v>0</v>
      </c>
      <c r="M68" s="156">
        <f>[2]Rekapitulace!$G$4*G68*H68</f>
        <v>0</v>
      </c>
      <c r="N68" s="156"/>
      <c r="O68" s="157" t="s">
        <v>1597</v>
      </c>
    </row>
    <row r="69" spans="1:15">
      <c r="A69" s="151" t="s">
        <v>3020</v>
      </c>
      <c r="B69" s="151" t="s">
        <v>3052</v>
      </c>
      <c r="C69" s="151" t="s">
        <v>1814</v>
      </c>
      <c r="D69" s="152" t="s">
        <v>3144</v>
      </c>
      <c r="E69" s="158" t="s">
        <v>3145</v>
      </c>
      <c r="F69" s="152" t="s">
        <v>1923</v>
      </c>
      <c r="G69" s="153">
        <v>14</v>
      </c>
      <c r="H69" s="154"/>
      <c r="I69" s="622"/>
      <c r="J69" s="155">
        <f>ROUND(G69*(H69+I69),2)</f>
        <v>0</v>
      </c>
      <c r="K69" s="150">
        <v>0</v>
      </c>
      <c r="L69" s="150">
        <v>0</v>
      </c>
      <c r="M69" s="156">
        <f>[2]Rekapitulace!$G$4*G69*H69</f>
        <v>0</v>
      </c>
      <c r="N69" s="156"/>
      <c r="O69" s="157" t="s">
        <v>1597</v>
      </c>
    </row>
    <row r="70" spans="1:15">
      <c r="A70" s="151" t="s">
        <v>3020</v>
      </c>
      <c r="B70" s="151" t="s">
        <v>3052</v>
      </c>
      <c r="C70" s="151" t="s">
        <v>1814</v>
      </c>
      <c r="D70" s="152" t="s">
        <v>3146</v>
      </c>
      <c r="E70" s="158" t="s">
        <v>3147</v>
      </c>
      <c r="F70" s="152" t="s">
        <v>1923</v>
      </c>
      <c r="G70" s="153">
        <v>9</v>
      </c>
      <c r="H70" s="154"/>
      <c r="I70" s="622"/>
      <c r="J70" s="155">
        <f t="shared" si="2"/>
        <v>0</v>
      </c>
      <c r="K70" s="150">
        <v>0</v>
      </c>
      <c r="L70" s="150">
        <v>0</v>
      </c>
      <c r="M70" s="156">
        <f>[2]Rekapitulace!$G$4*G70*H70</f>
        <v>0</v>
      </c>
      <c r="N70" s="156"/>
      <c r="O70" s="157" t="s">
        <v>1597</v>
      </c>
    </row>
    <row r="71" spans="1:15">
      <c r="A71" s="151" t="s">
        <v>3020</v>
      </c>
      <c r="B71" s="151" t="s">
        <v>3052</v>
      </c>
      <c r="C71" s="151" t="s">
        <v>1814</v>
      </c>
      <c r="D71" s="152" t="s">
        <v>3148</v>
      </c>
      <c r="E71" s="158" t="s">
        <v>3149</v>
      </c>
      <c r="F71" s="152" t="s">
        <v>1923</v>
      </c>
      <c r="G71" s="153">
        <v>51</v>
      </c>
      <c r="H71" s="154"/>
      <c r="I71" s="622"/>
      <c r="J71" s="155">
        <f t="shared" si="2"/>
        <v>0</v>
      </c>
      <c r="K71" s="150">
        <v>0</v>
      </c>
      <c r="L71" s="150">
        <v>0</v>
      </c>
      <c r="M71" s="156">
        <f>[2]Rekapitulace!$G$4*G71*H71</f>
        <v>0</v>
      </c>
      <c r="N71" s="156"/>
      <c r="O71" s="157" t="s">
        <v>1597</v>
      </c>
    </row>
    <row r="72" spans="1:15" ht="20.5">
      <c r="A72" s="151" t="s">
        <v>3020</v>
      </c>
      <c r="B72" s="151" t="s">
        <v>3052</v>
      </c>
      <c r="C72" s="151" t="s">
        <v>1814</v>
      </c>
      <c r="D72" s="152" t="s">
        <v>3150</v>
      </c>
      <c r="E72" s="158" t="s">
        <v>3151</v>
      </c>
      <c r="F72" s="152" t="s">
        <v>1923</v>
      </c>
      <c r="G72" s="153">
        <v>40</v>
      </c>
      <c r="H72" s="154"/>
      <c r="I72" s="622"/>
      <c r="J72" s="155">
        <f t="shared" si="2"/>
        <v>0</v>
      </c>
      <c r="K72" s="150">
        <v>0</v>
      </c>
      <c r="L72" s="150">
        <v>0</v>
      </c>
      <c r="M72" s="156">
        <v>0</v>
      </c>
      <c r="N72" s="156"/>
      <c r="O72" s="157" t="s">
        <v>1597</v>
      </c>
    </row>
    <row r="73" spans="1:15" ht="25">
      <c r="A73" s="151" t="s">
        <v>3020</v>
      </c>
      <c r="B73" s="151" t="s">
        <v>3052</v>
      </c>
      <c r="C73" s="151" t="s">
        <v>1814</v>
      </c>
      <c r="D73" s="152" t="s">
        <v>3152</v>
      </c>
      <c r="E73" s="160" t="s">
        <v>3153</v>
      </c>
      <c r="F73" s="152" t="s">
        <v>1923</v>
      </c>
      <c r="G73" s="153">
        <v>3225</v>
      </c>
      <c r="H73" s="154"/>
      <c r="I73" s="622"/>
      <c r="J73" s="155">
        <f t="shared" si="2"/>
        <v>0</v>
      </c>
      <c r="K73" s="150">
        <v>0</v>
      </c>
      <c r="L73" s="150">
        <v>0</v>
      </c>
      <c r="M73" s="156">
        <v>0</v>
      </c>
      <c r="N73" s="156"/>
      <c r="O73" s="157" t="s">
        <v>1597</v>
      </c>
    </row>
    <row r="74" spans="1:15" ht="25">
      <c r="A74" s="151" t="s">
        <v>3020</v>
      </c>
      <c r="B74" s="151" t="s">
        <v>3052</v>
      </c>
      <c r="C74" s="151" t="s">
        <v>1814</v>
      </c>
      <c r="D74" s="152" t="s">
        <v>3154</v>
      </c>
      <c r="E74" s="160" t="s">
        <v>3155</v>
      </c>
      <c r="F74" s="152" t="s">
        <v>1923</v>
      </c>
      <c r="G74" s="153">
        <v>35</v>
      </c>
      <c r="H74" s="154"/>
      <c r="I74" s="622"/>
      <c r="J74" s="155">
        <f t="shared" si="2"/>
        <v>0</v>
      </c>
      <c r="K74" s="150">
        <v>0</v>
      </c>
      <c r="L74" s="150">
        <v>0</v>
      </c>
      <c r="M74" s="156">
        <v>0</v>
      </c>
      <c r="N74" s="156"/>
      <c r="O74" s="157" t="s">
        <v>1597</v>
      </c>
    </row>
    <row r="75" spans="1:15" ht="25">
      <c r="A75" s="151" t="s">
        <v>3020</v>
      </c>
      <c r="B75" s="151" t="s">
        <v>3052</v>
      </c>
      <c r="C75" s="151" t="s">
        <v>1814</v>
      </c>
      <c r="D75" s="152" t="s">
        <v>3156</v>
      </c>
      <c r="E75" s="160" t="s">
        <v>3157</v>
      </c>
      <c r="F75" s="152" t="s">
        <v>1923</v>
      </c>
      <c r="G75" s="153">
        <v>140</v>
      </c>
      <c r="H75" s="154"/>
      <c r="I75" s="622"/>
      <c r="J75" s="155">
        <f t="shared" si="2"/>
        <v>0</v>
      </c>
      <c r="K75" s="150">
        <v>0</v>
      </c>
      <c r="L75" s="150">
        <v>0</v>
      </c>
      <c r="M75" s="156">
        <v>0</v>
      </c>
      <c r="N75" s="156"/>
      <c r="O75" s="157" t="s">
        <v>1597</v>
      </c>
    </row>
    <row r="76" spans="1:15" ht="14.5">
      <c r="A76" s="151" t="s">
        <v>3020</v>
      </c>
      <c r="B76" s="151" t="s">
        <v>3052</v>
      </c>
      <c r="C76" s="151" t="s">
        <v>1814</v>
      </c>
      <c r="D76" s="152" t="s">
        <v>3158</v>
      </c>
      <c r="E76" s="160" t="s">
        <v>3159</v>
      </c>
      <c r="F76" s="152" t="s">
        <v>3160</v>
      </c>
      <c r="G76" s="153">
        <v>680</v>
      </c>
      <c r="H76" s="154"/>
      <c r="I76" s="622"/>
      <c r="J76" s="155">
        <f t="shared" si="2"/>
        <v>0</v>
      </c>
      <c r="K76" s="150">
        <v>0</v>
      </c>
      <c r="L76" s="150">
        <v>0</v>
      </c>
      <c r="M76" s="156">
        <v>0</v>
      </c>
      <c r="N76" s="156"/>
      <c r="O76" s="157" t="s">
        <v>1597</v>
      </c>
    </row>
    <row r="77" spans="1:15">
      <c r="A77" s="151" t="s">
        <v>3020</v>
      </c>
      <c r="B77" s="151" t="s">
        <v>3052</v>
      </c>
      <c r="C77" s="151" t="s">
        <v>1814</v>
      </c>
      <c r="D77" s="152" t="s">
        <v>3161</v>
      </c>
      <c r="E77" s="160" t="s">
        <v>3162</v>
      </c>
      <c r="F77" s="152" t="s">
        <v>1923</v>
      </c>
      <c r="G77" s="153">
        <v>715</v>
      </c>
      <c r="H77" s="154"/>
      <c r="I77" s="622"/>
      <c r="J77" s="155">
        <f t="shared" si="2"/>
        <v>0</v>
      </c>
      <c r="K77" s="150">
        <v>0</v>
      </c>
      <c r="L77" s="150">
        <v>0</v>
      </c>
      <c r="M77" s="156">
        <v>0</v>
      </c>
      <c r="N77" s="156"/>
      <c r="O77" s="157" t="s">
        <v>1597</v>
      </c>
    </row>
    <row r="78" spans="1:15">
      <c r="A78" s="151" t="s">
        <v>3020</v>
      </c>
      <c r="B78" s="151" t="s">
        <v>3052</v>
      </c>
      <c r="C78" s="151" t="s">
        <v>1814</v>
      </c>
      <c r="D78" s="152" t="s">
        <v>3163</v>
      </c>
      <c r="E78" s="160" t="s">
        <v>3672</v>
      </c>
      <c r="F78" s="152" t="s">
        <v>2697</v>
      </c>
      <c r="G78" s="153">
        <v>92</v>
      </c>
      <c r="H78" s="154"/>
      <c r="I78" s="622"/>
      <c r="J78" s="155">
        <f t="shared" si="2"/>
        <v>0</v>
      </c>
      <c r="K78" s="150">
        <v>0</v>
      </c>
      <c r="L78" s="150">
        <v>0</v>
      </c>
      <c r="M78" s="156">
        <v>0</v>
      </c>
      <c r="N78" s="156"/>
      <c r="O78" s="157" t="s">
        <v>1597</v>
      </c>
    </row>
    <row r="79" spans="1:15">
      <c r="A79" s="151" t="s">
        <v>3020</v>
      </c>
      <c r="B79" s="151" t="s">
        <v>3052</v>
      </c>
      <c r="C79" s="151" t="s">
        <v>1814</v>
      </c>
      <c r="D79" s="152" t="s">
        <v>3164</v>
      </c>
      <c r="E79" s="160" t="s">
        <v>3673</v>
      </c>
      <c r="F79" s="152" t="s">
        <v>2697</v>
      </c>
      <c r="G79" s="153">
        <v>4</v>
      </c>
      <c r="H79" s="154"/>
      <c r="I79" s="622"/>
      <c r="J79" s="155">
        <f t="shared" si="2"/>
        <v>0</v>
      </c>
      <c r="K79" s="150">
        <v>0</v>
      </c>
      <c r="L79" s="150">
        <v>0</v>
      </c>
      <c r="M79" s="156">
        <v>0</v>
      </c>
      <c r="N79" s="156"/>
      <c r="O79" s="157" t="s">
        <v>1597</v>
      </c>
    </row>
    <row r="80" spans="1:15" ht="25">
      <c r="A80" s="151" t="s">
        <v>3020</v>
      </c>
      <c r="B80" s="151" t="s">
        <v>3052</v>
      </c>
      <c r="C80" s="151" t="s">
        <v>1814</v>
      </c>
      <c r="D80" s="152" t="s">
        <v>3165</v>
      </c>
      <c r="E80" s="160" t="s">
        <v>3166</v>
      </c>
      <c r="F80" s="152" t="s">
        <v>2697</v>
      </c>
      <c r="G80" s="153">
        <v>4</v>
      </c>
      <c r="H80" s="154"/>
      <c r="I80" s="622"/>
      <c r="J80" s="155">
        <f t="shared" si="2"/>
        <v>0</v>
      </c>
      <c r="K80" s="150">
        <v>0</v>
      </c>
      <c r="L80" s="150">
        <v>0</v>
      </c>
      <c r="M80" s="156">
        <v>0</v>
      </c>
      <c r="N80" s="156"/>
      <c r="O80" s="157" t="s">
        <v>1597</v>
      </c>
    </row>
    <row r="81" spans="1:15" ht="25">
      <c r="A81" s="151" t="s">
        <v>3020</v>
      </c>
      <c r="B81" s="151" t="s">
        <v>3052</v>
      </c>
      <c r="C81" s="151" t="s">
        <v>1814</v>
      </c>
      <c r="D81" s="152" t="s">
        <v>3167</v>
      </c>
      <c r="E81" s="160" t="s">
        <v>3168</v>
      </c>
      <c r="F81" s="152" t="s">
        <v>1923</v>
      </c>
      <c r="G81" s="153">
        <v>28</v>
      </c>
      <c r="H81" s="154"/>
      <c r="I81" s="622"/>
      <c r="J81" s="155">
        <f>ROUND(G81*(H81+I81),2)</f>
        <v>0</v>
      </c>
      <c r="K81" s="150">
        <v>0</v>
      </c>
      <c r="L81" s="150">
        <v>0</v>
      </c>
      <c r="M81" s="156">
        <f>[2]Rekapitulace!$G$4*G81*H81</f>
        <v>0</v>
      </c>
      <c r="N81" s="156"/>
      <c r="O81" s="157" t="s">
        <v>1597</v>
      </c>
    </row>
    <row r="82" spans="1:15" ht="25">
      <c r="A82" s="151" t="s">
        <v>3020</v>
      </c>
      <c r="B82" s="151" t="s">
        <v>3052</v>
      </c>
      <c r="C82" s="151" t="s">
        <v>1814</v>
      </c>
      <c r="D82" s="152" t="s">
        <v>3169</v>
      </c>
      <c r="E82" s="158" t="s">
        <v>3170</v>
      </c>
      <c r="F82" s="152" t="s">
        <v>1923</v>
      </c>
      <c r="G82" s="153">
        <v>5</v>
      </c>
      <c r="H82" s="154"/>
      <c r="I82" s="622"/>
      <c r="J82" s="155">
        <f t="shared" ref="J82:J94" si="3">ROUND(G82*(H82+I82),2)</f>
        <v>0</v>
      </c>
      <c r="K82" s="150">
        <v>0</v>
      </c>
      <c r="L82" s="150">
        <v>0</v>
      </c>
      <c r="M82" s="156">
        <f>[2]Rekapitulace!$G$4*G82*H82</f>
        <v>0</v>
      </c>
      <c r="N82" s="156"/>
      <c r="O82" s="157" t="s">
        <v>1597</v>
      </c>
    </row>
    <row r="83" spans="1:15" ht="25">
      <c r="A83" s="151" t="s">
        <v>3020</v>
      </c>
      <c r="B83" s="151" t="s">
        <v>3052</v>
      </c>
      <c r="C83" s="151" t="s">
        <v>1814</v>
      </c>
      <c r="D83" s="152" t="s">
        <v>3171</v>
      </c>
      <c r="E83" s="158" t="s">
        <v>3172</v>
      </c>
      <c r="F83" s="152" t="s">
        <v>1923</v>
      </c>
      <c r="G83" s="153">
        <v>68</v>
      </c>
      <c r="H83" s="154"/>
      <c r="I83" s="622"/>
      <c r="J83" s="155">
        <f t="shared" si="3"/>
        <v>0</v>
      </c>
      <c r="K83" s="150">
        <v>0</v>
      </c>
      <c r="L83" s="150">
        <v>0</v>
      </c>
      <c r="M83" s="156">
        <f>[2]Rekapitulace!$G$4*G83*H83</f>
        <v>0</v>
      </c>
      <c r="N83" s="156"/>
      <c r="O83" s="157" t="s">
        <v>1597</v>
      </c>
    </row>
    <row r="84" spans="1:15" ht="25">
      <c r="A84" s="151" t="s">
        <v>3020</v>
      </c>
      <c r="B84" s="151" t="s">
        <v>3052</v>
      </c>
      <c r="C84" s="151" t="s">
        <v>1814</v>
      </c>
      <c r="D84" s="152" t="s">
        <v>3173</v>
      </c>
      <c r="E84" s="158" t="s">
        <v>3174</v>
      </c>
      <c r="F84" s="152" t="s">
        <v>1923</v>
      </c>
      <c r="G84" s="153">
        <v>37</v>
      </c>
      <c r="H84" s="154"/>
      <c r="I84" s="622"/>
      <c r="J84" s="155">
        <f t="shared" si="3"/>
        <v>0</v>
      </c>
      <c r="K84" s="150">
        <v>0</v>
      </c>
      <c r="L84" s="150">
        <v>0</v>
      </c>
      <c r="M84" s="156">
        <f>[2]Rekapitulace!$G$4*G84*H84</f>
        <v>0</v>
      </c>
      <c r="N84" s="156"/>
      <c r="O84" s="157" t="s">
        <v>1597</v>
      </c>
    </row>
    <row r="85" spans="1:15" ht="25">
      <c r="A85" s="151" t="s">
        <v>3020</v>
      </c>
      <c r="B85" s="151" t="s">
        <v>3052</v>
      </c>
      <c r="C85" s="151" t="s">
        <v>1814</v>
      </c>
      <c r="D85" s="152" t="s">
        <v>3175</v>
      </c>
      <c r="E85" s="158" t="s">
        <v>3176</v>
      </c>
      <c r="F85" s="152" t="s">
        <v>1923</v>
      </c>
      <c r="G85" s="153">
        <v>81</v>
      </c>
      <c r="H85" s="154"/>
      <c r="I85" s="622"/>
      <c r="J85" s="155">
        <f t="shared" si="3"/>
        <v>0</v>
      </c>
      <c r="K85" s="150">
        <v>0</v>
      </c>
      <c r="L85" s="150">
        <v>0</v>
      </c>
      <c r="M85" s="156">
        <f>[2]Rekapitulace!$G$4*G85*H85</f>
        <v>0</v>
      </c>
      <c r="N85" s="156"/>
      <c r="O85" s="157" t="s">
        <v>1597</v>
      </c>
    </row>
    <row r="86" spans="1:15" ht="25">
      <c r="A86" s="151" t="s">
        <v>3020</v>
      </c>
      <c r="B86" s="151" t="s">
        <v>3052</v>
      </c>
      <c r="C86" s="151" t="s">
        <v>1814</v>
      </c>
      <c r="D86" s="152" t="s">
        <v>3177</v>
      </c>
      <c r="E86" s="158" t="s">
        <v>3178</v>
      </c>
      <c r="F86" s="152" t="s">
        <v>1923</v>
      </c>
      <c r="G86" s="153">
        <v>175</v>
      </c>
      <c r="H86" s="154"/>
      <c r="I86" s="622"/>
      <c r="J86" s="155">
        <f t="shared" si="3"/>
        <v>0</v>
      </c>
      <c r="K86" s="150">
        <v>0</v>
      </c>
      <c r="L86" s="150">
        <v>0</v>
      </c>
      <c r="M86" s="156">
        <f>[2]Rekapitulace!$G$4*G86*H86</f>
        <v>0</v>
      </c>
      <c r="N86" s="156"/>
      <c r="O86" s="157" t="s">
        <v>1597</v>
      </c>
    </row>
    <row r="87" spans="1:15" ht="25">
      <c r="A87" s="151" t="s">
        <v>3020</v>
      </c>
      <c r="B87" s="151" t="s">
        <v>3052</v>
      </c>
      <c r="C87" s="151" t="s">
        <v>1814</v>
      </c>
      <c r="D87" s="152" t="s">
        <v>3179</v>
      </c>
      <c r="E87" s="158" t="s">
        <v>3180</v>
      </c>
      <c r="F87" s="152" t="s">
        <v>1923</v>
      </c>
      <c r="G87" s="153">
        <v>14</v>
      </c>
      <c r="H87" s="154"/>
      <c r="I87" s="622"/>
      <c r="J87" s="155">
        <f>ROUND(G87*(H87+I87),2)</f>
        <v>0</v>
      </c>
      <c r="K87" s="150">
        <v>0</v>
      </c>
      <c r="L87" s="150">
        <v>0</v>
      </c>
      <c r="M87" s="156">
        <f>[2]Rekapitulace!$G$4*G87*H87</f>
        <v>0</v>
      </c>
      <c r="N87" s="156"/>
      <c r="O87" s="157" t="s">
        <v>1597</v>
      </c>
    </row>
    <row r="88" spans="1:15" ht="25">
      <c r="A88" s="151" t="s">
        <v>3020</v>
      </c>
      <c r="B88" s="151" t="s">
        <v>3052</v>
      </c>
      <c r="C88" s="151" t="s">
        <v>1814</v>
      </c>
      <c r="D88" s="152" t="s">
        <v>3181</v>
      </c>
      <c r="E88" s="158" t="s">
        <v>3182</v>
      </c>
      <c r="F88" s="152" t="s">
        <v>1923</v>
      </c>
      <c r="G88" s="153">
        <v>9</v>
      </c>
      <c r="H88" s="154"/>
      <c r="I88" s="622"/>
      <c r="J88" s="155">
        <f t="shared" si="3"/>
        <v>0</v>
      </c>
      <c r="K88" s="150">
        <v>0</v>
      </c>
      <c r="L88" s="150"/>
      <c r="M88" s="156">
        <f>[2]Rekapitulace!$G$4*G88*H88</f>
        <v>0</v>
      </c>
      <c r="N88" s="156"/>
      <c r="O88" s="157" t="s">
        <v>1597</v>
      </c>
    </row>
    <row r="89" spans="1:15" ht="25">
      <c r="A89" s="151" t="s">
        <v>3020</v>
      </c>
      <c r="B89" s="151" t="s">
        <v>3052</v>
      </c>
      <c r="C89" s="151" t="s">
        <v>1814</v>
      </c>
      <c r="D89" s="152" t="s">
        <v>3183</v>
      </c>
      <c r="E89" s="158" t="s">
        <v>3184</v>
      </c>
      <c r="F89" s="152" t="s">
        <v>1923</v>
      </c>
      <c r="G89" s="153">
        <v>51</v>
      </c>
      <c r="H89" s="154"/>
      <c r="I89" s="622"/>
      <c r="J89" s="155">
        <f t="shared" si="3"/>
        <v>0</v>
      </c>
      <c r="K89" s="150"/>
      <c r="L89" s="150"/>
      <c r="M89" s="156">
        <f>[2]Rekapitulace!$G$4*G89*H89</f>
        <v>0</v>
      </c>
      <c r="N89" s="156"/>
      <c r="O89" s="157" t="s">
        <v>1597</v>
      </c>
    </row>
    <row r="90" spans="1:15">
      <c r="A90" s="151" t="s">
        <v>3020</v>
      </c>
      <c r="B90" s="151" t="s">
        <v>3052</v>
      </c>
      <c r="C90" s="151" t="s">
        <v>1814</v>
      </c>
      <c r="D90" s="152" t="s">
        <v>3185</v>
      </c>
      <c r="E90" s="158" t="s">
        <v>3186</v>
      </c>
      <c r="F90" s="152" t="s">
        <v>2182</v>
      </c>
      <c r="G90" s="153">
        <v>33</v>
      </c>
      <c r="H90" s="154"/>
      <c r="I90" s="622"/>
      <c r="J90" s="155">
        <f t="shared" si="3"/>
        <v>0</v>
      </c>
      <c r="K90" s="150"/>
      <c r="L90" s="150"/>
      <c r="M90" s="156">
        <v>0</v>
      </c>
      <c r="N90" s="156"/>
      <c r="O90" s="157" t="s">
        <v>1597</v>
      </c>
    </row>
    <row r="91" spans="1:15" ht="37.5">
      <c r="A91" s="151" t="s">
        <v>3020</v>
      </c>
      <c r="B91" s="151" t="s">
        <v>3052</v>
      </c>
      <c r="C91" s="151" t="s">
        <v>1814</v>
      </c>
      <c r="D91" s="152" t="s">
        <v>3187</v>
      </c>
      <c r="E91" s="158" t="s">
        <v>3188</v>
      </c>
      <c r="F91" s="152" t="s">
        <v>1781</v>
      </c>
      <c r="G91" s="153">
        <v>1</v>
      </c>
      <c r="H91" s="154"/>
      <c r="I91" s="622"/>
      <c r="J91" s="155">
        <f t="shared" si="3"/>
        <v>0</v>
      </c>
      <c r="K91" s="150"/>
      <c r="L91" s="150"/>
      <c r="M91" s="156">
        <f>[2]Rekapitulace!$G$4*G91*H91</f>
        <v>0</v>
      </c>
      <c r="N91" s="156"/>
      <c r="O91" s="157" t="s">
        <v>1597</v>
      </c>
    </row>
    <row r="92" spans="1:15" ht="50">
      <c r="A92" s="151" t="s">
        <v>3020</v>
      </c>
      <c r="B92" s="151" t="s">
        <v>3052</v>
      </c>
      <c r="C92" s="151" t="s">
        <v>1814</v>
      </c>
      <c r="D92" s="152" t="s">
        <v>3189</v>
      </c>
      <c r="E92" s="158" t="s">
        <v>3190</v>
      </c>
      <c r="F92" s="152" t="s">
        <v>2182</v>
      </c>
      <c r="G92" s="153">
        <v>400</v>
      </c>
      <c r="H92" s="154"/>
      <c r="I92" s="622"/>
      <c r="J92" s="155">
        <f t="shared" si="3"/>
        <v>0</v>
      </c>
      <c r="K92" s="150"/>
      <c r="L92" s="150"/>
      <c r="M92" s="156">
        <f>[2]Rekapitulace!$G$4*G92*H92</f>
        <v>0</v>
      </c>
      <c r="N92" s="156"/>
      <c r="O92" s="157" t="s">
        <v>1597</v>
      </c>
    </row>
    <row r="93" spans="1:15" ht="25">
      <c r="A93" s="151" t="s">
        <v>3020</v>
      </c>
      <c r="B93" s="151" t="s">
        <v>3052</v>
      </c>
      <c r="C93" s="151" t="s">
        <v>1814</v>
      </c>
      <c r="D93" s="152" t="s">
        <v>3191</v>
      </c>
      <c r="E93" s="158" t="s">
        <v>3192</v>
      </c>
      <c r="F93" s="152" t="s">
        <v>1781</v>
      </c>
      <c r="G93" s="153">
        <v>1</v>
      </c>
      <c r="H93" s="154"/>
      <c r="I93" s="622"/>
      <c r="J93" s="155">
        <f t="shared" si="3"/>
        <v>0</v>
      </c>
      <c r="K93" s="150"/>
      <c r="L93" s="150"/>
      <c r="M93" s="156">
        <f>[2]Rekapitulace!$G$4*G93*H93</f>
        <v>0</v>
      </c>
      <c r="N93" s="156"/>
      <c r="O93" s="157" t="s">
        <v>1597</v>
      </c>
    </row>
    <row r="94" spans="1:15">
      <c r="A94" s="151" t="s">
        <v>3020</v>
      </c>
      <c r="B94" s="151" t="s">
        <v>3052</v>
      </c>
      <c r="C94" s="151" t="s">
        <v>1814</v>
      </c>
      <c r="D94" s="152" t="s">
        <v>3193</v>
      </c>
      <c r="E94" s="158" t="s">
        <v>3194</v>
      </c>
      <c r="F94" s="152" t="s">
        <v>2697</v>
      </c>
      <c r="G94" s="153">
        <v>300</v>
      </c>
      <c r="H94" s="154"/>
      <c r="I94" s="622"/>
      <c r="J94" s="155">
        <f t="shared" si="3"/>
        <v>0</v>
      </c>
      <c r="K94" s="150">
        <v>0</v>
      </c>
      <c r="L94" s="150">
        <v>0</v>
      </c>
      <c r="M94" s="156">
        <f>[2]Rekapitulace!$G$4*G94*H94</f>
        <v>0</v>
      </c>
      <c r="N94" s="156"/>
      <c r="O94" s="157" t="s">
        <v>1597</v>
      </c>
    </row>
    <row r="96" spans="1:15" ht="13">
      <c r="F96" s="161" t="s">
        <v>317</v>
      </c>
      <c r="G96" s="161"/>
      <c r="H96" s="162"/>
      <c r="I96" s="161"/>
      <c r="J96" s="163">
        <f>SUM(J7:J94)</f>
        <v>0</v>
      </c>
      <c r="K96" s="164"/>
    </row>
    <row r="97" spans="5:12">
      <c r="F97" s="165"/>
      <c r="G97" s="165"/>
      <c r="H97" s="166"/>
      <c r="I97" s="165"/>
      <c r="J97" s="167"/>
    </row>
    <row r="98" spans="5:12">
      <c r="E98" s="164"/>
      <c r="F98" s="165" t="s">
        <v>3195</v>
      </c>
      <c r="G98" s="165"/>
      <c r="H98" s="166">
        <f>H6</f>
        <v>0.15</v>
      </c>
      <c r="I98" s="165"/>
      <c r="J98" s="167">
        <f>ROUND(SUM(M7:M94),1)</f>
        <v>0</v>
      </c>
    </row>
    <row r="99" spans="5:12">
      <c r="F99" s="165" t="s">
        <v>3196</v>
      </c>
      <c r="G99" s="165"/>
      <c r="H99" s="166">
        <f>I6</f>
        <v>0.21</v>
      </c>
      <c r="I99" s="165"/>
      <c r="J99" s="167">
        <f>J96*0.21</f>
        <v>0</v>
      </c>
    </row>
    <row r="100" spans="5:12">
      <c r="F100" s="165"/>
      <c r="G100" s="165"/>
      <c r="H100" s="166"/>
      <c r="I100" s="165"/>
      <c r="J100" s="167"/>
    </row>
    <row r="101" spans="5:12" ht="13">
      <c r="F101" s="161" t="s">
        <v>3197</v>
      </c>
      <c r="G101" s="161"/>
      <c r="H101" s="162"/>
      <c r="I101" s="161"/>
      <c r="J101" s="163">
        <f>J96+J98+J99</f>
        <v>0</v>
      </c>
    </row>
    <row r="103" spans="5:12" ht="13" thickBot="1"/>
    <row r="104" spans="5:12" ht="13" thickBot="1">
      <c r="E104" s="168" t="s">
        <v>3198</v>
      </c>
      <c r="J104" s="169">
        <f>SUM(J22:J94)</f>
        <v>0</v>
      </c>
    </row>
    <row r="105" spans="5:12" ht="13" thickBot="1">
      <c r="E105" s="168" t="s">
        <v>3199</v>
      </c>
      <c r="J105" s="169">
        <f>SUM(J8:J20)</f>
        <v>0</v>
      </c>
      <c r="L105" s="164"/>
    </row>
    <row r="106" spans="5:12" ht="13.5" thickBot="1">
      <c r="E106" s="170" t="s">
        <v>3200</v>
      </c>
      <c r="J106" s="171">
        <f>J104+J105</f>
        <v>0</v>
      </c>
    </row>
  </sheetData>
  <pageMargins left="0.74803149606299213" right="0.74803149606299213" top="0.70866141732283472" bottom="0.70866141732283472" header="0.51181102362204722" footer="0.51181102362204722"/>
  <pageSetup paperSize="9" scale="80" orientation="landscape" r:id="rId1"/>
  <headerFooter alignWithMargins="0">
    <oddHeader>&amp;A</oddHeader>
    <oddFooter>Page &amp;P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3:G44"/>
  <sheetViews>
    <sheetView topLeftCell="A8" zoomScaleNormal="100" workbookViewId="0">
      <selection activeCell="C28" sqref="C28"/>
    </sheetView>
  </sheetViews>
  <sheetFormatPr defaultColWidth="14.42578125" defaultRowHeight="14"/>
  <cols>
    <col min="1" max="1" width="7.42578125" style="177" customWidth="1"/>
    <col min="2" max="2" width="16.85546875" style="177" customWidth="1"/>
    <col min="3" max="3" width="48.28515625" style="177" customWidth="1"/>
    <col min="4" max="4" width="18.42578125" style="219" customWidth="1"/>
    <col min="5" max="5" width="23.140625" style="220" customWidth="1"/>
    <col min="6" max="6" width="26.28515625" style="194" customWidth="1"/>
    <col min="7" max="7" width="1.7109375" style="177" customWidth="1"/>
    <col min="8" max="16384" width="14.42578125" style="177"/>
  </cols>
  <sheetData>
    <row r="3" spans="1:7" ht="15.5">
      <c r="A3" s="172"/>
      <c r="B3" s="173" t="s">
        <v>1597</v>
      </c>
      <c r="C3" s="173"/>
      <c r="D3" s="174"/>
      <c r="E3" s="175"/>
      <c r="F3" s="176"/>
      <c r="G3" s="172"/>
    </row>
    <row r="4" spans="1:7" ht="15.5">
      <c r="A4" s="172"/>
      <c r="B4" s="173" t="s">
        <v>3201</v>
      </c>
      <c r="C4" s="173"/>
      <c r="D4" s="174"/>
      <c r="E4" s="175"/>
      <c r="F4" s="176"/>
      <c r="G4" s="172"/>
    </row>
    <row r="5" spans="1:7" ht="15.5">
      <c r="A5" s="172"/>
      <c r="B5" s="173" t="s">
        <v>3202</v>
      </c>
      <c r="C5" s="173"/>
      <c r="D5" s="174"/>
      <c r="E5" s="175"/>
      <c r="F5" s="176"/>
      <c r="G5" s="172"/>
    </row>
    <row r="6" spans="1:7" ht="16" thickBot="1">
      <c r="A6" s="172"/>
      <c r="B6" s="173"/>
      <c r="C6" s="173"/>
      <c r="D6" s="174"/>
      <c r="E6" s="175"/>
      <c r="F6" s="176"/>
      <c r="G6" s="172"/>
    </row>
    <row r="7" spans="1:7" s="183" customFormat="1" ht="34" customHeight="1" thickBot="1">
      <c r="A7" s="178" t="s">
        <v>3203</v>
      </c>
      <c r="B7" s="179"/>
      <c r="C7" s="179"/>
      <c r="D7" s="180"/>
      <c r="E7" s="181"/>
      <c r="F7" s="182"/>
    </row>
    <row r="8" spans="1:7" ht="16" thickBot="1">
      <c r="A8" s="184" t="s">
        <v>3204</v>
      </c>
      <c r="B8" s="185"/>
      <c r="C8" s="185"/>
      <c r="D8" s="186" t="s">
        <v>2042</v>
      </c>
      <c r="E8" s="187" t="s">
        <v>3205</v>
      </c>
      <c r="F8" s="188" t="s">
        <v>3206</v>
      </c>
    </row>
    <row r="9" spans="1:7" ht="15.5">
      <c r="A9" s="189">
        <v>1</v>
      </c>
      <c r="B9" s="190" t="s">
        <v>3207</v>
      </c>
      <c r="C9" s="190"/>
      <c r="D9" s="191"/>
      <c r="E9" s="192"/>
      <c r="F9" s="193">
        <f>'Soupis položek+'!G58</f>
        <v>0</v>
      </c>
    </row>
    <row r="10" spans="1:7" ht="15.5">
      <c r="A10" s="189">
        <v>2</v>
      </c>
      <c r="B10" s="190" t="s">
        <v>3208</v>
      </c>
      <c r="C10" s="190"/>
      <c r="D10" s="191">
        <v>3.6</v>
      </c>
      <c r="E10" s="192">
        <f>SUM(F9:F9)</f>
        <v>0</v>
      </c>
      <c r="F10" s="193">
        <f>D10*E10/100</f>
        <v>0</v>
      </c>
    </row>
    <row r="11" spans="1:7" ht="15.5">
      <c r="A11" s="189">
        <v>3</v>
      </c>
      <c r="B11" s="190" t="s">
        <v>3209</v>
      </c>
      <c r="C11" s="190"/>
      <c r="D11" s="191">
        <v>1</v>
      </c>
      <c r="E11" s="192">
        <f>SUM(F9:F9)</f>
        <v>0</v>
      </c>
      <c r="F11" s="193">
        <f>D11*E11/100</f>
        <v>0</v>
      </c>
    </row>
    <row r="12" spans="1:7" ht="15.5">
      <c r="A12" s="189">
        <v>4</v>
      </c>
      <c r="B12" s="190" t="s">
        <v>3210</v>
      </c>
      <c r="C12" s="190"/>
      <c r="D12" s="191"/>
      <c r="E12" s="192"/>
      <c r="F12" s="193">
        <f>'Soupis položek+'!G140</f>
        <v>0</v>
      </c>
    </row>
    <row r="13" spans="1:7" ht="15.5">
      <c r="A13" s="189">
        <v>5</v>
      </c>
      <c r="B13" s="190" t="s">
        <v>3211</v>
      </c>
      <c r="C13" s="190"/>
      <c r="D13" s="191">
        <v>5</v>
      </c>
      <c r="E13" s="192">
        <f>'Soupis položek+'!N140</f>
        <v>0</v>
      </c>
      <c r="F13" s="193">
        <f>D13*E13/100</f>
        <v>0</v>
      </c>
    </row>
    <row r="14" spans="1:7" ht="15.5">
      <c r="A14" s="189">
        <v>6</v>
      </c>
      <c r="B14" s="190" t="s">
        <v>3212</v>
      </c>
      <c r="C14" s="190"/>
      <c r="D14" s="191">
        <v>3</v>
      </c>
      <c r="E14" s="192">
        <f>SUM(F12:F12)</f>
        <v>0</v>
      </c>
      <c r="F14" s="193">
        <f>D14*E14/100</f>
        <v>0</v>
      </c>
    </row>
    <row r="15" spans="1:7" ht="15.5">
      <c r="A15" s="189">
        <v>7</v>
      </c>
      <c r="B15" s="190" t="s">
        <v>3213</v>
      </c>
      <c r="C15" s="190"/>
      <c r="D15" s="191"/>
      <c r="E15" s="192"/>
      <c r="F15" s="193">
        <f>'Soupis položek+'!G147</f>
        <v>0</v>
      </c>
    </row>
    <row r="16" spans="1:7" ht="15.5">
      <c r="A16" s="189">
        <v>8</v>
      </c>
      <c r="B16" s="190" t="s">
        <v>3214</v>
      </c>
      <c r="C16" s="190"/>
      <c r="D16" s="191"/>
      <c r="E16" s="192"/>
      <c r="F16" s="193">
        <f>'Soupis položek+'!G253</f>
        <v>0</v>
      </c>
      <c r="G16" s="194">
        <f>SUM(F12:F14)</f>
        <v>0</v>
      </c>
    </row>
    <row r="17" spans="1:7" ht="15.5">
      <c r="A17" s="189">
        <v>9</v>
      </c>
      <c r="B17" s="190" t="s">
        <v>3215</v>
      </c>
      <c r="C17" s="190"/>
      <c r="D17" s="191"/>
      <c r="E17" s="192"/>
      <c r="F17" s="193">
        <f>'Soupis položek+'!G263</f>
        <v>0</v>
      </c>
    </row>
    <row r="18" spans="1:7" ht="15.5">
      <c r="A18" s="189">
        <v>10</v>
      </c>
      <c r="B18" s="190" t="s">
        <v>3216</v>
      </c>
      <c r="C18" s="190"/>
      <c r="D18" s="191">
        <v>1</v>
      </c>
      <c r="E18" s="192">
        <f>SUM(F16:G16)</f>
        <v>0</v>
      </c>
      <c r="F18" s="193">
        <f>D18*E18/100</f>
        <v>0</v>
      </c>
    </row>
    <row r="19" spans="1:7" ht="16" thickBot="1">
      <c r="A19" s="189">
        <v>11</v>
      </c>
      <c r="B19" s="190" t="s">
        <v>3217</v>
      </c>
      <c r="C19" s="190"/>
      <c r="D19" s="191">
        <v>1</v>
      </c>
      <c r="E19" s="192">
        <f>SUM(F17:G17)</f>
        <v>0</v>
      </c>
      <c r="F19" s="193">
        <f>D19*E19/100</f>
        <v>0</v>
      </c>
    </row>
    <row r="20" spans="1:7" ht="15.5">
      <c r="A20" s="195">
        <v>12</v>
      </c>
      <c r="B20" s="196" t="s">
        <v>3218</v>
      </c>
      <c r="C20" s="196"/>
      <c r="D20" s="197"/>
      <c r="E20" s="198"/>
      <c r="F20" s="199">
        <f>SUM(F9:F10)</f>
        <v>0</v>
      </c>
    </row>
    <row r="21" spans="1:7" ht="15.5">
      <c r="A21" s="189">
        <v>13</v>
      </c>
      <c r="B21" s="190" t="s">
        <v>3219</v>
      </c>
      <c r="C21" s="190"/>
      <c r="D21" s="191"/>
      <c r="E21" s="192"/>
      <c r="F21" s="193">
        <f>SUM(F11:F19)</f>
        <v>0</v>
      </c>
    </row>
    <row r="22" spans="1:7" ht="16" thickBot="1">
      <c r="A22" s="189">
        <v>14</v>
      </c>
      <c r="B22" s="190" t="s">
        <v>3220</v>
      </c>
      <c r="C22" s="190"/>
      <c r="D22" s="191"/>
      <c r="E22" s="192"/>
      <c r="F22" s="193">
        <f>'Soupis položek+'!G285</f>
        <v>0</v>
      </c>
    </row>
    <row r="23" spans="1:7" ht="15.5">
      <c r="A23" s="200">
        <v>15</v>
      </c>
      <c r="B23" s="201" t="s">
        <v>3221</v>
      </c>
      <c r="C23" s="201"/>
      <c r="D23" s="202"/>
      <c r="E23" s="203"/>
      <c r="F23" s="204">
        <f>SUM(F20:F22)</f>
        <v>0</v>
      </c>
      <c r="G23" s="194">
        <f>SUM(F23:F23)</f>
        <v>0</v>
      </c>
    </row>
    <row r="24" spans="1:7" ht="15.5">
      <c r="A24" s="205"/>
      <c r="B24" s="206"/>
      <c r="C24" s="206"/>
      <c r="D24" s="207"/>
      <c r="E24" s="208"/>
      <c r="F24" s="209"/>
    </row>
    <row r="25" spans="1:7" ht="15.5">
      <c r="A25" s="189">
        <v>16</v>
      </c>
      <c r="B25" s="190" t="s">
        <v>3222</v>
      </c>
      <c r="C25" s="190"/>
      <c r="D25" s="191">
        <v>0</v>
      </c>
      <c r="E25" s="192">
        <f>SUM(F21:F21)</f>
        <v>0</v>
      </c>
      <c r="F25" s="193">
        <f>D25*E25/100</f>
        <v>0</v>
      </c>
    </row>
    <row r="26" spans="1:7" ht="16" thickBot="1">
      <c r="A26" s="189">
        <v>17</v>
      </c>
      <c r="B26" s="190" t="s">
        <v>3223</v>
      </c>
      <c r="C26" s="190"/>
      <c r="D26" s="191">
        <v>0</v>
      </c>
      <c r="E26" s="192">
        <f>SUM(F21:F21)</f>
        <v>0</v>
      </c>
      <c r="F26" s="193">
        <f>D26*E26/100</f>
        <v>0</v>
      </c>
    </row>
    <row r="27" spans="1:7" ht="15.5">
      <c r="A27" s="200">
        <v>18</v>
      </c>
      <c r="B27" s="201" t="s">
        <v>3224</v>
      </c>
      <c r="C27" s="201"/>
      <c r="D27" s="202"/>
      <c r="E27" s="203"/>
      <c r="F27" s="204">
        <f>SUM(F25:F26)</f>
        <v>0</v>
      </c>
      <c r="G27" s="194">
        <f>SUM(F27:F27)</f>
        <v>0</v>
      </c>
    </row>
    <row r="28" spans="1:7" ht="15.5">
      <c r="A28" s="205"/>
      <c r="B28" s="206"/>
      <c r="C28" s="206"/>
      <c r="D28" s="207"/>
      <c r="E28" s="208"/>
      <c r="F28" s="209"/>
    </row>
    <row r="29" spans="1:7" ht="15.5">
      <c r="A29" s="189">
        <v>19</v>
      </c>
      <c r="B29" s="190" t="s">
        <v>3225</v>
      </c>
      <c r="C29" s="190"/>
      <c r="D29" s="191"/>
      <c r="E29" s="192"/>
      <c r="F29" s="621"/>
    </row>
    <row r="30" spans="1:7" ht="15.5">
      <c r="A30" s="189">
        <v>20</v>
      </c>
      <c r="B30" s="190" t="s">
        <v>3226</v>
      </c>
      <c r="C30" s="190"/>
      <c r="D30" s="191"/>
      <c r="E30" s="192"/>
      <c r="F30" s="621"/>
    </row>
    <row r="31" spans="1:7" ht="16" thickBot="1">
      <c r="A31" s="189">
        <v>21</v>
      </c>
      <c r="B31" s="190" t="s">
        <v>3227</v>
      </c>
      <c r="C31" s="190"/>
      <c r="D31" s="191"/>
      <c r="E31" s="192"/>
      <c r="F31" s="193">
        <v>0</v>
      </c>
    </row>
    <row r="32" spans="1:7" ht="15.5">
      <c r="A32" s="200">
        <v>22</v>
      </c>
      <c r="B32" s="201" t="s">
        <v>3228</v>
      </c>
      <c r="C32" s="201"/>
      <c r="D32" s="202"/>
      <c r="E32" s="203"/>
      <c r="F32" s="204">
        <f>SUM(F29:F31)</f>
        <v>0</v>
      </c>
      <c r="G32" s="194">
        <f>SUM(F32:F32)</f>
        <v>0</v>
      </c>
    </row>
    <row r="33" spans="1:7" ht="15.5">
      <c r="A33" s="205"/>
      <c r="B33" s="206"/>
      <c r="C33" s="206"/>
      <c r="D33" s="207"/>
      <c r="E33" s="208"/>
      <c r="F33" s="209"/>
    </row>
    <row r="34" spans="1:7" ht="15.5">
      <c r="A34" s="189">
        <v>23</v>
      </c>
      <c r="B34" s="190" t="s">
        <v>3229</v>
      </c>
      <c r="C34" s="190"/>
      <c r="D34" s="191"/>
      <c r="E34" s="192"/>
      <c r="F34" s="621"/>
    </row>
    <row r="35" spans="1:7" ht="16" thickBot="1">
      <c r="A35" s="189">
        <v>24</v>
      </c>
      <c r="B35" s="190" t="s">
        <v>3230</v>
      </c>
      <c r="C35" s="190"/>
      <c r="D35" s="191"/>
      <c r="E35" s="192"/>
      <c r="F35" s="193">
        <v>0</v>
      </c>
    </row>
    <row r="36" spans="1:7" ht="15.5">
      <c r="A36" s="200">
        <v>25</v>
      </c>
      <c r="B36" s="201" t="s">
        <v>3231</v>
      </c>
      <c r="C36" s="201"/>
      <c r="D36" s="202"/>
      <c r="E36" s="203"/>
      <c r="F36" s="204">
        <f>SUM(F34:F35)</f>
        <v>0</v>
      </c>
      <c r="G36" s="194">
        <f>SUM(F36:F36)</f>
        <v>0</v>
      </c>
    </row>
    <row r="37" spans="1:7" ht="16" thickBot="1">
      <c r="A37" s="205"/>
      <c r="B37" s="206"/>
      <c r="C37" s="206"/>
      <c r="D37" s="207"/>
      <c r="E37" s="208"/>
      <c r="F37" s="209"/>
    </row>
    <row r="38" spans="1:7" ht="16" thickTop="1" thickBot="1">
      <c r="A38" s="210">
        <v>26</v>
      </c>
      <c r="B38" s="211" t="s">
        <v>3232</v>
      </c>
      <c r="C38" s="211"/>
      <c r="D38" s="212"/>
      <c r="E38" s="213"/>
      <c r="F38" s="214">
        <f>SUM(G20:G37)</f>
        <v>0</v>
      </c>
    </row>
    <row r="39" spans="1:7" ht="15.5">
      <c r="A39" s="172"/>
      <c r="B39" s="172"/>
      <c r="C39" s="172"/>
      <c r="D39" s="174"/>
      <c r="E39" s="175"/>
      <c r="F39" s="176"/>
    </row>
    <row r="40" spans="1:7" ht="16" thickBot="1">
      <c r="A40" s="172"/>
      <c r="B40" s="172"/>
      <c r="C40" s="172"/>
      <c r="D40" s="174"/>
      <c r="E40" s="175"/>
      <c r="F40" s="176"/>
    </row>
    <row r="41" spans="1:7" ht="16" thickBot="1">
      <c r="A41" s="172"/>
      <c r="B41" s="172"/>
      <c r="C41" s="215" t="s">
        <v>3233</v>
      </c>
      <c r="D41" s="174"/>
      <c r="E41" s="175"/>
      <c r="F41" s="216">
        <f>F9+F10+F11+F12+F13+F14+F15</f>
        <v>0</v>
      </c>
    </row>
    <row r="42" spans="1:7" ht="16" thickBot="1">
      <c r="A42" s="172"/>
      <c r="B42" s="172"/>
      <c r="C42" s="215" t="s">
        <v>3234</v>
      </c>
      <c r="D42" s="174"/>
      <c r="E42" s="175"/>
      <c r="F42" s="216">
        <f>F16+F17+F18+F19+F22+F27+F32+F36</f>
        <v>0</v>
      </c>
    </row>
    <row r="43" spans="1:7" ht="16" thickBot="1">
      <c r="A43" s="172"/>
      <c r="B43" s="172"/>
      <c r="C43" s="217" t="s">
        <v>3200</v>
      </c>
      <c r="D43" s="174"/>
      <c r="E43" s="175"/>
      <c r="F43" s="218">
        <f>F41+F42</f>
        <v>0</v>
      </c>
    </row>
    <row r="44" spans="1:7" ht="15.5">
      <c r="A44" s="172"/>
      <c r="B44" s="172"/>
      <c r="C44" s="172"/>
      <c r="D44" s="174"/>
      <c r="E44" s="175"/>
      <c r="F44" s="176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33</vt:i4>
      </vt:variant>
      <vt:variant>
        <vt:lpstr>Pojmenované oblasti</vt:lpstr>
      </vt:variant>
      <vt:variant>
        <vt:i4>26</vt:i4>
      </vt:variant>
    </vt:vector>
  </HeadingPairs>
  <TitlesOfParts>
    <vt:vector size="59" baseType="lpstr">
      <vt:lpstr>Krycí list rozpočtu</vt:lpstr>
      <vt:lpstr>VORN</vt:lpstr>
      <vt:lpstr>Rozpočet - objekty</vt:lpstr>
      <vt:lpstr>Rozpočet - skupiny</vt:lpstr>
      <vt:lpstr>Stavební rozpočet</vt:lpstr>
      <vt:lpstr>REKAPITULACE VZT</vt:lpstr>
      <vt:lpstr>ROZPOČET  VZT</vt:lpstr>
      <vt:lpstr>TOPENÍ</vt:lpstr>
      <vt:lpstr>Rekapitulace NN</vt:lpstr>
      <vt:lpstr>Soupis položek+</vt:lpstr>
      <vt:lpstr>Rekapitulace R1</vt:lpstr>
      <vt:lpstr>Soupis položek R1</vt:lpstr>
      <vt:lpstr>Rekapitulace RE1</vt:lpstr>
      <vt:lpstr>Soupis položek RE1</vt:lpstr>
      <vt:lpstr>Rekapitulace R01</vt:lpstr>
      <vt:lpstr>Soupis položek R01</vt:lpstr>
      <vt:lpstr>Rekapitulace R2</vt:lpstr>
      <vt:lpstr>Soupis položek R2</vt:lpstr>
      <vt:lpstr>Rekapitulace R3</vt:lpstr>
      <vt:lpstr>Soupis položek R3</vt:lpstr>
      <vt:lpstr>Rekapitulace R4</vt:lpstr>
      <vt:lpstr>Soupis položek R4</vt:lpstr>
      <vt:lpstr>Rekapitulace R5</vt:lpstr>
      <vt:lpstr>Soupis položek R5</vt:lpstr>
      <vt:lpstr>Rekapitulace R spol</vt:lpstr>
      <vt:lpstr>Soupis položek R spol</vt:lpstr>
      <vt:lpstr>Rekapitulace R top</vt:lpstr>
      <vt:lpstr>Soupis položek R top</vt:lpstr>
      <vt:lpstr>Rekapitulace Rb1;2</vt:lpstr>
      <vt:lpstr>Soupis položek Rb1;2</vt:lpstr>
      <vt:lpstr>MAR rekapitulace</vt:lpstr>
      <vt:lpstr>MAR Materiál</vt:lpstr>
      <vt:lpstr>MAR montáž</vt:lpstr>
      <vt:lpstr>'Soupis položek R spol'!Názvy_tisku</vt:lpstr>
      <vt:lpstr>'Soupis položek R top'!Názvy_tisku</vt:lpstr>
      <vt:lpstr>'Soupis položek R01'!Názvy_tisku</vt:lpstr>
      <vt:lpstr>'Soupis položek R1'!Názvy_tisku</vt:lpstr>
      <vt:lpstr>'Soupis položek R2'!Názvy_tisku</vt:lpstr>
      <vt:lpstr>'Soupis položek R3'!Názvy_tisku</vt:lpstr>
      <vt:lpstr>'Soupis položek R4'!Názvy_tisku</vt:lpstr>
      <vt:lpstr>'Soupis položek R5'!Názvy_tisku</vt:lpstr>
      <vt:lpstr>'Soupis položek Rb1;2'!Názvy_tisku</vt:lpstr>
      <vt:lpstr>'Soupis položek RE1'!Názvy_tisku</vt:lpstr>
      <vt:lpstr>'Soupis položek+'!Názvy_tisku</vt:lpstr>
      <vt:lpstr>'MAR Materiál'!Oblast_tisku</vt:lpstr>
      <vt:lpstr>'MAR montáž'!Oblast_tisku</vt:lpstr>
      <vt:lpstr>'Rekapitulace R spol'!Oblast_tisku</vt:lpstr>
      <vt:lpstr>'Rekapitulace R top'!Oblast_tisku</vt:lpstr>
      <vt:lpstr>'Rekapitulace R01'!Oblast_tisku</vt:lpstr>
      <vt:lpstr>'Rekapitulace R1'!Oblast_tisku</vt:lpstr>
      <vt:lpstr>'Rekapitulace R2'!Oblast_tisku</vt:lpstr>
      <vt:lpstr>'Rekapitulace R3'!Oblast_tisku</vt:lpstr>
      <vt:lpstr>'Rekapitulace R4'!Oblast_tisku</vt:lpstr>
      <vt:lpstr>'Rekapitulace R5'!Oblast_tisku</vt:lpstr>
      <vt:lpstr>'Rekapitulace Rb1;2'!Oblast_tisku</vt:lpstr>
      <vt:lpstr>'Rekapitulace RE1'!Oblast_tisku</vt:lpstr>
      <vt:lpstr>'REKAPITULACE VZT'!Oblast_tisku</vt:lpstr>
      <vt:lpstr>TOPENÍ!Oblast_tisku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HP</dc:creator>
  <cp:lastModifiedBy>jirka</cp:lastModifiedBy>
  <cp:lastPrinted>2023-08-25T07:02:08Z</cp:lastPrinted>
  <dcterms:created xsi:type="dcterms:W3CDTF">2021-06-10T20:06:38Z</dcterms:created>
  <dcterms:modified xsi:type="dcterms:W3CDTF">2023-08-28T08:13:11Z</dcterms:modified>
</cp:coreProperties>
</file>