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ek\Desktop\Drahelčice\"/>
    </mc:Choice>
  </mc:AlternateContent>
  <xr:revisionPtr revIDLastSave="0" documentId="8_{B2069896-4586-456D-9BC8-B01929D67D8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Komunikace" sheetId="12" r:id="rId4"/>
    <sheet name="Most" sheetId="13" r:id="rId5"/>
  </sheets>
  <externalReferences>
    <externalReference r:id="rId6"/>
  </externalReferences>
  <definedNames>
    <definedName name="CelkemDPHVypocet" localSheetId="1">Stavba!$H$44</definedName>
    <definedName name="CenaCelkem">Stavba!$G$30</definedName>
    <definedName name="CenaCelkemBezDPH">Stavba!$G$29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Stavba!$J$30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Komunikace!$1:$7</definedName>
    <definedName name="_xlnm.Print_Titles" localSheetId="4">Most!$1:$7</definedName>
    <definedName name="oadresa">Stavba!$D$6</definedName>
    <definedName name="Objednatel" localSheetId="1">Stavba!$D$5</definedName>
    <definedName name="Objekt" localSheetId="1">Stavba!$B$39</definedName>
    <definedName name="_xlnm.Print_Area" localSheetId="3">Komunikace!$A$1:$X$162</definedName>
    <definedName name="_xlnm.Print_Area" localSheetId="4">Most!$A$1:$X$54</definedName>
    <definedName name="_xlnm.Print_Area" localSheetId="1">Stavba!$A$1:$J$85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 localSheetId="4">#REF!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 localSheetId="4">#REF!</definedName>
    <definedName name="SloupecCC">#REF!</definedName>
    <definedName name="SloupecCisloPol" localSheetId="4">#REF!</definedName>
    <definedName name="SloupecCisloPol">#REF!</definedName>
    <definedName name="SloupecJC" localSheetId="4">#REF!</definedName>
    <definedName name="SloupecJC">#REF!</definedName>
    <definedName name="SloupecMJ" localSheetId="4">#REF!</definedName>
    <definedName name="SloupecMJ">#REF!</definedName>
    <definedName name="SloupecMnozstvi" localSheetId="4">#REF!</definedName>
    <definedName name="SloupecMnozstvi">#REF!</definedName>
    <definedName name="SloupecNazPol" localSheetId="4">#REF!</definedName>
    <definedName name="SloupecNazPol">#REF!</definedName>
    <definedName name="SloupecPC" localSheetId="4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Stavba!$B$1:$J$37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Stavba!$G$35</definedName>
    <definedName name="Zaokrouhleni">Stavba!$G$28</definedName>
    <definedName name="ZaZhotovitele">Stavba!$D$35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3" i="12" l="1"/>
  <c r="O83" i="12"/>
  <c r="K83" i="12"/>
  <c r="I83" i="12"/>
  <c r="G83" i="12"/>
  <c r="M83" i="12" s="1"/>
  <c r="Q80" i="12"/>
  <c r="O80" i="12"/>
  <c r="K80" i="12"/>
  <c r="I80" i="12"/>
  <c r="G80" i="12"/>
  <c r="Q79" i="12"/>
  <c r="O79" i="12"/>
  <c r="K79" i="12"/>
  <c r="I79" i="12"/>
  <c r="E108" i="12"/>
  <c r="E102" i="12"/>
  <c r="E95" i="12" s="1"/>
  <c r="K95" i="12" s="1"/>
  <c r="A97" i="13"/>
  <c r="A99" i="13" s="1"/>
  <c r="A101" i="13" s="1"/>
  <c r="A105" i="13" s="1"/>
  <c r="A108" i="13" s="1"/>
  <c r="A69" i="13"/>
  <c r="A72" i="13" s="1"/>
  <c r="A76" i="13" s="1"/>
  <c r="A78" i="13" s="1"/>
  <c r="A82" i="13" s="1"/>
  <c r="A85" i="13" s="1"/>
  <c r="A88" i="13" s="1"/>
  <c r="A90" i="13" s="1"/>
  <c r="A92" i="13" s="1"/>
  <c r="A67" i="13"/>
  <c r="A12" i="13"/>
  <c r="A15" i="13" s="1"/>
  <c r="A18" i="13" s="1"/>
  <c r="A21" i="13" s="1"/>
  <c r="A24" i="13" s="1"/>
  <c r="A26" i="13" s="1"/>
  <c r="A28" i="13" s="1"/>
  <c r="A31" i="13" s="1"/>
  <c r="A34" i="13" s="1"/>
  <c r="A37" i="13" s="1"/>
  <c r="A40" i="13" s="1"/>
  <c r="A42" i="13" s="1"/>
  <c r="A44" i="13" s="1"/>
  <c r="A46" i="13" s="1"/>
  <c r="A50" i="13" s="1"/>
  <c r="A52" i="13" s="1"/>
  <c r="A55" i="13" s="1"/>
  <c r="A57" i="13" s="1"/>
  <c r="A61" i="13" s="1"/>
  <c r="G108" i="13"/>
  <c r="M108" i="13" s="1"/>
  <c r="E110" i="12"/>
  <c r="O110" i="12" s="1"/>
  <c r="Q112" i="12"/>
  <c r="O112" i="12"/>
  <c r="K112" i="12"/>
  <c r="I112" i="12"/>
  <c r="G112" i="12"/>
  <c r="M112" i="12" s="1"/>
  <c r="E49" i="12"/>
  <c r="E47" i="12"/>
  <c r="A12" i="12"/>
  <c r="A14" i="12" s="1"/>
  <c r="A16" i="12" s="1"/>
  <c r="A19" i="12" s="1"/>
  <c r="A22" i="12" s="1"/>
  <c r="A24" i="12" s="1"/>
  <c r="A26" i="12" s="1"/>
  <c r="A29" i="12" s="1"/>
  <c r="A32" i="12" s="1"/>
  <c r="A34" i="12" s="1"/>
  <c r="A37" i="12" s="1"/>
  <c r="A40" i="12" s="1"/>
  <c r="A42" i="12" s="1"/>
  <c r="E77" i="12"/>
  <c r="E60" i="12"/>
  <c r="E63" i="12"/>
  <c r="E65" i="12"/>
  <c r="G65" i="12" s="1"/>
  <c r="M65" i="12" s="1"/>
  <c r="E19" i="12"/>
  <c r="E9" i="12"/>
  <c r="E12" i="12" s="1"/>
  <c r="E133" i="12" s="1"/>
  <c r="E64" i="13"/>
  <c r="E90" i="13" s="1"/>
  <c r="E85" i="13" s="1"/>
  <c r="E88" i="13" s="1"/>
  <c r="Q108" i="13"/>
  <c r="O108" i="13"/>
  <c r="K108" i="13"/>
  <c r="I108" i="13"/>
  <c r="Q105" i="13"/>
  <c r="O105" i="13"/>
  <c r="K105" i="13"/>
  <c r="I105" i="13"/>
  <c r="G105" i="13"/>
  <c r="M105" i="13" s="1"/>
  <c r="Q101" i="13"/>
  <c r="O101" i="13"/>
  <c r="K101" i="13"/>
  <c r="I101" i="13"/>
  <c r="G101" i="13"/>
  <c r="M101" i="13" s="1"/>
  <c r="Q99" i="13"/>
  <c r="O99" i="13"/>
  <c r="K99" i="13"/>
  <c r="I99" i="13"/>
  <c r="G99" i="13"/>
  <c r="M99" i="13" s="1"/>
  <c r="Q97" i="13"/>
  <c r="O97" i="13"/>
  <c r="K97" i="13"/>
  <c r="I97" i="13"/>
  <c r="G97" i="13"/>
  <c r="M97" i="13" s="1"/>
  <c r="Q95" i="13"/>
  <c r="O95" i="13"/>
  <c r="K95" i="13"/>
  <c r="I95" i="13"/>
  <c r="G95" i="13"/>
  <c r="M95" i="13" s="1"/>
  <c r="E28" i="13"/>
  <c r="O28" i="13" s="1"/>
  <c r="E9" i="13"/>
  <c r="Q37" i="13"/>
  <c r="O37" i="13"/>
  <c r="K37" i="13"/>
  <c r="I37" i="13"/>
  <c r="G37" i="13"/>
  <c r="M37" i="13" s="1"/>
  <c r="Q44" i="13"/>
  <c r="O44" i="13"/>
  <c r="K44" i="13"/>
  <c r="G44" i="13"/>
  <c r="M44" i="13" s="1"/>
  <c r="Q40" i="13"/>
  <c r="O40" i="13"/>
  <c r="K40" i="13"/>
  <c r="I40" i="13"/>
  <c r="G40" i="13"/>
  <c r="M40" i="13" s="1"/>
  <c r="E50" i="13"/>
  <c r="E21" i="13" s="1"/>
  <c r="E34" i="13" s="1"/>
  <c r="O34" i="13" s="1"/>
  <c r="E52" i="13"/>
  <c r="E72" i="13"/>
  <c r="E78" i="13"/>
  <c r="E76" i="13" s="1"/>
  <c r="E69" i="13"/>
  <c r="G79" i="12" l="1"/>
  <c r="M80" i="12"/>
  <c r="M79" i="12" s="1"/>
  <c r="I61" i="1"/>
  <c r="E97" i="12"/>
  <c r="I97" i="12" s="1"/>
  <c r="E135" i="12"/>
  <c r="G95" i="12"/>
  <c r="M95" i="12" s="1"/>
  <c r="O95" i="12"/>
  <c r="I95" i="12"/>
  <c r="Q95" i="12"/>
  <c r="A45" i="12"/>
  <c r="A47" i="12" s="1"/>
  <c r="A49" i="12" s="1"/>
  <c r="A51" i="12" s="1"/>
  <c r="A53" i="12" s="1"/>
  <c r="A55" i="12" s="1"/>
  <c r="A57" i="12" s="1"/>
  <c r="A60" i="12" s="1"/>
  <c r="A63" i="12" s="1"/>
  <c r="A65" i="12" s="1"/>
  <c r="A67" i="12" s="1"/>
  <c r="A69" i="12" s="1"/>
  <c r="A71" i="12" s="1"/>
  <c r="A74" i="12" s="1"/>
  <c r="A77" i="12" s="1"/>
  <c r="E51" i="12"/>
  <c r="E126" i="12"/>
  <c r="K110" i="12"/>
  <c r="I110" i="12"/>
  <c r="Q110" i="12"/>
  <c r="G110" i="12"/>
  <c r="M110" i="12" s="1"/>
  <c r="E22" i="12"/>
  <c r="Q65" i="12"/>
  <c r="E45" i="12"/>
  <c r="E53" i="12" s="1"/>
  <c r="E55" i="12" s="1"/>
  <c r="E130" i="12" s="1"/>
  <c r="O65" i="12"/>
  <c r="M104" i="13"/>
  <c r="K28" i="13"/>
  <c r="G104" i="13"/>
  <c r="I84" i="1" s="1"/>
  <c r="E24" i="13"/>
  <c r="E26" i="13" s="1"/>
  <c r="G26" i="13" s="1"/>
  <c r="M26" i="13" s="1"/>
  <c r="O21" i="13"/>
  <c r="Q28" i="13"/>
  <c r="E31" i="13"/>
  <c r="O31" i="13" s="1"/>
  <c r="G28" i="13"/>
  <c r="M28" i="13" s="1"/>
  <c r="I34" i="13"/>
  <c r="Q34" i="13"/>
  <c r="I28" i="13"/>
  <c r="G34" i="13"/>
  <c r="M34" i="13" s="1"/>
  <c r="K34" i="13"/>
  <c r="I21" i="13"/>
  <c r="Q21" i="13"/>
  <c r="G21" i="13"/>
  <c r="M21" i="13" s="1"/>
  <c r="K21" i="13"/>
  <c r="I44" i="13"/>
  <c r="A80" i="12" l="1"/>
  <c r="G97" i="12"/>
  <c r="M97" i="12" s="1"/>
  <c r="Q97" i="12"/>
  <c r="K97" i="12"/>
  <c r="O97" i="12"/>
  <c r="E128" i="12"/>
  <c r="K31" i="13"/>
  <c r="G24" i="13"/>
  <c r="M24" i="13" s="1"/>
  <c r="Q24" i="13"/>
  <c r="I24" i="13"/>
  <c r="Q31" i="13"/>
  <c r="K24" i="13"/>
  <c r="O24" i="13"/>
  <c r="G31" i="13"/>
  <c r="M31" i="13" s="1"/>
  <c r="I31" i="13"/>
  <c r="A87" i="12" l="1"/>
  <c r="A90" i="12" s="1"/>
  <c r="A93" i="12" s="1"/>
  <c r="A95" i="12" s="1"/>
  <c r="A97" i="12" s="1"/>
  <c r="A100" i="12" s="1"/>
  <c r="A102" i="12" s="1"/>
  <c r="A105" i="12" s="1"/>
  <c r="A108" i="12" s="1"/>
  <c r="A110" i="12" s="1"/>
  <c r="A112" i="12" s="1"/>
  <c r="A114" i="12" s="1"/>
  <c r="A116" i="12" s="1"/>
  <c r="A120" i="12" s="1"/>
  <c r="A123" i="12" s="1"/>
  <c r="A126" i="12" s="1"/>
  <c r="A128" i="12" s="1"/>
  <c r="A130" i="12" s="1"/>
  <c r="A133" i="12" s="1"/>
  <c r="A135" i="12" s="1"/>
  <c r="A137" i="12" s="1"/>
  <c r="A140" i="12" s="1"/>
  <c r="A142" i="12" s="1"/>
  <c r="A145" i="12" s="1"/>
  <c r="A147" i="12" s="1"/>
  <c r="A151" i="12" s="1"/>
  <c r="A154" i="12" s="1"/>
  <c r="A157" i="12" s="1"/>
  <c r="A83" i="12"/>
  <c r="E123" i="12"/>
  <c r="O9" i="12"/>
  <c r="I104" i="13"/>
  <c r="K104" i="13"/>
  <c r="Q92" i="13"/>
  <c r="O92" i="13"/>
  <c r="K92" i="13"/>
  <c r="I92" i="13"/>
  <c r="G92" i="13"/>
  <c r="M92" i="13" s="1"/>
  <c r="Q90" i="13"/>
  <c r="O90" i="13"/>
  <c r="K90" i="13"/>
  <c r="I90" i="13"/>
  <c r="G90" i="13"/>
  <c r="M90" i="13" s="1"/>
  <c r="Q82" i="13"/>
  <c r="Q81" i="13" s="1"/>
  <c r="O82" i="13"/>
  <c r="O81" i="13" s="1"/>
  <c r="K82" i="13"/>
  <c r="K81" i="13" s="1"/>
  <c r="I82" i="13"/>
  <c r="I81" i="13" s="1"/>
  <c r="G82" i="13"/>
  <c r="M82" i="13" s="1"/>
  <c r="M81" i="13" s="1"/>
  <c r="G81" i="13"/>
  <c r="I81" i="1" s="1"/>
  <c r="Q78" i="13"/>
  <c r="O78" i="13"/>
  <c r="K78" i="13"/>
  <c r="I78" i="13"/>
  <c r="G78" i="13"/>
  <c r="M78" i="13" s="1"/>
  <c r="Q76" i="13"/>
  <c r="Q75" i="13" s="1"/>
  <c r="O76" i="13"/>
  <c r="K76" i="13"/>
  <c r="I76" i="13"/>
  <c r="G76" i="13"/>
  <c r="M76" i="13" s="1"/>
  <c r="Q72" i="13"/>
  <c r="Q71" i="13" s="1"/>
  <c r="O72" i="13"/>
  <c r="O71" i="13" s="1"/>
  <c r="K72" i="13"/>
  <c r="K71" i="13" s="1"/>
  <c r="I72" i="13"/>
  <c r="I71" i="13" s="1"/>
  <c r="G72" i="13"/>
  <c r="M72" i="13" s="1"/>
  <c r="M71" i="13" s="1"/>
  <c r="Q69" i="13"/>
  <c r="O69" i="13"/>
  <c r="K69" i="13"/>
  <c r="I69" i="13"/>
  <c r="G69" i="13"/>
  <c r="M69" i="13" s="1"/>
  <c r="Q67" i="13"/>
  <c r="O67" i="13"/>
  <c r="K67" i="13"/>
  <c r="I67" i="13"/>
  <c r="G67" i="13"/>
  <c r="M67" i="13" s="1"/>
  <c r="Q64" i="13"/>
  <c r="O64" i="13"/>
  <c r="K64" i="13"/>
  <c r="I64" i="13"/>
  <c r="G64" i="13"/>
  <c r="M64" i="13" s="1"/>
  <c r="Q61" i="13"/>
  <c r="Q60" i="13" s="1"/>
  <c r="O61" i="13"/>
  <c r="K61" i="13"/>
  <c r="K60" i="13" s="1"/>
  <c r="I61" i="13"/>
  <c r="I60" i="13" s="1"/>
  <c r="G61" i="13"/>
  <c r="M61" i="13" s="1"/>
  <c r="O60" i="13"/>
  <c r="Q57" i="13"/>
  <c r="O57" i="13"/>
  <c r="K57" i="13"/>
  <c r="I57" i="13"/>
  <c r="G57" i="13"/>
  <c r="M57" i="13" s="1"/>
  <c r="Q55" i="13"/>
  <c r="O55" i="13"/>
  <c r="K55" i="13"/>
  <c r="I55" i="13"/>
  <c r="G55" i="13"/>
  <c r="M55" i="13" s="1"/>
  <c r="Q50" i="13"/>
  <c r="O50" i="13"/>
  <c r="K50" i="13"/>
  <c r="I50" i="13"/>
  <c r="G50" i="13"/>
  <c r="M50" i="13" s="1"/>
  <c r="Q46" i="13"/>
  <c r="O46" i="13"/>
  <c r="K46" i="13"/>
  <c r="I46" i="13"/>
  <c r="G46" i="13"/>
  <c r="M46" i="13" s="1"/>
  <c r="Q42" i="13"/>
  <c r="O42" i="13"/>
  <c r="K42" i="13"/>
  <c r="I42" i="13"/>
  <c r="G42" i="13"/>
  <c r="M42" i="13" s="1"/>
  <c r="Q18" i="13"/>
  <c r="O18" i="13"/>
  <c r="K18" i="13"/>
  <c r="I18" i="13"/>
  <c r="G18" i="13"/>
  <c r="M18" i="13" s="1"/>
  <c r="Q15" i="13"/>
  <c r="O15" i="13"/>
  <c r="K15" i="13"/>
  <c r="I15" i="13"/>
  <c r="G15" i="13"/>
  <c r="M15" i="13" s="1"/>
  <c r="Q12" i="13"/>
  <c r="O12" i="13"/>
  <c r="K12" i="13"/>
  <c r="I12" i="13"/>
  <c r="G12" i="13"/>
  <c r="M12" i="13" s="1"/>
  <c r="Q9" i="13"/>
  <c r="O9" i="13"/>
  <c r="K9" i="13"/>
  <c r="I9" i="13"/>
  <c r="G9" i="13"/>
  <c r="M9" i="13" s="1"/>
  <c r="Q63" i="13" l="1"/>
  <c r="I63" i="13"/>
  <c r="O63" i="13"/>
  <c r="I75" i="13"/>
  <c r="O75" i="13"/>
  <c r="K75" i="13"/>
  <c r="Q85" i="13"/>
  <c r="Q88" i="13"/>
  <c r="K94" i="13"/>
  <c r="Q94" i="13"/>
  <c r="I94" i="13"/>
  <c r="O94" i="13"/>
  <c r="Q104" i="13"/>
  <c r="O104" i="13"/>
  <c r="O39" i="13"/>
  <c r="M36" i="13"/>
  <c r="K36" i="13"/>
  <c r="Q36" i="13"/>
  <c r="I36" i="13"/>
  <c r="I39" i="13"/>
  <c r="O36" i="13"/>
  <c r="G71" i="13"/>
  <c r="I79" i="1" s="1"/>
  <c r="G75" i="13"/>
  <c r="I80" i="1" s="1"/>
  <c r="M39" i="13"/>
  <c r="K39" i="13"/>
  <c r="Q39" i="13"/>
  <c r="G94" i="13"/>
  <c r="I83" i="1" s="1"/>
  <c r="Q8" i="13"/>
  <c r="K85" i="13"/>
  <c r="G36" i="13"/>
  <c r="I74" i="1" s="1"/>
  <c r="G39" i="13"/>
  <c r="I75" i="1" s="1"/>
  <c r="G60" i="13"/>
  <c r="I77" i="1" s="1"/>
  <c r="G63" i="13"/>
  <c r="I78" i="1" s="1"/>
  <c r="G85" i="13"/>
  <c r="O85" i="13"/>
  <c r="K63" i="13"/>
  <c r="M63" i="13"/>
  <c r="I9" i="12"/>
  <c r="Q9" i="12"/>
  <c r="G9" i="12"/>
  <c r="K9" i="12"/>
  <c r="M75" i="13"/>
  <c r="M94" i="13"/>
  <c r="M60" i="13"/>
  <c r="I85" i="13"/>
  <c r="Q84" i="13" l="1"/>
  <c r="M85" i="13"/>
  <c r="I88" i="13"/>
  <c r="I84" i="13" s="1"/>
  <c r="K88" i="13"/>
  <c r="K84" i="13" s="1"/>
  <c r="O8" i="13"/>
  <c r="M8" i="13"/>
  <c r="O88" i="13"/>
  <c r="O84" i="13" s="1"/>
  <c r="G88" i="13"/>
  <c r="M88" i="13" s="1"/>
  <c r="K8" i="13"/>
  <c r="M9" i="12"/>
  <c r="G8" i="13"/>
  <c r="O52" i="13"/>
  <c r="K52" i="13"/>
  <c r="G52" i="13"/>
  <c r="M52" i="13" s="1"/>
  <c r="Q52" i="13"/>
  <c r="I52" i="13"/>
  <c r="I8" i="13"/>
  <c r="I73" i="1" l="1"/>
  <c r="M84" i="13"/>
  <c r="G84" i="13"/>
  <c r="I82" i="1" s="1"/>
  <c r="Q49" i="13"/>
  <c r="I49" i="13"/>
  <c r="O49" i="13"/>
  <c r="K49" i="13"/>
  <c r="M49" i="13"/>
  <c r="G49" i="13"/>
  <c r="I76" i="1" s="1"/>
  <c r="G112" i="13" l="1"/>
  <c r="I85" i="1"/>
  <c r="O77" i="12"/>
  <c r="O74" i="12"/>
  <c r="O71" i="12"/>
  <c r="Q45" i="12"/>
  <c r="O45" i="12"/>
  <c r="K45" i="12"/>
  <c r="I45" i="12"/>
  <c r="G45" i="12"/>
  <c r="E37" i="12"/>
  <c r="E26" i="12"/>
  <c r="E29" i="12" s="1"/>
  <c r="I49" i="1" l="1"/>
  <c r="J81" i="1"/>
  <c r="J79" i="1"/>
  <c r="J80" i="1"/>
  <c r="M45" i="12"/>
  <c r="J75" i="1"/>
  <c r="J74" i="1"/>
  <c r="J83" i="1"/>
  <c r="J76" i="1"/>
  <c r="J82" i="1"/>
  <c r="J84" i="1"/>
  <c r="J78" i="1"/>
  <c r="J73" i="1"/>
  <c r="J77" i="1"/>
  <c r="G77" i="12"/>
  <c r="M77" i="12" s="1"/>
  <c r="Q77" i="12"/>
  <c r="I74" i="12"/>
  <c r="Q74" i="12"/>
  <c r="G74" i="12"/>
  <c r="M74" i="12" s="1"/>
  <c r="K74" i="12"/>
  <c r="I71" i="12"/>
  <c r="Q71" i="12"/>
  <c r="G71" i="12"/>
  <c r="M71" i="12" s="1"/>
  <c r="K71" i="12"/>
  <c r="E24" i="12"/>
  <c r="G123" i="12"/>
  <c r="M123" i="12" s="1"/>
  <c r="J85" i="1" l="1"/>
  <c r="Q53" i="12" l="1"/>
  <c r="Q55" i="12"/>
  <c r="Q120" i="12"/>
  <c r="O120" i="12"/>
  <c r="K120" i="12"/>
  <c r="I120" i="12"/>
  <c r="G120" i="12"/>
  <c r="Q87" i="12"/>
  <c r="O87" i="12"/>
  <c r="K87" i="12"/>
  <c r="I87" i="12"/>
  <c r="G87" i="12"/>
  <c r="Q100" i="12"/>
  <c r="O100" i="12"/>
  <c r="K100" i="12"/>
  <c r="I100" i="12"/>
  <c r="G100" i="12"/>
  <c r="M100" i="12" s="1"/>
  <c r="M120" i="12" l="1"/>
  <c r="M119" i="12" s="1"/>
  <c r="G119" i="12"/>
  <c r="M87" i="12"/>
  <c r="I51" i="12"/>
  <c r="K53" i="12"/>
  <c r="G53" i="12"/>
  <c r="M53" i="12" s="1"/>
  <c r="O53" i="12"/>
  <c r="G51" i="12"/>
  <c r="M51" i="12" s="1"/>
  <c r="O51" i="12"/>
  <c r="I53" i="12"/>
  <c r="G55" i="12"/>
  <c r="M55" i="12" s="1"/>
  <c r="K55" i="12"/>
  <c r="O55" i="12"/>
  <c r="I55" i="12"/>
  <c r="K51" i="12" l="1"/>
  <c r="Q51" i="12"/>
  <c r="Q135" i="12" l="1"/>
  <c r="O135" i="12"/>
  <c r="G135" i="12"/>
  <c r="M135" i="12" s="1"/>
  <c r="K135" i="12"/>
  <c r="I135" i="12"/>
  <c r="Q93" i="12"/>
  <c r="O93" i="12"/>
  <c r="K93" i="12"/>
  <c r="I93" i="12"/>
  <c r="G93" i="12"/>
  <c r="M93" i="12" s="1"/>
  <c r="AZ53" i="13" l="1"/>
  <c r="V52" i="13"/>
  <c r="AZ42" i="13"/>
  <c r="V39" i="13"/>
  <c r="V51" i="13" l="1"/>
  <c r="E137" i="12" l="1"/>
  <c r="V10" i="13" l="1"/>
  <c r="V8" i="13" s="1"/>
  <c r="Q57" i="12" l="1"/>
  <c r="O57" i="12"/>
  <c r="K57" i="12"/>
  <c r="I57" i="12"/>
  <c r="G57" i="12"/>
  <c r="M57" i="12" l="1"/>
  <c r="O67" i="12"/>
  <c r="Q67" i="12" l="1"/>
  <c r="G67" i="12"/>
  <c r="M67" i="12" s="1"/>
  <c r="O108" i="12"/>
  <c r="I108" i="12" l="1"/>
  <c r="Q108" i="12"/>
  <c r="G108" i="12"/>
  <c r="M108" i="12" s="1"/>
  <c r="K108" i="12"/>
  <c r="Q40" i="12" l="1"/>
  <c r="G40" i="12" l="1"/>
  <c r="M40" i="12" s="1"/>
  <c r="O40" i="12"/>
  <c r="K40" i="12"/>
  <c r="I40" i="12"/>
  <c r="Q119" i="12" l="1"/>
  <c r="O119" i="12"/>
  <c r="K119" i="12"/>
  <c r="I119" i="12"/>
  <c r="Q90" i="12"/>
  <c r="O90" i="12"/>
  <c r="K90" i="12"/>
  <c r="I90" i="12"/>
  <c r="G90" i="12"/>
  <c r="Q37" i="12"/>
  <c r="O37" i="12"/>
  <c r="K37" i="12"/>
  <c r="I37" i="12"/>
  <c r="G37" i="12"/>
  <c r="M37" i="12" s="1"/>
  <c r="O49" i="12"/>
  <c r="O19" i="12"/>
  <c r="Q26" i="12"/>
  <c r="O26" i="12"/>
  <c r="K26" i="12"/>
  <c r="I26" i="12"/>
  <c r="G26" i="12"/>
  <c r="I63" i="1" l="1"/>
  <c r="M26" i="12"/>
  <c r="M90" i="12"/>
  <c r="K49" i="12"/>
  <c r="Q49" i="12"/>
  <c r="G49" i="12"/>
  <c r="M49" i="12" s="1"/>
  <c r="I49" i="12"/>
  <c r="O12" i="12"/>
  <c r="E32" i="12"/>
  <c r="K19" i="12"/>
  <c r="I19" i="12"/>
  <c r="Q19" i="12"/>
  <c r="G19" i="12"/>
  <c r="M19" i="12" s="1"/>
  <c r="Q12" i="12"/>
  <c r="Q128" i="12" l="1"/>
  <c r="I128" i="12"/>
  <c r="K128" i="12"/>
  <c r="G128" i="12"/>
  <c r="M128" i="12" s="1"/>
  <c r="O128" i="12"/>
  <c r="K12" i="12"/>
  <c r="G12" i="12"/>
  <c r="I12" i="12"/>
  <c r="M12" i="12" l="1"/>
  <c r="J27" i="1"/>
  <c r="Q105" i="12" l="1"/>
  <c r="O105" i="12"/>
  <c r="K105" i="12"/>
  <c r="I105" i="12"/>
  <c r="G105" i="12"/>
  <c r="M105" i="12" s="1"/>
  <c r="E42" i="12"/>
  <c r="Q16" i="12" l="1"/>
  <c r="O16" i="12"/>
  <c r="K16" i="12"/>
  <c r="I16" i="12"/>
  <c r="G16" i="12"/>
  <c r="M16" i="12" s="1"/>
  <c r="Q147" i="12" l="1"/>
  <c r="O147" i="12"/>
  <c r="K147" i="12"/>
  <c r="I147" i="12"/>
  <c r="G147" i="12"/>
  <c r="M147" i="12" s="1"/>
  <c r="Q145" i="12"/>
  <c r="O145" i="12"/>
  <c r="K145" i="12"/>
  <c r="I145" i="12"/>
  <c r="G145" i="12"/>
  <c r="M145" i="12" s="1"/>
  <c r="Q140" i="12"/>
  <c r="O140" i="12"/>
  <c r="K140" i="12"/>
  <c r="I140" i="12"/>
  <c r="G140" i="12"/>
  <c r="Q114" i="12"/>
  <c r="O114" i="12"/>
  <c r="K114" i="12"/>
  <c r="I114" i="12"/>
  <c r="G114" i="12"/>
  <c r="Q63" i="12"/>
  <c r="O63" i="12"/>
  <c r="G69" i="12"/>
  <c r="G63" i="12"/>
  <c r="M63" i="12" l="1"/>
  <c r="M69" i="12"/>
  <c r="M114" i="12"/>
  <c r="M140" i="12"/>
  <c r="G42" i="12"/>
  <c r="M42" i="12" s="1"/>
  <c r="Q69" i="12"/>
  <c r="O69" i="12"/>
  <c r="BA158" i="12"/>
  <c r="BA155" i="12"/>
  <c r="BA152" i="12"/>
  <c r="BA143" i="12"/>
  <c r="BA61" i="12"/>
  <c r="V12" i="12"/>
  <c r="G14" i="12"/>
  <c r="I14" i="12"/>
  <c r="K14" i="12"/>
  <c r="O14" i="12"/>
  <c r="Q14" i="12"/>
  <c r="V14" i="12"/>
  <c r="G22" i="12"/>
  <c r="M22" i="12" s="1"/>
  <c r="I22" i="12"/>
  <c r="K22" i="12"/>
  <c r="O22" i="12"/>
  <c r="Q22" i="12"/>
  <c r="V22" i="12"/>
  <c r="G24" i="12"/>
  <c r="M24" i="12" s="1"/>
  <c r="I24" i="12"/>
  <c r="K24" i="12"/>
  <c r="O24" i="12"/>
  <c r="Q24" i="12"/>
  <c r="V24" i="12"/>
  <c r="G29" i="12"/>
  <c r="I29" i="12"/>
  <c r="K29" i="12"/>
  <c r="O29" i="12"/>
  <c r="Q29" i="12"/>
  <c r="V29" i="12"/>
  <c r="G32" i="12"/>
  <c r="M32" i="12" s="1"/>
  <c r="I32" i="12"/>
  <c r="K32" i="12"/>
  <c r="O32" i="12"/>
  <c r="Q32" i="12"/>
  <c r="V32" i="12"/>
  <c r="G34" i="12"/>
  <c r="I34" i="12"/>
  <c r="K34" i="12"/>
  <c r="O34" i="12"/>
  <c r="Q34" i="12"/>
  <c r="V34" i="12"/>
  <c r="O42" i="12"/>
  <c r="G47" i="12"/>
  <c r="I47" i="12"/>
  <c r="K47" i="12"/>
  <c r="O47" i="12"/>
  <c r="Q47" i="12"/>
  <c r="V47" i="12"/>
  <c r="G60" i="12"/>
  <c r="M60" i="12" s="1"/>
  <c r="I60" i="12"/>
  <c r="K60" i="12"/>
  <c r="O60" i="12"/>
  <c r="Q60" i="12"/>
  <c r="V60" i="12"/>
  <c r="G102" i="12"/>
  <c r="I102" i="12"/>
  <c r="K102" i="12"/>
  <c r="O102" i="12"/>
  <c r="Q102" i="12"/>
  <c r="V102" i="12"/>
  <c r="G116" i="12"/>
  <c r="M116" i="12" s="1"/>
  <c r="I116" i="12"/>
  <c r="K116" i="12"/>
  <c r="O116" i="12"/>
  <c r="Q116" i="12"/>
  <c r="V116" i="12"/>
  <c r="G126" i="12"/>
  <c r="M126" i="12" s="1"/>
  <c r="I126" i="12"/>
  <c r="K126" i="12"/>
  <c r="O126" i="12"/>
  <c r="Q126" i="12"/>
  <c r="V126" i="12"/>
  <c r="G130" i="12"/>
  <c r="I130" i="12"/>
  <c r="K130" i="12"/>
  <c r="O130" i="12"/>
  <c r="Q130" i="12"/>
  <c r="V130" i="12"/>
  <c r="G133" i="12"/>
  <c r="M133" i="12" s="1"/>
  <c r="I133" i="12"/>
  <c r="K133" i="12"/>
  <c r="O133" i="12"/>
  <c r="Q133" i="12"/>
  <c r="V133" i="12"/>
  <c r="G137" i="12"/>
  <c r="M137" i="12" s="1"/>
  <c r="I137" i="12"/>
  <c r="K137" i="12"/>
  <c r="O137" i="12"/>
  <c r="Q137" i="12"/>
  <c r="V137" i="12"/>
  <c r="G142" i="12"/>
  <c r="G139" i="12" s="1"/>
  <c r="I142" i="12"/>
  <c r="I139" i="12" s="1"/>
  <c r="K142" i="12"/>
  <c r="K139" i="12" s="1"/>
  <c r="O142" i="12"/>
  <c r="O139" i="12" s="1"/>
  <c r="Q142" i="12"/>
  <c r="Q139" i="12" s="1"/>
  <c r="V142" i="12"/>
  <c r="V139" i="12" s="1"/>
  <c r="G151" i="12"/>
  <c r="M151" i="12" s="1"/>
  <c r="I151" i="12"/>
  <c r="K151" i="12"/>
  <c r="O151" i="12"/>
  <c r="Q151" i="12"/>
  <c r="V151" i="12"/>
  <c r="G154" i="12"/>
  <c r="M154" i="12" s="1"/>
  <c r="I154" i="12"/>
  <c r="K154" i="12"/>
  <c r="O154" i="12"/>
  <c r="Q154" i="12"/>
  <c r="V154" i="12"/>
  <c r="G157" i="12"/>
  <c r="M157" i="12" s="1"/>
  <c r="I157" i="12"/>
  <c r="K157" i="12"/>
  <c r="O157" i="12"/>
  <c r="Q157" i="12"/>
  <c r="V157" i="12"/>
  <c r="AE161" i="12"/>
  <c r="F43" i="1" s="1"/>
  <c r="H44" i="1"/>
  <c r="G86" i="12" l="1"/>
  <c r="I62" i="1" s="1"/>
  <c r="G44" i="12"/>
  <c r="I60" i="1" s="1"/>
  <c r="G8" i="12"/>
  <c r="I66" i="1"/>
  <c r="I19" i="1" s="1"/>
  <c r="M130" i="12"/>
  <c r="M125" i="12" s="1"/>
  <c r="M34" i="12"/>
  <c r="M14" i="12"/>
  <c r="M29" i="12"/>
  <c r="M102" i="12"/>
  <c r="M86" i="12" s="1"/>
  <c r="V42" i="12"/>
  <c r="I42" i="12"/>
  <c r="I8" i="12" s="1"/>
  <c r="M47" i="12"/>
  <c r="M44" i="12" s="1"/>
  <c r="Q42" i="12"/>
  <c r="K42" i="12"/>
  <c r="O8" i="12"/>
  <c r="V86" i="12"/>
  <c r="O86" i="12"/>
  <c r="M150" i="12"/>
  <c r="O150" i="12"/>
  <c r="Q150" i="12"/>
  <c r="I150" i="12"/>
  <c r="Q132" i="12"/>
  <c r="I132" i="12"/>
  <c r="V132" i="12"/>
  <c r="O132" i="12"/>
  <c r="Q125" i="12"/>
  <c r="I125" i="12"/>
  <c r="V125" i="12"/>
  <c r="O125" i="12"/>
  <c r="K86" i="12"/>
  <c r="Q86" i="12"/>
  <c r="I86" i="12"/>
  <c r="Q44" i="12"/>
  <c r="I44" i="12"/>
  <c r="V150" i="12"/>
  <c r="K150" i="12"/>
  <c r="G150" i="12"/>
  <c r="K132" i="12"/>
  <c r="G132" i="12"/>
  <c r="I65" i="1" s="1"/>
  <c r="K125" i="12"/>
  <c r="G125" i="12"/>
  <c r="I64" i="1" s="1"/>
  <c r="V44" i="12"/>
  <c r="O44" i="12"/>
  <c r="K44" i="12"/>
  <c r="AF161" i="12"/>
  <c r="G43" i="1" s="1"/>
  <c r="I43" i="1" s="1"/>
  <c r="F40" i="1"/>
  <c r="F42" i="1"/>
  <c r="I17" i="1"/>
  <c r="M142" i="12"/>
  <c r="M139" i="12" s="1"/>
  <c r="M132" i="12"/>
  <c r="J29" i="1"/>
  <c r="J26" i="1"/>
  <c r="G39" i="1"/>
  <c r="F39" i="1"/>
  <c r="J23" i="1"/>
  <c r="J24" i="1"/>
  <c r="J25" i="1"/>
  <c r="J28" i="1"/>
  <c r="E24" i="1"/>
  <c r="E26" i="1"/>
  <c r="G161" i="12" l="1"/>
  <c r="I59" i="1"/>
  <c r="I67" i="1"/>
  <c r="I20" i="1" s="1"/>
  <c r="M8" i="12"/>
  <c r="K8" i="12"/>
  <c r="V8" i="12"/>
  <c r="Q8" i="12"/>
  <c r="G40" i="1"/>
  <c r="G44" i="1" s="1"/>
  <c r="G42" i="1"/>
  <c r="I42" i="1" s="1"/>
  <c r="F44" i="1"/>
  <c r="G23" i="1" s="1"/>
  <c r="I68" i="1" l="1"/>
  <c r="J61" i="1" s="1"/>
  <c r="I40" i="1"/>
  <c r="I44" i="1" s="1"/>
  <c r="J43" i="1" s="1"/>
  <c r="J67" i="1" l="1"/>
  <c r="I48" i="1"/>
  <c r="I50" i="1" s="1"/>
  <c r="J62" i="1"/>
  <c r="J60" i="1"/>
  <c r="J64" i="1"/>
  <c r="J63" i="1"/>
  <c r="J59" i="1"/>
  <c r="J65" i="1"/>
  <c r="J66" i="1"/>
  <c r="J42" i="1"/>
  <c r="J40" i="1"/>
  <c r="J44" i="1" s="1"/>
  <c r="J68" i="1" l="1"/>
  <c r="I21" i="1" l="1"/>
  <c r="I16" i="1" s="1"/>
  <c r="J49" i="1"/>
  <c r="J48" i="1"/>
  <c r="G25" i="1" l="1"/>
  <c r="G27" i="1" s="1"/>
  <c r="G30" i="1" l="1"/>
  <c r="G29" i="1"/>
  <c r="A28" i="1"/>
  <c r="A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TSC</author>
  </authors>
  <commentList>
    <comment ref="S6" authorId="0" shapeId="0" xr:uid="{00000000-0006-0000-0300-000001000000}">
      <text>
        <r>
          <rPr>
            <sz val="8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8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TSC</author>
  </authors>
  <commentList>
    <comment ref="S6" authorId="0" shapeId="0" xr:uid="{00000000-0006-0000-0400-000001000000}">
      <text>
        <r>
          <rPr>
            <sz val="8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400-000002000000}">
      <text>
        <r>
          <rPr>
            <sz val="8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<sst xmlns="http://schemas.openxmlformats.org/spreadsheetml/2006/main" count="1002" uniqueCount="364">
  <si>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</si>
  <si>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</si>
  <si>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</si>
  <si>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</si>
  <si>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</si>
  <si>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</si>
  <si>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</si>
  <si>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</si>
  <si>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</si>
  <si>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</si>
  <si>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</si>
  <si>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</si>
  <si>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</si>
  <si>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</si>
  <si>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</si>
  <si>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</si>
  <si>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</si>
  <si>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</si>
  <si>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</si>
  <si>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</si>
  <si>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</si>
  <si>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</si>
  <si>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</si>
  <si>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</si>
  <si>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</si>
  <si>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</si>
  <si>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</si>
  <si>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</si>
  <si>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</si>
  <si>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</si>
  <si>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</si>
  <si>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</si>
  <si>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</si>
  <si>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</si>
  <si>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</si>
  <si>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</si>
  <si>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</si>
  <si>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</si>
  <si>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</si>
  <si>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</si>
  <si>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</si>
  <si>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01285</t>
  </si>
  <si>
    <t>Rekonstrukce chodníků v ulici V Podlískách v obci Braškov</t>
  </si>
  <si>
    <t>SO 01</t>
  </si>
  <si>
    <t>Chodník</t>
  </si>
  <si>
    <t>Objekt:</t>
  </si>
  <si>
    <t>Rozpočet:</t>
  </si>
  <si>
    <t>Stavba</t>
  </si>
  <si>
    <t>Stavební objekt</t>
  </si>
  <si>
    <t>Celkem za stavbu</t>
  </si>
  <si>
    <t>CZK</t>
  </si>
  <si>
    <t>Typ dílu</t>
  </si>
  <si>
    <t>1</t>
  </si>
  <si>
    <t>Zemní práce</t>
  </si>
  <si>
    <t>5</t>
  </si>
  <si>
    <t>Komunikace</t>
  </si>
  <si>
    <t>91</t>
  </si>
  <si>
    <t>Doplňující práce na komunikaci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</si>
  <si>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</si>
  <si>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</si>
  <si>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</si>
  <si>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</si>
  <si>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</si>
  <si>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</si>
  <si>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</si>
  <si>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</si>
  <si>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</si>
  <si>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</si>
  <si>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</si>
  <si>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</si>
  <si>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</si>
  <si>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</si>
  <si>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</si>
  <si>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</si>
  <si>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</si>
  <si>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</si>
  <si>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</si>
  <si>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</si>
  <si>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</si>
  <si>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</si>
  <si>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</si>
  <si>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</si>
  <si>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</si>
  <si>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</si>
  <si>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</si>
  <si>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</si>
  <si>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</si>
  <si>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</si>
  <si>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</si>
  <si>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</si>
  <si>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</si>
  <si>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</si>
  <si>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</si>
  <si>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SPU</t>
  </si>
  <si>
    <t>SPCM</t>
  </si>
  <si>
    <t>kus</t>
  </si>
  <si>
    <t>59217010R</t>
  </si>
  <si>
    <t>obrubník silniční materiál beton; l = 1000,0 mm; š = 150,0 mm; h = 250,0 mm; barva přírodní</t>
  </si>
  <si>
    <t>m2</t>
  </si>
  <si>
    <t xml:space="preserve">Geodetické práce </t>
  </si>
  <si>
    <t>Soubor</t>
  </si>
  <si>
    <t>Indiv</t>
  </si>
  <si>
    <t>VRN</t>
  </si>
  <si>
    <t>POL99_2</t>
  </si>
  <si>
    <t>Zařízení staveniště</t>
  </si>
  <si>
    <t>POP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</si>
  <si>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</si>
  <si>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</si>
  <si>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</si>
  <si>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822-1</t>
  </si>
  <si>
    <t>Práce</t>
  </si>
  <si>
    <t>POL1_</t>
  </si>
  <si>
    <t>SPI</t>
  </si>
  <si>
    <t>113201111R00</t>
  </si>
  <si>
    <t>m</t>
  </si>
  <si>
    <t>800-1</t>
  </si>
  <si>
    <t>m3</t>
  </si>
  <si>
    <t>122201109R00</t>
  </si>
  <si>
    <t>162701105RT3</t>
  </si>
  <si>
    <t>po suchu, bez naložení výkopku, avšak se složením bez rozhrnutí, zpáteční cesta vozidla.</t>
  </si>
  <si>
    <t>167101101R00</t>
  </si>
  <si>
    <t>180402111R00</t>
  </si>
  <si>
    <t>823-1</t>
  </si>
  <si>
    <t>na půdě předem připravené s pokosením, naložením, odvozem odpadu do 20 km a se složením,</t>
  </si>
  <si>
    <t>199000002R00</t>
  </si>
  <si>
    <t>Poplatky za skládku horniny 1- 4, skupina 17 05 04 z Katalogu odpadů</t>
  </si>
  <si>
    <t>t</t>
  </si>
  <si>
    <t>596215041R00</t>
  </si>
  <si>
    <t>s provedením lože z kameniva drceného, s vyplněním spár, s dvojitým hutněním a se smetením přebytečného materiálu na krajnici. S dodáním hmot pro lože a výplň spár.</t>
  </si>
  <si>
    <t>919735112R00</t>
  </si>
  <si>
    <t>Řezání stávajících krytů nebo podkladů živičných, hloubky přes 50 do 100 mm</t>
  </si>
  <si>
    <t>včetně spotřeby vody</t>
  </si>
  <si>
    <t>Přesun hmot</t>
  </si>
  <si>
    <t>POL7_</t>
  </si>
  <si>
    <t>Přesun hmot pozemních komunikací, kryt dlážděný jakékoliv délky objektu</t>
  </si>
  <si>
    <t>Přesun suti</t>
  </si>
  <si>
    <t>POL8_</t>
  </si>
  <si>
    <t>801-3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</si>
  <si>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</si>
  <si>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</si>
  <si>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</si>
  <si>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005211030R</t>
  </si>
  <si>
    <t xml:space="preserve">Dočasná dopravní opatření 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</si>
  <si>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</si>
  <si>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</si>
  <si>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</si>
  <si>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005281010R</t>
  </si>
  <si>
    <t>Propagace</t>
  </si>
  <si>
    <t>SUM</t>
  </si>
  <si>
    <t>END</t>
  </si>
  <si>
    <t>Vytrhání obrub silničních stojatých nebo ležatých</t>
  </si>
  <si>
    <t>12224441R00</t>
  </si>
  <si>
    <t>917855111RT7</t>
  </si>
  <si>
    <t>998200011R00</t>
  </si>
  <si>
    <t>998213111R00</t>
  </si>
  <si>
    <t>Poplatek za skládku stavební suti</t>
  </si>
  <si>
    <t>979188001R00</t>
  </si>
  <si>
    <t>005131 R</t>
  </si>
  <si>
    <t>Náklady na vyhotovení návrhu dočasného dopravního značení, jeho projednání s dotčenými orgány a organizacemi, dodání dopravních značek i případné světelné signalizace, jejich rozmístění a přemísťování a jejich údržba v průběhu výstavby včetně následného odstranění po ukončení stavebních prací.</t>
  </si>
  <si>
    <t>Náklady spojené s povinnou publicitou. Zahrnuje zejména náklady na propagační a informační billboardy, tabule, internetovou propagaci, tiskoviny apod.</t>
  </si>
  <si>
    <t>Založení trávníku parkový trávník, výsevem v rovině, vč. travního smene</t>
  </si>
  <si>
    <t>005121029 R</t>
  </si>
  <si>
    <t>Kladení zámkové dlažby do drtě tloušťka dlažby 60 mm, tloušťka lože 40 mm</t>
  </si>
  <si>
    <t>Kladení zámkové dlažby do drtě tloušťka dlažby 80 mm, tloušťka lože 40 mm</t>
  </si>
  <si>
    <t>Nakládání výkopku, skládání, překládání neulehlého výkopku_x000D_ z hornin 1 až 4</t>
  </si>
  <si>
    <t>S dodáním hmot pro lože a opěry</t>
  </si>
  <si>
    <t>Osazení silničního betonového obrubníku, s boční opěrou z betonu prostého, do lože z betonu prostého C 12/15</t>
  </si>
  <si>
    <t>917855101RT7</t>
  </si>
  <si>
    <t>592215021R00</t>
  </si>
  <si>
    <t>Osazení chodníkového nebo parkového betonového obrubníku, s boční opěrou z betonu prostého, do lože z betonu prostého C 12/15</t>
  </si>
  <si>
    <t xml:space="preserve">             Artendr s.r.o.</t>
  </si>
  <si>
    <t>Zadavatel:</t>
  </si>
  <si>
    <t>Celkem bez DPH</t>
  </si>
  <si>
    <t>Základní DPH</t>
  </si>
  <si>
    <t>Bourání konstrukcí</t>
  </si>
  <si>
    <t>96</t>
  </si>
  <si>
    <t>120001101R00</t>
  </si>
  <si>
    <t>Ztížené vykopávky v horninách jakékoliv třídy</t>
  </si>
  <si>
    <t>139601102R00</t>
  </si>
  <si>
    <t>Ruční výkop jam, rýh a šachet v hornině 3</t>
  </si>
  <si>
    <t>s přehozením na vzdálenost do 5 m nebo s naložením na ruční dopravní prostředek</t>
  </si>
  <si>
    <t>823-2</t>
  </si>
  <si>
    <t>Rozprostření zemin schopných zúrodnění v rovině nebo svahu do 1:5, tloušťka 200 mm</t>
  </si>
  <si>
    <t>vč. dodávky zeminy, naložení, dovozu do 20 km a se složením,</t>
  </si>
  <si>
    <t>95</t>
  </si>
  <si>
    <t>Dokončovací konstrukce na pozemních stavbách</t>
  </si>
  <si>
    <t>801-1</t>
  </si>
  <si>
    <t>998222011R00</t>
  </si>
  <si>
    <t>Přesun hmot pozemních komunikací, kryt z kameniva jakékoliv délky objektu</t>
  </si>
  <si>
    <t>181101102R00</t>
  </si>
  <si>
    <t>Úprava pláně v zářezech v hornině 1 až 4, se zhutněním</t>
  </si>
  <si>
    <t>113106236R00</t>
  </si>
  <si>
    <t>181006190RT2</t>
  </si>
  <si>
    <t>564851112RT3</t>
  </si>
  <si>
    <t xml:space="preserve">dlažba betonová, zámková; přírodní šedá, tl. 60 mm </t>
  </si>
  <si>
    <t>59245255R</t>
  </si>
  <si>
    <t>914001199RT9</t>
  </si>
  <si>
    <t>příplatek k cenám vykopávek za ztížení vykopávky v blízkosti podzemního vedení v horninách jakékoliv třídy,</t>
  </si>
  <si>
    <t>s vybouráním lože, s přemístěním hmot na skládku na vzdálenost do 3 m nebo naložením na dopravní prostředek,</t>
  </si>
  <si>
    <t>174101101R00</t>
  </si>
  <si>
    <t>4</t>
  </si>
  <si>
    <t>Vodorovné konstrukce</t>
  </si>
  <si>
    <t>Cena celkem bez DPH</t>
  </si>
  <si>
    <t xml:space="preserve">Osazení a montáž svislých dopravních značek sloupek, do betonového základu,  </t>
  </si>
  <si>
    <t>vč. základu, nové kotevní šrouby</t>
  </si>
  <si>
    <t>91400R01</t>
  </si>
  <si>
    <t>Odstranění podkladů nebo krytů z kameniva hrubého drceného, v ploše jednotlivě nad 50 m2</t>
  </si>
  <si>
    <t>113107539R00</t>
  </si>
  <si>
    <t>Značka dopravní, vč. sloupku 60mm, délky 2,5m + patice</t>
  </si>
  <si>
    <t>RTS 21/II</t>
  </si>
  <si>
    <t>911011206RT9</t>
  </si>
  <si>
    <t>Demontáž svislých dopravních značek, vč. sloupků a patek</t>
  </si>
  <si>
    <t xml:space="preserve">vč. zásypu jamky, zemních prací, likvidace </t>
  </si>
  <si>
    <t>954431111R00</t>
  </si>
  <si>
    <t xml:space="preserve">Výšková úprava uličního vstupu, vpustě nebo šoupěte do 20 cm </t>
  </si>
  <si>
    <t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t>
  </si>
  <si>
    <t>59217002R</t>
  </si>
  <si>
    <t>573231130R00</t>
  </si>
  <si>
    <t>Postřik živičný spojovací bez posypu kamenivem z asfaltu silničního, v množství od 0,3 do 0,5 kg/m2</t>
  </si>
  <si>
    <t>s očištěním, přemístěním hmot na skládku na vzdálenost do 3 m nebo s naložením na dopravní prostředek,</t>
  </si>
  <si>
    <t>Přesun hmot komunikací, kryt živičný, nebo betonový jakékoliv délky objektu</t>
  </si>
  <si>
    <t>979086112R00</t>
  </si>
  <si>
    <t>Odvoz suti a vybouraných hmot na skládku do 1 km</t>
  </si>
  <si>
    <t>979081111R00</t>
  </si>
  <si>
    <t>Odvoz suti a vybouraných hmot na skládku příplatek za každý další 1 km</t>
  </si>
  <si>
    <t>Odkopávky a  prokopávky nezapažené v hornině 3_x000D_ příplatek k cenám za lepivost horniny</t>
  </si>
  <si>
    <t>Odkopávky a  prokopávky nezapažené v hornině 3_x000D_ do 100 m3</t>
  </si>
  <si>
    <t>Obec Drahelčice</t>
  </si>
  <si>
    <t>Na Návsi 25</t>
  </si>
  <si>
    <t>252 19</t>
  </si>
  <si>
    <t>Drahelčice</t>
  </si>
  <si>
    <t>00233200</t>
  </si>
  <si>
    <t xml:space="preserve">Rozebrání komunikací pro pěší s jakýmkoliv ložem a výplní spár_x000D_ z dlažby betonové </t>
  </si>
  <si>
    <t>113108410R00</t>
  </si>
  <si>
    <r>
      <t>Odstranění podkladů nebo krytů živičných, v ploše nad 50 m2, tloušťka vrstvy do 10</t>
    </r>
    <r>
      <rPr>
        <sz val="8"/>
        <color theme="1"/>
        <rFont val="Arial CE"/>
        <charset val="238"/>
      </rPr>
      <t>0</t>
    </r>
    <r>
      <rPr>
        <sz val="8"/>
        <rFont val="Arial CE"/>
        <charset val="238"/>
      </rPr>
      <t xml:space="preserve"> mm</t>
    </r>
  </si>
  <si>
    <t>Podklad z mechanicky zpevněného kameniva tl. 15cm</t>
  </si>
  <si>
    <t>564952111R00</t>
  </si>
  <si>
    <t>564952115R00</t>
  </si>
  <si>
    <t>Podklad z mechanicky zpevněného kameniva tl. 19cm</t>
  </si>
  <si>
    <t>Podklad ze štěrkodrti s rozprostřením a zhutněním (frakce 0-32mm, 0/63mm), tloušťka po zhutnění 200mm</t>
  </si>
  <si>
    <t>577132177RT2</t>
  </si>
  <si>
    <t>915701751RT9</t>
  </si>
  <si>
    <t>Demontáž, očištění, uskladnění, osazení odpadkového koše vč. základová patky</t>
  </si>
  <si>
    <t>Kladení žulové dlažby z kostek, do drtě, tloušťka lože do 100 mm</t>
  </si>
  <si>
    <t>592111117R00</t>
  </si>
  <si>
    <t>s provedením lože z kameniva drceného, s vyplněním spár, s dvojitým hutněním a se smetením přebytečného materiálu na krajnici. S dodáním kostek žulových a hmot pro lože i výplň spár.</t>
  </si>
  <si>
    <t>592215041R00</t>
  </si>
  <si>
    <t>Kladení dlažby z dlaždic vegetačních do drtě, tloušťka dlažby 80 mm</t>
  </si>
  <si>
    <t xml:space="preserve">dlažba betonová, vegetační; přírodní šedá, tl. 80 mm </t>
  </si>
  <si>
    <t>59660755R</t>
  </si>
  <si>
    <t>obrubník chodníkový betonový; l = 1000,0 mm; š = 80 mm; h = 250,0 mm; barva přírodní</t>
  </si>
  <si>
    <t>122202202R00</t>
  </si>
  <si>
    <t>Odkopávky a prokopávky pro silnice v hornině 3 přes 100 do 1 000 m3</t>
  </si>
  <si>
    <t>s přemístěním výkopku v příčných profilech na vzdálenost do 15 m nebo s naložením na dopravní prostředek.</t>
  </si>
  <si>
    <t>124203101R00</t>
  </si>
  <si>
    <t xml:space="preserve">Vykopávky pro koryta vodotečí v hornině 3, do 1 000 m3 </t>
  </si>
  <si>
    <t>se svislým přemístění výkopku do 4 m a s přehozením výkopku na vzdálenost do 3 m nebo s naložením na dopravní prostředek,</t>
  </si>
  <si>
    <t>129200001R00</t>
  </si>
  <si>
    <t>Čištění koryt vodotečí hloubce koryta do 2,5 m, pří šířce původního dna do 5 m, v hornině 3</t>
  </si>
  <si>
    <t>s přehozením rozpojeného nánosu do 3 m nebo s naložením na dopravní prostředek,</t>
  </si>
  <si>
    <t>129203109R00</t>
  </si>
  <si>
    <t>Čištění koryt vodotečí příplatek k ceně za lepivost v hornině 3</t>
  </si>
  <si>
    <t>2</t>
  </si>
  <si>
    <t>Základy a zvláštní zakládání</t>
  </si>
  <si>
    <t>821-1</t>
  </si>
  <si>
    <t>801-2</t>
  </si>
  <si>
    <t>465513100R00</t>
  </si>
  <si>
    <t xml:space="preserve">Dlažba z lomového kamene dlažba z kamene lomařsky upraveného na cementovou maltu, s vyspárováním cementovou maltou, tloušťka 200 mm,  </t>
  </si>
  <si>
    <t>832-1</t>
  </si>
  <si>
    <t>lomařsky upraveného pro dlažbu</t>
  </si>
  <si>
    <t>567122111R00</t>
  </si>
  <si>
    <t>bez dilatačních spár, s rozprostřením a zhutněním, ošetřením povrchu podkladu vodou</t>
  </si>
  <si>
    <t>457655511R00</t>
  </si>
  <si>
    <t>Zalití spár asfaltovou zálivkou, do 1 kg zálivky na 1 m spáry</t>
  </si>
  <si>
    <t>578132100R00</t>
  </si>
  <si>
    <t>Litý asfalt, jemnězrnný, tloušťky 30 mm</t>
  </si>
  <si>
    <t>z kameniva těženého nebo drceného s rozprostřením-ochraná vrstva nad izolací proti vodě, vč.příplatku za množství do 50m2</t>
  </si>
  <si>
    <t>963051111R00</t>
  </si>
  <si>
    <t>Bourání mostních nosných konstrukcí z dílců ze železobetonu</t>
  </si>
  <si>
    <t>715101811R00</t>
  </si>
  <si>
    <t>800-715</t>
  </si>
  <si>
    <t>966005211R00</t>
  </si>
  <si>
    <t>998214111R00</t>
  </si>
  <si>
    <t xml:space="preserve">Přesun hmot pro mosty montované želbet. výška do 20 m,  </t>
  </si>
  <si>
    <t>z dílců železobetonových nebo předpjatých na novostavbách, včetně příplatku za zvětšený přesun přes vymezenou dopravní vzdálenost,</t>
  </si>
  <si>
    <t>711</t>
  </si>
  <si>
    <t>Izolace proti vodě</t>
  </si>
  <si>
    <t>711111001R00</t>
  </si>
  <si>
    <t>Provedení izolace proti zemní vlhkosti natěradly za studena na ploše vodorovné nátěrem penetračním, 1 x nátěr, materiál ve specifikaci</t>
  </si>
  <si>
    <t>800-711</t>
  </si>
  <si>
    <t>711141504R00</t>
  </si>
  <si>
    <t>Provedení očištění povrchu a natavení dvou vrstev asfaltového modifikovaného pásu včetně dodávky materiálů.</t>
  </si>
  <si>
    <t>M65</t>
  </si>
  <si>
    <t>Elektroinstalace a veřejné osvětlení</t>
  </si>
  <si>
    <t>650025541R00</t>
  </si>
  <si>
    <t>Včetně naložení na dopravní prostředek a složení na skládku, bez poplatku za skládku.</t>
  </si>
  <si>
    <t>979081121R00</t>
  </si>
  <si>
    <t>979990108R00</t>
  </si>
  <si>
    <t>Poplatek za skládku železobeton, skupina 17 09 04 z Katalogu odpadů</t>
  </si>
  <si>
    <t>979990121R00</t>
  </si>
  <si>
    <t>Poplatek za skládku asfaltové pásy, skupina 17 03 02 z Katalogu odpadů</t>
  </si>
  <si>
    <t>Zalití spár asfaltovou zálivkou - za tepla</t>
  </si>
  <si>
    <t>956274471RT1</t>
  </si>
  <si>
    <t>Zásyp jam, rýh nebo šachet se zhutněním</t>
  </si>
  <si>
    <t>8</t>
  </si>
  <si>
    <t>Trubní vedení</t>
  </si>
  <si>
    <t>895941860R4T</t>
  </si>
  <si>
    <t>Zřízení uliční vpusti kanalizační z betonových dílců typ UV-50</t>
  </si>
  <si>
    <t>vč. dodávky všech díclů, mříže s rámem a propojení do řádu, navrtávka hl. řádu, doprava a manipulace</t>
  </si>
  <si>
    <t>Zřízení odvodňovacího žlabu, kompozitního vč. litinové mříže</t>
  </si>
  <si>
    <t>vč. dodávky všech kompozitních dílů, litinové mříže a propojení do řádu, navrtávka hl. řádu, doprava a manipulace, vč. lože a patek z betonu C16/20</t>
  </si>
  <si>
    <t>soubor</t>
  </si>
  <si>
    <t>Zabezpečení staveniště, výkopů</t>
  </si>
  <si>
    <t>Odstranění zabezpečení staveniště</t>
  </si>
  <si>
    <t>005121001 R</t>
  </si>
  <si>
    <t>005121009R</t>
  </si>
  <si>
    <t>Komunikace a odvodnění</t>
  </si>
  <si>
    <t>Komunikace a odovodnění - Drahelčice</t>
  </si>
  <si>
    <t>Rekapitulace objektů SO 01 - Komunikace a odvodnění - I. etapa</t>
  </si>
  <si>
    <t>Oprava ulice Malá Strana v obci Drahelčice - I. etapa</t>
  </si>
  <si>
    <t>Komunikace a odovodnění - Drahelčice - I. etapa</t>
  </si>
  <si>
    <t xml:space="preserve">Komunikace </t>
  </si>
  <si>
    <t>Most</t>
  </si>
  <si>
    <t>římsy, deska (panely), opěry a základové pasy</t>
  </si>
  <si>
    <t xml:space="preserve">Odstranění přitavených izolačních pásů v ploše přes 1 m2_x000D_, vč. likvidace
</t>
  </si>
  <si>
    <t>Rozebrání a odstranění zábradlí se sloupky osazenými do říms nebo krycích desek, vč. likvidace</t>
  </si>
  <si>
    <t>Dodávka a montáž, zábradlí ocelového trubkové, žárově zinkovaného, nátěr, vč. kotvení do římsy</t>
  </si>
  <si>
    <t>911131181R00</t>
  </si>
  <si>
    <t xml:space="preserve">Provedení izolace proti zemní vlhkosti pásy přitavením vodorovná nebo svislá, 2 vrstvy, s dodávkou izolačního pásu se skleněnou, polyesterovou nebo hliníkovou vložkou, pás s minerálním posypem </t>
  </si>
  <si>
    <t xml:space="preserve">Dočasné zajištění kabelového vedení, žlab / lávku </t>
  </si>
  <si>
    <t>Podklad z kameniva zpevněného cementem SC C8/10</t>
  </si>
  <si>
    <t>Zřízení mostovky z panelů z předpjatého betonu hladkých, vč. dodávky, ukládky a lože</t>
  </si>
  <si>
    <t>Zřízení říms ze železobetonu vč. šalování</t>
  </si>
  <si>
    <t>411130328R00</t>
  </si>
  <si>
    <t>411135559R00</t>
  </si>
  <si>
    <t>411136074R00</t>
  </si>
  <si>
    <t>211130222R00</t>
  </si>
  <si>
    <t>Založení mostu - základové pasy, nebo mikropiloty, či jiné založení</t>
  </si>
  <si>
    <t>Vodorovné přemístění výkopku z horniny 1 až 4, na vzdálenost přes do 20 km</t>
  </si>
  <si>
    <t>Bourací práce</t>
  </si>
  <si>
    <t>Staveštní přesun hmot</t>
  </si>
  <si>
    <t>Rekapitulace dílů - most</t>
  </si>
  <si>
    <t>Beton asfaltový s rozprostřením a zhutněním v pruhu šířky přes 3 m, ACO 8 -11 S, tloušťky 40 mm</t>
  </si>
  <si>
    <t>59245256R</t>
  </si>
  <si>
    <t>59248005R</t>
  </si>
  <si>
    <t>RTS 23/II</t>
  </si>
  <si>
    <t>obrubník silniční materiál beton; nájezdový l = 1000,0 mm; š = 150,0 mm; h = 150,0 mm; barva přírodní</t>
  </si>
  <si>
    <t>obrubník silniční materiál beton; přechodový l = 1000,0 mm; š = 150,0 mm; h = 150-250,0 mm; barva přírodní</t>
  </si>
  <si>
    <t xml:space="preserve">Rekapitulace dílů - komunikace </t>
  </si>
  <si>
    <t>23069</t>
  </si>
  <si>
    <t xml:space="preserve">Zřízení opěr a křídel z betonuu, vč. šalování </t>
  </si>
  <si>
    <t>Zásyp ze štěrkodrti s rozprostřením a zhutněním frakce 0-63 mm, tloušťka vrstvy před zhutněním 250 mm, vč. hutnění</t>
  </si>
  <si>
    <t>564871809RT2</t>
  </si>
  <si>
    <t xml:space="preserve">dlažba betonová, zámková; barevná, slepecká, tl. 60 mm </t>
  </si>
  <si>
    <t xml:space="preserve">dlažba betonová, zámková; přírodní šedá, tl. 80 mm </t>
  </si>
  <si>
    <t>59248006R</t>
  </si>
  <si>
    <t xml:space="preserve">dlažba betonová, zámková; barevná, slepecká, tl. 80 mm </t>
  </si>
  <si>
    <t>914706544R00</t>
  </si>
  <si>
    <t>Dodávka a montáž nopové fólie vč. přichycení</t>
  </si>
  <si>
    <t>915101407RT2</t>
  </si>
  <si>
    <t>Zásyp rýh kamenivem tříděným s urovnáním</t>
  </si>
  <si>
    <t>S dodáním kačírku praného 16/22, doprava, manipulace s urovnáním</t>
  </si>
  <si>
    <t>Beton asfaltový s rozprostřením a zhutněním v pruhu šířky přes 3 m, ACP 16+, tloušťky 80 mm</t>
  </si>
  <si>
    <t>577122121RT2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</si>
</sst>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color indexed="81"/>
      <name val="Tahoma"/>
      <family val="2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8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8" fillId="0" borderId="0" xfId="0" applyFont="1" applyAlignment="1">
      <alignment vertical="top"/>
    </xf>
    <xf numFmtId="49" fontId="1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8" fillId="0" borderId="38" xfId="0" applyFont="1" applyBorder="1" applyAlignment="1">
      <alignment vertical="top"/>
    </xf>
    <xf numFmtId="49" fontId="18" fillId="0" borderId="39" xfId="0" applyNumberFormat="1" applyFont="1" applyBorder="1" applyAlignment="1">
      <alignment vertical="top"/>
    </xf>
    <xf numFmtId="0" fontId="18" fillId="0" borderId="39" xfId="0" applyFont="1" applyBorder="1" applyAlignment="1">
      <alignment horizontal="center" vertical="top" shrinkToFit="1"/>
    </xf>
    <xf numFmtId="164" fontId="18" fillId="0" borderId="39" xfId="0" applyNumberFormat="1" applyFont="1" applyBorder="1" applyAlignment="1">
      <alignment vertical="top" shrinkToFit="1"/>
    </xf>
    <xf numFmtId="4" fontId="18" fillId="4" borderId="39" xfId="0" applyNumberFormat="1" applyFont="1" applyFill="1" applyBorder="1" applyAlignment="1" applyProtection="1">
      <alignment vertical="top" shrinkToFit="1"/>
      <protection locked="0"/>
    </xf>
    <xf numFmtId="4" fontId="18" fillId="0" borderId="39" xfId="0" applyNumberFormat="1" applyFont="1" applyBorder="1" applyAlignment="1">
      <alignment vertical="top" shrinkToFit="1"/>
    </xf>
    <xf numFmtId="4" fontId="18" fillId="0" borderId="40" xfId="0" applyNumberFormat="1" applyFont="1" applyBorder="1" applyAlignment="1">
      <alignment vertical="top" shrinkToFit="1"/>
    </xf>
    <xf numFmtId="49" fontId="18" fillId="4" borderId="0" xfId="0" applyNumberFormat="1" applyFont="1" applyFill="1" applyAlignment="1" applyProtection="1">
      <alignment vertical="top"/>
      <protection locked="0"/>
    </xf>
    <xf numFmtId="0" fontId="20" fillId="0" borderId="0" xfId="0" applyFont="1" applyAlignment="1">
      <alignment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8" fillId="0" borderId="39" xfId="0" applyNumberFormat="1" applyFont="1" applyBorder="1" applyAlignment="1">
      <alignment horizontal="left" vertical="top" wrapText="1"/>
    </xf>
    <xf numFmtId="49" fontId="18" fillId="4" borderId="0" xfId="0" applyNumberFormat="1" applyFont="1" applyFill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8" fillId="0" borderId="35" xfId="0" applyFont="1" applyBorder="1" applyAlignment="1">
      <alignment vertical="top"/>
    </xf>
    <xf numFmtId="49" fontId="8" fillId="0" borderId="35" xfId="0" applyNumberFormat="1" applyFont="1" applyBorder="1" applyAlignment="1">
      <alignment vertical="top"/>
    </xf>
    <xf numFmtId="4" fontId="8" fillId="0" borderId="35" xfId="0" applyNumberFormat="1" applyFont="1" applyBorder="1" applyAlignment="1">
      <alignment vertical="top" shrinkToFit="1"/>
    </xf>
    <xf numFmtId="4" fontId="18" fillId="0" borderId="0" xfId="0" applyNumberFormat="1" applyFont="1"/>
    <xf numFmtId="0" fontId="0" fillId="0" borderId="17" xfId="0" applyBorder="1" applyAlignment="1">
      <alignment horizontal="left" vertical="center" indent="1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49" fontId="0" fillId="3" borderId="35" xfId="0" applyNumberFormat="1" applyFill="1" applyBorder="1" applyAlignment="1">
      <alignment vertical="center"/>
    </xf>
    <xf numFmtId="4" fontId="18" fillId="4" borderId="0" xfId="0" applyNumberFormat="1" applyFont="1" applyFill="1" applyAlignment="1" applyProtection="1">
      <alignment vertical="top" shrinkToFit="1"/>
      <protection locked="0"/>
    </xf>
    <xf numFmtId="49" fontId="18" fillId="0" borderId="18" xfId="0" applyNumberFormat="1" applyFont="1" applyBorder="1" applyAlignment="1">
      <alignment horizontal="left" vertical="top" wrapText="1"/>
    </xf>
    <xf numFmtId="0" fontId="18" fillId="0" borderId="18" xfId="0" applyFont="1" applyBorder="1" applyAlignment="1">
      <alignment horizontal="center" vertical="top" shrinkToFit="1"/>
    </xf>
    <xf numFmtId="164" fontId="18" fillId="0" borderId="18" xfId="0" applyNumberFormat="1" applyFont="1" applyBorder="1" applyAlignment="1">
      <alignment vertical="top" shrinkToFit="1"/>
    </xf>
    <xf numFmtId="4" fontId="18" fillId="0" borderId="18" xfId="0" applyNumberFormat="1" applyFont="1" applyBorder="1" applyAlignment="1">
      <alignment vertical="top" shrinkToFit="1"/>
    </xf>
    <xf numFmtId="0" fontId="0" fillId="0" borderId="37" xfId="0" applyBorder="1"/>
    <xf numFmtId="0" fontId="0" fillId="0" borderId="36" xfId="0" applyBorder="1" applyAlignment="1">
      <alignment vertical="center"/>
    </xf>
    <xf numFmtId="0" fontId="0" fillId="0" borderId="41" xfId="0" applyBorder="1"/>
    <xf numFmtId="0" fontId="0" fillId="3" borderId="36" xfId="0" applyFill="1" applyBorder="1" applyAlignment="1">
      <alignment vertical="center"/>
    </xf>
    <xf numFmtId="0" fontId="0" fillId="0" borderId="26" xfId="0" applyBorder="1"/>
    <xf numFmtId="49" fontId="8" fillId="0" borderId="0" xfId="0" applyNumberFormat="1" applyFont="1" applyAlignment="1">
      <alignment horizontal="left" vertical="center"/>
    </xf>
    <xf numFmtId="4" fontId="18" fillId="0" borderId="18" xfId="0" applyNumberFormat="1" applyFont="1" applyBorder="1" applyAlignment="1" applyProtection="1">
      <alignment vertical="top" shrinkToFit="1"/>
      <protection locked="0"/>
    </xf>
    <xf numFmtId="49" fontId="8" fillId="0" borderId="35" xfId="0" applyNumberFormat="1" applyFont="1" applyBorder="1" applyAlignment="1">
      <alignment vertical="center"/>
    </xf>
    <xf numFmtId="0" fontId="16" fillId="5" borderId="36" xfId="0" applyFont="1" applyFill="1" applyBorder="1" applyAlignment="1">
      <alignment horizontal="center" vertical="center" wrapText="1"/>
    </xf>
    <xf numFmtId="4" fontId="7" fillId="0" borderId="36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4" fontId="16" fillId="0" borderId="36" xfId="0" applyNumberFormat="1" applyFont="1" applyBorder="1" applyAlignment="1">
      <alignment vertical="center"/>
    </xf>
    <xf numFmtId="4" fontId="16" fillId="3" borderId="36" xfId="0" applyNumberFormat="1" applyFont="1" applyFill="1" applyBorder="1" applyAlignment="1">
      <alignment vertical="center"/>
    </xf>
    <xf numFmtId="3" fontId="16" fillId="3" borderId="36" xfId="0" applyNumberFormat="1" applyFont="1" applyFill="1" applyBorder="1" applyAlignment="1">
      <alignment vertical="center"/>
    </xf>
    <xf numFmtId="4" fontId="18" fillId="0" borderId="39" xfId="0" applyNumberFormat="1" applyFont="1" applyBorder="1" applyAlignment="1" applyProtection="1">
      <alignment vertical="top" shrinkToFit="1"/>
      <protection locked="0"/>
    </xf>
    <xf numFmtId="4" fontId="18" fillId="0" borderId="42" xfId="0" applyNumberFormat="1" applyFont="1" applyBorder="1" applyAlignment="1">
      <alignment vertical="top" shrinkToFit="1"/>
    </xf>
    <xf numFmtId="0" fontId="8" fillId="3" borderId="34" xfId="0" applyFont="1" applyFill="1" applyBorder="1" applyAlignment="1">
      <alignment vertical="top"/>
    </xf>
    <xf numFmtId="49" fontId="8" fillId="3" borderId="35" xfId="0" applyNumberFormat="1" applyFont="1" applyFill="1" applyBorder="1" applyAlignment="1">
      <alignment vertical="top"/>
    </xf>
    <xf numFmtId="0" fontId="8" fillId="3" borderId="35" xfId="0" applyFont="1" applyFill="1" applyBorder="1" applyAlignment="1">
      <alignment horizontal="center" vertical="top"/>
    </xf>
    <xf numFmtId="0" fontId="8" fillId="3" borderId="35" xfId="0" applyFont="1" applyFill="1" applyBorder="1" applyAlignment="1">
      <alignment vertical="top"/>
    </xf>
    <xf numFmtId="49" fontId="8" fillId="3" borderId="35" xfId="0" applyNumberFormat="1" applyFont="1" applyFill="1" applyBorder="1" applyAlignment="1">
      <alignment horizontal="left" vertical="top" wrapText="1"/>
    </xf>
    <xf numFmtId="49" fontId="7" fillId="0" borderId="34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4" fontId="7" fillId="0" borderId="36" xfId="0" applyNumberFormat="1" applyFont="1" applyBorder="1" applyAlignment="1">
      <alignment horizontal="center" vertical="center"/>
    </xf>
    <xf numFmtId="49" fontId="18" fillId="0" borderId="43" xfId="0" applyNumberFormat="1" applyFont="1" applyBorder="1" applyAlignment="1">
      <alignment horizontal="left" vertical="top" wrapText="1"/>
    </xf>
    <xf numFmtId="0" fontId="18" fillId="0" borderId="43" xfId="0" applyFont="1" applyBorder="1" applyAlignment="1">
      <alignment horizontal="center" vertical="top" shrinkToFit="1"/>
    </xf>
    <xf numFmtId="164" fontId="18" fillId="0" borderId="43" xfId="0" applyNumberFormat="1" applyFont="1" applyBorder="1" applyAlignment="1">
      <alignment vertical="top" shrinkToFit="1"/>
    </xf>
    <xf numFmtId="4" fontId="18" fillId="4" borderId="43" xfId="0" applyNumberFormat="1" applyFont="1" applyFill="1" applyBorder="1" applyAlignment="1" applyProtection="1">
      <alignment vertical="top" shrinkToFit="1"/>
      <protection locked="0"/>
    </xf>
    <xf numFmtId="4" fontId="18" fillId="0" borderId="43" xfId="0" applyNumberFormat="1" applyFont="1" applyBorder="1" applyAlignment="1">
      <alignment vertical="top" shrinkToFit="1"/>
    </xf>
    <xf numFmtId="0" fontId="16" fillId="3" borderId="34" xfId="0" applyFont="1" applyFill="1" applyBorder="1" applyAlignment="1">
      <alignment vertical="center"/>
    </xf>
    <xf numFmtId="0" fontId="16" fillId="3" borderId="34" xfId="0" applyFont="1" applyFill="1" applyBorder="1" applyAlignment="1">
      <alignment vertical="center" wrapText="1"/>
    </xf>
    <xf numFmtId="0" fontId="16" fillId="3" borderId="35" xfId="0" applyFont="1" applyFill="1" applyBorder="1" applyAlignment="1">
      <alignment vertical="center" wrapText="1"/>
    </xf>
    <xf numFmtId="4" fontId="16" fillId="3" borderId="36" xfId="0" applyNumberFormat="1" applyFont="1" applyFill="1" applyBorder="1" applyAlignment="1">
      <alignment horizontal="center" vertical="center"/>
    </xf>
    <xf numFmtId="3" fontId="16" fillId="0" borderId="33" xfId="0" applyNumberFormat="1" applyFont="1" applyBorder="1" applyAlignment="1">
      <alignment vertical="center"/>
    </xf>
    <xf numFmtId="49" fontId="18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center" vertical="top" shrinkToFit="1"/>
    </xf>
    <xf numFmtId="164" fontId="18" fillId="0" borderId="0" xfId="0" applyNumberFormat="1" applyFont="1" applyAlignment="1">
      <alignment vertical="top" shrinkToFit="1"/>
    </xf>
    <xf numFmtId="4" fontId="18" fillId="0" borderId="0" xfId="0" applyNumberFormat="1" applyFont="1" applyAlignment="1" applyProtection="1">
      <alignment vertical="top" shrinkToFit="1"/>
      <protection locked="0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9" fontId="7" fillId="0" borderId="34" xfId="0" applyNumberFormat="1" applyFont="1" applyBorder="1" applyAlignment="1">
      <alignment vertical="center" wrapText="1"/>
    </xf>
    <xf numFmtId="49" fontId="7" fillId="0" borderId="35" xfId="0" applyNumberFormat="1" applyFont="1" applyBorder="1" applyAlignment="1">
      <alignment vertical="center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49" fontId="7" fillId="0" borderId="22" xfId="0" applyNumberFormat="1" applyFont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49" fontId="16" fillId="0" borderId="34" xfId="0" applyNumberFormat="1" applyFont="1" applyBorder="1" applyAlignment="1">
      <alignment horizontal="left" vertical="center"/>
    </xf>
    <xf numFmtId="49" fontId="16" fillId="0" borderId="35" xfId="0" applyNumberFormat="1" applyFont="1" applyBorder="1" applyAlignment="1">
      <alignment horizontal="left" vertical="center"/>
    </xf>
    <xf numFmtId="49" fontId="16" fillId="0" borderId="22" xfId="0" applyNumberFormat="1" applyFont="1" applyBorder="1" applyAlignment="1">
      <alignment horizontal="left" vertical="center"/>
    </xf>
    <xf numFmtId="0" fontId="16" fillId="3" borderId="34" xfId="0" applyFont="1" applyFill="1" applyBorder="1" applyAlignment="1">
      <alignment horizontal="left" vertical="center"/>
    </xf>
    <xf numFmtId="0" fontId="16" fillId="3" borderId="35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49" fontId="8" fillId="0" borderId="35" xfId="0" applyNumberFormat="1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49" fontId="18" fillId="4" borderId="0" xfId="0" applyNumberFormat="1" applyFont="1" applyFill="1" applyAlignment="1" applyProtection="1">
      <alignment horizontal="left" vertical="top" wrapText="1"/>
      <protection locked="0"/>
    </xf>
    <xf numFmtId="49" fontId="18" fillId="4" borderId="0" xfId="0" applyNumberFormat="1" applyFont="1" applyFill="1" applyAlignment="1" applyProtection="1">
      <alignment vertical="top"/>
      <protection locked="0"/>
    </xf>
    <xf numFmtId="49" fontId="6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49" fontId="18" fillId="4" borderId="35" xfId="0" applyNumberFormat="1" applyFont="1" applyFill="1" applyBorder="1" applyAlignment="1" applyProtection="1">
      <alignment horizontal="left" vertical="top" wrapText="1"/>
      <protection locked="0"/>
    </xf>
    <xf numFmtId="49" fontId="18" fillId="4" borderId="6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37</v>
      </c>
    </row>
    <row r="2" spans="1:7" ht="57.75" customHeight="1" x14ac:dyDescent="0.25">
      <c r="A2" s="224" t="s">
        <v>38</v>
      </c>
      <c r="B2" s="224"/>
      <c r="C2" s="224"/>
      <c r="D2" s="224"/>
      <c r="E2" s="224"/>
      <c r="F2" s="224"/>
      <c r="G2" s="224"/>
    </row>
  </sheetData>
  <sheetProtection password="C730" sheet="1" objects="1" scenarios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91"/>
  <sheetViews>
    <sheetView showGridLines="0" tabSelected="1" topLeftCell="B57" zoomScale="130" zoomScaleNormal="130" zoomScaleSheetLayoutView="75" workbookViewId="0">
      <selection activeCell="C62" sqref="C62:E62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1" customWidth="1"/>
    <col min="4" max="4" width="13" style="51" customWidth="1"/>
    <col min="5" max="5" width="9.6640625" style="51" customWidth="1"/>
    <col min="6" max="6" width="11.6640625" customWidth="1"/>
    <col min="7" max="7" width="13" customWidth="1"/>
    <col min="8" max="8" width="11.5546875" customWidth="1"/>
    <col min="9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6" t="s">
        <v>35</v>
      </c>
      <c r="B1" s="225" t="s">
        <v>40</v>
      </c>
      <c r="C1" s="226"/>
      <c r="D1" s="226"/>
      <c r="E1" s="226"/>
      <c r="F1" s="226"/>
      <c r="G1" s="226"/>
      <c r="H1" s="226"/>
      <c r="I1" s="226"/>
      <c r="J1" s="227"/>
    </row>
    <row r="2" spans="1:15" ht="36" customHeight="1" x14ac:dyDescent="0.25">
      <c r="A2" s="2"/>
      <c r="B2" s="74" t="s">
        <v>22</v>
      </c>
      <c r="C2" s="75"/>
      <c r="D2" s="76" t="s">
        <v>349</v>
      </c>
      <c r="E2" s="234" t="s">
        <v>319</v>
      </c>
      <c r="F2" s="235"/>
      <c r="G2" s="235"/>
      <c r="H2" s="235"/>
      <c r="I2" s="235"/>
      <c r="J2" s="236"/>
      <c r="O2" s="1"/>
    </row>
    <row r="3" spans="1:15" ht="27" customHeight="1" x14ac:dyDescent="0.25">
      <c r="A3" s="2"/>
      <c r="B3" s="77" t="s">
        <v>45</v>
      </c>
      <c r="C3" s="75"/>
      <c r="D3" s="78" t="s">
        <v>43</v>
      </c>
      <c r="E3" s="237" t="s">
        <v>316</v>
      </c>
      <c r="F3" s="238"/>
      <c r="G3" s="238"/>
      <c r="H3" s="238"/>
      <c r="I3" s="238"/>
      <c r="J3" s="239"/>
    </row>
    <row r="4" spans="1:15" ht="23.25" customHeight="1" x14ac:dyDescent="0.25">
      <c r="A4" s="73">
        <v>203</v>
      </c>
      <c r="B4" s="79" t="s">
        <v>46</v>
      </c>
      <c r="C4" s="80"/>
      <c r="D4" s="81" t="s">
        <v>349</v>
      </c>
      <c r="E4" s="247" t="s">
        <v>317</v>
      </c>
      <c r="F4" s="248"/>
      <c r="G4" s="248"/>
      <c r="H4" s="248"/>
      <c r="I4" s="248"/>
      <c r="J4" s="249"/>
    </row>
    <row r="5" spans="1:15" ht="24" customHeight="1" x14ac:dyDescent="0.25">
      <c r="A5" s="2"/>
      <c r="B5" s="31" t="s">
        <v>171</v>
      </c>
      <c r="D5" s="252" t="s">
        <v>227</v>
      </c>
      <c r="E5" s="252"/>
      <c r="F5" s="252"/>
      <c r="G5" s="252"/>
      <c r="H5" s="18" t="s">
        <v>39</v>
      </c>
      <c r="I5" s="191" t="s">
        <v>231</v>
      </c>
      <c r="J5" s="8"/>
    </row>
    <row r="6" spans="1:15" ht="15.75" customHeight="1" x14ac:dyDescent="0.25">
      <c r="A6" s="2"/>
      <c r="B6" s="28"/>
      <c r="C6" s="54"/>
      <c r="D6" s="253" t="s">
        <v>228</v>
      </c>
      <c r="E6" s="254"/>
      <c r="F6" s="254"/>
      <c r="G6" s="254"/>
      <c r="H6" s="18" t="s">
        <v>33</v>
      </c>
      <c r="I6" s="22"/>
      <c r="J6" s="8"/>
    </row>
    <row r="7" spans="1:15" ht="15.75" customHeight="1" x14ac:dyDescent="0.25">
      <c r="A7" s="2"/>
      <c r="B7" s="29"/>
      <c r="C7" s="55"/>
      <c r="D7" s="52" t="s">
        <v>229</v>
      </c>
      <c r="E7" s="255" t="s">
        <v>230</v>
      </c>
      <c r="F7" s="255"/>
      <c r="G7" s="255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0"/>
      <c r="H8" s="18" t="s">
        <v>39</v>
      </c>
      <c r="I8" s="22"/>
      <c r="J8" s="8"/>
    </row>
    <row r="9" spans="1:15" ht="15.75" hidden="1" customHeight="1" x14ac:dyDescent="0.25">
      <c r="A9" s="2"/>
      <c r="B9" s="2"/>
      <c r="D9" s="50"/>
      <c r="H9" s="18" t="s">
        <v>33</v>
      </c>
      <c r="I9" s="22"/>
      <c r="J9" s="8"/>
    </row>
    <row r="10" spans="1:15" ht="15.75" hidden="1" customHeight="1" x14ac:dyDescent="0.25">
      <c r="A10" s="2"/>
      <c r="B10" s="35"/>
      <c r="C10" s="55"/>
      <c r="D10" s="52"/>
      <c r="E10" s="56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241"/>
      <c r="E11" s="241"/>
      <c r="F11" s="241"/>
      <c r="G11" s="241"/>
      <c r="H11" s="18" t="s">
        <v>39</v>
      </c>
      <c r="I11" s="83"/>
      <c r="J11" s="8"/>
    </row>
    <row r="12" spans="1:15" ht="15.75" customHeight="1" x14ac:dyDescent="0.25">
      <c r="A12" s="2"/>
      <c r="B12" s="28"/>
      <c r="C12" s="54"/>
      <c r="D12" s="246"/>
      <c r="E12" s="246"/>
      <c r="F12" s="246"/>
      <c r="G12" s="246"/>
      <c r="H12" s="18" t="s">
        <v>33</v>
      </c>
      <c r="I12" s="83"/>
      <c r="J12" s="8"/>
    </row>
    <row r="13" spans="1:15" ht="15.75" customHeight="1" x14ac:dyDescent="0.25">
      <c r="A13" s="2"/>
      <c r="B13" s="29"/>
      <c r="C13" s="55"/>
      <c r="D13" s="82"/>
      <c r="E13" s="250"/>
      <c r="F13" s="251"/>
      <c r="G13" s="251"/>
      <c r="H13" s="19"/>
      <c r="I13" s="23"/>
      <c r="J13" s="34"/>
    </row>
    <row r="14" spans="1:15" ht="24" customHeight="1" x14ac:dyDescent="0.25">
      <c r="A14" s="2"/>
      <c r="B14" s="177" t="s">
        <v>21</v>
      </c>
      <c r="C14" s="252" t="s">
        <v>170</v>
      </c>
      <c r="D14" s="252"/>
      <c r="E14" s="57"/>
      <c r="F14" s="43"/>
      <c r="G14" s="43"/>
      <c r="H14" s="44"/>
      <c r="I14" s="43"/>
      <c r="J14" s="45"/>
    </row>
    <row r="15" spans="1:15" ht="32.25" customHeight="1" x14ac:dyDescent="0.25">
      <c r="A15" s="2"/>
      <c r="B15" s="35" t="s">
        <v>31</v>
      </c>
      <c r="C15" s="58"/>
      <c r="D15" s="53"/>
      <c r="E15" s="240"/>
      <c r="F15" s="240"/>
      <c r="G15" s="242"/>
      <c r="H15" s="242"/>
      <c r="I15" s="242" t="s">
        <v>28</v>
      </c>
      <c r="J15" s="243"/>
    </row>
    <row r="16" spans="1:15" ht="23.25" customHeight="1" x14ac:dyDescent="0.25">
      <c r="A16" s="134" t="s">
        <v>23</v>
      </c>
      <c r="B16" s="38" t="s">
        <v>23</v>
      </c>
      <c r="C16" s="59"/>
      <c r="D16" s="60"/>
      <c r="E16" s="231"/>
      <c r="F16" s="232"/>
      <c r="G16" s="231"/>
      <c r="H16" s="232"/>
      <c r="I16" s="231">
        <f>I21-I20-I19-I18</f>
        <v>0</v>
      </c>
      <c r="J16" s="233"/>
    </row>
    <row r="17" spans="1:10" ht="23.25" customHeight="1" x14ac:dyDescent="0.25">
      <c r="A17" s="134" t="s">
        <v>24</v>
      </c>
      <c r="B17" s="38" t="s">
        <v>24</v>
      </c>
      <c r="C17" s="59"/>
      <c r="D17" s="60"/>
      <c r="E17" s="231"/>
      <c r="F17" s="232"/>
      <c r="G17" s="231"/>
      <c r="H17" s="232"/>
      <c r="I17" s="231">
        <f>SUMIF(F73:F85,A17,I73:I85)</f>
        <v>0</v>
      </c>
      <c r="J17" s="233"/>
    </row>
    <row r="18" spans="1:10" ht="23.25" customHeight="1" x14ac:dyDescent="0.25">
      <c r="A18" s="134" t="s">
        <v>25</v>
      </c>
      <c r="B18" s="38" t="s">
        <v>25</v>
      </c>
      <c r="C18" s="59"/>
      <c r="D18" s="60"/>
      <c r="E18" s="231"/>
      <c r="F18" s="232"/>
      <c r="G18" s="231"/>
      <c r="H18" s="232"/>
      <c r="I18" s="231">
        <v>0</v>
      </c>
      <c r="J18" s="233"/>
    </row>
    <row r="19" spans="1:10" ht="23.25" customHeight="1" x14ac:dyDescent="0.25">
      <c r="A19" s="134" t="s">
        <v>63</v>
      </c>
      <c r="B19" s="38" t="s">
        <v>26</v>
      </c>
      <c r="C19" s="59"/>
      <c r="D19" s="60"/>
      <c r="E19" s="231"/>
      <c r="F19" s="232"/>
      <c r="G19" s="231"/>
      <c r="H19" s="232"/>
      <c r="I19" s="231">
        <f>I66+I83</f>
        <v>0</v>
      </c>
      <c r="J19" s="233"/>
    </row>
    <row r="20" spans="1:10" ht="23.25" customHeight="1" x14ac:dyDescent="0.25">
      <c r="A20" s="134" t="s">
        <v>64</v>
      </c>
      <c r="B20" s="38" t="s">
        <v>27</v>
      </c>
      <c r="C20" s="59"/>
      <c r="D20" s="60"/>
      <c r="E20" s="231"/>
      <c r="F20" s="232"/>
      <c r="G20" s="231"/>
      <c r="H20" s="232"/>
      <c r="I20" s="231">
        <f>I67+I84</f>
        <v>0</v>
      </c>
      <c r="J20" s="233"/>
    </row>
    <row r="21" spans="1:10" ht="23.25" customHeight="1" x14ac:dyDescent="0.25">
      <c r="A21" s="2"/>
      <c r="B21" s="47" t="s">
        <v>172</v>
      </c>
      <c r="C21" s="61"/>
      <c r="D21" s="62"/>
      <c r="E21" s="244"/>
      <c r="F21" s="245"/>
      <c r="G21" s="244"/>
      <c r="H21" s="245"/>
      <c r="I21" s="244">
        <f>I50</f>
        <v>0</v>
      </c>
      <c r="J21" s="261"/>
    </row>
    <row r="22" spans="1:10" ht="33" customHeight="1" x14ac:dyDescent="0.25">
      <c r="A22" s="2"/>
      <c r="B22" s="42" t="s">
        <v>32</v>
      </c>
      <c r="C22" s="59"/>
      <c r="D22" s="60"/>
      <c r="E22" s="63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59"/>
      <c r="D23" s="60"/>
      <c r="E23" s="64">
        <v>15</v>
      </c>
      <c r="F23" s="39" t="s">
        <v>0</v>
      </c>
      <c r="G23" s="259">
        <f>ZakladDPHSniVypocet</f>
        <v>0</v>
      </c>
      <c r="H23" s="260"/>
      <c r="I23" s="260"/>
      <c r="J23" s="40" t="str">
        <f t="shared" ref="J23:J29" si="0">Mena</f>
        <v>CZK</v>
      </c>
    </row>
    <row r="24" spans="1:10" ht="23.25" hidden="1" customHeight="1" x14ac:dyDescent="0.25">
      <c r="A24" s="2"/>
      <c r="B24" s="38" t="s">
        <v>13</v>
      </c>
      <c r="C24" s="59"/>
      <c r="D24" s="60"/>
      <c r="E24" s="64">
        <f>SazbaDPH1</f>
        <v>15</v>
      </c>
      <c r="F24" s="39" t="s">
        <v>0</v>
      </c>
      <c r="G24" s="257">
        <v>0</v>
      </c>
      <c r="H24" s="258"/>
      <c r="I24" s="258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59"/>
      <c r="D25" s="60"/>
      <c r="E25" s="64">
        <v>21</v>
      </c>
      <c r="F25" s="39" t="s">
        <v>0</v>
      </c>
      <c r="G25" s="259">
        <f>I21</f>
        <v>0</v>
      </c>
      <c r="H25" s="260"/>
      <c r="I25" s="260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5"/>
      <c r="D26" s="53"/>
      <c r="E26" s="66">
        <f>SazbaDPH2</f>
        <v>21</v>
      </c>
      <c r="F26" s="30" t="s">
        <v>0</v>
      </c>
      <c r="G26" s="228">
        <v>0</v>
      </c>
      <c r="H26" s="229"/>
      <c r="I26" s="229"/>
      <c r="J26" s="37" t="str">
        <f t="shared" si="0"/>
        <v>CZK</v>
      </c>
    </row>
    <row r="27" spans="1:10" ht="23.25" customHeight="1" x14ac:dyDescent="0.25">
      <c r="A27" s="2"/>
      <c r="B27" s="38" t="s">
        <v>173</v>
      </c>
      <c r="C27" s="59"/>
      <c r="D27" s="60"/>
      <c r="E27" s="64">
        <v>21</v>
      </c>
      <c r="F27" s="39" t="s">
        <v>0</v>
      </c>
      <c r="G27" s="259">
        <f>ZakladDPHZakl/100*21</f>
        <v>0</v>
      </c>
      <c r="H27" s="260"/>
      <c r="I27" s="260"/>
      <c r="J27" s="40" t="str">
        <f t="shared" si="0"/>
        <v>CZK</v>
      </c>
    </row>
    <row r="28" spans="1:10" ht="23.25" customHeight="1" thickBot="1" x14ac:dyDescent="0.3">
      <c r="A28" s="2">
        <f>ZakladDPHSni+ZakladDPHZakl</f>
        <v>0</v>
      </c>
      <c r="B28" s="31" t="s">
        <v>4</v>
      </c>
      <c r="C28" s="67"/>
      <c r="D28" s="68"/>
      <c r="E28" s="67"/>
      <c r="F28" s="16"/>
      <c r="G28" s="230">
        <v>0</v>
      </c>
      <c r="H28" s="230"/>
      <c r="I28" s="230"/>
      <c r="J28" s="41" t="str">
        <f t="shared" si="0"/>
        <v>CZK</v>
      </c>
    </row>
    <row r="29" spans="1:10" ht="27.75" customHeight="1" thickBot="1" x14ac:dyDescent="0.3">
      <c r="A29" s="2">
        <f>(A28-INT(A28))*100</f>
        <v>0</v>
      </c>
      <c r="B29" s="114" t="s">
        <v>34</v>
      </c>
      <c r="C29" s="115"/>
      <c r="D29" s="115"/>
      <c r="E29" s="116"/>
      <c r="F29" s="117"/>
      <c r="G29" s="262">
        <f>ZakladDPHZakl*1.21</f>
        <v>0</v>
      </c>
      <c r="H29" s="263"/>
      <c r="I29" s="263"/>
      <c r="J29" s="118" t="str">
        <f t="shared" si="0"/>
        <v>CZK</v>
      </c>
    </row>
    <row r="30" spans="1:10" ht="27.75" hidden="1" customHeight="1" thickBot="1" x14ac:dyDescent="0.3">
      <c r="A30" s="2"/>
      <c r="B30" s="114" t="s">
        <v>34</v>
      </c>
      <c r="C30" s="119"/>
      <c r="D30" s="119"/>
      <c r="E30" s="119"/>
      <c r="F30" s="120"/>
      <c r="G30" s="262">
        <f>ZakladDPHSni+DPHSni+ZakladDPHZakl+DPHZakl+Zaokrouhleni</f>
        <v>0</v>
      </c>
      <c r="H30" s="262"/>
      <c r="I30" s="262"/>
      <c r="J30" s="121" t="s">
        <v>50</v>
      </c>
    </row>
    <row r="31" spans="1:10" ht="12.75" customHeight="1" x14ac:dyDescent="0.25">
      <c r="A31" s="2"/>
      <c r="B31" s="2"/>
      <c r="J31" s="9"/>
    </row>
    <row r="32" spans="1:10" ht="30" customHeight="1" x14ac:dyDescent="0.25">
      <c r="A32" s="2"/>
      <c r="B32" s="2"/>
      <c r="J32" s="9"/>
    </row>
    <row r="33" spans="1:11" ht="18.75" customHeight="1" x14ac:dyDescent="0.25">
      <c r="A33" s="2"/>
      <c r="B33" s="17"/>
      <c r="C33" s="69" t="s">
        <v>11</v>
      </c>
      <c r="D33" s="70"/>
      <c r="E33" s="70"/>
      <c r="F33" s="15" t="s">
        <v>10</v>
      </c>
      <c r="G33" s="26"/>
      <c r="H33" s="27"/>
      <c r="I33" s="26"/>
      <c r="J33" s="9"/>
    </row>
    <row r="34" spans="1:11" ht="47.25" customHeight="1" x14ac:dyDescent="0.25">
      <c r="A34" s="2"/>
      <c r="B34" s="2"/>
      <c r="J34" s="9"/>
    </row>
    <row r="35" spans="1:11" s="21" customFormat="1" ht="18.75" customHeight="1" x14ac:dyDescent="0.25">
      <c r="A35" s="20"/>
      <c r="B35" s="20"/>
      <c r="C35" s="71"/>
      <c r="D35" s="264"/>
      <c r="E35" s="265"/>
      <c r="G35" s="266"/>
      <c r="H35" s="267"/>
      <c r="I35" s="267"/>
      <c r="J35" s="25"/>
    </row>
    <row r="36" spans="1:11" ht="12.75" customHeight="1" x14ac:dyDescent="0.25">
      <c r="A36" s="2"/>
      <c r="B36" s="2"/>
      <c r="D36" s="256" t="s">
        <v>2</v>
      </c>
      <c r="E36" s="256"/>
      <c r="H36" s="10" t="s">
        <v>3</v>
      </c>
      <c r="J36" s="9"/>
    </row>
    <row r="37" spans="1:11" ht="13.5" customHeight="1" thickBot="1" x14ac:dyDescent="0.3">
      <c r="A37" s="11"/>
      <c r="B37" s="11"/>
      <c r="C37" s="72"/>
      <c r="D37" s="72"/>
      <c r="E37" s="72"/>
      <c r="F37" s="12"/>
      <c r="G37" s="12"/>
      <c r="H37" s="12"/>
      <c r="I37" s="12"/>
      <c r="J37" s="13"/>
    </row>
    <row r="38" spans="1:11" ht="27" hidden="1" customHeight="1" x14ac:dyDescent="0.25">
      <c r="B38" s="87" t="s">
        <v>16</v>
      </c>
      <c r="C38" s="88"/>
      <c r="D38" s="88"/>
      <c r="E38" s="88"/>
      <c r="F38" s="89"/>
      <c r="G38" s="89"/>
      <c r="H38" s="89"/>
      <c r="I38" s="89"/>
      <c r="J38" s="90"/>
    </row>
    <row r="39" spans="1:11" ht="25.5" hidden="1" customHeight="1" x14ac:dyDescent="0.25">
      <c r="A39" s="86" t="s">
        <v>36</v>
      </c>
      <c r="B39" s="91" t="s">
        <v>17</v>
      </c>
      <c r="C39" s="92" t="s">
        <v>5</v>
      </c>
      <c r="D39" s="92"/>
      <c r="E39" s="92"/>
      <c r="F39" s="93" t="str">
        <f>B23</f>
        <v>Základ pro sníženou DPH</v>
      </c>
      <c r="G39" s="93" t="str">
        <f>B25</f>
        <v>Základ pro základní DPH</v>
      </c>
      <c r="H39" s="94" t="s">
        <v>18</v>
      </c>
      <c r="I39" s="95" t="s">
        <v>1</v>
      </c>
      <c r="J39" s="96" t="s">
        <v>0</v>
      </c>
    </row>
    <row r="40" spans="1:11" ht="25.5" hidden="1" customHeight="1" x14ac:dyDescent="0.25">
      <c r="A40" s="86">
        <v>1</v>
      </c>
      <c r="B40" s="97" t="s">
        <v>47</v>
      </c>
      <c r="C40" s="268"/>
      <c r="D40" s="268"/>
      <c r="E40" s="268"/>
      <c r="F40" s="98">
        <f>Komunikace!AE161</f>
        <v>0</v>
      </c>
      <c r="G40" s="99">
        <f>Komunikace!AF161</f>
        <v>0</v>
      </c>
      <c r="H40" s="100"/>
      <c r="I40" s="101">
        <f>F40+G40+H40</f>
        <v>0</v>
      </c>
      <c r="J40" s="102" t="str">
        <f>IF(CenaCelkemVypocet=0,"",I40/CenaCelkemVypocet*100)</f>
        <v/>
      </c>
    </row>
    <row r="41" spans="1:11" ht="25.5" hidden="1" customHeight="1" x14ac:dyDescent="0.25">
      <c r="A41" s="86">
        <v>2</v>
      </c>
      <c r="B41" s="103"/>
      <c r="C41" s="269" t="s">
        <v>48</v>
      </c>
      <c r="D41" s="269"/>
      <c r="E41" s="269"/>
      <c r="F41" s="104"/>
      <c r="G41" s="105"/>
      <c r="H41" s="105"/>
      <c r="I41" s="106"/>
      <c r="J41" s="107"/>
    </row>
    <row r="42" spans="1:11" ht="25.5" hidden="1" customHeight="1" x14ac:dyDescent="0.25">
      <c r="A42" s="86">
        <v>2</v>
      </c>
      <c r="B42" s="103" t="s">
        <v>43</v>
      </c>
      <c r="C42" s="269" t="s">
        <v>44</v>
      </c>
      <c r="D42" s="269"/>
      <c r="E42" s="269"/>
      <c r="F42" s="104">
        <f>Komunikace!AE161</f>
        <v>0</v>
      </c>
      <c r="G42" s="105">
        <f>Komunikace!AF161</f>
        <v>0</v>
      </c>
      <c r="H42" s="105"/>
      <c r="I42" s="106">
        <f>F42+G42+H42</f>
        <v>0</v>
      </c>
      <c r="J42" s="107" t="str">
        <f>IF(CenaCelkemVypocet=0,"",I42/CenaCelkemVypocet*100)</f>
        <v/>
      </c>
    </row>
    <row r="43" spans="1:11" ht="25.5" hidden="1" customHeight="1" x14ac:dyDescent="0.25">
      <c r="A43" s="86">
        <v>3</v>
      </c>
      <c r="B43" s="108" t="s">
        <v>41</v>
      </c>
      <c r="C43" s="268" t="s">
        <v>42</v>
      </c>
      <c r="D43" s="268"/>
      <c r="E43" s="268"/>
      <c r="F43" s="109">
        <f>Komunikace!AE161</f>
        <v>0</v>
      </c>
      <c r="G43" s="100">
        <f>Komunikace!AF161</f>
        <v>0</v>
      </c>
      <c r="H43" s="100"/>
      <c r="I43" s="101">
        <f>F43+G43+H43</f>
        <v>0</v>
      </c>
      <c r="J43" s="102" t="str">
        <f>IF(CenaCelkemVypocet=0,"",I43/CenaCelkemVypocet*100)</f>
        <v/>
      </c>
    </row>
    <row r="44" spans="1:11" ht="25.5" hidden="1" customHeight="1" x14ac:dyDescent="0.25">
      <c r="A44" s="86"/>
      <c r="B44" s="270" t="s">
        <v>49</v>
      </c>
      <c r="C44" s="271"/>
      <c r="D44" s="271"/>
      <c r="E44" s="271"/>
      <c r="F44" s="110">
        <f>SUMIF(A40:A43,"=1",F40:F43)</f>
        <v>0</v>
      </c>
      <c r="G44" s="111">
        <f>SUMIF(A40:A43,"=1",G40:G43)</f>
        <v>0</v>
      </c>
      <c r="H44" s="111">
        <f>SUMIF(A40:A43,"=1",H40:H43)</f>
        <v>0</v>
      </c>
      <c r="I44" s="112">
        <f>SUMIF(A40:A43,"=1",I40:I43)</f>
        <v>0</v>
      </c>
      <c r="J44" s="113">
        <f>SUMIF(A40:A43,"=1",J40:J43)</f>
        <v>0</v>
      </c>
    </row>
    <row r="46" spans="1:11" ht="15.6" x14ac:dyDescent="0.3">
      <c r="B46" s="122" t="s">
        <v>318</v>
      </c>
    </row>
    <row r="47" spans="1:11" ht="15.75" customHeight="1" x14ac:dyDescent="0.25">
      <c r="B47" s="279" t="s">
        <v>5</v>
      </c>
      <c r="C47" s="280"/>
      <c r="D47" s="280"/>
      <c r="E47" s="280"/>
      <c r="F47" s="280"/>
      <c r="G47" s="281"/>
      <c r="H47" s="194"/>
      <c r="I47" s="194" t="s">
        <v>28</v>
      </c>
      <c r="J47" s="194" t="s">
        <v>0</v>
      </c>
      <c r="K47" s="124"/>
    </row>
    <row r="48" spans="1:11" ht="18" customHeight="1" x14ac:dyDescent="0.25">
      <c r="B48" s="282" t="s">
        <v>55</v>
      </c>
      <c r="C48" s="283"/>
      <c r="D48" s="283"/>
      <c r="E48" s="283"/>
      <c r="F48" s="283"/>
      <c r="G48" s="284"/>
      <c r="H48" s="195"/>
      <c r="I48" s="197">
        <f>I68</f>
        <v>0</v>
      </c>
      <c r="J48" s="219" t="str">
        <f>IF(I50=0,"",I48/I50*100)</f>
        <v/>
      </c>
      <c r="K48" s="196"/>
    </row>
    <row r="49" spans="2:11" ht="17.25" customHeight="1" x14ac:dyDescent="0.25">
      <c r="B49" s="282" t="s">
        <v>322</v>
      </c>
      <c r="C49" s="283"/>
      <c r="D49" s="283"/>
      <c r="E49" s="283"/>
      <c r="F49" s="283"/>
      <c r="G49" s="284"/>
      <c r="H49" s="195"/>
      <c r="I49" s="197">
        <f>I85</f>
        <v>0</v>
      </c>
      <c r="J49" s="219" t="str">
        <f>IF(I50=0,"",I49/I50*100)</f>
        <v/>
      </c>
      <c r="K49" s="196"/>
    </row>
    <row r="50" spans="2:11" ht="14.25" customHeight="1" x14ac:dyDescent="0.25">
      <c r="B50" s="285" t="s">
        <v>202</v>
      </c>
      <c r="C50" s="286"/>
      <c r="D50" s="286"/>
      <c r="E50" s="286"/>
      <c r="F50" s="286"/>
      <c r="G50" s="287"/>
      <c r="H50" s="131"/>
      <c r="I50" s="198">
        <f>I48+I49</f>
        <v>0</v>
      </c>
      <c r="J50" s="199">
        <v>100</v>
      </c>
      <c r="K50" s="196"/>
    </row>
    <row r="56" spans="2:11" ht="15.6" x14ac:dyDescent="0.3">
      <c r="B56" s="122" t="s">
        <v>348</v>
      </c>
    </row>
    <row r="57" spans="2:11" ht="4.5" customHeight="1" x14ac:dyDescent="0.25"/>
    <row r="58" spans="2:11" ht="20.25" customHeight="1" x14ac:dyDescent="0.25">
      <c r="B58" s="126" t="s">
        <v>17</v>
      </c>
      <c r="C58" s="126" t="s">
        <v>5</v>
      </c>
      <c r="D58" s="127"/>
      <c r="E58" s="127"/>
      <c r="F58" s="128" t="s">
        <v>51</v>
      </c>
      <c r="G58" s="128"/>
      <c r="H58" s="128"/>
      <c r="I58" s="128" t="s">
        <v>28</v>
      </c>
      <c r="J58" s="128" t="s">
        <v>0</v>
      </c>
    </row>
    <row r="59" spans="2:11" ht="15" customHeight="1" x14ac:dyDescent="0.25">
      <c r="B59" s="129" t="s">
        <v>52</v>
      </c>
      <c r="C59" s="274" t="s">
        <v>53</v>
      </c>
      <c r="D59" s="275"/>
      <c r="E59" s="275"/>
      <c r="F59" s="133" t="s">
        <v>23</v>
      </c>
      <c r="G59" s="130"/>
      <c r="H59" s="130"/>
      <c r="I59" s="130">
        <f>Komunikace!G8</f>
        <v>0</v>
      </c>
      <c r="J59" s="132" t="str">
        <f>IF(I68=0,"",I59/I68*100)</f>
        <v/>
      </c>
    </row>
    <row r="60" spans="2:11" ht="15" customHeight="1" x14ac:dyDescent="0.25">
      <c r="B60" s="129" t="s">
        <v>54</v>
      </c>
      <c r="C60" s="274" t="s">
        <v>55</v>
      </c>
      <c r="D60" s="275"/>
      <c r="E60" s="275"/>
      <c r="F60" s="133" t="s">
        <v>23</v>
      </c>
      <c r="G60" s="130"/>
      <c r="H60" s="130"/>
      <c r="I60" s="130">
        <f>Komunikace!G44</f>
        <v>0</v>
      </c>
      <c r="J60" s="132" t="str">
        <f>IF(I68=0,"",I60/I68*100)</f>
        <v/>
      </c>
    </row>
    <row r="61" spans="2:11" ht="15" customHeight="1" x14ac:dyDescent="0.25">
      <c r="B61" s="129" t="s">
        <v>304</v>
      </c>
      <c r="C61" s="274" t="s">
        <v>305</v>
      </c>
      <c r="D61" s="275"/>
      <c r="E61" s="275"/>
      <c r="F61" s="133" t="s">
        <v>23</v>
      </c>
      <c r="G61" s="130"/>
      <c r="H61" s="130"/>
      <c r="I61" s="130">
        <f>Komunikace!G79</f>
        <v>0</v>
      </c>
      <c r="J61" s="132" t="str">
        <f>IF(I68=0,"",I61/I68*100)</f>
        <v/>
      </c>
    </row>
    <row r="62" spans="2:11" ht="15" customHeight="1" x14ac:dyDescent="0.25">
      <c r="B62" s="129" t="s">
        <v>56</v>
      </c>
      <c r="C62" s="274" t="s">
        <v>57</v>
      </c>
      <c r="D62" s="275"/>
      <c r="E62" s="275"/>
      <c r="F62" s="133" t="s">
        <v>23</v>
      </c>
      <c r="G62" s="130"/>
      <c r="H62" s="130"/>
      <c r="I62" s="130">
        <f>Komunikace!G86</f>
        <v>0</v>
      </c>
      <c r="J62" s="132" t="str">
        <f>IF(I68=0,"",I62/I68*100)</f>
        <v/>
      </c>
    </row>
    <row r="63" spans="2:11" ht="24.75" customHeight="1" x14ac:dyDescent="0.25">
      <c r="B63" s="129" t="s">
        <v>184</v>
      </c>
      <c r="C63" s="274" t="s">
        <v>185</v>
      </c>
      <c r="D63" s="275"/>
      <c r="E63" s="275"/>
      <c r="F63" s="133" t="s">
        <v>23</v>
      </c>
      <c r="G63" s="130"/>
      <c r="H63" s="130"/>
      <c r="I63" s="130">
        <f>Komunikace!G119</f>
        <v>0</v>
      </c>
      <c r="J63" s="132" t="str">
        <f>IF(I68=0,"",I63/I68*100)</f>
        <v/>
      </c>
    </row>
    <row r="64" spans="2:11" ht="15" customHeight="1" x14ac:dyDescent="0.25">
      <c r="B64" s="129" t="s">
        <v>58</v>
      </c>
      <c r="C64" s="274" t="s">
        <v>59</v>
      </c>
      <c r="D64" s="275"/>
      <c r="E64" s="275"/>
      <c r="F64" s="133" t="s">
        <v>23</v>
      </c>
      <c r="G64" s="130"/>
      <c r="H64" s="130"/>
      <c r="I64" s="130">
        <f>Komunikace!G125</f>
        <v>0</v>
      </c>
      <c r="J64" s="132" t="str">
        <f>IF(I68=0,"",I64/I68*100)</f>
        <v/>
      </c>
    </row>
    <row r="65" spans="1:10" ht="15" customHeight="1" x14ac:dyDescent="0.25">
      <c r="B65" s="129" t="s">
        <v>60</v>
      </c>
      <c r="C65" s="274" t="s">
        <v>61</v>
      </c>
      <c r="D65" s="275"/>
      <c r="E65" s="275"/>
      <c r="F65" s="133" t="s">
        <v>62</v>
      </c>
      <c r="G65" s="130"/>
      <c r="H65" s="130"/>
      <c r="I65" s="130">
        <f>Komunikace!G132</f>
        <v>0</v>
      </c>
      <c r="J65" s="132" t="str">
        <f>IF(I68=0,"",I65/I68*100)</f>
        <v/>
      </c>
    </row>
    <row r="66" spans="1:10" ht="15" customHeight="1" x14ac:dyDescent="0.25">
      <c r="B66" s="129" t="s">
        <v>63</v>
      </c>
      <c r="C66" s="274" t="s">
        <v>26</v>
      </c>
      <c r="D66" s="275"/>
      <c r="E66" s="275"/>
      <c r="F66" s="133" t="s">
        <v>63</v>
      </c>
      <c r="G66" s="130"/>
      <c r="H66" s="130"/>
      <c r="I66" s="130">
        <f>Komunikace!G139</f>
        <v>0</v>
      </c>
      <c r="J66" s="132" t="str">
        <f>IF(I68=0,"",I66/I68*100)</f>
        <v/>
      </c>
    </row>
    <row r="67" spans="1:10" ht="15" customHeight="1" x14ac:dyDescent="0.25">
      <c r="B67" s="129" t="s">
        <v>64</v>
      </c>
      <c r="C67" s="274" t="s">
        <v>27</v>
      </c>
      <c r="D67" s="275"/>
      <c r="E67" s="275"/>
      <c r="F67" s="133" t="s">
        <v>64</v>
      </c>
      <c r="G67" s="130"/>
      <c r="H67" s="130"/>
      <c r="I67" s="130">
        <f>Komunikace!G150</f>
        <v>0</v>
      </c>
      <c r="J67" s="132" t="str">
        <f>IF(I68=0,"",I67/I68*100)</f>
        <v/>
      </c>
    </row>
    <row r="68" spans="1:10" ht="15" customHeight="1" x14ac:dyDescent="0.25">
      <c r="B68" s="215" t="s">
        <v>1</v>
      </c>
      <c r="C68" s="216"/>
      <c r="D68" s="217"/>
      <c r="E68" s="217"/>
      <c r="F68" s="218"/>
      <c r="G68" s="198"/>
      <c r="H68" s="198"/>
      <c r="I68" s="198">
        <f>SUM(I59:I67)</f>
        <v>0</v>
      </c>
      <c r="J68" s="199">
        <f>SUM(J59:J67)</f>
        <v>0</v>
      </c>
    </row>
    <row r="70" spans="1:10" ht="15.6" x14ac:dyDescent="0.3">
      <c r="B70" s="122" t="s">
        <v>341</v>
      </c>
    </row>
    <row r="71" spans="1:10" ht="4.5" customHeight="1" x14ac:dyDescent="0.25"/>
    <row r="72" spans="1:10" ht="19.5" customHeight="1" x14ac:dyDescent="0.25">
      <c r="A72" s="124"/>
      <c r="B72" s="126" t="s">
        <v>17</v>
      </c>
      <c r="C72" s="126" t="s">
        <v>5</v>
      </c>
      <c r="D72" s="127"/>
      <c r="E72" s="127"/>
      <c r="F72" s="128" t="s">
        <v>51</v>
      </c>
      <c r="G72" s="128"/>
      <c r="H72" s="128"/>
      <c r="I72" s="128" t="s">
        <v>28</v>
      </c>
      <c r="J72" s="128" t="s">
        <v>0</v>
      </c>
    </row>
    <row r="73" spans="1:10" ht="15" customHeight="1" x14ac:dyDescent="0.25">
      <c r="A73" s="125"/>
      <c r="B73" s="207" t="s">
        <v>52</v>
      </c>
      <c r="C73" s="272" t="s">
        <v>53</v>
      </c>
      <c r="D73" s="273"/>
      <c r="E73" s="273"/>
      <c r="F73" s="209" t="s">
        <v>23</v>
      </c>
      <c r="G73" s="195"/>
      <c r="H73" s="195"/>
      <c r="I73" s="195">
        <f>Most!G8</f>
        <v>0</v>
      </c>
      <c r="J73" s="208" t="str">
        <f>IF(I85=0,"",I73/I85*100)</f>
        <v/>
      </c>
    </row>
    <row r="74" spans="1:10" ht="15" customHeight="1" x14ac:dyDescent="0.25">
      <c r="A74" s="125"/>
      <c r="B74" s="207" t="s">
        <v>262</v>
      </c>
      <c r="C74" s="276" t="s">
        <v>263</v>
      </c>
      <c r="D74" s="277"/>
      <c r="E74" s="278"/>
      <c r="F74" s="209" t="s">
        <v>23</v>
      </c>
      <c r="G74" s="195"/>
      <c r="H74" s="195"/>
      <c r="I74" s="195">
        <f>Most!G36</f>
        <v>0</v>
      </c>
      <c r="J74" s="208" t="str">
        <f>IF(I85=0,"",I74/I85*100)</f>
        <v/>
      </c>
    </row>
    <row r="75" spans="1:10" ht="15" customHeight="1" x14ac:dyDescent="0.25">
      <c r="A75" s="125"/>
      <c r="B75" s="207" t="s">
        <v>200</v>
      </c>
      <c r="C75" s="272" t="s">
        <v>201</v>
      </c>
      <c r="D75" s="273"/>
      <c r="E75" s="273"/>
      <c r="F75" s="209" t="s">
        <v>23</v>
      </c>
      <c r="G75" s="195"/>
      <c r="H75" s="195"/>
      <c r="I75" s="195">
        <f>Most!G39</f>
        <v>0</v>
      </c>
      <c r="J75" s="208" t="str">
        <f>IF(I85=0,"",I75/I85*100)</f>
        <v/>
      </c>
    </row>
    <row r="76" spans="1:10" ht="15" customHeight="1" x14ac:dyDescent="0.25">
      <c r="A76" s="125"/>
      <c r="B76" s="207" t="s">
        <v>54</v>
      </c>
      <c r="C76" s="272" t="s">
        <v>55</v>
      </c>
      <c r="D76" s="273"/>
      <c r="E76" s="273"/>
      <c r="F76" s="209" t="s">
        <v>23</v>
      </c>
      <c r="G76" s="195"/>
      <c r="H76" s="195"/>
      <c r="I76" s="195">
        <f>Most!G49</f>
        <v>0</v>
      </c>
      <c r="J76" s="208" t="str">
        <f>IF(I85=0,"",I76/I85*100)</f>
        <v/>
      </c>
    </row>
    <row r="77" spans="1:10" ht="15" customHeight="1" x14ac:dyDescent="0.25">
      <c r="A77" s="125"/>
      <c r="B77" s="207" t="s">
        <v>56</v>
      </c>
      <c r="C77" s="272" t="s">
        <v>57</v>
      </c>
      <c r="D77" s="273"/>
      <c r="E77" s="273"/>
      <c r="F77" s="209" t="s">
        <v>23</v>
      </c>
      <c r="G77" s="195"/>
      <c r="H77" s="195"/>
      <c r="I77" s="195">
        <f>Most!G60</f>
        <v>0</v>
      </c>
      <c r="J77" s="208" t="str">
        <f>IF(I85=0,"",I77/I85*100)</f>
        <v/>
      </c>
    </row>
    <row r="78" spans="1:10" ht="15" customHeight="1" x14ac:dyDescent="0.25">
      <c r="A78" s="125"/>
      <c r="B78" s="207" t="s">
        <v>175</v>
      </c>
      <c r="C78" s="272" t="s">
        <v>339</v>
      </c>
      <c r="D78" s="273"/>
      <c r="E78" s="273"/>
      <c r="F78" s="209" t="s">
        <v>23</v>
      </c>
      <c r="G78" s="195"/>
      <c r="H78" s="195"/>
      <c r="I78" s="195">
        <f>Most!G63</f>
        <v>0</v>
      </c>
      <c r="J78" s="208" t="str">
        <f>IF(I85=0,"",I78/I85*100)</f>
        <v/>
      </c>
    </row>
    <row r="79" spans="1:10" ht="15" customHeight="1" x14ac:dyDescent="0.25">
      <c r="A79" s="125"/>
      <c r="B79" s="207" t="s">
        <v>58</v>
      </c>
      <c r="C79" s="272" t="s">
        <v>340</v>
      </c>
      <c r="D79" s="273"/>
      <c r="E79" s="273"/>
      <c r="F79" s="209" t="s">
        <v>23</v>
      </c>
      <c r="G79" s="195"/>
      <c r="H79" s="195"/>
      <c r="I79" s="195">
        <f>Most!G71</f>
        <v>0</v>
      </c>
      <c r="J79" s="208" t="str">
        <f>IF(I85=0,"",I79/I85*100)</f>
        <v/>
      </c>
    </row>
    <row r="80" spans="1:10" ht="15" customHeight="1" x14ac:dyDescent="0.25">
      <c r="A80" s="125"/>
      <c r="B80" s="207" t="s">
        <v>285</v>
      </c>
      <c r="C80" s="272" t="s">
        <v>286</v>
      </c>
      <c r="D80" s="273"/>
      <c r="E80" s="273"/>
      <c r="F80" s="209" t="s">
        <v>23</v>
      </c>
      <c r="G80" s="195"/>
      <c r="H80" s="195"/>
      <c r="I80" s="195">
        <f>Most!G75</f>
        <v>0</v>
      </c>
      <c r="J80" s="208" t="str">
        <f>IF(I85=0,"",I80/I85*100)</f>
        <v/>
      </c>
    </row>
    <row r="81" spans="1:10" ht="15" customHeight="1" x14ac:dyDescent="0.25">
      <c r="A81" s="125"/>
      <c r="B81" s="207" t="s">
        <v>292</v>
      </c>
      <c r="C81" s="272" t="s">
        <v>293</v>
      </c>
      <c r="D81" s="273"/>
      <c r="E81" s="273"/>
      <c r="F81" s="209" t="s">
        <v>23</v>
      </c>
      <c r="G81" s="195"/>
      <c r="H81" s="195"/>
      <c r="I81" s="195">
        <f>Most!G81</f>
        <v>0</v>
      </c>
      <c r="J81" s="208" t="str">
        <f>IF(I85=0,"",I81/I85*100)</f>
        <v/>
      </c>
    </row>
    <row r="82" spans="1:10" ht="15" customHeight="1" x14ac:dyDescent="0.25">
      <c r="A82" s="125"/>
      <c r="B82" s="207" t="s">
        <v>60</v>
      </c>
      <c r="C82" s="272" t="s">
        <v>61</v>
      </c>
      <c r="D82" s="273"/>
      <c r="E82" s="273"/>
      <c r="F82" s="209" t="s">
        <v>62</v>
      </c>
      <c r="G82" s="195"/>
      <c r="H82" s="195"/>
      <c r="I82" s="195">
        <f>Most!G84</f>
        <v>0</v>
      </c>
      <c r="J82" s="208" t="str">
        <f>IF(I85=0,"",I82/I85*100)</f>
        <v/>
      </c>
    </row>
    <row r="83" spans="1:10" ht="15" customHeight="1" x14ac:dyDescent="0.25">
      <c r="A83" s="125"/>
      <c r="B83" s="207" t="s">
        <v>63</v>
      </c>
      <c r="C83" s="272" t="s">
        <v>26</v>
      </c>
      <c r="D83" s="273"/>
      <c r="E83" s="273"/>
      <c r="F83" s="209" t="s">
        <v>63</v>
      </c>
      <c r="G83" s="195"/>
      <c r="H83" s="195"/>
      <c r="I83" s="195">
        <f>Most!G94</f>
        <v>0</v>
      </c>
      <c r="J83" s="208" t="str">
        <f>IF(I85=0,"",I83/I85*100)</f>
        <v/>
      </c>
    </row>
    <row r="84" spans="1:10" ht="15" customHeight="1" x14ac:dyDescent="0.25">
      <c r="A84" s="125"/>
      <c r="B84" s="207" t="s">
        <v>64</v>
      </c>
      <c r="C84" s="272" t="s">
        <v>27</v>
      </c>
      <c r="D84" s="273"/>
      <c r="E84" s="273"/>
      <c r="F84" s="209" t="s">
        <v>64</v>
      </c>
      <c r="G84" s="195"/>
      <c r="H84" s="195"/>
      <c r="I84" s="195">
        <f>Most!G104</f>
        <v>0</v>
      </c>
      <c r="J84" s="208" t="str">
        <f>IF(I85=0,"",I84/I85*100)</f>
        <v/>
      </c>
    </row>
    <row r="85" spans="1:10" ht="15" customHeight="1" x14ac:dyDescent="0.25">
      <c r="A85" s="125"/>
      <c r="B85" s="215" t="s">
        <v>1</v>
      </c>
      <c r="C85" s="216"/>
      <c r="D85" s="217"/>
      <c r="E85" s="217"/>
      <c r="F85" s="218"/>
      <c r="G85" s="198"/>
      <c r="H85" s="198"/>
      <c r="I85" s="198">
        <f>SUM(I73:I84)</f>
        <v>0</v>
      </c>
      <c r="J85" s="199">
        <f>SUM(J73:J84)</f>
        <v>0</v>
      </c>
    </row>
    <row r="86" spans="1:10" x14ac:dyDescent="0.25">
      <c r="F86" s="84"/>
      <c r="G86" s="84"/>
      <c r="H86" s="84"/>
      <c r="I86" s="84"/>
      <c r="J86" s="85"/>
    </row>
    <row r="87" spans="1:10" x14ac:dyDescent="0.25">
      <c r="F87" s="84"/>
      <c r="G87" s="84"/>
      <c r="H87" s="84"/>
      <c r="I87" s="84"/>
      <c r="J87" s="85"/>
    </row>
    <row r="88" spans="1:10" x14ac:dyDescent="0.25">
      <c r="F88" s="84"/>
      <c r="G88" s="84"/>
      <c r="H88" s="84"/>
      <c r="I88" s="84"/>
      <c r="J88" s="85"/>
    </row>
    <row r="89" spans="1:10" x14ac:dyDescent="0.25">
      <c r="F89" s="84"/>
      <c r="G89" s="84"/>
      <c r="H89" s="84"/>
      <c r="I89" s="84"/>
      <c r="J89" s="85"/>
    </row>
    <row r="90" spans="1:10" x14ac:dyDescent="0.25">
      <c r="F90" s="84"/>
      <c r="G90" s="84"/>
      <c r="H90" s="84"/>
      <c r="I90" s="84"/>
      <c r="J90" s="85"/>
    </row>
    <row r="91" spans="1:10" x14ac:dyDescent="0.25">
      <c r="F91" s="84"/>
      <c r="G91" s="84"/>
      <c r="H91" s="84"/>
      <c r="I91" s="84"/>
      <c r="J91" s="85"/>
    </row>
  </sheetData>
  <sheetProtection password="EA7D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3">
    <mergeCell ref="C63:E63"/>
    <mergeCell ref="C64:E64"/>
    <mergeCell ref="C65:E65"/>
    <mergeCell ref="C59:E59"/>
    <mergeCell ref="C60:E60"/>
    <mergeCell ref="B47:G47"/>
    <mergeCell ref="B48:G48"/>
    <mergeCell ref="B49:G49"/>
    <mergeCell ref="B50:G50"/>
    <mergeCell ref="C62:E62"/>
    <mergeCell ref="C61:E61"/>
    <mergeCell ref="C84:E84"/>
    <mergeCell ref="C78:E78"/>
    <mergeCell ref="C82:E82"/>
    <mergeCell ref="C66:E66"/>
    <mergeCell ref="C67:E67"/>
    <mergeCell ref="C83:E83"/>
    <mergeCell ref="C74:E74"/>
    <mergeCell ref="C73:E73"/>
    <mergeCell ref="C79:E79"/>
    <mergeCell ref="C80:E80"/>
    <mergeCell ref="C81:E81"/>
    <mergeCell ref="C75:E75"/>
    <mergeCell ref="C76:E76"/>
    <mergeCell ref="C77:E77"/>
    <mergeCell ref="C40:E40"/>
    <mergeCell ref="C41:E41"/>
    <mergeCell ref="C42:E42"/>
    <mergeCell ref="C43:E43"/>
    <mergeCell ref="B44:E44"/>
    <mergeCell ref="D36:E36"/>
    <mergeCell ref="G24:I24"/>
    <mergeCell ref="G23:I23"/>
    <mergeCell ref="E19:F19"/>
    <mergeCell ref="E20:F20"/>
    <mergeCell ref="I20:J20"/>
    <mergeCell ref="I21:J21"/>
    <mergeCell ref="G19:H19"/>
    <mergeCell ref="G20:H20"/>
    <mergeCell ref="G30:I30"/>
    <mergeCell ref="G25:I25"/>
    <mergeCell ref="I19:J19"/>
    <mergeCell ref="G29:I29"/>
    <mergeCell ref="D35:E35"/>
    <mergeCell ref="G35:I35"/>
    <mergeCell ref="G27:I27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C14:D14"/>
    <mergeCell ref="B1:J1"/>
    <mergeCell ref="G26:I26"/>
    <mergeCell ref="G28:I28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88" t="s">
        <v>6</v>
      </c>
      <c r="B1" s="288"/>
      <c r="C1" s="289"/>
      <c r="D1" s="288"/>
      <c r="E1" s="288"/>
      <c r="F1" s="288"/>
      <c r="G1" s="288"/>
    </row>
    <row r="2" spans="1:7" ht="24.9" customHeight="1" x14ac:dyDescent="0.25">
      <c r="A2" s="49" t="s">
        <v>7</v>
      </c>
      <c r="B2" s="48"/>
      <c r="C2" s="290"/>
      <c r="D2" s="290"/>
      <c r="E2" s="290"/>
      <c r="F2" s="290"/>
      <c r="G2" s="291"/>
    </row>
    <row r="3" spans="1:7" ht="24.9" customHeight="1" x14ac:dyDescent="0.25">
      <c r="A3" s="49" t="s">
        <v>8</v>
      </c>
      <c r="B3" s="48"/>
      <c r="C3" s="290"/>
      <c r="D3" s="290"/>
      <c r="E3" s="290"/>
      <c r="F3" s="290"/>
      <c r="G3" s="291"/>
    </row>
    <row r="4" spans="1:7" ht="24.9" customHeight="1" x14ac:dyDescent="0.25">
      <c r="A4" s="49" t="s">
        <v>9</v>
      </c>
      <c r="B4" s="48"/>
      <c r="C4" s="290"/>
      <c r="D4" s="290"/>
      <c r="E4" s="290"/>
      <c r="F4" s="290"/>
      <c r="G4" s="291"/>
    </row>
    <row r="5" spans="1:7" x14ac:dyDescent="0.25">
      <c r="B5" s="4"/>
      <c r="C5" s="5"/>
      <c r="D5" s="6"/>
    </row>
  </sheetData>
  <sheetProtection password="C71F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BH4981"/>
  <sheetViews>
    <sheetView workbookViewId="0">
      <pane ySplit="7" topLeftCell="A47" activePane="bottomLeft" state="frozen"/>
      <selection pane="bottomLeft" activeCell="B54" sqref="B54"/>
    </sheetView>
  </sheetViews>
  <sheetFormatPr defaultRowHeight="13.2" outlineLevelRow="1" x14ac:dyDescent="0.25"/>
  <cols>
    <col min="1" max="1" width="3.44140625" customWidth="1"/>
    <col min="2" max="2" width="12.5546875" style="123" customWidth="1"/>
    <col min="3" max="3" width="63.33203125" style="123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1" width="0" hidden="1" customWidth="1"/>
    <col min="12" max="12" width="11.6640625" bestFit="1" customWidth="1"/>
    <col min="13" max="13" width="11.6640625" customWidth="1"/>
    <col min="14" max="17" width="0" hidden="1" customWidth="1"/>
    <col min="18" max="18" width="6.88671875" customWidth="1"/>
    <col min="20" max="20" width="8.44140625" customWidth="1"/>
    <col min="21" max="24" width="0" hidden="1" customWidth="1"/>
    <col min="25" max="25" width="10.109375" bestFit="1" customWidth="1"/>
    <col min="26" max="26" width="11.6640625" bestFit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96" t="s">
        <v>65</v>
      </c>
      <c r="B1" s="297"/>
      <c r="C1" s="297"/>
      <c r="D1" s="297"/>
      <c r="E1" s="297"/>
      <c r="F1" s="297"/>
      <c r="G1" s="297"/>
      <c r="H1" s="186"/>
      <c r="L1" s="190"/>
      <c r="AG1" t="s">
        <v>66</v>
      </c>
    </row>
    <row r="2" spans="1:60" ht="24.9" customHeight="1" x14ac:dyDescent="0.25">
      <c r="A2" s="187" t="s">
        <v>7</v>
      </c>
      <c r="B2" s="193" t="s">
        <v>349</v>
      </c>
      <c r="C2" s="303" t="s">
        <v>319</v>
      </c>
      <c r="D2" s="304"/>
      <c r="E2" s="304"/>
      <c r="F2" s="304"/>
      <c r="G2" s="304"/>
      <c r="H2" s="305"/>
      <c r="L2" s="190"/>
      <c r="AG2" t="s">
        <v>67</v>
      </c>
    </row>
    <row r="3" spans="1:60" ht="24.9" customHeight="1" x14ac:dyDescent="0.25">
      <c r="A3" s="187" t="s">
        <v>8</v>
      </c>
      <c r="B3" s="193" t="s">
        <v>43</v>
      </c>
      <c r="C3" s="298" t="s">
        <v>321</v>
      </c>
      <c r="D3" s="299"/>
      <c r="E3" s="299"/>
      <c r="F3" s="299"/>
      <c r="G3" s="300"/>
      <c r="H3" s="188"/>
      <c r="L3" s="190"/>
      <c r="AC3" s="123" t="s">
        <v>67</v>
      </c>
      <c r="AG3" t="s">
        <v>68</v>
      </c>
    </row>
    <row r="4" spans="1:60" ht="24.9" customHeight="1" x14ac:dyDescent="0.25">
      <c r="A4" s="189" t="s">
        <v>9</v>
      </c>
      <c r="B4" s="180" t="s">
        <v>349</v>
      </c>
      <c r="C4" s="247" t="s">
        <v>320</v>
      </c>
      <c r="D4" s="248"/>
      <c r="E4" s="248"/>
      <c r="F4" s="248"/>
      <c r="G4" s="248"/>
      <c r="H4" s="249"/>
      <c r="L4" s="190"/>
      <c r="AG4" t="s">
        <v>69</v>
      </c>
    </row>
    <row r="5" spans="1:60" x14ac:dyDescent="0.25">
      <c r="D5" s="10"/>
    </row>
    <row r="6" spans="1:60" ht="39.6" x14ac:dyDescent="0.25">
      <c r="A6" s="136" t="s">
        <v>70</v>
      </c>
      <c r="B6" s="138" t="s">
        <v>71</v>
      </c>
      <c r="C6" s="138" t="s">
        <v>72</v>
      </c>
      <c r="D6" s="137" t="s">
        <v>73</v>
      </c>
      <c r="E6" s="136" t="s">
        <v>74</v>
      </c>
      <c r="F6" s="135" t="s">
        <v>75</v>
      </c>
      <c r="G6" s="136" t="s">
        <v>28</v>
      </c>
      <c r="H6" s="139" t="s">
        <v>29</v>
      </c>
      <c r="I6" s="139" t="s">
        <v>76</v>
      </c>
      <c r="J6" s="139" t="s">
        <v>30</v>
      </c>
      <c r="K6" s="139" t="s">
        <v>77</v>
      </c>
      <c r="L6" s="139" t="s">
        <v>78</v>
      </c>
      <c r="M6" s="139" t="s">
        <v>79</v>
      </c>
      <c r="N6" s="139" t="s">
        <v>80</v>
      </c>
      <c r="O6" s="139" t="s">
        <v>81</v>
      </c>
      <c r="P6" s="139" t="s">
        <v>82</v>
      </c>
      <c r="Q6" s="139" t="s">
        <v>83</v>
      </c>
      <c r="R6" s="139" t="s">
        <v>84</v>
      </c>
      <c r="S6" s="139" t="s">
        <v>85</v>
      </c>
      <c r="T6" s="139" t="s">
        <v>86</v>
      </c>
      <c r="U6" s="139" t="s">
        <v>87</v>
      </c>
      <c r="V6" s="139" t="s">
        <v>88</v>
      </c>
      <c r="W6" s="139" t="s">
        <v>89</v>
      </c>
      <c r="X6" s="139" t="s">
        <v>90</v>
      </c>
    </row>
    <row r="7" spans="1:60" hidden="1" x14ac:dyDescent="0.25">
      <c r="A7" s="3"/>
      <c r="B7" s="4"/>
      <c r="C7" s="4"/>
      <c r="D7" s="6"/>
      <c r="E7" s="141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</row>
    <row r="8" spans="1:60" x14ac:dyDescent="0.25">
      <c r="A8" s="151" t="s">
        <v>91</v>
      </c>
      <c r="B8" s="152" t="s">
        <v>52</v>
      </c>
      <c r="C8" s="167" t="s">
        <v>53</v>
      </c>
      <c r="D8" s="153"/>
      <c r="E8" s="154"/>
      <c r="F8" s="155"/>
      <c r="G8" s="155">
        <f>SUMIF(AG9:AG43,"&lt;&gt;NOR",G9:G43)</f>
        <v>0</v>
      </c>
      <c r="H8" s="155"/>
      <c r="I8" s="155">
        <f>SUM(I9:I43)</f>
        <v>635.04</v>
      </c>
      <c r="J8" s="155"/>
      <c r="K8" s="155">
        <f>SUM(K9:K43)</f>
        <v>795167.7699999999</v>
      </c>
      <c r="L8" s="155"/>
      <c r="M8" s="155">
        <f>SUM(M9:M43)</f>
        <v>0</v>
      </c>
      <c r="N8" s="155"/>
      <c r="O8" s="155">
        <f>SUM(O9:O43)</f>
        <v>0</v>
      </c>
      <c r="P8" s="155"/>
      <c r="Q8" s="155">
        <f>SUM(Q9:Q43)</f>
        <v>423.61</v>
      </c>
      <c r="R8" s="155"/>
      <c r="S8" s="155"/>
      <c r="T8" s="156"/>
      <c r="U8" s="150"/>
      <c r="V8" s="150">
        <f>SUM(V9:V43)</f>
        <v>611.62</v>
      </c>
      <c r="W8" s="150"/>
      <c r="X8" s="150"/>
      <c r="Z8" s="84"/>
      <c r="AG8" t="s">
        <v>92</v>
      </c>
    </row>
    <row r="9" spans="1:60" outlineLevel="1" x14ac:dyDescent="0.25">
      <c r="A9" s="157">
        <v>1</v>
      </c>
      <c r="B9" s="158" t="s">
        <v>191</v>
      </c>
      <c r="C9" s="168" t="s">
        <v>232</v>
      </c>
      <c r="D9" s="159" t="s">
        <v>98</v>
      </c>
      <c r="E9" s="160">
        <f>20*2+166*1.5+40*1.5</f>
        <v>349</v>
      </c>
      <c r="F9" s="161"/>
      <c r="G9" s="162">
        <f>ROUND(E9*F9,2)</f>
        <v>0</v>
      </c>
      <c r="H9" s="161">
        <v>0</v>
      </c>
      <c r="I9" s="162">
        <f>ROUND(E9*H9,2)</f>
        <v>0</v>
      </c>
      <c r="J9" s="161">
        <v>61.8</v>
      </c>
      <c r="K9" s="162">
        <f>ROUND(E9*J9,2)</f>
        <v>21568.2</v>
      </c>
      <c r="L9" s="162">
        <v>21</v>
      </c>
      <c r="M9" s="162">
        <f>G9*(1+L9/100)</f>
        <v>0</v>
      </c>
      <c r="N9" s="162">
        <v>0</v>
      </c>
      <c r="O9" s="162">
        <f>ROUND(E9*N9,2)</f>
        <v>0</v>
      </c>
      <c r="P9" s="162">
        <v>0.13800000000000001</v>
      </c>
      <c r="Q9" s="162">
        <f>ROUND(E9*P9,2)</f>
        <v>48.16</v>
      </c>
      <c r="R9" s="162" t="s">
        <v>109</v>
      </c>
      <c r="S9" s="162" t="s">
        <v>345</v>
      </c>
      <c r="T9" s="162" t="s">
        <v>345</v>
      </c>
      <c r="U9" s="149"/>
      <c r="V9" s="149"/>
      <c r="W9" s="149"/>
      <c r="X9" s="149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</row>
    <row r="10" spans="1:60" outlineLevel="1" x14ac:dyDescent="0.25">
      <c r="A10" s="147"/>
      <c r="B10" s="148"/>
      <c r="C10" s="292" t="s">
        <v>219</v>
      </c>
      <c r="D10" s="293"/>
      <c r="E10" s="293"/>
      <c r="F10" s="293"/>
      <c r="G10" s="293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</row>
    <row r="11" spans="1:60" outlineLevel="1" x14ac:dyDescent="0.25">
      <c r="A11" s="147"/>
      <c r="B11" s="148"/>
      <c r="C11" s="169"/>
      <c r="D11" s="164"/>
      <c r="E11" s="164"/>
      <c r="F11" s="164"/>
      <c r="G11" s="164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</row>
    <row r="12" spans="1:60" ht="22.95" customHeight="1" outlineLevel="1" x14ac:dyDescent="0.25">
      <c r="A12" s="157">
        <f>A9+1</f>
        <v>2</v>
      </c>
      <c r="B12" s="158" t="s">
        <v>207</v>
      </c>
      <c r="C12" s="168" t="s">
        <v>206</v>
      </c>
      <c r="D12" s="159" t="s">
        <v>116</v>
      </c>
      <c r="E12" s="160">
        <f>1250*0.2+E9*0.2</f>
        <v>319.8</v>
      </c>
      <c r="F12" s="161"/>
      <c r="G12" s="162">
        <f>ROUND(E12*F12,2)</f>
        <v>0</v>
      </c>
      <c r="H12" s="161">
        <v>0</v>
      </c>
      <c r="I12" s="162">
        <f>ROUND(E12*H12,2)</f>
        <v>0</v>
      </c>
      <c r="J12" s="161">
        <v>351</v>
      </c>
      <c r="K12" s="162">
        <f>ROUND(E12*J12,2)</f>
        <v>112249.8</v>
      </c>
      <c r="L12" s="162">
        <v>21</v>
      </c>
      <c r="M12" s="162">
        <f>G12*(1+L12/100)</f>
        <v>0</v>
      </c>
      <c r="N12" s="162">
        <v>0</v>
      </c>
      <c r="O12" s="162">
        <f>ROUND(E12*N12,2)</f>
        <v>0</v>
      </c>
      <c r="P12" s="162">
        <v>0.44</v>
      </c>
      <c r="Q12" s="162">
        <f>ROUND(E12*P12,2)</f>
        <v>140.71</v>
      </c>
      <c r="R12" s="162" t="s">
        <v>109</v>
      </c>
      <c r="S12" s="162" t="s">
        <v>345</v>
      </c>
      <c r="T12" s="162" t="s">
        <v>345</v>
      </c>
      <c r="U12" s="149">
        <v>3.3000000000000002E-2</v>
      </c>
      <c r="V12" s="149">
        <f>ROUND(E12*U12,2)</f>
        <v>10.55</v>
      </c>
      <c r="W12" s="149"/>
      <c r="X12" s="149" t="s">
        <v>110</v>
      </c>
      <c r="Y12" s="140"/>
      <c r="Z12" s="140"/>
      <c r="AA12" s="140"/>
      <c r="AB12" s="140"/>
      <c r="AC12" s="140"/>
      <c r="AD12" s="140"/>
      <c r="AE12" s="140"/>
      <c r="AF12" s="140"/>
      <c r="AG12" s="140" t="s">
        <v>111</v>
      </c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</row>
    <row r="13" spans="1:60" outlineLevel="1" x14ac:dyDescent="0.25">
      <c r="A13" s="147"/>
      <c r="B13" s="148"/>
      <c r="C13" s="294"/>
      <c r="D13" s="295"/>
      <c r="E13" s="295"/>
      <c r="F13" s="295"/>
      <c r="G13" s="295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0"/>
      <c r="Z13" s="140"/>
      <c r="AA13" s="140"/>
      <c r="AB13" s="140"/>
      <c r="AC13" s="140"/>
      <c r="AD13" s="140"/>
      <c r="AE13" s="140"/>
      <c r="AF13" s="140"/>
      <c r="AG13" s="140" t="s">
        <v>93</v>
      </c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</row>
    <row r="14" spans="1:60" outlineLevel="1" x14ac:dyDescent="0.25">
      <c r="A14" s="157">
        <f>A12+1</f>
        <v>3</v>
      </c>
      <c r="B14" s="158" t="s">
        <v>233</v>
      </c>
      <c r="C14" s="168" t="s">
        <v>234</v>
      </c>
      <c r="D14" s="159" t="s">
        <v>98</v>
      </c>
      <c r="E14" s="160">
        <v>1250</v>
      </c>
      <c r="F14" s="161"/>
      <c r="G14" s="162">
        <f>ROUND(E14*F14,2)</f>
        <v>0</v>
      </c>
      <c r="H14" s="161">
        <v>0</v>
      </c>
      <c r="I14" s="162">
        <f>ROUND(E14*H14,2)</f>
        <v>0</v>
      </c>
      <c r="J14" s="161">
        <v>111</v>
      </c>
      <c r="K14" s="162">
        <f>ROUND(E14*J14,2)</f>
        <v>138750</v>
      </c>
      <c r="L14" s="162">
        <v>21</v>
      </c>
      <c r="M14" s="162">
        <f>G14*(1+L14/100)</f>
        <v>0</v>
      </c>
      <c r="N14" s="162">
        <v>0</v>
      </c>
      <c r="O14" s="162">
        <f>ROUND(E14*N14,2)</f>
        <v>0</v>
      </c>
      <c r="P14" s="162">
        <v>0.11</v>
      </c>
      <c r="Q14" s="162">
        <f>ROUND(E14*P14,2)</f>
        <v>137.5</v>
      </c>
      <c r="R14" s="162" t="s">
        <v>109</v>
      </c>
      <c r="S14" s="162" t="s">
        <v>345</v>
      </c>
      <c r="T14" s="162" t="s">
        <v>345</v>
      </c>
      <c r="U14" s="149">
        <v>0.2</v>
      </c>
      <c r="V14" s="149">
        <f>ROUND(E14*U14,2)</f>
        <v>250</v>
      </c>
      <c r="W14" s="149"/>
      <c r="X14" s="149" t="s">
        <v>110</v>
      </c>
      <c r="Y14" s="140"/>
      <c r="Z14" s="140"/>
      <c r="AA14" s="140"/>
      <c r="AB14" s="140"/>
      <c r="AC14" s="140"/>
      <c r="AD14" s="140"/>
      <c r="AE14" s="140"/>
      <c r="AF14" s="140"/>
      <c r="AG14" s="140" t="s">
        <v>111</v>
      </c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</row>
    <row r="15" spans="1:60" outlineLevel="1" x14ac:dyDescent="0.25">
      <c r="A15" s="147"/>
      <c r="B15" s="148"/>
      <c r="C15" s="294"/>
      <c r="D15" s="295"/>
      <c r="E15" s="295"/>
      <c r="F15" s="295"/>
      <c r="G15" s="295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0"/>
      <c r="Z15" s="140"/>
      <c r="AA15" s="140"/>
      <c r="AB15" s="140"/>
      <c r="AC15" s="140"/>
      <c r="AD15" s="140"/>
      <c r="AE15" s="140"/>
      <c r="AF15" s="140"/>
      <c r="AG15" s="140" t="s">
        <v>93</v>
      </c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</row>
    <row r="16" spans="1:60" outlineLevel="1" x14ac:dyDescent="0.25">
      <c r="A16" s="157">
        <f>A14+1</f>
        <v>4</v>
      </c>
      <c r="B16" s="158" t="s">
        <v>113</v>
      </c>
      <c r="C16" s="168" t="s">
        <v>150</v>
      </c>
      <c r="D16" s="159" t="s">
        <v>114</v>
      </c>
      <c r="E16" s="160">
        <v>442</v>
      </c>
      <c r="F16" s="161"/>
      <c r="G16" s="162">
        <f>ROUND(E16*F16,2)</f>
        <v>0</v>
      </c>
      <c r="H16" s="161">
        <v>0</v>
      </c>
      <c r="I16" s="162">
        <f>ROUND(E16*H16,2)</f>
        <v>0</v>
      </c>
      <c r="J16" s="161">
        <v>115</v>
      </c>
      <c r="K16" s="162">
        <f>ROUND(E16*J16,2)</f>
        <v>50830</v>
      </c>
      <c r="L16" s="162">
        <v>21</v>
      </c>
      <c r="M16" s="162">
        <f>G16*(1+L16/100)</f>
        <v>0</v>
      </c>
      <c r="N16" s="162">
        <v>0</v>
      </c>
      <c r="O16" s="162">
        <f>ROUND(E16*N16,2)</f>
        <v>0</v>
      </c>
      <c r="P16" s="162">
        <v>0.22</v>
      </c>
      <c r="Q16" s="162">
        <f>ROUND(E16*P16,2)</f>
        <v>97.24</v>
      </c>
      <c r="R16" s="162" t="s">
        <v>109</v>
      </c>
      <c r="S16" s="162" t="s">
        <v>345</v>
      </c>
      <c r="T16" s="162" t="s">
        <v>345</v>
      </c>
      <c r="U16" s="149"/>
      <c r="V16" s="149"/>
      <c r="W16" s="149"/>
      <c r="X16" s="149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</row>
    <row r="17" spans="1:60" ht="12.75" customHeight="1" outlineLevel="1" x14ac:dyDescent="0.25">
      <c r="A17" s="147"/>
      <c r="B17" s="148"/>
      <c r="C17" s="292" t="s">
        <v>198</v>
      </c>
      <c r="D17" s="293"/>
      <c r="E17" s="293"/>
      <c r="F17" s="293"/>
      <c r="G17" s="293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</row>
    <row r="18" spans="1:60" outlineLevel="1" x14ac:dyDescent="0.25">
      <c r="A18" s="147"/>
      <c r="B18" s="148"/>
      <c r="C18" s="169"/>
      <c r="D18" s="164"/>
      <c r="E18" s="164"/>
      <c r="F18" s="164"/>
      <c r="G18" s="164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</row>
    <row r="19" spans="1:60" outlineLevel="1" x14ac:dyDescent="0.25">
      <c r="A19" s="157">
        <f>A16+1</f>
        <v>5</v>
      </c>
      <c r="B19" s="158" t="s">
        <v>176</v>
      </c>
      <c r="C19" s="168" t="s">
        <v>177</v>
      </c>
      <c r="D19" s="159" t="s">
        <v>116</v>
      </c>
      <c r="E19" s="160">
        <f>E14/3*0.2</f>
        <v>83.333333333333343</v>
      </c>
      <c r="F19" s="161"/>
      <c r="G19" s="162">
        <f>ROUND(E19*F19,2)</f>
        <v>0</v>
      </c>
      <c r="H19" s="161">
        <v>0</v>
      </c>
      <c r="I19" s="162">
        <f>ROUND(E19*H19,2)</f>
        <v>0</v>
      </c>
      <c r="J19" s="161">
        <v>617</v>
      </c>
      <c r="K19" s="162">
        <f>ROUND(E19*J19,2)</f>
        <v>51416.67</v>
      </c>
      <c r="L19" s="162">
        <v>21</v>
      </c>
      <c r="M19" s="162">
        <f>G19*(1+L19/100)</f>
        <v>0</v>
      </c>
      <c r="N19" s="162">
        <v>0</v>
      </c>
      <c r="O19" s="162">
        <f>ROUND(E19*N19,2)</f>
        <v>0</v>
      </c>
      <c r="P19" s="162">
        <v>0</v>
      </c>
      <c r="Q19" s="162">
        <f>ROUND(E19*P19,2)</f>
        <v>0</v>
      </c>
      <c r="R19" s="162" t="s">
        <v>115</v>
      </c>
      <c r="S19" s="162" t="s">
        <v>345</v>
      </c>
      <c r="T19" s="162" t="s">
        <v>345</v>
      </c>
      <c r="U19" s="149"/>
      <c r="V19" s="149"/>
      <c r="W19" s="149"/>
      <c r="X19" s="149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</row>
    <row r="20" spans="1:60" ht="14.25" customHeight="1" outlineLevel="1" x14ac:dyDescent="0.25">
      <c r="A20" s="147"/>
      <c r="B20" s="148"/>
      <c r="C20" s="292" t="s">
        <v>197</v>
      </c>
      <c r="D20" s="293"/>
      <c r="E20" s="293"/>
      <c r="F20" s="293"/>
      <c r="G20" s="293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</row>
    <row r="21" spans="1:60" outlineLevel="1" x14ac:dyDescent="0.25">
      <c r="A21" s="147"/>
      <c r="B21" s="148"/>
      <c r="C21" s="169"/>
      <c r="D21" s="164"/>
      <c r="E21" s="164"/>
      <c r="F21" s="164"/>
      <c r="G21" s="164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</row>
    <row r="22" spans="1:60" outlineLevel="1" x14ac:dyDescent="0.25">
      <c r="A22" s="157">
        <f>A19+1</f>
        <v>6</v>
      </c>
      <c r="B22" s="158" t="s">
        <v>151</v>
      </c>
      <c r="C22" s="168" t="s">
        <v>226</v>
      </c>
      <c r="D22" s="159" t="s">
        <v>116</v>
      </c>
      <c r="E22" s="160">
        <f>E14*0.2+E9*0.2-E19</f>
        <v>236.46666666666667</v>
      </c>
      <c r="F22" s="161"/>
      <c r="G22" s="162">
        <f>ROUND(E22*F22,2)</f>
        <v>0</v>
      </c>
      <c r="H22" s="161">
        <v>0</v>
      </c>
      <c r="I22" s="162">
        <f>ROUND(E22*H22,2)</f>
        <v>0</v>
      </c>
      <c r="J22" s="161">
        <v>191.5</v>
      </c>
      <c r="K22" s="162">
        <f>ROUND(E22*J22,2)</f>
        <v>45283.37</v>
      </c>
      <c r="L22" s="162">
        <v>21</v>
      </c>
      <c r="M22" s="162">
        <f>G22*(1+L22/100)</f>
        <v>0</v>
      </c>
      <c r="N22" s="162">
        <v>0</v>
      </c>
      <c r="O22" s="162">
        <f>ROUND(E22*N22,2)</f>
        <v>0</v>
      </c>
      <c r="P22" s="162">
        <v>0</v>
      </c>
      <c r="Q22" s="162">
        <f>ROUND(E22*P22,2)</f>
        <v>0</v>
      </c>
      <c r="R22" s="162" t="s">
        <v>115</v>
      </c>
      <c r="S22" s="162" t="s">
        <v>345</v>
      </c>
      <c r="T22" s="162" t="s">
        <v>345</v>
      </c>
      <c r="U22" s="149">
        <v>0.36799999999999999</v>
      </c>
      <c r="V22" s="149">
        <f>ROUND(E22*U22,2)</f>
        <v>87.02</v>
      </c>
      <c r="W22" s="149"/>
      <c r="X22" s="149" t="s">
        <v>110</v>
      </c>
      <c r="Y22" s="140"/>
      <c r="Z22" s="140"/>
      <c r="AA22" s="140"/>
      <c r="AB22" s="140"/>
      <c r="AC22" s="140"/>
      <c r="AD22" s="140"/>
      <c r="AE22" s="140"/>
      <c r="AF22" s="140"/>
      <c r="AG22" s="140" t="s">
        <v>111</v>
      </c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</row>
    <row r="23" spans="1:60" outlineLevel="1" x14ac:dyDescent="0.25">
      <c r="A23" s="147"/>
      <c r="B23" s="148"/>
      <c r="C23" s="301"/>
      <c r="D23" s="302"/>
      <c r="E23" s="302"/>
      <c r="F23" s="302"/>
      <c r="G23" s="302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0"/>
      <c r="Z23" s="140"/>
      <c r="AA23" s="140"/>
      <c r="AB23" s="140"/>
      <c r="AC23" s="140"/>
      <c r="AD23" s="140"/>
      <c r="AE23" s="140"/>
      <c r="AF23" s="140"/>
      <c r="AG23" s="140" t="s">
        <v>93</v>
      </c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</row>
    <row r="24" spans="1:60" outlineLevel="1" x14ac:dyDescent="0.25">
      <c r="A24" s="157">
        <f>A22+1</f>
        <v>7</v>
      </c>
      <c r="B24" s="158" t="s">
        <v>117</v>
      </c>
      <c r="C24" s="168" t="s">
        <v>225</v>
      </c>
      <c r="D24" s="159" t="s">
        <v>116</v>
      </c>
      <c r="E24" s="160">
        <f>E22*0.55</f>
        <v>130.05666666666667</v>
      </c>
      <c r="F24" s="161"/>
      <c r="G24" s="162">
        <f>ROUND(E24*F24,2)</f>
        <v>0</v>
      </c>
      <c r="H24" s="161">
        <v>0</v>
      </c>
      <c r="I24" s="162">
        <f>ROUND(E24*H24,2)</f>
        <v>0</v>
      </c>
      <c r="J24" s="161">
        <v>38.299999999999997</v>
      </c>
      <c r="K24" s="162">
        <f>ROUND(E24*J24,2)</f>
        <v>4981.17</v>
      </c>
      <c r="L24" s="162">
        <v>21</v>
      </c>
      <c r="M24" s="162">
        <f>G24*(1+L24/100)</f>
        <v>0</v>
      </c>
      <c r="N24" s="162">
        <v>0</v>
      </c>
      <c r="O24" s="162">
        <f>ROUND(E24*N24,2)</f>
        <v>0</v>
      </c>
      <c r="P24" s="162">
        <v>0</v>
      </c>
      <c r="Q24" s="162">
        <f>ROUND(E24*P24,2)</f>
        <v>0</v>
      </c>
      <c r="R24" s="162" t="s">
        <v>115</v>
      </c>
      <c r="S24" s="162" t="s">
        <v>345</v>
      </c>
      <c r="T24" s="162" t="s">
        <v>345</v>
      </c>
      <c r="U24" s="149">
        <v>5.8000000000000003E-2</v>
      </c>
      <c r="V24" s="149">
        <f>ROUND(E24*U24,2)</f>
        <v>7.54</v>
      </c>
      <c r="W24" s="149"/>
      <c r="X24" s="149" t="s">
        <v>110</v>
      </c>
      <c r="Y24" s="140"/>
      <c r="Z24" s="140"/>
      <c r="AA24" s="140"/>
      <c r="AB24" s="140"/>
      <c r="AC24" s="140"/>
      <c r="AD24" s="140"/>
      <c r="AE24" s="140"/>
      <c r="AF24" s="140"/>
      <c r="AG24" s="140" t="s">
        <v>111</v>
      </c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</row>
    <row r="25" spans="1:60" outlineLevel="1" x14ac:dyDescent="0.25">
      <c r="A25" s="147"/>
      <c r="B25" s="148"/>
      <c r="C25" s="301"/>
      <c r="D25" s="302"/>
      <c r="E25" s="302"/>
      <c r="F25" s="302"/>
      <c r="G25" s="302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0"/>
      <c r="Z25" s="140"/>
      <c r="AA25" s="140"/>
      <c r="AB25" s="140"/>
      <c r="AC25" s="140"/>
      <c r="AD25" s="140"/>
      <c r="AE25" s="140"/>
      <c r="AF25" s="140"/>
      <c r="AG25" s="140" t="s">
        <v>93</v>
      </c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</row>
    <row r="26" spans="1:60" outlineLevel="1" x14ac:dyDescent="0.25">
      <c r="A26" s="157">
        <f>A24+1</f>
        <v>8</v>
      </c>
      <c r="B26" s="158" t="s">
        <v>178</v>
      </c>
      <c r="C26" s="168" t="s">
        <v>179</v>
      </c>
      <c r="D26" s="159" t="s">
        <v>116</v>
      </c>
      <c r="E26" s="160">
        <f>36</f>
        <v>36</v>
      </c>
      <c r="F26" s="161"/>
      <c r="G26" s="162">
        <f>ROUND(E26*F26,2)</f>
        <v>0</v>
      </c>
      <c r="H26" s="161">
        <v>0</v>
      </c>
      <c r="I26" s="162">
        <f>ROUND(E26*H26,2)</f>
        <v>0</v>
      </c>
      <c r="J26" s="161">
        <v>1273</v>
      </c>
      <c r="K26" s="162">
        <f>ROUND(E26*J26,2)</f>
        <v>45828</v>
      </c>
      <c r="L26" s="162">
        <v>21</v>
      </c>
      <c r="M26" s="162">
        <f>G26*(1+L26/100)</f>
        <v>0</v>
      </c>
      <c r="N26" s="162">
        <v>0</v>
      </c>
      <c r="O26" s="162">
        <f>ROUND(E26*N26,2)</f>
        <v>0</v>
      </c>
      <c r="P26" s="162">
        <v>0</v>
      </c>
      <c r="Q26" s="162">
        <f>ROUND(E26*P26,2)</f>
        <v>0</v>
      </c>
      <c r="R26" s="162" t="s">
        <v>115</v>
      </c>
      <c r="S26" s="162" t="s">
        <v>345</v>
      </c>
      <c r="T26" s="162" t="s">
        <v>345</v>
      </c>
      <c r="U26" s="149"/>
      <c r="V26" s="149"/>
      <c r="W26" s="149"/>
      <c r="X26" s="149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</row>
    <row r="27" spans="1:60" outlineLevel="1" x14ac:dyDescent="0.25">
      <c r="A27" s="147"/>
      <c r="B27" s="148"/>
      <c r="C27" s="292" t="s">
        <v>180</v>
      </c>
      <c r="D27" s="293"/>
      <c r="E27" s="293"/>
      <c r="F27" s="293"/>
      <c r="G27" s="293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</row>
    <row r="28" spans="1:60" outlineLevel="1" x14ac:dyDescent="0.25">
      <c r="A28" s="147"/>
      <c r="B28" s="148"/>
      <c r="C28" s="169"/>
      <c r="D28" s="164"/>
      <c r="E28" s="164"/>
      <c r="F28" s="164"/>
      <c r="G28" s="164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</row>
    <row r="29" spans="1:60" outlineLevel="1" x14ac:dyDescent="0.25">
      <c r="A29" s="157">
        <f>A26+1</f>
        <v>9</v>
      </c>
      <c r="B29" s="158" t="s">
        <v>118</v>
      </c>
      <c r="C29" s="168" t="s">
        <v>338</v>
      </c>
      <c r="D29" s="159" t="s">
        <v>116</v>
      </c>
      <c r="E29" s="160">
        <f>E22+E26+E19</f>
        <v>355.80000000000007</v>
      </c>
      <c r="F29" s="161"/>
      <c r="G29" s="162">
        <f>ROUND(E29*F29,2)</f>
        <v>0</v>
      </c>
      <c r="H29" s="161">
        <v>0</v>
      </c>
      <c r="I29" s="162">
        <f>ROUND(E29*H29,2)</f>
        <v>0</v>
      </c>
      <c r="J29" s="161">
        <v>259.5</v>
      </c>
      <c r="K29" s="162">
        <f>ROUND(E29*J29,2)</f>
        <v>92330.1</v>
      </c>
      <c r="L29" s="162">
        <v>21</v>
      </c>
      <c r="M29" s="162">
        <f>G29*(1+L29/100)</f>
        <v>0</v>
      </c>
      <c r="N29" s="162">
        <v>0</v>
      </c>
      <c r="O29" s="162">
        <f>ROUND(E29*N29,2)</f>
        <v>0</v>
      </c>
      <c r="P29" s="162">
        <v>0</v>
      </c>
      <c r="Q29" s="162">
        <f>ROUND(E29*P29,2)</f>
        <v>0</v>
      </c>
      <c r="R29" s="162" t="s">
        <v>115</v>
      </c>
      <c r="S29" s="162" t="s">
        <v>345</v>
      </c>
      <c r="T29" s="162" t="s">
        <v>345</v>
      </c>
      <c r="U29" s="149">
        <v>5.1999999999999998E-3</v>
      </c>
      <c r="V29" s="149">
        <f>ROUND(E29*U29,2)</f>
        <v>1.85</v>
      </c>
      <c r="W29" s="149"/>
      <c r="X29" s="149" t="s">
        <v>110</v>
      </c>
      <c r="Y29" s="140"/>
      <c r="Z29" s="140"/>
      <c r="AA29" s="140"/>
      <c r="AB29" s="140"/>
      <c r="AC29" s="140"/>
      <c r="AD29" s="140"/>
      <c r="AE29" s="140"/>
      <c r="AF29" s="140"/>
      <c r="AG29" s="140" t="s">
        <v>111</v>
      </c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</row>
    <row r="30" spans="1:60" outlineLevel="1" x14ac:dyDescent="0.25">
      <c r="A30" s="147"/>
      <c r="B30" s="148"/>
      <c r="C30" s="292" t="s">
        <v>119</v>
      </c>
      <c r="D30" s="293"/>
      <c r="E30" s="293"/>
      <c r="F30" s="293"/>
      <c r="G30" s="293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0"/>
      <c r="Z30" s="140"/>
      <c r="AA30" s="140"/>
      <c r="AB30" s="140"/>
      <c r="AC30" s="140"/>
      <c r="AD30" s="140"/>
      <c r="AE30" s="140"/>
      <c r="AF30" s="140"/>
      <c r="AG30" s="140" t="s">
        <v>112</v>
      </c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</row>
    <row r="31" spans="1:60" outlineLevel="1" x14ac:dyDescent="0.25">
      <c r="A31" s="147"/>
      <c r="B31" s="148"/>
      <c r="C31" s="301"/>
      <c r="D31" s="302"/>
      <c r="E31" s="302"/>
      <c r="F31" s="302"/>
      <c r="G31" s="302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0"/>
      <c r="Z31" s="140"/>
      <c r="AA31" s="140"/>
      <c r="AB31" s="140"/>
      <c r="AC31" s="140"/>
      <c r="AD31" s="140"/>
      <c r="AE31" s="140"/>
      <c r="AF31" s="140"/>
      <c r="AG31" s="140" t="s">
        <v>93</v>
      </c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</row>
    <row r="32" spans="1:60" outlineLevel="1" x14ac:dyDescent="0.25">
      <c r="A32" s="157">
        <f>A29+1</f>
        <v>10</v>
      </c>
      <c r="B32" s="158" t="s">
        <v>120</v>
      </c>
      <c r="C32" s="168" t="s">
        <v>164</v>
      </c>
      <c r="D32" s="159" t="s">
        <v>116</v>
      </c>
      <c r="E32" s="160">
        <f>E29</f>
        <v>355.80000000000007</v>
      </c>
      <c r="F32" s="161"/>
      <c r="G32" s="162">
        <f>ROUND(E32*F32,2)</f>
        <v>0</v>
      </c>
      <c r="H32" s="161">
        <v>0</v>
      </c>
      <c r="I32" s="162">
        <f>ROUND(E32*H32,2)</f>
        <v>0</v>
      </c>
      <c r="J32" s="161">
        <v>265</v>
      </c>
      <c r="K32" s="162">
        <f>ROUND(E32*J32,2)</f>
        <v>94287</v>
      </c>
      <c r="L32" s="162">
        <v>21</v>
      </c>
      <c r="M32" s="162">
        <f>G32*(1+L32/100)</f>
        <v>0</v>
      </c>
      <c r="N32" s="162">
        <v>0</v>
      </c>
      <c r="O32" s="162">
        <f>ROUND(E32*N32,2)</f>
        <v>0</v>
      </c>
      <c r="P32" s="162">
        <v>0</v>
      </c>
      <c r="Q32" s="162">
        <f>ROUND(E32*P32,2)</f>
        <v>0</v>
      </c>
      <c r="R32" s="162" t="s">
        <v>115</v>
      </c>
      <c r="S32" s="162" t="s">
        <v>345</v>
      </c>
      <c r="T32" s="162" t="s">
        <v>345</v>
      </c>
      <c r="U32" s="149">
        <v>0.65200000000000002</v>
      </c>
      <c r="V32" s="149">
        <f>ROUND(E32*U32,2)</f>
        <v>231.98</v>
      </c>
      <c r="W32" s="149"/>
      <c r="X32" s="149" t="s">
        <v>110</v>
      </c>
      <c r="Y32" s="140"/>
      <c r="Z32" s="140"/>
      <c r="AA32" s="140"/>
      <c r="AB32" s="140"/>
      <c r="AC32" s="140"/>
      <c r="AD32" s="140"/>
      <c r="AE32" s="140"/>
      <c r="AF32" s="140"/>
      <c r="AG32" s="140" t="s">
        <v>111</v>
      </c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</row>
    <row r="33" spans="1:60" outlineLevel="1" x14ac:dyDescent="0.25">
      <c r="A33" s="147"/>
      <c r="B33" s="148"/>
      <c r="C33" s="294"/>
      <c r="D33" s="295"/>
      <c r="E33" s="295"/>
      <c r="F33" s="295"/>
      <c r="G33" s="295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0"/>
      <c r="Z33" s="140"/>
      <c r="AA33" s="140"/>
      <c r="AB33" s="140"/>
      <c r="AC33" s="140"/>
      <c r="AD33" s="140"/>
      <c r="AE33" s="140"/>
      <c r="AF33" s="140"/>
      <c r="AG33" s="140" t="s">
        <v>93</v>
      </c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</row>
    <row r="34" spans="1:60" outlineLevel="1" x14ac:dyDescent="0.25">
      <c r="A34" s="157">
        <f>A32+1</f>
        <v>11</v>
      </c>
      <c r="B34" s="158" t="s">
        <v>121</v>
      </c>
      <c r="C34" s="168" t="s">
        <v>160</v>
      </c>
      <c r="D34" s="159" t="s">
        <v>98</v>
      </c>
      <c r="E34" s="160">
        <v>378</v>
      </c>
      <c r="F34" s="161"/>
      <c r="G34" s="162">
        <f>ROUND(E34*F34,2)</f>
        <v>0</v>
      </c>
      <c r="H34" s="161">
        <v>1.68</v>
      </c>
      <c r="I34" s="162">
        <f>ROUND(E34*H34,2)</f>
        <v>635.04</v>
      </c>
      <c r="J34" s="161">
        <v>22.42</v>
      </c>
      <c r="K34" s="162">
        <f>ROUND(E34*J34,2)</f>
        <v>8474.76</v>
      </c>
      <c r="L34" s="162">
        <v>21</v>
      </c>
      <c r="M34" s="162">
        <f>G34*(1+L34/100)</f>
        <v>0</v>
      </c>
      <c r="N34" s="162">
        <v>0</v>
      </c>
      <c r="O34" s="162">
        <f>ROUND(E34*N34,2)</f>
        <v>0</v>
      </c>
      <c r="P34" s="162">
        <v>0</v>
      </c>
      <c r="Q34" s="162">
        <f>ROUND(E34*P34,2)</f>
        <v>0</v>
      </c>
      <c r="R34" s="162" t="s">
        <v>122</v>
      </c>
      <c r="S34" s="162" t="s">
        <v>345</v>
      </c>
      <c r="T34" s="162" t="s">
        <v>345</v>
      </c>
      <c r="U34" s="149">
        <v>0.06</v>
      </c>
      <c r="V34" s="149">
        <f>ROUND(E34*U34,2)</f>
        <v>22.68</v>
      </c>
      <c r="W34" s="149"/>
      <c r="X34" s="149" t="s">
        <v>110</v>
      </c>
      <c r="Y34" s="140"/>
      <c r="Z34" s="140"/>
      <c r="AA34" s="140"/>
      <c r="AB34" s="140"/>
      <c r="AC34" s="140"/>
      <c r="AD34" s="140"/>
      <c r="AE34" s="140"/>
      <c r="AF34" s="140"/>
      <c r="AG34" s="140" t="s">
        <v>111</v>
      </c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</row>
    <row r="35" spans="1:60" outlineLevel="1" x14ac:dyDescent="0.25">
      <c r="A35" s="147"/>
      <c r="B35" s="148"/>
      <c r="C35" s="292" t="s">
        <v>123</v>
      </c>
      <c r="D35" s="293"/>
      <c r="E35" s="293"/>
      <c r="F35" s="293"/>
      <c r="G35" s="293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0"/>
      <c r="Z35" s="140"/>
      <c r="AA35" s="140"/>
      <c r="AB35" s="140"/>
      <c r="AC35" s="140"/>
      <c r="AD35" s="140"/>
      <c r="AE35" s="140"/>
      <c r="AF35" s="140"/>
      <c r="AG35" s="140" t="s">
        <v>112</v>
      </c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</row>
    <row r="36" spans="1:60" outlineLevel="1" x14ac:dyDescent="0.25">
      <c r="A36" s="147"/>
      <c r="B36" s="148"/>
      <c r="C36" s="301"/>
      <c r="D36" s="302"/>
      <c r="E36" s="302"/>
      <c r="F36" s="302"/>
      <c r="G36" s="302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0"/>
      <c r="Z36" s="140"/>
      <c r="AA36" s="140"/>
      <c r="AB36" s="140"/>
      <c r="AC36" s="140"/>
      <c r="AD36" s="140"/>
      <c r="AE36" s="140"/>
      <c r="AF36" s="140"/>
      <c r="AG36" s="140" t="s">
        <v>93</v>
      </c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</row>
    <row r="37" spans="1:60" outlineLevel="1" x14ac:dyDescent="0.25">
      <c r="A37" s="157">
        <f>A34+1</f>
        <v>12</v>
      </c>
      <c r="B37" s="158" t="s">
        <v>192</v>
      </c>
      <c r="C37" s="168" t="s">
        <v>182</v>
      </c>
      <c r="D37" s="159" t="s">
        <v>98</v>
      </c>
      <c r="E37" s="160">
        <f>E34</f>
        <v>378</v>
      </c>
      <c r="F37" s="161"/>
      <c r="G37" s="162">
        <f>ROUND(E37*F37,2)</f>
        <v>0</v>
      </c>
      <c r="H37" s="161">
        <v>0</v>
      </c>
      <c r="I37" s="162">
        <f>ROUND(E37*H37,2)</f>
        <v>0</v>
      </c>
      <c r="J37" s="161">
        <v>17.399999999999999</v>
      </c>
      <c r="K37" s="162">
        <f>ROUND(E37*J37,2)</f>
        <v>6577.2</v>
      </c>
      <c r="L37" s="162">
        <v>21</v>
      </c>
      <c r="M37" s="162">
        <f>G37*(1+L37/100)</f>
        <v>0</v>
      </c>
      <c r="N37" s="162">
        <v>0</v>
      </c>
      <c r="O37" s="162">
        <f>ROUND(E37*N37,2)</f>
        <v>0</v>
      </c>
      <c r="P37" s="162">
        <v>0</v>
      </c>
      <c r="Q37" s="162">
        <f>ROUND(E37*P37,2)</f>
        <v>0</v>
      </c>
      <c r="R37" s="162" t="s">
        <v>181</v>
      </c>
      <c r="S37" s="162" t="s">
        <v>345</v>
      </c>
      <c r="T37" s="162" t="s">
        <v>345</v>
      </c>
      <c r="U37" s="149"/>
      <c r="V37" s="149"/>
      <c r="W37" s="149"/>
      <c r="X37" s="149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</row>
    <row r="38" spans="1:60" ht="13.2" customHeight="1" outlineLevel="1" x14ac:dyDescent="0.25">
      <c r="A38" s="147"/>
      <c r="B38" s="148"/>
      <c r="C38" s="292" t="s">
        <v>183</v>
      </c>
      <c r="D38" s="293"/>
      <c r="E38" s="293"/>
      <c r="F38" s="293"/>
      <c r="G38" s="293"/>
      <c r="H38" s="181"/>
      <c r="I38" s="149"/>
      <c r="J38" s="181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</row>
    <row r="39" spans="1:60" outlineLevel="1" x14ac:dyDescent="0.25">
      <c r="A39" s="147"/>
      <c r="B39" s="148"/>
      <c r="C39" s="169"/>
      <c r="D39" s="164"/>
      <c r="E39" s="164"/>
      <c r="F39" s="164"/>
      <c r="G39" s="164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</row>
    <row r="40" spans="1:60" outlineLevel="1" x14ac:dyDescent="0.25">
      <c r="A40" s="157">
        <f>A37+1</f>
        <v>13</v>
      </c>
      <c r="B40" s="158" t="s">
        <v>189</v>
      </c>
      <c r="C40" s="168" t="s">
        <v>190</v>
      </c>
      <c r="D40" s="159" t="s">
        <v>98</v>
      </c>
      <c r="E40" s="160">
        <v>1660</v>
      </c>
      <c r="F40" s="161"/>
      <c r="G40" s="162">
        <f>ROUND(E40*F40,2)</f>
        <v>0</v>
      </c>
      <c r="H40" s="161">
        <v>0</v>
      </c>
      <c r="I40" s="162">
        <f>ROUND(E40*H40,2)</f>
        <v>0</v>
      </c>
      <c r="J40" s="161">
        <v>13.3</v>
      </c>
      <c r="K40" s="162">
        <f>ROUND(E40*J40,2)</f>
        <v>22078</v>
      </c>
      <c r="L40" s="162">
        <v>21</v>
      </c>
      <c r="M40" s="162">
        <f>G40*(1+L40/100)</f>
        <v>0</v>
      </c>
      <c r="N40" s="162">
        <v>0</v>
      </c>
      <c r="O40" s="162">
        <f>ROUND(E40*N40,2)</f>
        <v>0</v>
      </c>
      <c r="P40" s="162">
        <v>0</v>
      </c>
      <c r="Q40" s="162">
        <f>ROUND(E40*P40,2)</f>
        <v>0</v>
      </c>
      <c r="R40" s="162" t="s">
        <v>115</v>
      </c>
      <c r="S40" s="162" t="s">
        <v>345</v>
      </c>
      <c r="T40" s="162" t="s">
        <v>345</v>
      </c>
      <c r="U40" s="149"/>
      <c r="V40" s="149"/>
      <c r="W40" s="149"/>
      <c r="X40" s="149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</row>
    <row r="41" spans="1:60" outlineLevel="1" x14ac:dyDescent="0.25">
      <c r="A41" s="147"/>
      <c r="B41" s="148"/>
      <c r="C41" s="169"/>
      <c r="D41" s="164"/>
      <c r="E41" s="164"/>
      <c r="F41" s="164"/>
      <c r="G41" s="164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</row>
    <row r="42" spans="1:60" outlineLevel="1" x14ac:dyDescent="0.25">
      <c r="A42" s="157">
        <f>A40+1</f>
        <v>14</v>
      </c>
      <c r="B42" s="158" t="s">
        <v>124</v>
      </c>
      <c r="C42" s="168" t="s">
        <v>125</v>
      </c>
      <c r="D42" s="159" t="s">
        <v>116</v>
      </c>
      <c r="E42" s="160">
        <f>E32</f>
        <v>355.80000000000007</v>
      </c>
      <c r="F42" s="161"/>
      <c r="G42" s="162">
        <f>ROUND(E42*F42,2)</f>
        <v>0</v>
      </c>
      <c r="H42" s="161">
        <v>0</v>
      </c>
      <c r="I42" s="162">
        <f>ROUND(E42*H42,2)</f>
        <v>0</v>
      </c>
      <c r="J42" s="161">
        <v>282.5</v>
      </c>
      <c r="K42" s="162">
        <f>ROUND(E42*J42,2)</f>
        <v>100513.5</v>
      </c>
      <c r="L42" s="162">
        <v>21</v>
      </c>
      <c r="M42" s="162">
        <f>G42*(1+L42/100)</f>
        <v>0</v>
      </c>
      <c r="N42" s="162">
        <v>0</v>
      </c>
      <c r="O42" s="162">
        <f>ROUND(E42*N42,2)</f>
        <v>0</v>
      </c>
      <c r="P42" s="162">
        <v>0</v>
      </c>
      <c r="Q42" s="162">
        <f>ROUND(E42*P42,2)</f>
        <v>0</v>
      </c>
      <c r="R42" s="162" t="s">
        <v>115</v>
      </c>
      <c r="S42" s="162" t="s">
        <v>345</v>
      </c>
      <c r="T42" s="162" t="s">
        <v>345</v>
      </c>
      <c r="U42" s="149">
        <v>0</v>
      </c>
      <c r="V42" s="149">
        <f>ROUND(E42*U42,2)</f>
        <v>0</v>
      </c>
      <c r="W42" s="149"/>
      <c r="X42" s="149" t="s">
        <v>110</v>
      </c>
      <c r="Y42" s="140"/>
      <c r="Z42" s="140"/>
      <c r="AA42" s="140"/>
      <c r="AB42" s="140"/>
      <c r="AC42" s="140"/>
      <c r="AD42" s="140"/>
      <c r="AE42" s="140"/>
      <c r="AF42" s="140"/>
      <c r="AG42" s="140" t="s">
        <v>111</v>
      </c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</row>
    <row r="43" spans="1:60" outlineLevel="1" x14ac:dyDescent="0.25">
      <c r="A43" s="147"/>
      <c r="B43" s="148"/>
      <c r="C43" s="294"/>
      <c r="D43" s="295"/>
      <c r="E43" s="295"/>
      <c r="F43" s="295"/>
      <c r="G43" s="295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0"/>
      <c r="Z43" s="140"/>
      <c r="AA43" s="140"/>
      <c r="AB43" s="140"/>
      <c r="AC43" s="140"/>
      <c r="AD43" s="140"/>
      <c r="AE43" s="140"/>
      <c r="AF43" s="140"/>
      <c r="AG43" s="140" t="s">
        <v>93</v>
      </c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</row>
    <row r="44" spans="1:60" x14ac:dyDescent="0.25">
      <c r="A44" s="151" t="s">
        <v>91</v>
      </c>
      <c r="B44" s="152" t="s">
        <v>54</v>
      </c>
      <c r="C44" s="167" t="s">
        <v>55</v>
      </c>
      <c r="D44" s="153"/>
      <c r="E44" s="154"/>
      <c r="F44" s="155"/>
      <c r="G44" s="155">
        <f>SUMIF(AG45:AG78,"&lt;&gt;NOR",G45:G78)</f>
        <v>0</v>
      </c>
      <c r="H44" s="155"/>
      <c r="I44" s="155">
        <f>SUM(I47:I63)</f>
        <v>703840.79999999993</v>
      </c>
      <c r="J44" s="155"/>
      <c r="K44" s="155">
        <f>SUM(K47:K63)</f>
        <v>374900.4</v>
      </c>
      <c r="L44" s="155"/>
      <c r="M44" s="155">
        <f>SUM(M45:M78)</f>
        <v>0</v>
      </c>
      <c r="N44" s="155"/>
      <c r="O44" s="155">
        <f>SUM(O47:O63)</f>
        <v>793.96</v>
      </c>
      <c r="P44" s="155"/>
      <c r="Q44" s="155">
        <f>SUM(Q47:Q63)</f>
        <v>0</v>
      </c>
      <c r="R44" s="155"/>
      <c r="S44" s="155"/>
      <c r="T44" s="156"/>
      <c r="U44" s="150"/>
      <c r="V44" s="150">
        <f>SUM(V47:V63)</f>
        <v>71.22</v>
      </c>
      <c r="W44" s="150"/>
      <c r="X44" s="150"/>
      <c r="Y44" s="84"/>
      <c r="AG44" t="s">
        <v>92</v>
      </c>
    </row>
    <row r="45" spans="1:60" ht="20.399999999999999" x14ac:dyDescent="0.25">
      <c r="A45" s="157">
        <f>A42+1</f>
        <v>15</v>
      </c>
      <c r="B45" s="158" t="s">
        <v>193</v>
      </c>
      <c r="C45" s="168" t="s">
        <v>239</v>
      </c>
      <c r="D45" s="159" t="s">
        <v>98</v>
      </c>
      <c r="E45" s="160">
        <f>1250+E57+E60+E74</f>
        <v>1628</v>
      </c>
      <c r="F45" s="161"/>
      <c r="G45" s="162">
        <f>ROUND(E45*F45,2)</f>
        <v>0</v>
      </c>
      <c r="H45" s="161">
        <v>164.95</v>
      </c>
      <c r="I45" s="162">
        <f>ROUND(E45*H45,2)</f>
        <v>268538.59999999998</v>
      </c>
      <c r="J45" s="161">
        <v>26.05</v>
      </c>
      <c r="K45" s="162">
        <f>ROUND(E45*J45,2)</f>
        <v>42409.4</v>
      </c>
      <c r="L45" s="162">
        <v>21</v>
      </c>
      <c r="M45" s="162">
        <f>G45*(1+L45/100)</f>
        <v>0</v>
      </c>
      <c r="N45" s="162">
        <v>0.378</v>
      </c>
      <c r="O45" s="162">
        <f>ROUND(E45*N45,2)</f>
        <v>615.38</v>
      </c>
      <c r="P45" s="162">
        <v>0</v>
      </c>
      <c r="Q45" s="162">
        <f>ROUND(E45*P45,2)</f>
        <v>0</v>
      </c>
      <c r="R45" s="162" t="s">
        <v>109</v>
      </c>
      <c r="S45" s="162" t="s">
        <v>345</v>
      </c>
      <c r="T45" s="162" t="s">
        <v>345</v>
      </c>
      <c r="U45" s="150"/>
      <c r="V45" s="150"/>
      <c r="W45" s="150"/>
      <c r="X45" s="150"/>
      <c r="Y45" s="84"/>
    </row>
    <row r="46" spans="1:60" x14ac:dyDescent="0.25">
      <c r="A46" s="147"/>
      <c r="B46" s="148"/>
      <c r="C46" s="294"/>
      <c r="D46" s="295"/>
      <c r="E46" s="295"/>
      <c r="F46" s="295"/>
      <c r="G46" s="295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50"/>
      <c r="V46" s="150"/>
      <c r="W46" s="150"/>
      <c r="X46" s="150"/>
      <c r="Y46" s="84"/>
    </row>
    <row r="47" spans="1:60" outlineLevel="1" x14ac:dyDescent="0.25">
      <c r="A47" s="157">
        <f>A45+1</f>
        <v>16</v>
      </c>
      <c r="B47" s="158" t="s">
        <v>236</v>
      </c>
      <c r="C47" s="168" t="s">
        <v>235</v>
      </c>
      <c r="D47" s="159" t="s">
        <v>98</v>
      </c>
      <c r="E47" s="160">
        <f>1250</f>
        <v>1250</v>
      </c>
      <c r="F47" s="161"/>
      <c r="G47" s="162">
        <f>ROUND(E47*F47,2)</f>
        <v>0</v>
      </c>
      <c r="H47" s="161">
        <v>164.95</v>
      </c>
      <c r="I47" s="162">
        <f>ROUND(E47*H47,2)</f>
        <v>206187.5</v>
      </c>
      <c r="J47" s="161">
        <v>26.05</v>
      </c>
      <c r="K47" s="162">
        <f>ROUND(E47*J47,2)</f>
        <v>32562.5</v>
      </c>
      <c r="L47" s="162">
        <v>21</v>
      </c>
      <c r="M47" s="162">
        <f>G47*(1+L47/100)</f>
        <v>0</v>
      </c>
      <c r="N47" s="162">
        <v>0.378</v>
      </c>
      <c r="O47" s="162">
        <f>ROUND(E47*N47,2)</f>
        <v>472.5</v>
      </c>
      <c r="P47" s="162">
        <v>0</v>
      </c>
      <c r="Q47" s="162">
        <f>ROUND(E47*P47,2)</f>
        <v>0</v>
      </c>
      <c r="R47" s="162" t="s">
        <v>109</v>
      </c>
      <c r="S47" s="162" t="s">
        <v>345</v>
      </c>
      <c r="T47" s="162" t="s">
        <v>345</v>
      </c>
      <c r="U47" s="149">
        <v>2.5999999999999999E-2</v>
      </c>
      <c r="V47" s="149">
        <f>ROUND(E47*U47,2)</f>
        <v>32.5</v>
      </c>
      <c r="W47" s="149"/>
      <c r="X47" s="149" t="s">
        <v>110</v>
      </c>
      <c r="Y47" s="140"/>
      <c r="Z47" s="140"/>
      <c r="AA47" s="140"/>
      <c r="AB47" s="140"/>
      <c r="AC47" s="140"/>
      <c r="AD47" s="140"/>
      <c r="AE47" s="140"/>
      <c r="AF47" s="140"/>
      <c r="AG47" s="140" t="s">
        <v>111</v>
      </c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</row>
    <row r="48" spans="1:60" outlineLevel="1" x14ac:dyDescent="0.25">
      <c r="A48" s="147"/>
      <c r="B48" s="148"/>
      <c r="C48" s="294"/>
      <c r="D48" s="295"/>
      <c r="E48" s="295"/>
      <c r="F48" s="295"/>
      <c r="G48" s="295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0"/>
      <c r="Z48" s="140"/>
      <c r="AA48" s="140"/>
      <c r="AB48" s="140"/>
      <c r="AC48" s="140"/>
      <c r="AD48" s="140"/>
      <c r="AE48" s="140"/>
      <c r="AF48" s="140"/>
      <c r="AG48" s="140" t="s">
        <v>93</v>
      </c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</row>
    <row r="49" spans="1:60" outlineLevel="1" x14ac:dyDescent="0.25">
      <c r="A49" s="157">
        <f>A47+1</f>
        <v>17</v>
      </c>
      <c r="B49" s="158" t="s">
        <v>237</v>
      </c>
      <c r="C49" s="168" t="s">
        <v>238</v>
      </c>
      <c r="D49" s="159" t="s">
        <v>98</v>
      </c>
      <c r="E49" s="160">
        <f>E74</f>
        <v>110</v>
      </c>
      <c r="F49" s="161"/>
      <c r="G49" s="162">
        <f>ROUND(E49*F49,2)</f>
        <v>0</v>
      </c>
      <c r="H49" s="161">
        <v>164.95</v>
      </c>
      <c r="I49" s="162">
        <f>ROUND(E49*H49,2)</f>
        <v>18144.5</v>
      </c>
      <c r="J49" s="161">
        <v>26.05</v>
      </c>
      <c r="K49" s="162">
        <f>ROUND(E49*J49,2)</f>
        <v>2865.5</v>
      </c>
      <c r="L49" s="162">
        <v>21</v>
      </c>
      <c r="M49" s="162">
        <f>G49*(1+L49/100)</f>
        <v>0</v>
      </c>
      <c r="N49" s="162">
        <v>0.378</v>
      </c>
      <c r="O49" s="162">
        <f>ROUND(E49*N49,2)</f>
        <v>41.58</v>
      </c>
      <c r="P49" s="162">
        <v>0</v>
      </c>
      <c r="Q49" s="162">
        <f>ROUND(E49*P49,2)</f>
        <v>0</v>
      </c>
      <c r="R49" s="162" t="s">
        <v>109</v>
      </c>
      <c r="S49" s="162" t="s">
        <v>345</v>
      </c>
      <c r="T49" s="162" t="s">
        <v>345</v>
      </c>
      <c r="U49" s="149"/>
      <c r="V49" s="149"/>
      <c r="W49" s="149"/>
      <c r="X49" s="149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</row>
    <row r="50" spans="1:60" outlineLevel="1" x14ac:dyDescent="0.25">
      <c r="A50" s="147"/>
      <c r="B50" s="148"/>
      <c r="C50" s="178"/>
      <c r="D50" s="179"/>
      <c r="E50" s="179"/>
      <c r="F50" s="179"/>
      <c r="G50" s="17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</row>
    <row r="51" spans="1:60" ht="20.399999999999999" outlineLevel="1" x14ac:dyDescent="0.25">
      <c r="A51" s="157">
        <f>A49+1</f>
        <v>18</v>
      </c>
      <c r="B51" s="158" t="s">
        <v>217</v>
      </c>
      <c r="C51" s="168" t="s">
        <v>218</v>
      </c>
      <c r="D51" s="159" t="s">
        <v>98</v>
      </c>
      <c r="E51" s="160">
        <f>E47-E71</f>
        <v>1064</v>
      </c>
      <c r="F51" s="161"/>
      <c r="G51" s="162">
        <f>ROUND(E51*F51,2)</f>
        <v>0</v>
      </c>
      <c r="H51" s="161">
        <v>13.66</v>
      </c>
      <c r="I51" s="162">
        <f>ROUND(E51*H51,2)</f>
        <v>14534.24</v>
      </c>
      <c r="J51" s="161">
        <v>1.1399999999999999</v>
      </c>
      <c r="K51" s="162">
        <f>ROUND(E51*J51,2)</f>
        <v>1212.96</v>
      </c>
      <c r="L51" s="162">
        <v>21</v>
      </c>
      <c r="M51" s="162">
        <f>G51*(1+L51/100)</f>
        <v>0</v>
      </c>
      <c r="N51" s="162">
        <v>6.0999999999999997E-4</v>
      </c>
      <c r="O51" s="162">
        <f>ROUND(E51*N51,2)</f>
        <v>0.65</v>
      </c>
      <c r="P51" s="162">
        <v>0</v>
      </c>
      <c r="Q51" s="162">
        <f>ROUND(E51*P51,2)</f>
        <v>0</v>
      </c>
      <c r="R51" s="162" t="s">
        <v>109</v>
      </c>
      <c r="S51" s="162" t="s">
        <v>345</v>
      </c>
      <c r="T51" s="162" t="s">
        <v>345</v>
      </c>
      <c r="U51" s="149"/>
      <c r="V51" s="149"/>
      <c r="W51" s="149"/>
      <c r="X51" s="149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</row>
    <row r="52" spans="1:60" outlineLevel="1" x14ac:dyDescent="0.25">
      <c r="A52" s="147"/>
      <c r="B52" s="148"/>
      <c r="C52" s="308"/>
      <c r="D52" s="308"/>
      <c r="E52" s="308"/>
      <c r="F52" s="308"/>
      <c r="G52" s="308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</row>
    <row r="53" spans="1:60" outlineLevel="1" x14ac:dyDescent="0.25">
      <c r="A53" s="157">
        <f>A51+1</f>
        <v>19</v>
      </c>
      <c r="B53" s="158" t="s">
        <v>363</v>
      </c>
      <c r="C53" s="168" t="s">
        <v>362</v>
      </c>
      <c r="D53" s="159" t="s">
        <v>98</v>
      </c>
      <c r="E53" s="160">
        <f>E51</f>
        <v>1064</v>
      </c>
      <c r="F53" s="161"/>
      <c r="G53" s="162">
        <f>ROUND(E53*F53,2)</f>
        <v>0</v>
      </c>
      <c r="H53" s="161">
        <v>212.06</v>
      </c>
      <c r="I53" s="162">
        <f>ROUND(E53*H53,2)</f>
        <v>225631.84</v>
      </c>
      <c r="J53" s="161">
        <v>128.94</v>
      </c>
      <c r="K53" s="162">
        <f>ROUND(E53*J53,2)</f>
        <v>137192.16</v>
      </c>
      <c r="L53" s="162">
        <v>21</v>
      </c>
      <c r="M53" s="162">
        <f>G53*(1+L53/100)</f>
        <v>0</v>
      </c>
      <c r="N53" s="162">
        <v>0.10373</v>
      </c>
      <c r="O53" s="162">
        <f>ROUND(E53*N53,2)</f>
        <v>110.37</v>
      </c>
      <c r="P53" s="162">
        <v>0</v>
      </c>
      <c r="Q53" s="162">
        <f>ROUND(E53*P53,2)</f>
        <v>0</v>
      </c>
      <c r="R53" s="162" t="s">
        <v>109</v>
      </c>
      <c r="S53" s="162" t="s">
        <v>345</v>
      </c>
      <c r="T53" s="162" t="s">
        <v>345</v>
      </c>
      <c r="U53" s="149"/>
      <c r="V53" s="149"/>
      <c r="W53" s="149"/>
      <c r="X53" s="149"/>
      <c r="Y53" s="140"/>
      <c r="Z53" s="140"/>
      <c r="AA53" s="140"/>
      <c r="AB53" s="140"/>
      <c r="AC53" s="140"/>
      <c r="AD53" s="140"/>
      <c r="AE53" s="140"/>
      <c r="AF53" s="140"/>
      <c r="AG53" s="140" t="s">
        <v>93</v>
      </c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</row>
    <row r="54" spans="1:60" ht="12.75" customHeight="1" outlineLevel="1" x14ac:dyDescent="0.25">
      <c r="A54" s="147"/>
      <c r="B54" s="148"/>
      <c r="C54" s="308"/>
      <c r="D54" s="308"/>
      <c r="E54" s="308"/>
      <c r="F54" s="308"/>
      <c r="G54" s="308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</row>
    <row r="55" spans="1:60" ht="22.95" customHeight="1" outlineLevel="1" x14ac:dyDescent="0.25">
      <c r="A55" s="157">
        <f>A53+1</f>
        <v>20</v>
      </c>
      <c r="B55" s="158" t="s">
        <v>240</v>
      </c>
      <c r="C55" s="168" t="s">
        <v>342</v>
      </c>
      <c r="D55" s="159" t="s">
        <v>98</v>
      </c>
      <c r="E55" s="160">
        <f>E53</f>
        <v>1064</v>
      </c>
      <c r="F55" s="161"/>
      <c r="G55" s="162">
        <f>ROUND(E55*F55,2)</f>
        <v>0</v>
      </c>
      <c r="H55" s="161">
        <v>212.06</v>
      </c>
      <c r="I55" s="162">
        <f>ROUND(E55*H55,2)</f>
        <v>225631.84</v>
      </c>
      <c r="J55" s="161">
        <v>128.94</v>
      </c>
      <c r="K55" s="162">
        <f>ROUND(E55*J55,2)</f>
        <v>137192.16</v>
      </c>
      <c r="L55" s="162">
        <v>21</v>
      </c>
      <c r="M55" s="162">
        <f>G55*(1+L55/100)</f>
        <v>0</v>
      </c>
      <c r="N55" s="162">
        <v>0.10373</v>
      </c>
      <c r="O55" s="162">
        <f>ROUND(E55*N55,2)</f>
        <v>110.37</v>
      </c>
      <c r="P55" s="162">
        <v>0</v>
      </c>
      <c r="Q55" s="162">
        <f>ROUND(E55*P55,2)</f>
        <v>0</v>
      </c>
      <c r="R55" s="162" t="s">
        <v>109</v>
      </c>
      <c r="S55" s="162" t="s">
        <v>345</v>
      </c>
      <c r="T55" s="162" t="s">
        <v>345</v>
      </c>
      <c r="U55" s="149"/>
      <c r="V55" s="149"/>
      <c r="W55" s="149"/>
      <c r="X55" s="149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</row>
    <row r="56" spans="1:60" ht="12.75" customHeight="1" outlineLevel="1" x14ac:dyDescent="0.25">
      <c r="A56" s="147"/>
      <c r="B56" s="148"/>
      <c r="C56" s="178"/>
      <c r="D56" s="179"/>
      <c r="E56" s="179"/>
      <c r="F56" s="179"/>
      <c r="G56" s="17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</row>
    <row r="57" spans="1:60" ht="12.75" customHeight="1" outlineLevel="1" x14ac:dyDescent="0.25">
      <c r="A57" s="157">
        <f>A55+1</f>
        <v>21</v>
      </c>
      <c r="B57" s="158" t="s">
        <v>168</v>
      </c>
      <c r="C57" s="168" t="s">
        <v>162</v>
      </c>
      <c r="D57" s="159" t="s">
        <v>98</v>
      </c>
      <c r="E57" s="160">
        <v>187</v>
      </c>
      <c r="F57" s="161"/>
      <c r="G57" s="162">
        <f>ROUND(E57*F57,2)</f>
        <v>0</v>
      </c>
      <c r="H57" s="161">
        <v>51.16</v>
      </c>
      <c r="I57" s="162">
        <f>ROUND(E57*H57,2)</f>
        <v>9566.92</v>
      </c>
      <c r="J57" s="161">
        <v>238.34</v>
      </c>
      <c r="K57" s="162">
        <f>ROUND(E57*J57,2)</f>
        <v>44569.58</v>
      </c>
      <c r="L57" s="162">
        <v>21</v>
      </c>
      <c r="M57" s="162">
        <f>G57*(1+L57/100)</f>
        <v>0</v>
      </c>
      <c r="N57" s="162">
        <v>9.2799999999999994E-2</v>
      </c>
      <c r="O57" s="162">
        <f>ROUND(E57*N57,2)</f>
        <v>17.350000000000001</v>
      </c>
      <c r="P57" s="162">
        <v>0</v>
      </c>
      <c r="Q57" s="162">
        <f>ROUND(E57*P57,2)</f>
        <v>0</v>
      </c>
      <c r="R57" s="162" t="s">
        <v>109</v>
      </c>
      <c r="S57" s="162" t="s">
        <v>345</v>
      </c>
      <c r="T57" s="162" t="s">
        <v>345</v>
      </c>
      <c r="U57" s="149"/>
      <c r="V57" s="149"/>
      <c r="W57" s="149"/>
      <c r="X57" s="149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</row>
    <row r="58" spans="1:60" ht="12.75" customHeight="1" outlineLevel="1" x14ac:dyDescent="0.25">
      <c r="A58" s="147"/>
      <c r="B58" s="148"/>
      <c r="C58" s="292" t="s">
        <v>128</v>
      </c>
      <c r="D58" s="293"/>
      <c r="E58" s="293"/>
      <c r="F58" s="293"/>
      <c r="G58" s="293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</row>
    <row r="59" spans="1:60" ht="12.75" customHeight="1" outlineLevel="1" x14ac:dyDescent="0.25">
      <c r="A59" s="147"/>
      <c r="B59" s="148"/>
      <c r="C59" s="169"/>
      <c r="D59" s="164"/>
      <c r="E59" s="164"/>
      <c r="F59" s="164"/>
      <c r="G59" s="164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</row>
    <row r="60" spans="1:60" outlineLevel="1" x14ac:dyDescent="0.25">
      <c r="A60" s="157">
        <f>A57+1</f>
        <v>22</v>
      </c>
      <c r="B60" s="158" t="s">
        <v>246</v>
      </c>
      <c r="C60" s="168" t="s">
        <v>163</v>
      </c>
      <c r="D60" s="159" t="s">
        <v>98</v>
      </c>
      <c r="E60" s="160">
        <f>56+25</f>
        <v>81</v>
      </c>
      <c r="F60" s="161"/>
      <c r="G60" s="162">
        <f>ROUND(E60*F60,2)</f>
        <v>0</v>
      </c>
      <c r="H60" s="161">
        <v>51.16</v>
      </c>
      <c r="I60" s="162">
        <f>ROUND(E60*H60,2)</f>
        <v>4143.96</v>
      </c>
      <c r="J60" s="161">
        <v>238.34</v>
      </c>
      <c r="K60" s="162">
        <f>ROUND(E60*J60,2)</f>
        <v>19305.54</v>
      </c>
      <c r="L60" s="162">
        <v>21</v>
      </c>
      <c r="M60" s="162">
        <f>G60*(1+L60/100)</f>
        <v>0</v>
      </c>
      <c r="N60" s="162">
        <v>9.2799999999999994E-2</v>
      </c>
      <c r="O60" s="162">
        <f>ROUND(E60*N60,2)</f>
        <v>7.52</v>
      </c>
      <c r="P60" s="162">
        <v>0</v>
      </c>
      <c r="Q60" s="162">
        <f>ROUND(E60*P60,2)</f>
        <v>0</v>
      </c>
      <c r="R60" s="162" t="s">
        <v>109</v>
      </c>
      <c r="S60" s="162" t="s">
        <v>345</v>
      </c>
      <c r="T60" s="162" t="s">
        <v>345</v>
      </c>
      <c r="U60" s="149">
        <v>0.47799999999999998</v>
      </c>
      <c r="V60" s="149">
        <f>ROUND(E60*U60,2)</f>
        <v>38.72</v>
      </c>
      <c r="W60" s="149"/>
      <c r="X60" s="149" t="s">
        <v>110</v>
      </c>
      <c r="Y60" s="140"/>
      <c r="Z60" s="140"/>
      <c r="AA60" s="140"/>
      <c r="AB60" s="140"/>
      <c r="AC60" s="140"/>
      <c r="AD60" s="140"/>
      <c r="AE60" s="140"/>
      <c r="AF60" s="140"/>
      <c r="AG60" s="140" t="s">
        <v>111</v>
      </c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</row>
    <row r="61" spans="1:60" ht="21" outlineLevel="1" x14ac:dyDescent="0.25">
      <c r="A61" s="147"/>
      <c r="B61" s="148"/>
      <c r="C61" s="292" t="s">
        <v>128</v>
      </c>
      <c r="D61" s="293"/>
      <c r="E61" s="293"/>
      <c r="F61" s="293"/>
      <c r="G61" s="293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0"/>
      <c r="Z61" s="140"/>
      <c r="AA61" s="140"/>
      <c r="AB61" s="140"/>
      <c r="AC61" s="140"/>
      <c r="AD61" s="140"/>
      <c r="AE61" s="140"/>
      <c r="AF61" s="140"/>
      <c r="AG61" s="140" t="s">
        <v>112</v>
      </c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65" t="str">
        <f>C61</f>
        <v>s provedením lože z kameniva drceného, s vyplněním spár, s dvojitým hutněním a se smetením přebytečného materiálu na krajnici. S dodáním hmot pro lože a výplň spár.</v>
      </c>
      <c r="BB61" s="140"/>
      <c r="BC61" s="140"/>
      <c r="BD61" s="140"/>
      <c r="BE61" s="140"/>
      <c r="BF61" s="140"/>
      <c r="BG61" s="140"/>
      <c r="BH61" s="140"/>
    </row>
    <row r="62" spans="1:60" outlineLevel="1" x14ac:dyDescent="0.25">
      <c r="A62" s="147"/>
      <c r="B62" s="148"/>
      <c r="C62" s="301"/>
      <c r="D62" s="302"/>
      <c r="E62" s="302"/>
      <c r="F62" s="302"/>
      <c r="G62" s="302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0"/>
      <c r="Z62" s="140"/>
      <c r="AA62" s="140"/>
      <c r="AB62" s="140"/>
      <c r="AC62" s="140"/>
      <c r="AD62" s="140"/>
      <c r="AE62" s="140"/>
      <c r="AF62" s="140"/>
      <c r="AG62" s="140" t="s">
        <v>93</v>
      </c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</row>
    <row r="63" spans="1:60" outlineLevel="1" x14ac:dyDescent="0.25">
      <c r="A63" s="157">
        <f>A60+1</f>
        <v>23</v>
      </c>
      <c r="B63" s="158" t="s">
        <v>195</v>
      </c>
      <c r="C63" s="168" t="s">
        <v>194</v>
      </c>
      <c r="D63" s="159" t="s">
        <v>98</v>
      </c>
      <c r="E63" s="160">
        <f>199*0.96</f>
        <v>191.04</v>
      </c>
      <c r="F63" s="161"/>
      <c r="G63" s="162">
        <f>ROUND(E63*F63,2)</f>
        <v>0</v>
      </c>
      <c r="H63" s="149"/>
      <c r="I63" s="149"/>
      <c r="J63" s="149"/>
      <c r="K63" s="149"/>
      <c r="L63" s="162">
        <v>21</v>
      </c>
      <c r="M63" s="162">
        <f>G63*(1+L63/100)</f>
        <v>0</v>
      </c>
      <c r="N63" s="162">
        <v>0.17599999999999999</v>
      </c>
      <c r="O63" s="162">
        <f>ROUND(E63*N63,2)</f>
        <v>33.619999999999997</v>
      </c>
      <c r="P63" s="162">
        <v>0</v>
      </c>
      <c r="Q63" s="162">
        <f>ROUND(E63*P63,2)</f>
        <v>0</v>
      </c>
      <c r="R63" s="162" t="s">
        <v>94</v>
      </c>
      <c r="S63" s="162" t="s">
        <v>345</v>
      </c>
      <c r="T63" s="162" t="s">
        <v>101</v>
      </c>
      <c r="U63" s="149"/>
      <c r="V63" s="149"/>
      <c r="W63" s="149"/>
      <c r="X63" s="149"/>
      <c r="Y63" s="140"/>
      <c r="Z63" s="140"/>
      <c r="AA63" s="140"/>
      <c r="AB63" s="140"/>
      <c r="AC63" s="140"/>
      <c r="AD63" s="140"/>
      <c r="AE63" s="140"/>
      <c r="AF63" s="140"/>
      <c r="AG63" s="140" t="s">
        <v>93</v>
      </c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</row>
    <row r="64" spans="1:60" outlineLevel="1" x14ac:dyDescent="0.25">
      <c r="A64" s="147"/>
      <c r="B64" s="148"/>
      <c r="C64" s="294"/>
      <c r="D64" s="295"/>
      <c r="E64" s="295"/>
      <c r="F64" s="295"/>
      <c r="G64" s="295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</row>
    <row r="65" spans="1:60" outlineLevel="1" x14ac:dyDescent="0.25">
      <c r="A65" s="157">
        <f>A63+1</f>
        <v>24</v>
      </c>
      <c r="B65" s="158" t="s">
        <v>343</v>
      </c>
      <c r="C65" s="168" t="s">
        <v>353</v>
      </c>
      <c r="D65" s="159" t="s">
        <v>98</v>
      </c>
      <c r="E65" s="160">
        <f>15*0.96</f>
        <v>14.399999999999999</v>
      </c>
      <c r="F65" s="161"/>
      <c r="G65" s="162">
        <f>ROUND(E65*F65,2)</f>
        <v>0</v>
      </c>
      <c r="H65" s="149"/>
      <c r="I65" s="149"/>
      <c r="J65" s="149"/>
      <c r="K65" s="149"/>
      <c r="L65" s="162">
        <v>21</v>
      </c>
      <c r="M65" s="162">
        <f>G65*(1+L65/100)</f>
        <v>0</v>
      </c>
      <c r="N65" s="162">
        <v>0.17599999999999999</v>
      </c>
      <c r="O65" s="162">
        <f>ROUND(E65*N65,2)</f>
        <v>2.5299999999999998</v>
      </c>
      <c r="P65" s="162">
        <v>0</v>
      </c>
      <c r="Q65" s="162">
        <f>ROUND(E65*P65,2)</f>
        <v>0</v>
      </c>
      <c r="R65" s="162" t="s">
        <v>94</v>
      </c>
      <c r="S65" s="162" t="s">
        <v>345</v>
      </c>
      <c r="T65" s="162" t="s">
        <v>101</v>
      </c>
      <c r="U65" s="149"/>
      <c r="V65" s="149"/>
      <c r="W65" s="149"/>
      <c r="X65" s="149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</row>
    <row r="66" spans="1:60" outlineLevel="1" x14ac:dyDescent="0.25">
      <c r="A66" s="147"/>
      <c r="B66" s="148"/>
      <c r="C66" s="178"/>
      <c r="D66" s="179"/>
      <c r="E66" s="179"/>
      <c r="F66" s="179"/>
      <c r="G66" s="17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</row>
    <row r="67" spans="1:60" outlineLevel="1" x14ac:dyDescent="0.25">
      <c r="A67" s="157">
        <f>A65+1</f>
        <v>25</v>
      </c>
      <c r="B67" s="158" t="s">
        <v>344</v>
      </c>
      <c r="C67" s="168" t="s">
        <v>354</v>
      </c>
      <c r="D67" s="159" t="s">
        <v>98</v>
      </c>
      <c r="E67" s="160">
        <v>82.62</v>
      </c>
      <c r="F67" s="161"/>
      <c r="G67" s="162">
        <f>ROUND(E67*F67,2)</f>
        <v>0</v>
      </c>
      <c r="H67" s="149"/>
      <c r="I67" s="149"/>
      <c r="J67" s="149"/>
      <c r="K67" s="149"/>
      <c r="L67" s="162">
        <v>21</v>
      </c>
      <c r="M67" s="162">
        <f>G67*(1+L67/100)</f>
        <v>0</v>
      </c>
      <c r="N67" s="162">
        <v>0.17599999999999999</v>
      </c>
      <c r="O67" s="162">
        <f>ROUND(E67*N67,2)</f>
        <v>14.54</v>
      </c>
      <c r="P67" s="162">
        <v>0</v>
      </c>
      <c r="Q67" s="162">
        <f>ROUND(E67*P67,2)</f>
        <v>0</v>
      </c>
      <c r="R67" s="162" t="s">
        <v>94</v>
      </c>
      <c r="S67" s="162" t="s">
        <v>345</v>
      </c>
      <c r="T67" s="162" t="s">
        <v>101</v>
      </c>
      <c r="U67" s="149"/>
      <c r="V67" s="149"/>
      <c r="W67" s="149"/>
      <c r="X67" s="149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</row>
    <row r="68" spans="1:60" outlineLevel="1" x14ac:dyDescent="0.25">
      <c r="A68" s="147"/>
      <c r="B68" s="148"/>
      <c r="C68" s="178"/>
      <c r="D68" s="179"/>
      <c r="E68" s="179"/>
      <c r="F68" s="179"/>
      <c r="G68" s="17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62"/>
      <c r="T68" s="162"/>
      <c r="U68" s="149"/>
      <c r="V68" s="149"/>
      <c r="W68" s="149"/>
      <c r="X68" s="149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</row>
    <row r="69" spans="1:60" outlineLevel="1" x14ac:dyDescent="0.25">
      <c r="A69" s="157">
        <f>A67+1</f>
        <v>26</v>
      </c>
      <c r="B69" s="158" t="s">
        <v>355</v>
      </c>
      <c r="C69" s="168" t="s">
        <v>356</v>
      </c>
      <c r="D69" s="159" t="s">
        <v>98</v>
      </c>
      <c r="E69" s="160">
        <v>16.32</v>
      </c>
      <c r="F69" s="161"/>
      <c r="G69" s="162">
        <f>ROUND(E69*F69,2)</f>
        <v>0</v>
      </c>
      <c r="H69" s="149"/>
      <c r="I69" s="149"/>
      <c r="J69" s="149"/>
      <c r="K69" s="149"/>
      <c r="L69" s="162">
        <v>21</v>
      </c>
      <c r="M69" s="162">
        <f>G69*(1+L69/100)</f>
        <v>0</v>
      </c>
      <c r="N69" s="162">
        <v>0.188</v>
      </c>
      <c r="O69" s="162">
        <f>ROUND(E69*N69,2)</f>
        <v>3.07</v>
      </c>
      <c r="P69" s="162">
        <v>0</v>
      </c>
      <c r="Q69" s="162">
        <f>ROUND(E69*P69,2)</f>
        <v>0</v>
      </c>
      <c r="R69" s="162" t="s">
        <v>94</v>
      </c>
      <c r="S69" s="162" t="s">
        <v>345</v>
      </c>
      <c r="T69" s="162" t="s">
        <v>101</v>
      </c>
      <c r="U69" s="149"/>
      <c r="V69" s="149"/>
      <c r="W69" s="149"/>
      <c r="X69" s="149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</row>
    <row r="70" spans="1:60" outlineLevel="1" x14ac:dyDescent="0.25">
      <c r="A70" s="147"/>
      <c r="B70" s="148"/>
      <c r="C70" s="169"/>
      <c r="D70" s="164"/>
      <c r="E70" s="164"/>
      <c r="F70" s="164"/>
      <c r="G70" s="164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</row>
    <row r="71" spans="1:60" outlineLevel="1" x14ac:dyDescent="0.25">
      <c r="A71" s="157">
        <f>A69+1</f>
        <v>27</v>
      </c>
      <c r="B71" s="158" t="s">
        <v>244</v>
      </c>
      <c r="C71" s="168" t="s">
        <v>243</v>
      </c>
      <c r="D71" s="159" t="s">
        <v>98</v>
      </c>
      <c r="E71" s="160">
        <v>186</v>
      </c>
      <c r="F71" s="161"/>
      <c r="G71" s="162">
        <f>ROUND(E71*F71,2)</f>
        <v>0</v>
      </c>
      <c r="H71" s="161">
        <v>51.16</v>
      </c>
      <c r="I71" s="162">
        <f>ROUND(E71*H71,2)</f>
        <v>9515.76</v>
      </c>
      <c r="J71" s="161">
        <v>238.34</v>
      </c>
      <c r="K71" s="162">
        <f>ROUND(E71*J71,2)</f>
        <v>44331.24</v>
      </c>
      <c r="L71" s="162">
        <v>21</v>
      </c>
      <c r="M71" s="162">
        <f>G71*(1+L71/100)</f>
        <v>0</v>
      </c>
      <c r="N71" s="162">
        <v>9.2799999999999994E-2</v>
      </c>
      <c r="O71" s="162">
        <f>ROUND(E71*N71,2)</f>
        <v>17.260000000000002</v>
      </c>
      <c r="P71" s="162">
        <v>0</v>
      </c>
      <c r="Q71" s="162">
        <f>ROUND(E71*P71,2)</f>
        <v>0</v>
      </c>
      <c r="R71" s="162" t="s">
        <v>109</v>
      </c>
      <c r="S71" s="162" t="s">
        <v>345</v>
      </c>
      <c r="T71" s="162" t="s">
        <v>101</v>
      </c>
      <c r="U71" s="149"/>
      <c r="V71" s="149"/>
      <c r="W71" s="149"/>
      <c r="X71" s="149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</row>
    <row r="72" spans="1:60" ht="25.5" customHeight="1" outlineLevel="1" x14ac:dyDescent="0.25">
      <c r="A72" s="147"/>
      <c r="B72" s="148"/>
      <c r="C72" s="292" t="s">
        <v>245</v>
      </c>
      <c r="D72" s="293"/>
      <c r="E72" s="293"/>
      <c r="F72" s="293"/>
      <c r="G72" s="293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</row>
    <row r="73" spans="1:60" outlineLevel="1" x14ac:dyDescent="0.25">
      <c r="A73" s="147"/>
      <c r="B73" s="148"/>
      <c r="C73" s="169"/>
      <c r="D73" s="164"/>
      <c r="E73" s="164"/>
      <c r="F73" s="164"/>
      <c r="G73" s="164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</row>
    <row r="74" spans="1:60" ht="12.75" customHeight="1" outlineLevel="1" x14ac:dyDescent="0.25">
      <c r="A74" s="157">
        <f>A71+1</f>
        <v>28</v>
      </c>
      <c r="B74" s="158" t="s">
        <v>127</v>
      </c>
      <c r="C74" s="168" t="s">
        <v>247</v>
      </c>
      <c r="D74" s="159" t="s">
        <v>98</v>
      </c>
      <c r="E74" s="160">
        <v>110</v>
      </c>
      <c r="F74" s="161"/>
      <c r="G74" s="162">
        <f>ROUND(E74*F74,2)</f>
        <v>0</v>
      </c>
      <c r="H74" s="161">
        <v>51.16</v>
      </c>
      <c r="I74" s="162">
        <f>ROUND(E74*H74,2)</f>
        <v>5627.6</v>
      </c>
      <c r="J74" s="161">
        <v>238.34</v>
      </c>
      <c r="K74" s="162">
        <f>ROUND(E74*J74,2)</f>
        <v>26217.4</v>
      </c>
      <c r="L74" s="162">
        <v>21</v>
      </c>
      <c r="M74" s="162">
        <f>G74*(1+L74/100)</f>
        <v>0</v>
      </c>
      <c r="N74" s="162">
        <v>9.2799999999999994E-2</v>
      </c>
      <c r="O74" s="162">
        <f>ROUND(E74*N74,2)</f>
        <v>10.210000000000001</v>
      </c>
      <c r="P74" s="162">
        <v>0</v>
      </c>
      <c r="Q74" s="162">
        <f>ROUND(E74*P74,2)</f>
        <v>0</v>
      </c>
      <c r="R74" s="162" t="s">
        <v>109</v>
      </c>
      <c r="S74" s="162" t="s">
        <v>345</v>
      </c>
      <c r="T74" s="162" t="s">
        <v>345</v>
      </c>
      <c r="U74" s="149"/>
      <c r="V74" s="149"/>
      <c r="W74" s="149"/>
      <c r="X74" s="149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</row>
    <row r="75" spans="1:60" outlineLevel="1" x14ac:dyDescent="0.25">
      <c r="A75" s="147"/>
      <c r="B75" s="148"/>
      <c r="C75" s="292" t="s">
        <v>128</v>
      </c>
      <c r="D75" s="293"/>
      <c r="E75" s="293"/>
      <c r="F75" s="293"/>
      <c r="G75" s="293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</row>
    <row r="76" spans="1:60" outlineLevel="1" x14ac:dyDescent="0.25">
      <c r="A76" s="147"/>
      <c r="B76" s="148"/>
      <c r="C76" s="301"/>
      <c r="D76" s="302"/>
      <c r="E76" s="302"/>
      <c r="F76" s="302"/>
      <c r="G76" s="302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</row>
    <row r="77" spans="1:60" outlineLevel="1" x14ac:dyDescent="0.25">
      <c r="A77" s="157">
        <f>A74+1</f>
        <v>29</v>
      </c>
      <c r="B77" s="158" t="s">
        <v>249</v>
      </c>
      <c r="C77" s="168" t="s">
        <v>248</v>
      </c>
      <c r="D77" s="159" t="s">
        <v>98</v>
      </c>
      <c r="E77" s="160">
        <f>122*0.96</f>
        <v>117.11999999999999</v>
      </c>
      <c r="F77" s="161"/>
      <c r="G77" s="162">
        <f>ROUND(E77*F77,2)</f>
        <v>0</v>
      </c>
      <c r="H77" s="149"/>
      <c r="I77" s="149"/>
      <c r="J77" s="149"/>
      <c r="K77" s="149"/>
      <c r="L77" s="162">
        <v>21</v>
      </c>
      <c r="M77" s="162">
        <f>G77*(1+L77/100)</f>
        <v>0</v>
      </c>
      <c r="N77" s="162">
        <v>0.17599999999999999</v>
      </c>
      <c r="O77" s="162">
        <f>ROUND(E77*N77,2)</f>
        <v>20.61</v>
      </c>
      <c r="P77" s="162">
        <v>0</v>
      </c>
      <c r="Q77" s="162">
        <f>ROUND(E77*P77,2)</f>
        <v>0</v>
      </c>
      <c r="R77" s="162" t="s">
        <v>94</v>
      </c>
      <c r="S77" s="162" t="s">
        <v>345</v>
      </c>
      <c r="T77" s="162" t="s">
        <v>101</v>
      </c>
      <c r="U77" s="149"/>
      <c r="V77" s="149"/>
      <c r="W77" s="149"/>
      <c r="X77" s="149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</row>
    <row r="78" spans="1:60" outlineLevel="1" x14ac:dyDescent="0.25">
      <c r="A78" s="147"/>
      <c r="B78" s="148"/>
      <c r="C78" s="169"/>
      <c r="D78" s="164"/>
      <c r="E78" s="164"/>
      <c r="F78" s="164"/>
      <c r="G78" s="164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</row>
    <row r="79" spans="1:60" outlineLevel="1" x14ac:dyDescent="0.25">
      <c r="A79" s="151" t="s">
        <v>91</v>
      </c>
      <c r="B79" s="152" t="s">
        <v>304</v>
      </c>
      <c r="C79" s="167" t="s">
        <v>305</v>
      </c>
      <c r="D79" s="153"/>
      <c r="E79" s="154"/>
      <c r="F79" s="155"/>
      <c r="G79" s="155">
        <f>G80+G83</f>
        <v>0</v>
      </c>
      <c r="H79" s="155"/>
      <c r="I79" s="155">
        <f>SUM(I91:I92)</f>
        <v>0</v>
      </c>
      <c r="J79" s="155"/>
      <c r="K79" s="155">
        <f>SUM(K91:K92)</f>
        <v>0</v>
      </c>
      <c r="L79" s="155"/>
      <c r="M79" s="155">
        <f>M80+M83</f>
        <v>0</v>
      </c>
      <c r="N79" s="155"/>
      <c r="O79" s="155">
        <f>SUM(O91:O92)</f>
        <v>0</v>
      </c>
      <c r="P79" s="155"/>
      <c r="Q79" s="155">
        <f>SUM(Q91:Q92)</f>
        <v>0</v>
      </c>
      <c r="R79" s="155"/>
      <c r="S79" s="155"/>
      <c r="T79" s="156"/>
      <c r="U79" s="149"/>
      <c r="V79" s="149"/>
      <c r="W79" s="149"/>
      <c r="X79" s="149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</row>
    <row r="80" spans="1:60" outlineLevel="1" x14ac:dyDescent="0.25">
      <c r="A80" s="157">
        <f>A77+1</f>
        <v>30</v>
      </c>
      <c r="B80" s="158" t="s">
        <v>306</v>
      </c>
      <c r="C80" s="210" t="s">
        <v>307</v>
      </c>
      <c r="D80" s="211" t="s">
        <v>95</v>
      </c>
      <c r="E80" s="212">
        <v>3</v>
      </c>
      <c r="F80" s="213"/>
      <c r="G80" s="214">
        <f>ROUND(E80*F80,2)</f>
        <v>0</v>
      </c>
      <c r="H80" s="161">
        <v>212.06</v>
      </c>
      <c r="I80" s="162">
        <f>ROUND(E80*H80,2)</f>
        <v>636.17999999999995</v>
      </c>
      <c r="J80" s="161">
        <v>128.94</v>
      </c>
      <c r="K80" s="162">
        <f>ROUND(E80*J80,2)</f>
        <v>386.82</v>
      </c>
      <c r="L80" s="162">
        <v>21</v>
      </c>
      <c r="M80" s="162">
        <f>G80*(1+L80/100)</f>
        <v>0</v>
      </c>
      <c r="N80" s="162">
        <v>0.10373</v>
      </c>
      <c r="O80" s="162">
        <f>ROUND(E80*N80,2)</f>
        <v>0.31</v>
      </c>
      <c r="P80" s="162">
        <v>0</v>
      </c>
      <c r="Q80" s="162">
        <f>ROUND(E80*P80,2)</f>
        <v>0</v>
      </c>
      <c r="R80" s="162" t="s">
        <v>109</v>
      </c>
      <c r="S80" s="162" t="s">
        <v>345</v>
      </c>
      <c r="T80" s="163" t="s">
        <v>101</v>
      </c>
      <c r="U80" s="149"/>
      <c r="V80" s="149"/>
      <c r="W80" s="149"/>
      <c r="X80" s="149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</row>
    <row r="81" spans="1:60" ht="20.399999999999999" outlineLevel="1" x14ac:dyDescent="0.25">
      <c r="A81" s="147"/>
      <c r="B81" s="148"/>
      <c r="C81" s="182" t="s">
        <v>308</v>
      </c>
      <c r="D81" s="183"/>
      <c r="E81" s="184"/>
      <c r="F81" s="192"/>
      <c r="G81" s="185"/>
      <c r="H81" s="181"/>
      <c r="I81" s="149"/>
      <c r="J81" s="181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</row>
    <row r="82" spans="1:60" outlineLevel="1" x14ac:dyDescent="0.25">
      <c r="A82" s="147"/>
      <c r="B82" s="148"/>
      <c r="C82" s="301"/>
      <c r="D82" s="302"/>
      <c r="E82" s="302"/>
      <c r="F82" s="302"/>
      <c r="G82" s="302"/>
      <c r="H82" s="181"/>
      <c r="I82" s="149"/>
      <c r="J82" s="181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</row>
    <row r="83" spans="1:60" outlineLevel="1" x14ac:dyDescent="0.25">
      <c r="A83" s="157">
        <f>A80+1</f>
        <v>31</v>
      </c>
      <c r="B83" s="158" t="s">
        <v>306</v>
      </c>
      <c r="C83" s="210" t="s">
        <v>309</v>
      </c>
      <c r="D83" s="211" t="s">
        <v>114</v>
      </c>
      <c r="E83" s="212">
        <v>5.5</v>
      </c>
      <c r="F83" s="213"/>
      <c r="G83" s="214">
        <f>ROUND(E83*F83,2)</f>
        <v>0</v>
      </c>
      <c r="H83" s="161">
        <v>212.06</v>
      </c>
      <c r="I83" s="162">
        <f>ROUND(E83*H83,2)</f>
        <v>1166.33</v>
      </c>
      <c r="J83" s="161">
        <v>128.94</v>
      </c>
      <c r="K83" s="162">
        <f>ROUND(E83*J83,2)</f>
        <v>709.17</v>
      </c>
      <c r="L83" s="162">
        <v>21</v>
      </c>
      <c r="M83" s="162">
        <f>G83*(1+L83/100)</f>
        <v>0</v>
      </c>
      <c r="N83" s="162">
        <v>0.10373</v>
      </c>
      <c r="O83" s="162">
        <f>ROUND(E83*N83,2)</f>
        <v>0.56999999999999995</v>
      </c>
      <c r="P83" s="162">
        <v>0</v>
      </c>
      <c r="Q83" s="162">
        <f>ROUND(E83*P83,2)</f>
        <v>0</v>
      </c>
      <c r="R83" s="162" t="s">
        <v>109</v>
      </c>
      <c r="S83" s="162" t="s">
        <v>345</v>
      </c>
      <c r="T83" s="163" t="s">
        <v>101</v>
      </c>
      <c r="U83" s="149"/>
      <c r="V83" s="149"/>
      <c r="W83" s="149"/>
      <c r="X83" s="149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</row>
    <row r="84" spans="1:60" ht="20.399999999999999" outlineLevel="1" x14ac:dyDescent="0.25">
      <c r="A84" s="147"/>
      <c r="B84" s="148"/>
      <c r="C84" s="182" t="s">
        <v>310</v>
      </c>
      <c r="D84" s="183"/>
      <c r="E84" s="184"/>
      <c r="F84" s="192"/>
      <c r="G84" s="185"/>
      <c r="H84" s="181"/>
      <c r="I84" s="149"/>
      <c r="J84" s="181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</row>
    <row r="85" spans="1:60" outlineLevel="1" x14ac:dyDescent="0.25">
      <c r="A85" s="147"/>
      <c r="B85" s="148"/>
      <c r="C85" s="169"/>
      <c r="D85" s="164"/>
      <c r="E85" s="164"/>
      <c r="F85" s="164"/>
      <c r="G85" s="164"/>
      <c r="H85" s="181"/>
      <c r="I85" s="149"/>
      <c r="J85" s="181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</row>
    <row r="86" spans="1:60" x14ac:dyDescent="0.25">
      <c r="A86" s="151" t="s">
        <v>91</v>
      </c>
      <c r="B86" s="152" t="s">
        <v>56</v>
      </c>
      <c r="C86" s="167" t="s">
        <v>57</v>
      </c>
      <c r="D86" s="153"/>
      <c r="E86" s="154"/>
      <c r="F86" s="155"/>
      <c r="G86" s="155">
        <f>SUMIF(AG87:AG118,"&lt;&gt;NOR",G87:G118)</f>
        <v>0</v>
      </c>
      <c r="H86" s="155"/>
      <c r="I86" s="155">
        <f>SUM(I102:I118)</f>
        <v>364989.53</v>
      </c>
      <c r="J86" s="155"/>
      <c r="K86" s="155">
        <f>SUM(K102:K118)</f>
        <v>98712.87</v>
      </c>
      <c r="L86" s="155"/>
      <c r="M86" s="155">
        <f>SUM(M87:M118)</f>
        <v>0</v>
      </c>
      <c r="N86" s="155"/>
      <c r="O86" s="155">
        <f>SUM(O102:O118)</f>
        <v>262.72000000000003</v>
      </c>
      <c r="P86" s="155"/>
      <c r="Q86" s="155">
        <f>SUM(Q102:Q118)</f>
        <v>0</v>
      </c>
      <c r="R86" s="155"/>
      <c r="S86" s="155"/>
      <c r="T86" s="156"/>
      <c r="U86" s="150"/>
      <c r="V86" s="150">
        <f>SUM(V102:V118)</f>
        <v>86.039999999999992</v>
      </c>
      <c r="W86" s="150"/>
      <c r="X86" s="150"/>
      <c r="AG86" t="s">
        <v>92</v>
      </c>
    </row>
    <row r="87" spans="1:60" x14ac:dyDescent="0.25">
      <c r="A87" s="157">
        <f>A80+1</f>
        <v>31</v>
      </c>
      <c r="B87" s="158" t="s">
        <v>210</v>
      </c>
      <c r="C87" s="168" t="s">
        <v>211</v>
      </c>
      <c r="D87" s="159" t="s">
        <v>95</v>
      </c>
      <c r="E87" s="160">
        <v>4</v>
      </c>
      <c r="F87" s="161"/>
      <c r="G87" s="162">
        <f>ROUND(E87*F87,2)</f>
        <v>0</v>
      </c>
      <c r="H87" s="161">
        <v>339.99</v>
      </c>
      <c r="I87" s="162">
        <f>ROUND(E87*H87,2)</f>
        <v>1359.96</v>
      </c>
      <c r="J87" s="161">
        <v>352.01</v>
      </c>
      <c r="K87" s="162">
        <f>ROUND(E87*J87,2)</f>
        <v>1408.04</v>
      </c>
      <c r="L87" s="162">
        <v>21</v>
      </c>
      <c r="M87" s="162">
        <f>G87*(1+L87/100)</f>
        <v>0</v>
      </c>
      <c r="N87" s="162">
        <v>0.25080000000000002</v>
      </c>
      <c r="O87" s="162">
        <f>ROUND(E87*N87,2)</f>
        <v>1</v>
      </c>
      <c r="P87" s="162">
        <v>0</v>
      </c>
      <c r="Q87" s="162">
        <f>ROUND(E87*P87,2)</f>
        <v>0</v>
      </c>
      <c r="R87" s="162" t="s">
        <v>109</v>
      </c>
      <c r="S87" s="162" t="s">
        <v>345</v>
      </c>
      <c r="T87" s="162" t="s">
        <v>345</v>
      </c>
      <c r="U87" s="150"/>
      <c r="V87" s="150"/>
      <c r="W87" s="150"/>
      <c r="X87" s="150"/>
    </row>
    <row r="88" spans="1:60" x14ac:dyDescent="0.25">
      <c r="A88" s="147"/>
      <c r="B88" s="148"/>
      <c r="C88" s="182" t="s">
        <v>212</v>
      </c>
      <c r="D88" s="183"/>
      <c r="E88" s="184"/>
      <c r="F88" s="192"/>
      <c r="G88" s="185"/>
      <c r="H88" s="181"/>
      <c r="I88" s="149"/>
      <c r="J88" s="181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50"/>
      <c r="V88" s="150"/>
      <c r="W88" s="150"/>
      <c r="X88" s="150"/>
    </row>
    <row r="89" spans="1:60" x14ac:dyDescent="0.25">
      <c r="A89" s="147"/>
      <c r="B89" s="148"/>
      <c r="C89" s="301"/>
      <c r="D89" s="302"/>
      <c r="E89" s="302"/>
      <c r="F89" s="302"/>
      <c r="G89" s="302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50"/>
      <c r="V89" s="150"/>
      <c r="W89" s="150"/>
      <c r="X89" s="150"/>
    </row>
    <row r="90" spans="1:60" x14ac:dyDescent="0.25">
      <c r="A90" s="157">
        <f>A87+1</f>
        <v>32</v>
      </c>
      <c r="B90" s="158" t="s">
        <v>196</v>
      </c>
      <c r="C90" s="168" t="s">
        <v>203</v>
      </c>
      <c r="D90" s="159" t="s">
        <v>95</v>
      </c>
      <c r="E90" s="160">
        <v>6</v>
      </c>
      <c r="F90" s="161"/>
      <c r="G90" s="162">
        <f>ROUND(E90*F90,2)</f>
        <v>0</v>
      </c>
      <c r="H90" s="161">
        <v>339.99</v>
      </c>
      <c r="I90" s="162">
        <f>ROUND(E90*H90,2)</f>
        <v>2039.94</v>
      </c>
      <c r="J90" s="161">
        <v>352.01</v>
      </c>
      <c r="K90" s="162">
        <f>ROUND(E90*J90,2)</f>
        <v>2112.06</v>
      </c>
      <c r="L90" s="162">
        <v>21</v>
      </c>
      <c r="M90" s="162">
        <f>G90*(1+L90/100)</f>
        <v>0</v>
      </c>
      <c r="N90" s="162">
        <v>0.25080000000000002</v>
      </c>
      <c r="O90" s="162">
        <f>ROUND(E90*N90,2)</f>
        <v>1.5</v>
      </c>
      <c r="P90" s="162">
        <v>0</v>
      </c>
      <c r="Q90" s="162">
        <f>ROUND(E90*P90,2)</f>
        <v>0</v>
      </c>
      <c r="R90" s="162" t="s">
        <v>109</v>
      </c>
      <c r="S90" s="162" t="s">
        <v>345</v>
      </c>
      <c r="T90" s="162" t="s">
        <v>345</v>
      </c>
      <c r="U90" s="150"/>
      <c r="V90" s="150"/>
      <c r="W90" s="150"/>
      <c r="X90" s="150"/>
    </row>
    <row r="91" spans="1:60" x14ac:dyDescent="0.25">
      <c r="A91" s="147"/>
      <c r="B91" s="148"/>
      <c r="C91" s="182" t="s">
        <v>204</v>
      </c>
      <c r="D91" s="183"/>
      <c r="E91" s="184"/>
      <c r="F91" s="192"/>
      <c r="G91" s="185"/>
      <c r="H91" s="181"/>
      <c r="I91" s="149"/>
      <c r="J91" s="181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50"/>
      <c r="V91" s="150"/>
      <c r="W91" s="150"/>
      <c r="X91" s="150"/>
    </row>
    <row r="92" spans="1:60" x14ac:dyDescent="0.25">
      <c r="A92" s="147"/>
      <c r="B92" s="148"/>
      <c r="C92" s="301"/>
      <c r="D92" s="302"/>
      <c r="E92" s="302"/>
      <c r="F92" s="302"/>
      <c r="G92" s="302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50"/>
      <c r="V92" s="150"/>
      <c r="W92" s="150"/>
      <c r="X92" s="150"/>
    </row>
    <row r="93" spans="1:60" x14ac:dyDescent="0.25">
      <c r="A93" s="157">
        <f>A90+1</f>
        <v>33</v>
      </c>
      <c r="B93" s="158" t="s">
        <v>205</v>
      </c>
      <c r="C93" s="168" t="s">
        <v>208</v>
      </c>
      <c r="D93" s="159" t="s">
        <v>95</v>
      </c>
      <c r="E93" s="160">
        <v>6</v>
      </c>
      <c r="F93" s="161"/>
      <c r="G93" s="162">
        <f>ROUND(E93*F93,2)</f>
        <v>0</v>
      </c>
      <c r="H93" s="200">
        <v>339.99</v>
      </c>
      <c r="I93" s="162">
        <f>ROUND(E93*H93,2)</f>
        <v>2039.94</v>
      </c>
      <c r="J93" s="200">
        <v>352.01</v>
      </c>
      <c r="K93" s="162">
        <f>ROUND(E93*J93,2)</f>
        <v>2112.06</v>
      </c>
      <c r="L93" s="162">
        <v>21</v>
      </c>
      <c r="M93" s="162">
        <f>G93*(1+L93/100)</f>
        <v>0</v>
      </c>
      <c r="N93" s="162">
        <v>0.25080000000000002</v>
      </c>
      <c r="O93" s="162">
        <f>ROUND(E93*N93,2)</f>
        <v>1.5</v>
      </c>
      <c r="P93" s="162">
        <v>0</v>
      </c>
      <c r="Q93" s="162">
        <f>ROUND(E93*P93,2)</f>
        <v>0</v>
      </c>
      <c r="R93" s="162" t="s">
        <v>109</v>
      </c>
      <c r="S93" s="162" t="s">
        <v>345</v>
      </c>
      <c r="T93" s="162" t="s">
        <v>101</v>
      </c>
      <c r="U93" s="150"/>
      <c r="V93" s="150"/>
      <c r="W93" s="150"/>
      <c r="X93" s="150"/>
    </row>
    <row r="94" spans="1:60" x14ac:dyDescent="0.25">
      <c r="A94" s="147"/>
      <c r="B94" s="148"/>
      <c r="C94" s="169"/>
      <c r="D94" s="164"/>
      <c r="E94" s="164"/>
      <c r="F94" s="164"/>
      <c r="G94" s="164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50"/>
      <c r="V94" s="150"/>
      <c r="W94" s="150"/>
      <c r="X94" s="150"/>
    </row>
    <row r="95" spans="1:60" x14ac:dyDescent="0.25">
      <c r="A95" s="157">
        <f>A93+1</f>
        <v>34</v>
      </c>
      <c r="B95" s="158" t="s">
        <v>357</v>
      </c>
      <c r="C95" s="168" t="s">
        <v>358</v>
      </c>
      <c r="D95" s="159" t="s">
        <v>98</v>
      </c>
      <c r="E95" s="160">
        <f>E102*0.5</f>
        <v>157</v>
      </c>
      <c r="F95" s="161"/>
      <c r="G95" s="162">
        <f>ROUND(E95*F95,2)</f>
        <v>0</v>
      </c>
      <c r="H95" s="200">
        <v>339.99</v>
      </c>
      <c r="I95" s="162">
        <f>ROUND(E95*H95,2)</f>
        <v>53378.43</v>
      </c>
      <c r="J95" s="200">
        <v>352.01</v>
      </c>
      <c r="K95" s="162">
        <f>ROUND(E95*J95,2)</f>
        <v>55265.57</v>
      </c>
      <c r="L95" s="162">
        <v>21</v>
      </c>
      <c r="M95" s="162">
        <f>G95*(1+L95/100)</f>
        <v>0</v>
      </c>
      <c r="N95" s="162">
        <v>0.25080000000000002</v>
      </c>
      <c r="O95" s="162">
        <f>ROUND(E95*N95,2)</f>
        <v>39.380000000000003</v>
      </c>
      <c r="P95" s="162">
        <v>0</v>
      </c>
      <c r="Q95" s="162">
        <f>ROUND(E95*P95,2)</f>
        <v>0</v>
      </c>
      <c r="R95" s="162" t="s">
        <v>109</v>
      </c>
      <c r="S95" s="162" t="s">
        <v>345</v>
      </c>
      <c r="T95" s="162" t="s">
        <v>101</v>
      </c>
      <c r="U95" s="150"/>
      <c r="V95" s="150"/>
      <c r="W95" s="150"/>
      <c r="X95" s="150"/>
    </row>
    <row r="96" spans="1:60" x14ac:dyDescent="0.25">
      <c r="A96" s="147"/>
      <c r="B96" s="148"/>
      <c r="C96" s="169"/>
      <c r="D96" s="164"/>
      <c r="E96" s="164"/>
      <c r="F96" s="164"/>
      <c r="G96" s="164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50"/>
      <c r="V96" s="150"/>
      <c r="W96" s="150"/>
      <c r="X96" s="150"/>
    </row>
    <row r="97" spans="1:60" x14ac:dyDescent="0.25">
      <c r="A97" s="157">
        <f>A95+1</f>
        <v>35</v>
      </c>
      <c r="B97" s="158" t="s">
        <v>359</v>
      </c>
      <c r="C97" s="168" t="s">
        <v>360</v>
      </c>
      <c r="D97" s="159" t="s">
        <v>116</v>
      </c>
      <c r="E97" s="160">
        <f>E102*0.2*0.3</f>
        <v>18.84</v>
      </c>
      <c r="F97" s="161"/>
      <c r="G97" s="162">
        <f>ROUND(E97*F97,2)</f>
        <v>0</v>
      </c>
      <c r="H97" s="200">
        <v>339.99</v>
      </c>
      <c r="I97" s="162">
        <f>ROUND(E97*H97,2)</f>
        <v>6405.41</v>
      </c>
      <c r="J97" s="200">
        <v>352.01</v>
      </c>
      <c r="K97" s="162">
        <f>ROUND(E97*J97,2)</f>
        <v>6631.87</v>
      </c>
      <c r="L97" s="162">
        <v>21</v>
      </c>
      <c r="M97" s="162">
        <f>G97*(1+L97/100)</f>
        <v>0</v>
      </c>
      <c r="N97" s="162">
        <v>0.25080000000000002</v>
      </c>
      <c r="O97" s="162">
        <f>ROUND(E97*N97,2)</f>
        <v>4.7300000000000004</v>
      </c>
      <c r="P97" s="162">
        <v>0</v>
      </c>
      <c r="Q97" s="162">
        <f>ROUND(E97*P97,2)</f>
        <v>0</v>
      </c>
      <c r="R97" s="162" t="s">
        <v>109</v>
      </c>
      <c r="S97" s="162" t="s">
        <v>345</v>
      </c>
      <c r="T97" s="162" t="s">
        <v>101</v>
      </c>
      <c r="U97" s="150"/>
      <c r="V97" s="150"/>
      <c r="W97" s="150"/>
      <c r="X97" s="150"/>
    </row>
    <row r="98" spans="1:60" x14ac:dyDescent="0.25">
      <c r="A98" s="147"/>
      <c r="B98" s="148"/>
      <c r="C98" s="220" t="s">
        <v>361</v>
      </c>
      <c r="D98" s="221"/>
      <c r="E98" s="222"/>
      <c r="F98" s="181"/>
      <c r="G98" s="149"/>
      <c r="H98" s="223"/>
      <c r="I98" s="149"/>
      <c r="J98" s="223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50"/>
      <c r="V98" s="150"/>
      <c r="W98" s="150"/>
      <c r="X98" s="150"/>
    </row>
    <row r="99" spans="1:60" x14ac:dyDescent="0.25">
      <c r="A99" s="147"/>
      <c r="B99" s="148"/>
      <c r="C99" s="169"/>
      <c r="D99" s="164"/>
      <c r="E99" s="164"/>
      <c r="F99" s="164"/>
      <c r="G99" s="164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50"/>
      <c r="V99" s="150"/>
      <c r="W99" s="150"/>
      <c r="X99" s="150"/>
    </row>
    <row r="100" spans="1:60" x14ac:dyDescent="0.25">
      <c r="A100" s="157">
        <f>A97+1</f>
        <v>36</v>
      </c>
      <c r="B100" s="158" t="s">
        <v>241</v>
      </c>
      <c r="C100" s="168" t="s">
        <v>242</v>
      </c>
      <c r="D100" s="159" t="s">
        <v>95</v>
      </c>
      <c r="E100" s="160">
        <v>1</v>
      </c>
      <c r="F100" s="161"/>
      <c r="G100" s="162">
        <f>ROUND(E100*F100,2)</f>
        <v>0</v>
      </c>
      <c r="H100" s="161">
        <v>339.99</v>
      </c>
      <c r="I100" s="162">
        <f>ROUND(E100*H100,2)</f>
        <v>339.99</v>
      </c>
      <c r="J100" s="161">
        <v>352.01</v>
      </c>
      <c r="K100" s="162">
        <f>ROUND(E100*J100,2)</f>
        <v>352.01</v>
      </c>
      <c r="L100" s="162">
        <v>21</v>
      </c>
      <c r="M100" s="162">
        <f>G100*(1+L100/100)</f>
        <v>0</v>
      </c>
      <c r="N100" s="162">
        <v>0.25080000000000002</v>
      </c>
      <c r="O100" s="162">
        <f>ROUND(E100*N100,2)</f>
        <v>0.25</v>
      </c>
      <c r="P100" s="162">
        <v>0</v>
      </c>
      <c r="Q100" s="162">
        <f>ROUND(E100*P100,2)</f>
        <v>0</v>
      </c>
      <c r="R100" s="162" t="s">
        <v>109</v>
      </c>
      <c r="S100" s="162" t="s">
        <v>345</v>
      </c>
      <c r="T100" s="162" t="s">
        <v>101</v>
      </c>
      <c r="U100" s="150"/>
      <c r="V100" s="150"/>
      <c r="W100" s="150"/>
      <c r="X100" s="150"/>
    </row>
    <row r="101" spans="1:60" x14ac:dyDescent="0.25">
      <c r="A101" s="147"/>
      <c r="B101" s="148"/>
      <c r="C101" s="169"/>
      <c r="D101" s="164"/>
      <c r="E101" s="164"/>
      <c r="F101" s="164"/>
      <c r="G101" s="164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50"/>
      <c r="V101" s="150"/>
      <c r="W101" s="150"/>
      <c r="X101" s="150"/>
    </row>
    <row r="102" spans="1:60" ht="20.399999999999999" outlineLevel="1" x14ac:dyDescent="0.25">
      <c r="A102" s="157">
        <f>A100+1</f>
        <v>37</v>
      </c>
      <c r="B102" s="158" t="s">
        <v>167</v>
      </c>
      <c r="C102" s="168" t="s">
        <v>169</v>
      </c>
      <c r="D102" s="159" t="s">
        <v>114</v>
      </c>
      <c r="E102" s="160">
        <f>74+80+160</f>
        <v>314</v>
      </c>
      <c r="F102" s="161"/>
      <c r="G102" s="162">
        <f>ROUND(E102*F102,2)</f>
        <v>0</v>
      </c>
      <c r="H102" s="161">
        <v>320.33</v>
      </c>
      <c r="I102" s="162">
        <f>ROUND(E102*H102,2)</f>
        <v>100583.62</v>
      </c>
      <c r="J102" s="161">
        <v>128.16999999999999</v>
      </c>
      <c r="K102" s="162">
        <f>ROUND(E102*J102,2)</f>
        <v>40245.379999999997</v>
      </c>
      <c r="L102" s="162">
        <v>21</v>
      </c>
      <c r="M102" s="162">
        <f>G102*(1+L102/100)</f>
        <v>0</v>
      </c>
      <c r="N102" s="162">
        <v>0.26980999999999999</v>
      </c>
      <c r="O102" s="162">
        <f>ROUND(E102*N102,2)</f>
        <v>84.72</v>
      </c>
      <c r="P102" s="162">
        <v>0</v>
      </c>
      <c r="Q102" s="162">
        <f>ROUND(E102*P102,2)</f>
        <v>0</v>
      </c>
      <c r="R102" s="162" t="s">
        <v>109</v>
      </c>
      <c r="S102" s="162" t="s">
        <v>345</v>
      </c>
      <c r="T102" s="162" t="s">
        <v>345</v>
      </c>
      <c r="U102" s="149">
        <v>0.27200000000000002</v>
      </c>
      <c r="V102" s="149">
        <f>ROUND(E102*U102,2)</f>
        <v>85.41</v>
      </c>
      <c r="W102" s="149"/>
      <c r="X102" s="149" t="s">
        <v>110</v>
      </c>
      <c r="Y102" s="140"/>
      <c r="Z102" s="140"/>
      <c r="AA102" s="140"/>
      <c r="AB102" s="140"/>
      <c r="AC102" s="140"/>
      <c r="AD102" s="140"/>
      <c r="AE102" s="140"/>
      <c r="AF102" s="140"/>
      <c r="AG102" s="140" t="s">
        <v>111</v>
      </c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</row>
    <row r="103" spans="1:60" outlineLevel="1" x14ac:dyDescent="0.25">
      <c r="A103" s="147"/>
      <c r="B103" s="148"/>
      <c r="C103" s="292" t="s">
        <v>165</v>
      </c>
      <c r="D103" s="293"/>
      <c r="E103" s="293"/>
      <c r="F103" s="293"/>
      <c r="G103" s="293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0"/>
      <c r="Z103" s="140"/>
      <c r="AA103" s="140"/>
      <c r="AB103" s="140"/>
      <c r="AC103" s="140"/>
      <c r="AD103" s="140"/>
      <c r="AE103" s="140"/>
      <c r="AF103" s="140"/>
      <c r="AG103" s="140" t="s">
        <v>112</v>
      </c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140"/>
    </row>
    <row r="104" spans="1:60" outlineLevel="1" x14ac:dyDescent="0.25">
      <c r="A104" s="147"/>
      <c r="B104" s="148"/>
      <c r="C104" s="301"/>
      <c r="D104" s="302"/>
      <c r="E104" s="302"/>
      <c r="F104" s="302"/>
      <c r="G104" s="302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  <c r="BE104" s="140"/>
      <c r="BF104" s="140"/>
      <c r="BG104" s="140"/>
      <c r="BH104" s="140"/>
    </row>
    <row r="105" spans="1:60" ht="20.399999999999999" outlineLevel="1" x14ac:dyDescent="0.25">
      <c r="A105" s="157">
        <f>A102+1</f>
        <v>38</v>
      </c>
      <c r="B105" s="158" t="s">
        <v>152</v>
      </c>
      <c r="C105" s="168" t="s">
        <v>166</v>
      </c>
      <c r="D105" s="159" t="s">
        <v>114</v>
      </c>
      <c r="E105" s="160">
        <v>452</v>
      </c>
      <c r="F105" s="161"/>
      <c r="G105" s="162">
        <f>ROUND(E105*F105,2)</f>
        <v>0</v>
      </c>
      <c r="H105" s="161">
        <v>320.33</v>
      </c>
      <c r="I105" s="162">
        <f>ROUND(E105*H105,2)</f>
        <v>144789.16</v>
      </c>
      <c r="J105" s="161">
        <v>128.16999999999999</v>
      </c>
      <c r="K105" s="162">
        <f>ROUND(E105*J105,2)</f>
        <v>57932.84</v>
      </c>
      <c r="L105" s="162">
        <v>21</v>
      </c>
      <c r="M105" s="162">
        <f>G105*(1+L105/100)</f>
        <v>0</v>
      </c>
      <c r="N105" s="162">
        <v>0.26980999999999999</v>
      </c>
      <c r="O105" s="162">
        <f>ROUND(E105*N105,2)</f>
        <v>121.95</v>
      </c>
      <c r="P105" s="162">
        <v>0</v>
      </c>
      <c r="Q105" s="162">
        <f>ROUND(E105*P105,2)</f>
        <v>0</v>
      </c>
      <c r="R105" s="162" t="s">
        <v>109</v>
      </c>
      <c r="S105" s="162" t="s">
        <v>345</v>
      </c>
      <c r="T105" s="162" t="s">
        <v>345</v>
      </c>
      <c r="U105" s="149"/>
      <c r="V105" s="149"/>
      <c r="W105" s="149"/>
      <c r="X105" s="149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  <c r="BG105" s="140"/>
      <c r="BH105" s="140"/>
    </row>
    <row r="106" spans="1:60" outlineLevel="1" x14ac:dyDescent="0.25">
      <c r="A106" s="147"/>
      <c r="B106" s="148"/>
      <c r="C106" s="292" t="s">
        <v>165</v>
      </c>
      <c r="D106" s="293"/>
      <c r="E106" s="293"/>
      <c r="F106" s="293"/>
      <c r="G106" s="293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  <c r="BE106" s="140"/>
      <c r="BF106" s="140"/>
      <c r="BG106" s="140"/>
      <c r="BH106" s="140"/>
    </row>
    <row r="107" spans="1:60" outlineLevel="1" x14ac:dyDescent="0.25">
      <c r="A107" s="147"/>
      <c r="B107" s="148"/>
      <c r="C107" s="301"/>
      <c r="D107" s="302"/>
      <c r="E107" s="302"/>
      <c r="F107" s="302"/>
      <c r="G107" s="302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0"/>
      <c r="BG107" s="140"/>
      <c r="BH107" s="140"/>
    </row>
    <row r="108" spans="1:60" outlineLevel="1" x14ac:dyDescent="0.25">
      <c r="A108" s="157">
        <f>A105+1</f>
        <v>39</v>
      </c>
      <c r="B108" s="158" t="s">
        <v>216</v>
      </c>
      <c r="C108" s="168" t="s">
        <v>250</v>
      </c>
      <c r="D108" s="159" t="s">
        <v>95</v>
      </c>
      <c r="E108" s="160">
        <f>83+85+160</f>
        <v>328</v>
      </c>
      <c r="F108" s="161"/>
      <c r="G108" s="162">
        <f>ROUND(E108*F108,2)</f>
        <v>0</v>
      </c>
      <c r="H108" s="161">
        <v>143</v>
      </c>
      <c r="I108" s="162">
        <f>ROUND(E108*H108,2)</f>
        <v>46904</v>
      </c>
      <c r="J108" s="161">
        <v>0</v>
      </c>
      <c r="K108" s="162">
        <f>ROUND(E108*J108,2)</f>
        <v>0</v>
      </c>
      <c r="L108" s="162">
        <v>21</v>
      </c>
      <c r="M108" s="162">
        <f>G108*(1+L108/100)</f>
        <v>0</v>
      </c>
      <c r="N108" s="162">
        <v>5.4170000000000003E-2</v>
      </c>
      <c r="O108" s="162">
        <f>ROUND(E108*N108,2)</f>
        <v>17.77</v>
      </c>
      <c r="P108" s="162">
        <v>0</v>
      </c>
      <c r="Q108" s="162">
        <f>ROUND(E108*P108,2)</f>
        <v>0</v>
      </c>
      <c r="R108" s="162" t="s">
        <v>94</v>
      </c>
      <c r="S108" s="162" t="s">
        <v>345</v>
      </c>
      <c r="T108" s="162" t="s">
        <v>101</v>
      </c>
      <c r="U108" s="149"/>
      <c r="V108" s="149"/>
      <c r="W108" s="149"/>
      <c r="X108" s="149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F108" s="140"/>
      <c r="BG108" s="140"/>
      <c r="BH108" s="140"/>
    </row>
    <row r="109" spans="1:60" outlineLevel="1" x14ac:dyDescent="0.25">
      <c r="A109" s="147"/>
      <c r="B109" s="148"/>
      <c r="C109" s="178"/>
      <c r="D109" s="179"/>
      <c r="E109" s="179"/>
      <c r="F109" s="179"/>
      <c r="G109" s="17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  <c r="BG109" s="140"/>
      <c r="BH109" s="140"/>
    </row>
    <row r="110" spans="1:60" outlineLevel="1" x14ac:dyDescent="0.25">
      <c r="A110" s="157">
        <f>A108+1</f>
        <v>40</v>
      </c>
      <c r="B110" s="158" t="s">
        <v>96</v>
      </c>
      <c r="C110" s="168" t="s">
        <v>97</v>
      </c>
      <c r="D110" s="159" t="s">
        <v>95</v>
      </c>
      <c r="E110" s="160">
        <f>(E105-E112-E114)*1.05-0.1</f>
        <v>317</v>
      </c>
      <c r="F110" s="161"/>
      <c r="G110" s="162">
        <f>ROUND(E110*F110,2)</f>
        <v>0</v>
      </c>
      <c r="H110" s="161">
        <v>154</v>
      </c>
      <c r="I110" s="162">
        <f>ROUND(E110*H110,2)</f>
        <v>48818</v>
      </c>
      <c r="J110" s="161">
        <v>0</v>
      </c>
      <c r="K110" s="162">
        <f>ROUND(E110*J110,2)</f>
        <v>0</v>
      </c>
      <c r="L110" s="162">
        <v>21</v>
      </c>
      <c r="M110" s="162">
        <f>G110*(1+L110/100)</f>
        <v>0</v>
      </c>
      <c r="N110" s="162">
        <v>8.1970000000000001E-2</v>
      </c>
      <c r="O110" s="162">
        <f>ROUND(E110*N110,2)</f>
        <v>25.98</v>
      </c>
      <c r="P110" s="162">
        <v>0</v>
      </c>
      <c r="Q110" s="162">
        <f>ROUND(E110*P110,2)</f>
        <v>0</v>
      </c>
      <c r="R110" s="162" t="s">
        <v>94</v>
      </c>
      <c r="S110" s="162" t="s">
        <v>345</v>
      </c>
      <c r="T110" s="162" t="s">
        <v>101</v>
      </c>
      <c r="U110" s="149"/>
      <c r="V110" s="149"/>
      <c r="W110" s="149"/>
      <c r="X110" s="149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0"/>
      <c r="BG110" s="140"/>
      <c r="BH110" s="140"/>
    </row>
    <row r="111" spans="1:60" outlineLevel="1" x14ac:dyDescent="0.25">
      <c r="A111" s="147"/>
      <c r="B111" s="148"/>
      <c r="C111" s="178"/>
      <c r="D111" s="179"/>
      <c r="E111" s="179"/>
      <c r="F111" s="179"/>
      <c r="G111" s="17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</row>
    <row r="112" spans="1:60" ht="24" customHeight="1" outlineLevel="1" x14ac:dyDescent="0.25">
      <c r="A112" s="157">
        <f>A110+1</f>
        <v>41</v>
      </c>
      <c r="B112" s="158" t="s">
        <v>96</v>
      </c>
      <c r="C112" s="168" t="s">
        <v>346</v>
      </c>
      <c r="D112" s="159" t="s">
        <v>95</v>
      </c>
      <c r="E112" s="160">
        <v>130</v>
      </c>
      <c r="F112" s="161"/>
      <c r="G112" s="162">
        <f>ROUND(E112*F112,2)</f>
        <v>0</v>
      </c>
      <c r="H112" s="161">
        <v>154</v>
      </c>
      <c r="I112" s="162">
        <f>ROUND(E112*H112,2)</f>
        <v>20020</v>
      </c>
      <c r="J112" s="161">
        <v>0</v>
      </c>
      <c r="K112" s="162">
        <f>ROUND(E112*J112,2)</f>
        <v>0</v>
      </c>
      <c r="L112" s="162">
        <v>21</v>
      </c>
      <c r="M112" s="162">
        <f>G112*(1+L112/100)</f>
        <v>0</v>
      </c>
      <c r="N112" s="162">
        <v>8.1970000000000001E-2</v>
      </c>
      <c r="O112" s="162">
        <f>ROUND(E112*N112,2)</f>
        <v>10.66</v>
      </c>
      <c r="P112" s="162">
        <v>0</v>
      </c>
      <c r="Q112" s="162">
        <f>ROUND(E112*P112,2)</f>
        <v>0</v>
      </c>
      <c r="R112" s="162" t="s">
        <v>94</v>
      </c>
      <c r="S112" s="162" t="s">
        <v>345</v>
      </c>
      <c r="T112" s="162" t="s">
        <v>101</v>
      </c>
      <c r="U112" s="149"/>
      <c r="V112" s="149"/>
      <c r="W112" s="149"/>
      <c r="X112" s="149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F112" s="140"/>
      <c r="BG112" s="140"/>
      <c r="BH112" s="140"/>
    </row>
    <row r="113" spans="1:60" outlineLevel="1" x14ac:dyDescent="0.25">
      <c r="A113" s="147"/>
      <c r="B113" s="148"/>
      <c r="C113" s="178"/>
      <c r="D113" s="179"/>
      <c r="E113" s="179"/>
      <c r="F113" s="179"/>
      <c r="G113" s="17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</row>
    <row r="114" spans="1:60" ht="24.75" customHeight="1" outlineLevel="1" x14ac:dyDescent="0.25">
      <c r="A114" s="157">
        <f>A112+1</f>
        <v>42</v>
      </c>
      <c r="B114" s="158" t="s">
        <v>96</v>
      </c>
      <c r="C114" s="168" t="s">
        <v>347</v>
      </c>
      <c r="D114" s="159" t="s">
        <v>95</v>
      </c>
      <c r="E114" s="160">
        <v>20</v>
      </c>
      <c r="F114" s="161"/>
      <c r="G114" s="162">
        <f>ROUND(E114*F114,2)</f>
        <v>0</v>
      </c>
      <c r="H114" s="161">
        <v>154</v>
      </c>
      <c r="I114" s="162">
        <f>ROUND(E114*H114,2)</f>
        <v>3080</v>
      </c>
      <c r="J114" s="161">
        <v>0</v>
      </c>
      <c r="K114" s="162">
        <f>ROUND(E114*J114,2)</f>
        <v>0</v>
      </c>
      <c r="L114" s="162">
        <v>21</v>
      </c>
      <c r="M114" s="162">
        <f>G114*(1+L114/100)</f>
        <v>0</v>
      </c>
      <c r="N114" s="162">
        <v>8.1970000000000001E-2</v>
      </c>
      <c r="O114" s="162">
        <f>ROUND(E114*N114,2)</f>
        <v>1.64</v>
      </c>
      <c r="P114" s="162">
        <v>0</v>
      </c>
      <c r="Q114" s="162">
        <f>ROUND(E114*P114,2)</f>
        <v>0</v>
      </c>
      <c r="R114" s="162" t="s">
        <v>94</v>
      </c>
      <c r="S114" s="162" t="s">
        <v>345</v>
      </c>
      <c r="T114" s="162" t="s">
        <v>101</v>
      </c>
      <c r="U114" s="149"/>
      <c r="V114" s="149"/>
      <c r="W114" s="149"/>
      <c r="X114" s="149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</row>
    <row r="115" spans="1:60" outlineLevel="1" x14ac:dyDescent="0.25">
      <c r="A115" s="147"/>
      <c r="B115" s="148"/>
      <c r="C115" s="294"/>
      <c r="D115" s="295"/>
      <c r="E115" s="295"/>
      <c r="F115" s="295"/>
      <c r="G115" s="295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0"/>
      <c r="BG115" s="140"/>
      <c r="BH115" s="140"/>
    </row>
    <row r="116" spans="1:60" outlineLevel="1" x14ac:dyDescent="0.25">
      <c r="A116" s="157">
        <f>A114+1</f>
        <v>43</v>
      </c>
      <c r="B116" s="158" t="s">
        <v>129</v>
      </c>
      <c r="C116" s="168" t="s">
        <v>130</v>
      </c>
      <c r="D116" s="159" t="s">
        <v>114</v>
      </c>
      <c r="E116" s="160">
        <v>17</v>
      </c>
      <c r="F116" s="161"/>
      <c r="G116" s="162">
        <f>ROUND(E116*F116,2)</f>
        <v>0</v>
      </c>
      <c r="H116" s="161">
        <v>46.75</v>
      </c>
      <c r="I116" s="162">
        <f>ROUND(E116*H116,2)</f>
        <v>794.75</v>
      </c>
      <c r="J116" s="161">
        <v>31.45</v>
      </c>
      <c r="K116" s="162">
        <f>ROUND(E116*J116,2)</f>
        <v>534.65</v>
      </c>
      <c r="L116" s="162">
        <v>21</v>
      </c>
      <c r="M116" s="162">
        <f>G116*(1+L116/100)</f>
        <v>0</v>
      </c>
      <c r="N116" s="162">
        <v>0</v>
      </c>
      <c r="O116" s="162">
        <f>ROUND(E116*N116,2)</f>
        <v>0</v>
      </c>
      <c r="P116" s="162">
        <v>0</v>
      </c>
      <c r="Q116" s="162">
        <f>ROUND(E116*P116,2)</f>
        <v>0</v>
      </c>
      <c r="R116" s="162" t="s">
        <v>109</v>
      </c>
      <c r="S116" s="162" t="s">
        <v>345</v>
      </c>
      <c r="T116" s="162" t="s">
        <v>345</v>
      </c>
      <c r="U116" s="149">
        <v>3.6999999999999998E-2</v>
      </c>
      <c r="V116" s="149">
        <f>ROUND(E116*U116,2)</f>
        <v>0.63</v>
      </c>
      <c r="W116" s="149"/>
      <c r="X116" s="149" t="s">
        <v>110</v>
      </c>
      <c r="Y116" s="140"/>
      <c r="Z116" s="140"/>
      <c r="AA116" s="140"/>
      <c r="AB116" s="140"/>
      <c r="AC116" s="140"/>
      <c r="AD116" s="140"/>
      <c r="AE116" s="140"/>
      <c r="AF116" s="140"/>
      <c r="AG116" s="140" t="s">
        <v>111</v>
      </c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0"/>
      <c r="BG116" s="140"/>
      <c r="BH116" s="140"/>
    </row>
    <row r="117" spans="1:60" outlineLevel="1" x14ac:dyDescent="0.25">
      <c r="A117" s="147"/>
      <c r="B117" s="148"/>
      <c r="C117" s="292" t="s">
        <v>131</v>
      </c>
      <c r="D117" s="293"/>
      <c r="E117" s="293"/>
      <c r="F117" s="293"/>
      <c r="G117" s="293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0"/>
      <c r="Z117" s="140"/>
      <c r="AA117" s="140"/>
      <c r="AB117" s="140"/>
      <c r="AC117" s="140"/>
      <c r="AD117" s="140"/>
      <c r="AE117" s="140"/>
      <c r="AF117" s="140"/>
      <c r="AG117" s="140" t="s">
        <v>112</v>
      </c>
      <c r="AH117" s="140"/>
      <c r="AI117" s="140"/>
      <c r="AJ117" s="140"/>
      <c r="AK117" s="140"/>
      <c r="AL117" s="140"/>
      <c r="AM117" s="140"/>
      <c r="AN117" s="140"/>
      <c r="AO117" s="140"/>
      <c r="AP117" s="140"/>
      <c r="AQ117" s="140"/>
      <c r="AR117" s="140"/>
      <c r="AS117" s="140"/>
      <c r="AT117" s="140"/>
      <c r="AU117" s="140"/>
      <c r="AV117" s="140"/>
      <c r="AW117" s="140"/>
      <c r="AX117" s="140"/>
      <c r="AY117" s="140"/>
      <c r="AZ117" s="140"/>
      <c r="BA117" s="140"/>
      <c r="BB117" s="140"/>
      <c r="BC117" s="140"/>
      <c r="BD117" s="140"/>
      <c r="BE117" s="140"/>
      <c r="BF117" s="140"/>
      <c r="BG117" s="140"/>
      <c r="BH117" s="140"/>
    </row>
    <row r="118" spans="1:60" outlineLevel="1" x14ac:dyDescent="0.25">
      <c r="A118" s="147"/>
      <c r="B118" s="148"/>
      <c r="C118" s="301"/>
      <c r="D118" s="302"/>
      <c r="E118" s="302"/>
      <c r="F118" s="302"/>
      <c r="G118" s="302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0"/>
      <c r="Z118" s="140"/>
      <c r="AA118" s="140"/>
      <c r="AB118" s="140"/>
      <c r="AC118" s="140"/>
      <c r="AD118" s="140"/>
      <c r="AE118" s="140"/>
      <c r="AF118" s="140"/>
      <c r="AG118" s="140" t="s">
        <v>93</v>
      </c>
      <c r="AH118" s="140"/>
      <c r="AI118" s="140"/>
      <c r="AJ118" s="140"/>
      <c r="AK118" s="140"/>
      <c r="AL118" s="140"/>
      <c r="AM118" s="140"/>
      <c r="AN118" s="140"/>
      <c r="AO118" s="140"/>
      <c r="AP118" s="140"/>
      <c r="AQ118" s="140"/>
      <c r="AR118" s="140"/>
      <c r="AS118" s="140"/>
      <c r="AT118" s="140"/>
      <c r="AU118" s="140"/>
      <c r="AV118" s="140"/>
      <c r="AW118" s="140"/>
      <c r="AX118" s="140"/>
      <c r="AY118" s="140"/>
      <c r="AZ118" s="140"/>
      <c r="BA118" s="140"/>
      <c r="BB118" s="140"/>
      <c r="BC118" s="140"/>
      <c r="BD118" s="140"/>
      <c r="BE118" s="140"/>
      <c r="BF118" s="140"/>
      <c r="BG118" s="140"/>
      <c r="BH118" s="140"/>
    </row>
    <row r="119" spans="1:60" outlineLevel="1" x14ac:dyDescent="0.25">
      <c r="A119" s="151" t="s">
        <v>91</v>
      </c>
      <c r="B119" s="152" t="s">
        <v>184</v>
      </c>
      <c r="C119" s="167" t="s">
        <v>185</v>
      </c>
      <c r="D119" s="153"/>
      <c r="E119" s="154"/>
      <c r="F119" s="155"/>
      <c r="G119" s="155">
        <f>G120+G123</f>
        <v>0</v>
      </c>
      <c r="H119" s="155"/>
      <c r="I119" s="155">
        <f>SUM(I120:I122)</f>
        <v>12288.57</v>
      </c>
      <c r="J119" s="155"/>
      <c r="K119" s="155">
        <f>SUM(K120:K122)</f>
        <v>14129.43</v>
      </c>
      <c r="L119" s="155"/>
      <c r="M119" s="155">
        <f>M120+M123</f>
        <v>0</v>
      </c>
      <c r="N119" s="155"/>
      <c r="O119" s="155">
        <f>SUM(O120:O122)</f>
        <v>6.63</v>
      </c>
      <c r="P119" s="155"/>
      <c r="Q119" s="155">
        <f>SUM(Q120:Q122)</f>
        <v>0</v>
      </c>
      <c r="R119" s="155"/>
      <c r="S119" s="155"/>
      <c r="T119" s="156"/>
      <c r="U119" s="149"/>
      <c r="V119" s="149"/>
      <c r="W119" s="149"/>
      <c r="X119" s="149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F119" s="140"/>
      <c r="BG119" s="140"/>
      <c r="BH119" s="140"/>
    </row>
    <row r="120" spans="1:60" outlineLevel="1" x14ac:dyDescent="0.25">
      <c r="A120" s="157">
        <f>A116+1</f>
        <v>44</v>
      </c>
      <c r="B120" s="158" t="s">
        <v>213</v>
      </c>
      <c r="C120" s="168" t="s">
        <v>214</v>
      </c>
      <c r="D120" s="159" t="s">
        <v>95</v>
      </c>
      <c r="E120" s="160">
        <v>21</v>
      </c>
      <c r="F120" s="161"/>
      <c r="G120" s="162">
        <f>ROUND(E120*F120,2)</f>
        <v>0</v>
      </c>
      <c r="H120" s="161">
        <v>585.16999999999996</v>
      </c>
      <c r="I120" s="162">
        <f>ROUND(E120*H120,2)</f>
        <v>12288.57</v>
      </c>
      <c r="J120" s="161">
        <v>672.83</v>
      </c>
      <c r="K120" s="162">
        <f>ROUND(E120*J120,2)</f>
        <v>14129.43</v>
      </c>
      <c r="L120" s="162">
        <v>21</v>
      </c>
      <c r="M120" s="162">
        <f>G120*(1+L120/100)</f>
        <v>0</v>
      </c>
      <c r="N120" s="162">
        <v>0.31590000000000001</v>
      </c>
      <c r="O120" s="162">
        <f>ROUND(E120*N120,2)</f>
        <v>6.63</v>
      </c>
      <c r="P120" s="162">
        <v>0</v>
      </c>
      <c r="Q120" s="162">
        <f>ROUND(E120*P120,2)</f>
        <v>0</v>
      </c>
      <c r="R120" s="162" t="s">
        <v>109</v>
      </c>
      <c r="S120" s="162" t="s">
        <v>345</v>
      </c>
      <c r="T120" s="162" t="s">
        <v>345</v>
      </c>
      <c r="U120" s="149"/>
      <c r="V120" s="149"/>
      <c r="W120" s="149"/>
      <c r="X120" s="149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F120" s="140"/>
      <c r="BG120" s="140"/>
      <c r="BH120" s="140"/>
    </row>
    <row r="121" spans="1:60" ht="12.75" customHeight="1" outlineLevel="1" x14ac:dyDescent="0.25">
      <c r="A121" s="147"/>
      <c r="B121" s="148"/>
      <c r="C121" s="292" t="s">
        <v>215</v>
      </c>
      <c r="D121" s="293"/>
      <c r="E121" s="293"/>
      <c r="F121" s="293"/>
      <c r="G121" s="293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  <c r="AT121" s="140"/>
      <c r="AU121" s="140"/>
      <c r="AV121" s="140"/>
      <c r="AW121" s="140"/>
      <c r="AX121" s="140"/>
      <c r="AY121" s="140"/>
      <c r="AZ121" s="140"/>
      <c r="BA121" s="140"/>
      <c r="BB121" s="140"/>
      <c r="BC121" s="140"/>
      <c r="BD121" s="140"/>
      <c r="BE121" s="140"/>
      <c r="BF121" s="140"/>
      <c r="BG121" s="140"/>
      <c r="BH121" s="140"/>
    </row>
    <row r="122" spans="1:60" outlineLevel="1" x14ac:dyDescent="0.25">
      <c r="A122" s="147"/>
      <c r="B122" s="148"/>
      <c r="C122" s="301"/>
      <c r="D122" s="302"/>
      <c r="E122" s="302"/>
      <c r="F122" s="302"/>
      <c r="G122" s="302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0"/>
      <c r="Z122" s="140"/>
      <c r="AA122" s="140"/>
      <c r="AB122" s="140"/>
      <c r="AC122" s="140"/>
      <c r="AD122" s="140"/>
      <c r="AE122" s="140"/>
      <c r="AF122" s="140"/>
      <c r="AG122" s="140"/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0"/>
      <c r="AZ122" s="140"/>
      <c r="BA122" s="140"/>
      <c r="BB122" s="140"/>
      <c r="BC122" s="140"/>
      <c r="BD122" s="140"/>
      <c r="BE122" s="140"/>
      <c r="BF122" s="140"/>
      <c r="BG122" s="140"/>
      <c r="BH122" s="140"/>
    </row>
    <row r="123" spans="1:60" outlineLevel="1" x14ac:dyDescent="0.25">
      <c r="A123" s="157">
        <f>A120+1</f>
        <v>45</v>
      </c>
      <c r="B123" s="158" t="s">
        <v>302</v>
      </c>
      <c r="C123" s="168" t="s">
        <v>301</v>
      </c>
      <c r="D123" s="159" t="s">
        <v>114</v>
      </c>
      <c r="E123" s="160">
        <f>E116</f>
        <v>17</v>
      </c>
      <c r="F123" s="161"/>
      <c r="G123" s="162">
        <f>E123*F123</f>
        <v>0</v>
      </c>
      <c r="H123" s="161">
        <v>5.52</v>
      </c>
      <c r="I123" s="162">
        <v>5.52</v>
      </c>
      <c r="J123" s="161">
        <v>183.48</v>
      </c>
      <c r="K123" s="162">
        <v>183.48</v>
      </c>
      <c r="L123" s="162">
        <v>21</v>
      </c>
      <c r="M123" s="162">
        <f>G123*1.21</f>
        <v>0</v>
      </c>
      <c r="N123" s="162">
        <v>4.6800000000000001E-3</v>
      </c>
      <c r="O123" s="162">
        <v>0</v>
      </c>
      <c r="P123" s="162">
        <v>0</v>
      </c>
      <c r="Q123" s="162">
        <v>0</v>
      </c>
      <c r="R123" s="162" t="s">
        <v>186</v>
      </c>
      <c r="S123" s="162" t="s">
        <v>345</v>
      </c>
      <c r="T123" s="162" t="s">
        <v>101</v>
      </c>
      <c r="U123" s="149"/>
      <c r="V123" s="149"/>
      <c r="W123" s="149"/>
      <c r="X123" s="149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0"/>
      <c r="AZ123" s="140"/>
      <c r="BA123" s="140"/>
      <c r="BB123" s="140"/>
      <c r="BC123" s="140"/>
      <c r="BD123" s="140"/>
      <c r="BE123" s="140"/>
      <c r="BF123" s="140"/>
      <c r="BG123" s="140"/>
      <c r="BH123" s="140"/>
    </row>
    <row r="124" spans="1:60" outlineLevel="1" x14ac:dyDescent="0.25">
      <c r="A124" s="147"/>
      <c r="B124" s="148"/>
      <c r="C124" s="178"/>
      <c r="D124" s="179"/>
      <c r="E124" s="179"/>
      <c r="F124" s="179"/>
      <c r="G124" s="17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  <c r="AS124" s="140"/>
      <c r="AT124" s="140"/>
      <c r="AU124" s="140"/>
      <c r="AV124" s="140"/>
      <c r="AW124" s="140"/>
      <c r="AX124" s="140"/>
      <c r="AY124" s="140"/>
      <c r="AZ124" s="140"/>
      <c r="BA124" s="140"/>
      <c r="BB124" s="140"/>
      <c r="BC124" s="140"/>
      <c r="BD124" s="140"/>
      <c r="BE124" s="140"/>
      <c r="BF124" s="140"/>
      <c r="BG124" s="140"/>
      <c r="BH124" s="140"/>
    </row>
    <row r="125" spans="1:60" x14ac:dyDescent="0.25">
      <c r="A125" s="151" t="s">
        <v>91</v>
      </c>
      <c r="B125" s="152" t="s">
        <v>58</v>
      </c>
      <c r="C125" s="167" t="s">
        <v>59</v>
      </c>
      <c r="D125" s="153"/>
      <c r="E125" s="154"/>
      <c r="F125" s="155"/>
      <c r="G125" s="155">
        <f>SUMIF(AG126:AG131,"&lt;&gt;NOR",G126:G131)</f>
        <v>0</v>
      </c>
      <c r="H125" s="155"/>
      <c r="I125" s="155">
        <f>SUM(I126:I131)</f>
        <v>0</v>
      </c>
      <c r="J125" s="155"/>
      <c r="K125" s="155">
        <f>SUM(K126:K131)</f>
        <v>115711.8</v>
      </c>
      <c r="L125" s="155"/>
      <c r="M125" s="155">
        <f>SUM(M126:M131)</f>
        <v>0</v>
      </c>
      <c r="N125" s="155"/>
      <c r="O125" s="155">
        <f>SUM(O126:O131)</f>
        <v>0</v>
      </c>
      <c r="P125" s="155"/>
      <c r="Q125" s="155">
        <f>SUM(Q126:Q131)</f>
        <v>0</v>
      </c>
      <c r="R125" s="155"/>
      <c r="S125" s="155"/>
      <c r="T125" s="156"/>
      <c r="U125" s="150"/>
      <c r="V125" s="150">
        <f>SUM(V126:V131)</f>
        <v>40.03</v>
      </c>
      <c r="W125" s="150"/>
      <c r="X125" s="150"/>
      <c r="AG125" t="s">
        <v>92</v>
      </c>
    </row>
    <row r="126" spans="1:60" outlineLevel="1" x14ac:dyDescent="0.25">
      <c r="A126" s="157">
        <f>A123+1</f>
        <v>46</v>
      </c>
      <c r="B126" s="158" t="s">
        <v>153</v>
      </c>
      <c r="C126" s="168" t="s">
        <v>134</v>
      </c>
      <c r="D126" s="159" t="s">
        <v>126</v>
      </c>
      <c r="E126" s="160">
        <f>(E74*0.08+E71*0.1*2.2+E60*0.08*2+E57*0.06*2)*1.05</f>
        <v>89.376000000000005</v>
      </c>
      <c r="F126" s="161"/>
      <c r="G126" s="162">
        <f>ROUND(E126*F126,2)</f>
        <v>0</v>
      </c>
      <c r="H126" s="161">
        <v>0</v>
      </c>
      <c r="I126" s="162">
        <f>ROUND(E126*H126,2)</f>
        <v>0</v>
      </c>
      <c r="J126" s="161">
        <v>225.5</v>
      </c>
      <c r="K126" s="162">
        <f>ROUND(E126*J126,2)</f>
        <v>20154.29</v>
      </c>
      <c r="L126" s="162">
        <v>21</v>
      </c>
      <c r="M126" s="162">
        <f>G126*(1+L126/100)</f>
        <v>0</v>
      </c>
      <c r="N126" s="162">
        <v>0</v>
      </c>
      <c r="O126" s="162">
        <f>ROUND(E126*N126,2)</f>
        <v>0</v>
      </c>
      <c r="P126" s="162">
        <v>0</v>
      </c>
      <c r="Q126" s="162">
        <f>ROUND(E126*P126,2)</f>
        <v>0</v>
      </c>
      <c r="R126" s="162" t="s">
        <v>109</v>
      </c>
      <c r="S126" s="162" t="s">
        <v>345</v>
      </c>
      <c r="T126" s="162" t="s">
        <v>345</v>
      </c>
      <c r="U126" s="149">
        <v>0.39</v>
      </c>
      <c r="V126" s="149">
        <f>ROUND(E126*U126,2)</f>
        <v>34.86</v>
      </c>
      <c r="W126" s="149"/>
      <c r="X126" s="149" t="s">
        <v>132</v>
      </c>
      <c r="Y126" s="140"/>
      <c r="Z126" s="140"/>
      <c r="AA126" s="140"/>
      <c r="AB126" s="140"/>
      <c r="AC126" s="140"/>
      <c r="AD126" s="140"/>
      <c r="AE126" s="140"/>
      <c r="AF126" s="140"/>
      <c r="AG126" s="140" t="s">
        <v>133</v>
      </c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140"/>
      <c r="AT126" s="140"/>
      <c r="AU126" s="140"/>
      <c r="AV126" s="140"/>
      <c r="AW126" s="140"/>
      <c r="AX126" s="140"/>
      <c r="AY126" s="140"/>
      <c r="AZ126" s="140"/>
      <c r="BA126" s="140"/>
      <c r="BB126" s="140"/>
      <c r="BC126" s="140"/>
      <c r="BD126" s="140"/>
      <c r="BE126" s="140"/>
      <c r="BF126" s="140"/>
      <c r="BG126" s="140"/>
      <c r="BH126" s="140"/>
    </row>
    <row r="127" spans="1:60" outlineLevel="1" x14ac:dyDescent="0.25">
      <c r="A127" s="147"/>
      <c r="B127" s="148"/>
      <c r="C127" s="301"/>
      <c r="D127" s="302"/>
      <c r="E127" s="302"/>
      <c r="F127" s="302"/>
      <c r="G127" s="302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0"/>
      <c r="Z127" s="140"/>
      <c r="AA127" s="140"/>
      <c r="AB127" s="140"/>
      <c r="AC127" s="140"/>
      <c r="AD127" s="140"/>
      <c r="AE127" s="140"/>
      <c r="AF127" s="140"/>
      <c r="AG127" s="140" t="s">
        <v>93</v>
      </c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140"/>
      <c r="AT127" s="140"/>
      <c r="AU127" s="140"/>
      <c r="AV127" s="140"/>
      <c r="AW127" s="140"/>
      <c r="AX127" s="140"/>
      <c r="AY127" s="140"/>
      <c r="AZ127" s="140"/>
      <c r="BA127" s="140"/>
      <c r="BB127" s="140"/>
      <c r="BC127" s="140"/>
      <c r="BD127" s="140"/>
      <c r="BE127" s="140"/>
      <c r="BF127" s="140"/>
      <c r="BG127" s="140"/>
      <c r="BH127" s="140"/>
    </row>
    <row r="128" spans="1:60" outlineLevel="1" x14ac:dyDescent="0.25">
      <c r="A128" s="157">
        <f>A126+1</f>
        <v>47</v>
      </c>
      <c r="B128" s="158" t="s">
        <v>187</v>
      </c>
      <c r="C128" s="168" t="s">
        <v>188</v>
      </c>
      <c r="D128" s="159" t="s">
        <v>126</v>
      </c>
      <c r="E128" s="160">
        <f>E49*0.18*2+E47*0.15*2+E45*0.2*2</f>
        <v>1065.8000000000002</v>
      </c>
      <c r="F128" s="161"/>
      <c r="G128" s="162">
        <f>ROUND(E128*F128,2)</f>
        <v>0</v>
      </c>
      <c r="H128" s="161">
        <v>0</v>
      </c>
      <c r="I128" s="162">
        <f>ROUND(E128*H128,2)</f>
        <v>0</v>
      </c>
      <c r="J128" s="161">
        <v>71.2</v>
      </c>
      <c r="K128" s="162">
        <f>ROUND(E128*J128,2)</f>
        <v>75884.960000000006</v>
      </c>
      <c r="L128" s="162">
        <v>21</v>
      </c>
      <c r="M128" s="162">
        <f>G128*(1+L128/100)</f>
        <v>0</v>
      </c>
      <c r="N128" s="162">
        <v>0</v>
      </c>
      <c r="O128" s="162">
        <f>ROUND(E128*N128,2)</f>
        <v>0</v>
      </c>
      <c r="P128" s="162">
        <v>0</v>
      </c>
      <c r="Q128" s="162">
        <f>ROUND(E128*P128,2)</f>
        <v>0</v>
      </c>
      <c r="R128" s="162" t="s">
        <v>109</v>
      </c>
      <c r="S128" s="162" t="s">
        <v>345</v>
      </c>
      <c r="T128" s="162" t="s">
        <v>345</v>
      </c>
      <c r="U128" s="149"/>
      <c r="V128" s="149"/>
      <c r="W128" s="149"/>
      <c r="X128" s="149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0"/>
      <c r="AP128" s="140"/>
      <c r="AQ128" s="140"/>
      <c r="AR128" s="140"/>
      <c r="AS128" s="140"/>
      <c r="AT128" s="140"/>
      <c r="AU128" s="140"/>
      <c r="AV128" s="140"/>
      <c r="AW128" s="140"/>
      <c r="AX128" s="140"/>
      <c r="AY128" s="140"/>
      <c r="AZ128" s="140"/>
      <c r="BA128" s="140"/>
      <c r="BB128" s="140"/>
      <c r="BC128" s="140"/>
      <c r="BD128" s="140"/>
      <c r="BE128" s="140"/>
      <c r="BF128" s="140"/>
      <c r="BG128" s="140"/>
      <c r="BH128" s="140"/>
    </row>
    <row r="129" spans="1:60" outlineLevel="1" x14ac:dyDescent="0.25">
      <c r="A129" s="147"/>
      <c r="B129" s="148"/>
      <c r="C129" s="301"/>
      <c r="D129" s="302"/>
      <c r="E129" s="302"/>
      <c r="F129" s="302"/>
      <c r="G129" s="302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140"/>
      <c r="AO129" s="140"/>
      <c r="AP129" s="140"/>
      <c r="AQ129" s="140"/>
      <c r="AR129" s="140"/>
      <c r="AS129" s="140"/>
      <c r="AT129" s="140"/>
      <c r="AU129" s="140"/>
      <c r="AV129" s="140"/>
      <c r="AW129" s="140"/>
      <c r="AX129" s="140"/>
      <c r="AY129" s="140"/>
      <c r="AZ129" s="140"/>
      <c r="BA129" s="140"/>
      <c r="BB129" s="140"/>
      <c r="BC129" s="140"/>
      <c r="BD129" s="140"/>
      <c r="BE129" s="140"/>
      <c r="BF129" s="140"/>
      <c r="BG129" s="140"/>
      <c r="BH129" s="140"/>
    </row>
    <row r="130" spans="1:60" outlineLevel="1" x14ac:dyDescent="0.25">
      <c r="A130" s="157">
        <f>A128+1</f>
        <v>48</v>
      </c>
      <c r="B130" s="158" t="s">
        <v>154</v>
      </c>
      <c r="C130" s="168" t="s">
        <v>220</v>
      </c>
      <c r="D130" s="159" t="s">
        <v>126</v>
      </c>
      <c r="E130" s="160">
        <f>E55*0.12*2.53</f>
        <v>323.03039999999993</v>
      </c>
      <c r="F130" s="161"/>
      <c r="G130" s="162">
        <f>ROUND(E130*F130,2)</f>
        <v>0</v>
      </c>
      <c r="H130" s="161">
        <v>0</v>
      </c>
      <c r="I130" s="162">
        <f>ROUND(E130*H130,2)</f>
        <v>0</v>
      </c>
      <c r="J130" s="161">
        <v>60.9</v>
      </c>
      <c r="K130" s="162">
        <f>ROUND(E130*J130,2)</f>
        <v>19672.55</v>
      </c>
      <c r="L130" s="162">
        <v>21</v>
      </c>
      <c r="M130" s="162">
        <f>G130*(1+L130/100)</f>
        <v>0</v>
      </c>
      <c r="N130" s="162">
        <v>0</v>
      </c>
      <c r="O130" s="162">
        <f>ROUND(E130*N130,2)</f>
        <v>0</v>
      </c>
      <c r="P130" s="162">
        <v>0</v>
      </c>
      <c r="Q130" s="162">
        <f>ROUND(E130*P130,2)</f>
        <v>0</v>
      </c>
      <c r="R130" s="162" t="s">
        <v>109</v>
      </c>
      <c r="S130" s="162" t="s">
        <v>345</v>
      </c>
      <c r="T130" s="162" t="s">
        <v>345</v>
      </c>
      <c r="U130" s="149">
        <v>1.6E-2</v>
      </c>
      <c r="V130" s="149">
        <f>ROUND(E130*U130,2)</f>
        <v>5.17</v>
      </c>
      <c r="W130" s="149"/>
      <c r="X130" s="149" t="s">
        <v>132</v>
      </c>
      <c r="Y130" s="140"/>
      <c r="Z130" s="140"/>
      <c r="AA130" s="140"/>
      <c r="AB130" s="140"/>
      <c r="AC130" s="140"/>
      <c r="AD130" s="140"/>
      <c r="AE130" s="140"/>
      <c r="AF130" s="140"/>
      <c r="AG130" s="140" t="s">
        <v>133</v>
      </c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F130" s="140"/>
      <c r="BG130" s="140"/>
      <c r="BH130" s="140"/>
    </row>
    <row r="131" spans="1:60" outlineLevel="1" x14ac:dyDescent="0.25">
      <c r="A131" s="147"/>
      <c r="B131" s="148"/>
      <c r="C131" s="301"/>
      <c r="D131" s="302"/>
      <c r="E131" s="302"/>
      <c r="F131" s="302"/>
      <c r="G131" s="302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0"/>
      <c r="Z131" s="140"/>
      <c r="AA131" s="140"/>
      <c r="AB131" s="140"/>
      <c r="AC131" s="140"/>
      <c r="AD131" s="140"/>
      <c r="AE131" s="140"/>
      <c r="AF131" s="140"/>
      <c r="AG131" s="140" t="s">
        <v>93</v>
      </c>
      <c r="AH131" s="140"/>
      <c r="AI131" s="140"/>
      <c r="AJ131" s="140"/>
      <c r="AK131" s="140"/>
      <c r="AL131" s="140"/>
      <c r="AM131" s="140"/>
      <c r="AN131" s="140"/>
      <c r="AO131" s="140"/>
      <c r="AP131" s="140"/>
      <c r="AQ131" s="140"/>
      <c r="AR131" s="140"/>
      <c r="AS131" s="140"/>
      <c r="AT131" s="140"/>
      <c r="AU131" s="140"/>
      <c r="AV131" s="140"/>
      <c r="AW131" s="140"/>
      <c r="AX131" s="140"/>
      <c r="AY131" s="140"/>
      <c r="AZ131" s="140"/>
      <c r="BA131" s="140"/>
      <c r="BB131" s="140"/>
      <c r="BC131" s="140"/>
      <c r="BD131" s="140"/>
      <c r="BE131" s="140"/>
      <c r="BF131" s="140"/>
      <c r="BG131" s="140"/>
      <c r="BH131" s="140"/>
    </row>
    <row r="132" spans="1:60" x14ac:dyDescent="0.25">
      <c r="A132" s="151" t="s">
        <v>91</v>
      </c>
      <c r="B132" s="152" t="s">
        <v>60</v>
      </c>
      <c r="C132" s="167" t="s">
        <v>61</v>
      </c>
      <c r="D132" s="153"/>
      <c r="E132" s="154"/>
      <c r="F132" s="155"/>
      <c r="G132" s="155">
        <f>SUMIF(AG133:AG138,"&lt;&gt;NOR",G133:G138)</f>
        <v>0</v>
      </c>
      <c r="H132" s="155"/>
      <c r="I132" s="155">
        <f>SUM(I133:I138)</f>
        <v>0</v>
      </c>
      <c r="J132" s="155"/>
      <c r="K132" s="155">
        <f>SUM(K133:K138)</f>
        <v>953034.25</v>
      </c>
      <c r="L132" s="155"/>
      <c r="M132" s="155">
        <f>SUM(M133:M138)</f>
        <v>0</v>
      </c>
      <c r="N132" s="155"/>
      <c r="O132" s="155">
        <f>SUM(O133:O138)</f>
        <v>0</v>
      </c>
      <c r="P132" s="155"/>
      <c r="Q132" s="155">
        <f>SUM(Q133:Q138)</f>
        <v>0</v>
      </c>
      <c r="R132" s="155"/>
      <c r="S132" s="155"/>
      <c r="T132" s="156"/>
      <c r="U132" s="150"/>
      <c r="V132" s="150">
        <f>SUM(V133:V138)</f>
        <v>249.29</v>
      </c>
      <c r="W132" s="150"/>
      <c r="X132" s="150"/>
      <c r="Z132" s="84"/>
      <c r="AG132" t="s">
        <v>92</v>
      </c>
    </row>
    <row r="133" spans="1:60" outlineLevel="1" x14ac:dyDescent="0.25">
      <c r="A133" s="157">
        <f>A130+1</f>
        <v>49</v>
      </c>
      <c r="B133" s="158" t="s">
        <v>221</v>
      </c>
      <c r="C133" s="168" t="s">
        <v>222</v>
      </c>
      <c r="D133" s="159" t="s">
        <v>126</v>
      </c>
      <c r="E133" s="160">
        <f>E12*2+E14*0.05*2.2+E16*0.3*0.3*2</f>
        <v>856.66</v>
      </c>
      <c r="F133" s="161"/>
      <c r="G133" s="162">
        <f>ROUND(E133*F133,2)</f>
        <v>0</v>
      </c>
      <c r="H133" s="161">
        <v>0</v>
      </c>
      <c r="I133" s="162">
        <f>ROUND(E133*H133,2)</f>
        <v>0</v>
      </c>
      <c r="J133" s="161">
        <v>406.5</v>
      </c>
      <c r="K133" s="162">
        <f>ROUND(E133*J133,2)</f>
        <v>348232.29</v>
      </c>
      <c r="L133" s="162">
        <v>21</v>
      </c>
      <c r="M133" s="162">
        <f>G133*(1+L133/100)</f>
        <v>0</v>
      </c>
      <c r="N133" s="162">
        <v>0</v>
      </c>
      <c r="O133" s="162">
        <f>ROUND(E133*N133,2)</f>
        <v>0</v>
      </c>
      <c r="P133" s="162">
        <v>0</v>
      </c>
      <c r="Q133" s="162">
        <f>ROUND(E133*P133,2)</f>
        <v>0</v>
      </c>
      <c r="R133" s="162"/>
      <c r="S133" s="162" t="s">
        <v>345</v>
      </c>
      <c r="T133" s="162" t="s">
        <v>345</v>
      </c>
      <c r="U133" s="149">
        <v>0.29099999999999998</v>
      </c>
      <c r="V133" s="149">
        <f>ROUND(E133*U133,2)</f>
        <v>249.29</v>
      </c>
      <c r="W133" s="149"/>
      <c r="X133" s="149" t="s">
        <v>135</v>
      </c>
      <c r="Y133" s="176"/>
      <c r="Z133" s="140"/>
      <c r="AA133" s="140"/>
      <c r="AB133" s="140"/>
      <c r="AC133" s="140"/>
      <c r="AD133" s="140"/>
      <c r="AE133" s="140"/>
      <c r="AF133" s="140"/>
      <c r="AG133" s="140" t="s">
        <v>136</v>
      </c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0"/>
      <c r="BG133" s="140"/>
      <c r="BH133" s="140"/>
    </row>
    <row r="134" spans="1:60" outlineLevel="1" x14ac:dyDescent="0.25">
      <c r="A134" s="147"/>
      <c r="B134" s="148"/>
      <c r="C134" s="294"/>
      <c r="D134" s="295"/>
      <c r="E134" s="295"/>
      <c r="F134" s="295"/>
      <c r="G134" s="295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0"/>
      <c r="Z134" s="140"/>
      <c r="AA134" s="140"/>
      <c r="AB134" s="140"/>
      <c r="AC134" s="140"/>
      <c r="AD134" s="140"/>
      <c r="AE134" s="140"/>
      <c r="AF134" s="140"/>
      <c r="AG134" s="140" t="s">
        <v>93</v>
      </c>
      <c r="AH134" s="140"/>
      <c r="AI134" s="140"/>
      <c r="AJ134" s="140"/>
      <c r="AK134" s="140"/>
      <c r="AL134" s="140"/>
      <c r="AM134" s="140"/>
      <c r="AN134" s="140"/>
      <c r="AO134" s="140"/>
      <c r="AP134" s="140"/>
      <c r="AQ134" s="140"/>
      <c r="AR134" s="140"/>
      <c r="AS134" s="140"/>
      <c r="AT134" s="140"/>
      <c r="AU134" s="140"/>
      <c r="AV134" s="140"/>
      <c r="AW134" s="140"/>
      <c r="AX134" s="140"/>
      <c r="AY134" s="140"/>
      <c r="AZ134" s="140"/>
      <c r="BA134" s="140"/>
      <c r="BB134" s="140"/>
      <c r="BC134" s="140"/>
      <c r="BD134" s="140"/>
      <c r="BE134" s="140"/>
      <c r="BF134" s="140"/>
      <c r="BG134" s="140"/>
      <c r="BH134" s="140"/>
    </row>
    <row r="135" spans="1:60" outlineLevel="1" x14ac:dyDescent="0.25">
      <c r="A135" s="157">
        <f>A133+1</f>
        <v>50</v>
      </c>
      <c r="B135" s="158" t="s">
        <v>223</v>
      </c>
      <c r="C135" s="168" t="s">
        <v>224</v>
      </c>
      <c r="D135" s="159" t="s">
        <v>126</v>
      </c>
      <c r="E135" s="160">
        <f>E133*14</f>
        <v>11993.24</v>
      </c>
      <c r="F135" s="161"/>
      <c r="G135" s="162">
        <f>ROUND(E135*F135,2)</f>
        <v>0</v>
      </c>
      <c r="H135" s="161">
        <v>0</v>
      </c>
      <c r="I135" s="162">
        <f>ROUND(E135*H135,2)</f>
        <v>0</v>
      </c>
      <c r="J135" s="161">
        <v>29</v>
      </c>
      <c r="K135" s="162">
        <f>ROUND(E135*J135,2)</f>
        <v>347803.96</v>
      </c>
      <c r="L135" s="162">
        <v>21</v>
      </c>
      <c r="M135" s="162">
        <f>G135*(1+L135/100)</f>
        <v>0</v>
      </c>
      <c r="N135" s="162">
        <v>0</v>
      </c>
      <c r="O135" s="162">
        <f>ROUND(E135*N135,2)</f>
        <v>0</v>
      </c>
      <c r="P135" s="162">
        <v>0</v>
      </c>
      <c r="Q135" s="201">
        <f>ROUND(E135*P135,2)</f>
        <v>0</v>
      </c>
      <c r="R135" s="162" t="s">
        <v>109</v>
      </c>
      <c r="S135" s="162" t="s">
        <v>345</v>
      </c>
      <c r="T135" s="162" t="s">
        <v>345</v>
      </c>
      <c r="U135" s="149"/>
      <c r="V135" s="149"/>
      <c r="W135" s="149"/>
      <c r="X135" s="149"/>
      <c r="Y135" s="140"/>
      <c r="Z135" s="140"/>
      <c r="AA135" s="140"/>
      <c r="AB135" s="140"/>
      <c r="AC135" s="140"/>
      <c r="AD135" s="140"/>
      <c r="AE135" s="140"/>
      <c r="AF135" s="140"/>
      <c r="AG135" s="140"/>
      <c r="AH135" s="140"/>
      <c r="AI135" s="140"/>
      <c r="AJ135" s="140"/>
      <c r="AK135" s="140"/>
      <c r="AL135" s="140"/>
      <c r="AM135" s="140"/>
      <c r="AN135" s="140"/>
      <c r="AO135" s="140"/>
      <c r="AP135" s="140"/>
      <c r="AQ135" s="140"/>
      <c r="AR135" s="140"/>
      <c r="AS135" s="140"/>
      <c r="AT135" s="140"/>
      <c r="AU135" s="140"/>
      <c r="AV135" s="140"/>
      <c r="AW135" s="140"/>
      <c r="AX135" s="140"/>
      <c r="AY135" s="140"/>
      <c r="AZ135" s="140"/>
      <c r="BA135" s="140"/>
      <c r="BB135" s="140"/>
      <c r="BC135" s="140"/>
      <c r="BD135" s="140"/>
      <c r="BE135" s="140"/>
      <c r="BF135" s="140"/>
      <c r="BG135" s="140"/>
      <c r="BH135" s="140"/>
    </row>
    <row r="136" spans="1:60" outlineLevel="1" x14ac:dyDescent="0.25">
      <c r="A136" s="147"/>
      <c r="B136" s="148"/>
      <c r="C136" s="308"/>
      <c r="D136" s="308"/>
      <c r="E136" s="308"/>
      <c r="F136" s="308"/>
      <c r="G136" s="308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0"/>
      <c r="Z136" s="140"/>
      <c r="AA136" s="140"/>
      <c r="AB136" s="140"/>
      <c r="AC136" s="140"/>
      <c r="AD136" s="140"/>
      <c r="AE136" s="140"/>
      <c r="AF136" s="140"/>
      <c r="AG136" s="140"/>
      <c r="AH136" s="140"/>
      <c r="AI136" s="140"/>
      <c r="AJ136" s="140"/>
      <c r="AK136" s="140"/>
      <c r="AL136" s="140"/>
      <c r="AM136" s="140"/>
      <c r="AN136" s="140"/>
      <c r="AO136" s="140"/>
      <c r="AP136" s="140"/>
      <c r="AQ136" s="140"/>
      <c r="AR136" s="140"/>
      <c r="AS136" s="140"/>
      <c r="AT136" s="140"/>
      <c r="AU136" s="140"/>
      <c r="AV136" s="140"/>
      <c r="AW136" s="140"/>
      <c r="AX136" s="140"/>
      <c r="AY136" s="140"/>
      <c r="AZ136" s="140"/>
      <c r="BA136" s="140"/>
      <c r="BB136" s="140"/>
      <c r="BC136" s="140"/>
      <c r="BD136" s="140"/>
      <c r="BE136" s="140"/>
      <c r="BF136" s="140"/>
      <c r="BG136" s="140"/>
      <c r="BH136" s="140"/>
    </row>
    <row r="137" spans="1:60" outlineLevel="1" x14ac:dyDescent="0.25">
      <c r="A137" s="157">
        <f>A135+1</f>
        <v>51</v>
      </c>
      <c r="B137" s="158" t="s">
        <v>156</v>
      </c>
      <c r="C137" s="168" t="s">
        <v>155</v>
      </c>
      <c r="D137" s="159" t="s">
        <v>126</v>
      </c>
      <c r="E137" s="160">
        <f>E133</f>
        <v>856.66</v>
      </c>
      <c r="F137" s="161"/>
      <c r="G137" s="162">
        <f>ROUND(E137*F137,2)</f>
        <v>0</v>
      </c>
      <c r="H137" s="161">
        <v>0</v>
      </c>
      <c r="I137" s="162">
        <f>ROUND(E137*H137,2)</f>
        <v>0</v>
      </c>
      <c r="J137" s="161">
        <v>300</v>
      </c>
      <c r="K137" s="162">
        <f>ROUND(E137*J137,2)</f>
        <v>256998</v>
      </c>
      <c r="L137" s="162">
        <v>21</v>
      </c>
      <c r="M137" s="162">
        <f>G137*(1+L137/100)</f>
        <v>0</v>
      </c>
      <c r="N137" s="162">
        <v>0</v>
      </c>
      <c r="O137" s="162">
        <f>ROUND(E137*N137,2)</f>
        <v>0</v>
      </c>
      <c r="P137" s="162">
        <v>0</v>
      </c>
      <c r="Q137" s="162">
        <f>ROUND(E137*P137,2)</f>
        <v>0</v>
      </c>
      <c r="R137" s="162" t="s">
        <v>137</v>
      </c>
      <c r="S137" s="162" t="s">
        <v>345</v>
      </c>
      <c r="T137" s="162" t="s">
        <v>345</v>
      </c>
      <c r="U137" s="149">
        <v>0</v>
      </c>
      <c r="V137" s="149">
        <f>ROUND(E137*U137,2)</f>
        <v>0</v>
      </c>
      <c r="W137" s="149"/>
      <c r="X137" s="149" t="s">
        <v>135</v>
      </c>
      <c r="Y137" s="140"/>
      <c r="Z137" s="140"/>
      <c r="AA137" s="140"/>
      <c r="AB137" s="140"/>
      <c r="AC137" s="140"/>
      <c r="AD137" s="140"/>
      <c r="AE137" s="140"/>
      <c r="AF137" s="140"/>
      <c r="AG137" s="140" t="s">
        <v>136</v>
      </c>
      <c r="AH137" s="140"/>
      <c r="AI137" s="140"/>
      <c r="AJ137" s="140"/>
      <c r="AK137" s="140"/>
      <c r="AL137" s="140"/>
      <c r="AM137" s="140"/>
      <c r="AN137" s="140"/>
      <c r="AO137" s="140"/>
      <c r="AP137" s="140"/>
      <c r="AQ137" s="140"/>
      <c r="AR137" s="140"/>
      <c r="AS137" s="140"/>
      <c r="AT137" s="140"/>
      <c r="AU137" s="140"/>
      <c r="AV137" s="140"/>
      <c r="AW137" s="140"/>
      <c r="AX137" s="140"/>
      <c r="AY137" s="140"/>
      <c r="AZ137" s="140"/>
      <c r="BA137" s="140"/>
      <c r="BB137" s="140"/>
      <c r="BC137" s="140"/>
      <c r="BD137" s="140"/>
      <c r="BE137" s="140"/>
      <c r="BF137" s="140"/>
      <c r="BG137" s="140"/>
      <c r="BH137" s="140"/>
    </row>
    <row r="138" spans="1:60" outlineLevel="1" x14ac:dyDescent="0.25">
      <c r="A138" s="147"/>
      <c r="B138" s="148"/>
      <c r="C138" s="294"/>
      <c r="D138" s="295"/>
      <c r="E138" s="295"/>
      <c r="F138" s="295"/>
      <c r="G138" s="295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0"/>
      <c r="Z138" s="140"/>
      <c r="AA138" s="140"/>
      <c r="AB138" s="140"/>
      <c r="AC138" s="140"/>
      <c r="AD138" s="140"/>
      <c r="AE138" s="140"/>
      <c r="AF138" s="140"/>
      <c r="AG138" s="140" t="s">
        <v>93</v>
      </c>
      <c r="AH138" s="140"/>
      <c r="AI138" s="140"/>
      <c r="AJ138" s="140"/>
      <c r="AK138" s="140"/>
      <c r="AL138" s="140"/>
      <c r="AM138" s="140"/>
      <c r="AN138" s="140"/>
      <c r="AO138" s="140"/>
      <c r="AP138" s="140"/>
      <c r="AQ138" s="140"/>
      <c r="AR138" s="140"/>
      <c r="AS138" s="140"/>
      <c r="AT138" s="140"/>
      <c r="AU138" s="140"/>
      <c r="AV138" s="140"/>
      <c r="AW138" s="140"/>
      <c r="AX138" s="140"/>
      <c r="AY138" s="140"/>
      <c r="AZ138" s="140"/>
      <c r="BA138" s="140"/>
      <c r="BB138" s="140"/>
      <c r="BC138" s="140"/>
      <c r="BD138" s="140"/>
      <c r="BE138" s="140"/>
      <c r="BF138" s="140"/>
      <c r="BG138" s="140"/>
      <c r="BH138" s="140"/>
    </row>
    <row r="139" spans="1:60" x14ac:dyDescent="0.25">
      <c r="A139" s="151" t="s">
        <v>91</v>
      </c>
      <c r="B139" s="152" t="s">
        <v>63</v>
      </c>
      <c r="C139" s="167" t="s">
        <v>26</v>
      </c>
      <c r="D139" s="153"/>
      <c r="E139" s="154"/>
      <c r="F139" s="155"/>
      <c r="G139" s="155">
        <f>G140+G142+G145+G147</f>
        <v>0</v>
      </c>
      <c r="H139" s="155"/>
      <c r="I139" s="155">
        <f>SUM(I142:I144)</f>
        <v>0</v>
      </c>
      <c r="J139" s="155"/>
      <c r="K139" s="155">
        <f>SUM(K142:K144)</f>
        <v>0</v>
      </c>
      <c r="L139" s="155"/>
      <c r="M139" s="155">
        <f>M140+M142+M145+M147</f>
        <v>0</v>
      </c>
      <c r="N139" s="155"/>
      <c r="O139" s="155">
        <f>SUM(O142:O144)</f>
        <v>0</v>
      </c>
      <c r="P139" s="155"/>
      <c r="Q139" s="155">
        <f>SUM(Q142:Q144)</f>
        <v>0</v>
      </c>
      <c r="R139" s="155"/>
      <c r="S139" s="155"/>
      <c r="T139" s="156"/>
      <c r="U139" s="150"/>
      <c r="V139" s="150">
        <f>SUM(V142:V144)</f>
        <v>0</v>
      </c>
      <c r="W139" s="150"/>
      <c r="X139" s="150"/>
      <c r="Z139" s="84"/>
      <c r="AG139" t="s">
        <v>92</v>
      </c>
    </row>
    <row r="140" spans="1:60" x14ac:dyDescent="0.25">
      <c r="A140" s="157">
        <f>A137+1</f>
        <v>52</v>
      </c>
      <c r="B140" s="158" t="s">
        <v>161</v>
      </c>
      <c r="C140" s="168" t="s">
        <v>104</v>
      </c>
      <c r="D140" s="159" t="s">
        <v>100</v>
      </c>
      <c r="E140" s="160">
        <v>1</v>
      </c>
      <c r="F140" s="161"/>
      <c r="G140" s="162">
        <f>ROUND(E140*F140,2)</f>
        <v>0</v>
      </c>
      <c r="H140" s="161">
        <v>0</v>
      </c>
      <c r="I140" s="162">
        <f>ROUND(E140*H140,2)</f>
        <v>0</v>
      </c>
      <c r="J140" s="161">
        <v>0</v>
      </c>
      <c r="K140" s="162">
        <f>ROUND(E140*J140,2)</f>
        <v>0</v>
      </c>
      <c r="L140" s="162">
        <v>21</v>
      </c>
      <c r="M140" s="162">
        <f>G140*(1+L140/100)</f>
        <v>0</v>
      </c>
      <c r="N140" s="162">
        <v>0</v>
      </c>
      <c r="O140" s="162">
        <f>ROUND(E140*N140,2)</f>
        <v>0</v>
      </c>
      <c r="P140" s="162">
        <v>0</v>
      </c>
      <c r="Q140" s="162">
        <f>ROUND(E140*P140,2)</f>
        <v>0</v>
      </c>
      <c r="R140" s="162"/>
      <c r="S140" s="162" t="s">
        <v>345</v>
      </c>
      <c r="T140" s="163" t="s">
        <v>101</v>
      </c>
      <c r="U140" s="150"/>
      <c r="V140" s="150"/>
      <c r="W140" s="150"/>
      <c r="X140" s="150"/>
    </row>
    <row r="141" spans="1:60" x14ac:dyDescent="0.25">
      <c r="A141" s="173"/>
      <c r="B141" s="174"/>
      <c r="C141" s="294"/>
      <c r="D141" s="295"/>
      <c r="E141" s="295"/>
      <c r="F141" s="295"/>
      <c r="G141" s="295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50"/>
      <c r="V141" s="150"/>
      <c r="W141" s="150"/>
      <c r="X141" s="150"/>
    </row>
    <row r="142" spans="1:60" outlineLevel="1" x14ac:dyDescent="0.25">
      <c r="A142" s="157">
        <f>A140+1</f>
        <v>53</v>
      </c>
      <c r="B142" s="158" t="s">
        <v>138</v>
      </c>
      <c r="C142" s="168" t="s">
        <v>139</v>
      </c>
      <c r="D142" s="159" t="s">
        <v>100</v>
      </c>
      <c r="E142" s="160">
        <v>1</v>
      </c>
      <c r="F142" s="161"/>
      <c r="G142" s="162">
        <f>ROUND(E142*F142,2)</f>
        <v>0</v>
      </c>
      <c r="H142" s="161">
        <v>0</v>
      </c>
      <c r="I142" s="162">
        <f>ROUND(E142*H142,2)</f>
        <v>0</v>
      </c>
      <c r="J142" s="161">
        <v>0</v>
      </c>
      <c r="K142" s="162">
        <f>ROUND(E142*J142,2)</f>
        <v>0</v>
      </c>
      <c r="L142" s="162">
        <v>21</v>
      </c>
      <c r="M142" s="162">
        <f>G142*(1+L142/100)</f>
        <v>0</v>
      </c>
      <c r="N142" s="162">
        <v>0</v>
      </c>
      <c r="O142" s="162">
        <f>ROUND(E142*N142,2)</f>
        <v>0</v>
      </c>
      <c r="P142" s="162">
        <v>0</v>
      </c>
      <c r="Q142" s="162">
        <f>ROUND(E142*P142,2)</f>
        <v>0</v>
      </c>
      <c r="R142" s="162"/>
      <c r="S142" s="162" t="s">
        <v>345</v>
      </c>
      <c r="T142" s="163" t="s">
        <v>101</v>
      </c>
      <c r="U142" s="149">
        <v>0</v>
      </c>
      <c r="V142" s="149">
        <f>ROUND(E142*U142,2)</f>
        <v>0</v>
      </c>
      <c r="W142" s="149"/>
      <c r="X142" s="149" t="s">
        <v>102</v>
      </c>
      <c r="Y142" s="140"/>
      <c r="Z142" s="140"/>
      <c r="AA142" s="140"/>
      <c r="AB142" s="140"/>
      <c r="AC142" s="140"/>
      <c r="AD142" s="140"/>
      <c r="AE142" s="140"/>
      <c r="AF142" s="140"/>
      <c r="AG142" s="140" t="s">
        <v>103</v>
      </c>
      <c r="AH142" s="140"/>
      <c r="AI142" s="140"/>
      <c r="AJ142" s="140"/>
      <c r="AK142" s="140"/>
      <c r="AL142" s="140"/>
      <c r="AM142" s="140"/>
      <c r="AN142" s="140"/>
      <c r="AO142" s="140"/>
      <c r="AP142" s="140"/>
      <c r="AQ142" s="140"/>
      <c r="AR142" s="140"/>
      <c r="AS142" s="140"/>
      <c r="AT142" s="140"/>
      <c r="AU142" s="140"/>
      <c r="AV142" s="140"/>
      <c r="AW142" s="140"/>
      <c r="AX142" s="140"/>
      <c r="AY142" s="140"/>
      <c r="AZ142" s="140"/>
      <c r="BA142" s="140"/>
      <c r="BB142" s="140"/>
      <c r="BC142" s="140"/>
      <c r="BD142" s="140"/>
      <c r="BE142" s="140"/>
      <c r="BF142" s="140"/>
      <c r="BG142" s="140"/>
      <c r="BH142" s="140"/>
    </row>
    <row r="143" spans="1:60" ht="21" outlineLevel="1" x14ac:dyDescent="0.25">
      <c r="A143" s="147"/>
      <c r="B143" s="148"/>
      <c r="C143" s="306" t="s">
        <v>140</v>
      </c>
      <c r="D143" s="307"/>
      <c r="E143" s="307"/>
      <c r="F143" s="307"/>
      <c r="G143" s="307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0"/>
      <c r="Z143" s="140"/>
      <c r="AA143" s="140"/>
      <c r="AB143" s="140"/>
      <c r="AC143" s="140"/>
      <c r="AD143" s="140"/>
      <c r="AE143" s="140"/>
      <c r="AF143" s="140"/>
      <c r="AG143" s="140" t="s">
        <v>105</v>
      </c>
      <c r="AH143" s="140"/>
      <c r="AI143" s="140"/>
      <c r="AJ143" s="140"/>
      <c r="AK143" s="140"/>
      <c r="AL143" s="140"/>
      <c r="AM143" s="140"/>
      <c r="AN143" s="140"/>
      <c r="AO143" s="140"/>
      <c r="AP143" s="140"/>
      <c r="AQ143" s="140"/>
      <c r="AR143" s="140"/>
      <c r="AS143" s="140"/>
      <c r="AT143" s="140"/>
      <c r="AU143" s="140"/>
      <c r="AV143" s="140"/>
      <c r="AW143" s="140"/>
      <c r="AX143" s="140"/>
      <c r="AY143" s="140"/>
      <c r="AZ143" s="140"/>
      <c r="BA143" s="165" t="str">
        <f>C143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43" s="140"/>
      <c r="BC143" s="140"/>
      <c r="BD143" s="140"/>
      <c r="BE143" s="140"/>
      <c r="BF143" s="140"/>
      <c r="BG143" s="140"/>
      <c r="BH143" s="140"/>
    </row>
    <row r="144" spans="1:60" outlineLevel="1" x14ac:dyDescent="0.25">
      <c r="A144" s="147"/>
      <c r="B144" s="148"/>
      <c r="C144" s="301"/>
      <c r="D144" s="302"/>
      <c r="E144" s="302"/>
      <c r="F144" s="302"/>
      <c r="G144" s="302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0"/>
      <c r="Z144" s="140"/>
      <c r="AA144" s="140"/>
      <c r="AB144" s="140"/>
      <c r="AC144" s="140"/>
      <c r="AD144" s="140"/>
      <c r="AE144" s="140"/>
      <c r="AF144" s="140"/>
      <c r="AG144" s="140" t="s">
        <v>93</v>
      </c>
      <c r="AH144" s="140"/>
      <c r="AI144" s="140"/>
      <c r="AJ144" s="140"/>
      <c r="AK144" s="140"/>
      <c r="AL144" s="140"/>
      <c r="AM144" s="140"/>
      <c r="AN144" s="140"/>
      <c r="AO144" s="140"/>
      <c r="AP144" s="140"/>
      <c r="AQ144" s="140"/>
      <c r="AR144" s="140"/>
      <c r="AS144" s="140"/>
      <c r="AT144" s="140"/>
      <c r="AU144" s="140"/>
      <c r="AV144" s="140"/>
      <c r="AW144" s="140"/>
      <c r="AX144" s="140"/>
      <c r="AY144" s="140"/>
      <c r="AZ144" s="140"/>
      <c r="BA144" s="140"/>
      <c r="BB144" s="140"/>
      <c r="BC144" s="140"/>
      <c r="BD144" s="140"/>
      <c r="BE144" s="140"/>
      <c r="BF144" s="140"/>
      <c r="BG144" s="140"/>
      <c r="BH144" s="140"/>
    </row>
    <row r="145" spans="1:60" outlineLevel="1" x14ac:dyDescent="0.25">
      <c r="A145" s="157">
        <f>A142+1</f>
        <v>54</v>
      </c>
      <c r="B145" s="158" t="s">
        <v>157</v>
      </c>
      <c r="C145" s="168" t="s">
        <v>99</v>
      </c>
      <c r="D145" s="159" t="s">
        <v>100</v>
      </c>
      <c r="E145" s="160">
        <v>1</v>
      </c>
      <c r="F145" s="161"/>
      <c r="G145" s="162">
        <f>ROUND(E145*F145,2)</f>
        <v>0</v>
      </c>
      <c r="H145" s="161">
        <v>0</v>
      </c>
      <c r="I145" s="162">
        <f>ROUND(E145*H145,2)</f>
        <v>0</v>
      </c>
      <c r="J145" s="161">
        <v>0</v>
      </c>
      <c r="K145" s="162">
        <f>ROUND(E145*J145,2)</f>
        <v>0</v>
      </c>
      <c r="L145" s="162">
        <v>21</v>
      </c>
      <c r="M145" s="162">
        <f>G145*(1+L145/100)</f>
        <v>0</v>
      </c>
      <c r="N145" s="162">
        <v>0</v>
      </c>
      <c r="O145" s="162">
        <f>ROUND(E145*N145,2)</f>
        <v>0</v>
      </c>
      <c r="P145" s="162">
        <v>0</v>
      </c>
      <c r="Q145" s="162">
        <f>ROUND(E145*P145,2)</f>
        <v>0</v>
      </c>
      <c r="R145" s="162"/>
      <c r="S145" s="162" t="s">
        <v>345</v>
      </c>
      <c r="T145" s="163" t="s">
        <v>101</v>
      </c>
      <c r="U145" s="149"/>
      <c r="V145" s="149"/>
      <c r="W145" s="149"/>
      <c r="X145" s="149"/>
      <c r="Y145" s="140"/>
      <c r="Z145" s="140"/>
      <c r="AA145" s="140"/>
      <c r="AB145" s="140"/>
      <c r="AC145" s="140"/>
      <c r="AD145" s="140"/>
      <c r="AE145" s="140"/>
      <c r="AF145" s="140"/>
      <c r="AG145" s="140"/>
      <c r="AH145" s="140"/>
      <c r="AI145" s="140"/>
      <c r="AJ145" s="140"/>
      <c r="AK145" s="140"/>
      <c r="AL145" s="140"/>
      <c r="AM145" s="140"/>
      <c r="AN145" s="140"/>
      <c r="AO145" s="140"/>
      <c r="AP145" s="140"/>
      <c r="AQ145" s="140"/>
      <c r="AR145" s="140"/>
      <c r="AS145" s="140"/>
      <c r="AT145" s="140"/>
      <c r="AU145" s="140"/>
      <c r="AV145" s="140"/>
      <c r="AW145" s="140"/>
      <c r="AX145" s="140"/>
      <c r="AY145" s="140"/>
      <c r="AZ145" s="140"/>
      <c r="BA145" s="140"/>
      <c r="BB145" s="140"/>
      <c r="BC145" s="140"/>
      <c r="BD145" s="140"/>
      <c r="BE145" s="140"/>
      <c r="BF145" s="140"/>
      <c r="BG145" s="140"/>
      <c r="BH145" s="140"/>
    </row>
    <row r="146" spans="1:60" outlineLevel="1" x14ac:dyDescent="0.25">
      <c r="A146" s="147"/>
      <c r="B146" s="148"/>
      <c r="C146" s="294"/>
      <c r="D146" s="295"/>
      <c r="E146" s="295"/>
      <c r="F146" s="295"/>
      <c r="G146" s="295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0"/>
      <c r="Z146" s="140"/>
      <c r="AA146" s="140"/>
      <c r="AB146" s="140"/>
      <c r="AC146" s="140"/>
      <c r="AD146" s="140"/>
      <c r="AE146" s="140"/>
      <c r="AF146" s="140"/>
      <c r="AG146" s="140"/>
      <c r="AH146" s="140"/>
      <c r="AI146" s="140"/>
      <c r="AJ146" s="140"/>
      <c r="AK146" s="140"/>
      <c r="AL146" s="140"/>
      <c r="AM146" s="140"/>
      <c r="AN146" s="140"/>
      <c r="AO146" s="140"/>
      <c r="AP146" s="140"/>
      <c r="AQ146" s="140"/>
      <c r="AR146" s="140"/>
      <c r="AS146" s="140"/>
      <c r="AT146" s="140"/>
      <c r="AU146" s="140"/>
      <c r="AV146" s="140"/>
      <c r="AW146" s="140"/>
      <c r="AX146" s="140"/>
      <c r="AY146" s="140"/>
      <c r="AZ146" s="140"/>
      <c r="BA146" s="140"/>
      <c r="BB146" s="140"/>
      <c r="BC146" s="140"/>
      <c r="BD146" s="140"/>
      <c r="BE146" s="140"/>
      <c r="BF146" s="140"/>
      <c r="BG146" s="140"/>
      <c r="BH146" s="140"/>
    </row>
    <row r="147" spans="1:60" outlineLevel="1" x14ac:dyDescent="0.25">
      <c r="A147" s="157">
        <f>A145+1</f>
        <v>55</v>
      </c>
      <c r="B147" s="158" t="s">
        <v>106</v>
      </c>
      <c r="C147" s="168" t="s">
        <v>107</v>
      </c>
      <c r="D147" s="159" t="s">
        <v>100</v>
      </c>
      <c r="E147" s="160">
        <v>1</v>
      </c>
      <c r="F147" s="161"/>
      <c r="G147" s="162">
        <f>ROUND(E147*F147,2)</f>
        <v>0</v>
      </c>
      <c r="H147" s="161">
        <v>0</v>
      </c>
      <c r="I147" s="162">
        <f>ROUND(E147*H147,2)</f>
        <v>0</v>
      </c>
      <c r="J147" s="161">
        <v>0</v>
      </c>
      <c r="K147" s="162">
        <f>ROUND(E147*J147,2)</f>
        <v>0</v>
      </c>
      <c r="L147" s="162">
        <v>21</v>
      </c>
      <c r="M147" s="162">
        <f>G147*(1+L147/100)</f>
        <v>0</v>
      </c>
      <c r="N147" s="162">
        <v>0</v>
      </c>
      <c r="O147" s="162">
        <f>ROUND(E147*N147,2)</f>
        <v>0</v>
      </c>
      <c r="P147" s="162">
        <v>0</v>
      </c>
      <c r="Q147" s="162">
        <f>ROUND(E147*P147,2)</f>
        <v>0</v>
      </c>
      <c r="R147" s="162"/>
      <c r="S147" s="162" t="s">
        <v>345</v>
      </c>
      <c r="T147" s="163" t="s">
        <v>101</v>
      </c>
      <c r="U147" s="149"/>
      <c r="V147" s="149"/>
      <c r="W147" s="149"/>
      <c r="X147" s="149"/>
      <c r="Y147" s="140"/>
      <c r="Z147" s="140"/>
      <c r="AA147" s="140"/>
      <c r="AB147" s="140"/>
      <c r="AC147" s="140"/>
      <c r="AD147" s="140"/>
      <c r="AE147" s="140"/>
      <c r="AF147" s="140"/>
      <c r="AG147" s="140"/>
      <c r="AH147" s="140"/>
      <c r="AI147" s="140"/>
      <c r="AJ147" s="140"/>
      <c r="AK147" s="140"/>
      <c r="AL147" s="140"/>
      <c r="AM147" s="140"/>
      <c r="AN147" s="140"/>
      <c r="AO147" s="140"/>
      <c r="AP147" s="140"/>
      <c r="AQ147" s="140"/>
      <c r="AR147" s="140"/>
      <c r="AS147" s="140"/>
      <c r="AT147" s="140"/>
      <c r="AU147" s="140"/>
      <c r="AV147" s="140"/>
      <c r="AW147" s="140"/>
      <c r="AX147" s="140"/>
      <c r="AY147" s="140"/>
      <c r="AZ147" s="140"/>
      <c r="BA147" s="140"/>
      <c r="BB147" s="140"/>
      <c r="BC147" s="140"/>
      <c r="BD147" s="140"/>
      <c r="BE147" s="140"/>
      <c r="BF147" s="140"/>
      <c r="BG147" s="140"/>
      <c r="BH147" s="140"/>
    </row>
    <row r="148" spans="1:60" ht="22.5" customHeight="1" outlineLevel="1" x14ac:dyDescent="0.25">
      <c r="A148" s="147"/>
      <c r="B148" s="148"/>
      <c r="C148" s="306" t="s">
        <v>108</v>
      </c>
      <c r="D148" s="307"/>
      <c r="E148" s="307"/>
      <c r="F148" s="307"/>
      <c r="G148" s="307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0"/>
      <c r="Z148" s="140"/>
      <c r="AA148" s="140"/>
      <c r="AB148" s="140"/>
      <c r="AC148" s="140"/>
      <c r="AD148" s="140"/>
      <c r="AE148" s="140"/>
      <c r="AF148" s="140"/>
      <c r="AG148" s="140"/>
      <c r="AH148" s="140"/>
      <c r="AI148" s="140"/>
      <c r="AJ148" s="140"/>
      <c r="AK148" s="140"/>
      <c r="AL148" s="140"/>
      <c r="AM148" s="140"/>
      <c r="AN148" s="140"/>
      <c r="AO148" s="140"/>
      <c r="AP148" s="140"/>
      <c r="AQ148" s="140"/>
      <c r="AR148" s="140"/>
      <c r="AS148" s="140"/>
      <c r="AT148" s="140"/>
      <c r="AU148" s="140"/>
      <c r="AV148" s="140"/>
      <c r="AW148" s="140"/>
      <c r="AX148" s="140"/>
      <c r="AY148" s="140"/>
      <c r="AZ148" s="140"/>
      <c r="BA148" s="140"/>
      <c r="BB148" s="140"/>
      <c r="BC148" s="140"/>
      <c r="BD148" s="140"/>
      <c r="BE148" s="140"/>
      <c r="BF148" s="140"/>
      <c r="BG148" s="140"/>
      <c r="BH148" s="140"/>
    </row>
    <row r="149" spans="1:60" outlineLevel="1" x14ac:dyDescent="0.25">
      <c r="A149" s="147"/>
      <c r="B149" s="148"/>
      <c r="C149" s="169"/>
      <c r="D149" s="164"/>
      <c r="E149" s="164"/>
      <c r="F149" s="164"/>
      <c r="G149" s="164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0"/>
      <c r="Z149" s="140"/>
      <c r="AA149" s="140"/>
      <c r="AB149" s="140"/>
      <c r="AC149" s="140"/>
      <c r="AD149" s="140"/>
      <c r="AE149" s="140"/>
      <c r="AF149" s="140"/>
      <c r="AG149" s="140"/>
      <c r="AH149" s="140"/>
      <c r="AI149" s="140"/>
      <c r="AJ149" s="140"/>
      <c r="AK149" s="140"/>
      <c r="AL149" s="140"/>
      <c r="AM149" s="140"/>
      <c r="AN149" s="140"/>
      <c r="AO149" s="140"/>
      <c r="AP149" s="140"/>
      <c r="AQ149" s="140"/>
      <c r="AR149" s="140"/>
      <c r="AS149" s="140"/>
      <c r="AT149" s="140"/>
      <c r="AU149" s="140"/>
      <c r="AV149" s="140"/>
      <c r="AW149" s="140"/>
      <c r="AX149" s="140"/>
      <c r="AY149" s="140"/>
      <c r="AZ149" s="140"/>
      <c r="BA149" s="140"/>
      <c r="BB149" s="140"/>
      <c r="BC149" s="140"/>
      <c r="BD149" s="140"/>
      <c r="BE149" s="140"/>
      <c r="BF149" s="140"/>
      <c r="BG149" s="140"/>
      <c r="BH149" s="140"/>
    </row>
    <row r="150" spans="1:60" x14ac:dyDescent="0.25">
      <c r="A150" s="151" t="s">
        <v>91</v>
      </c>
      <c r="B150" s="152" t="s">
        <v>64</v>
      </c>
      <c r="C150" s="167" t="s">
        <v>27</v>
      </c>
      <c r="D150" s="153"/>
      <c r="E150" s="154"/>
      <c r="F150" s="155"/>
      <c r="G150" s="155">
        <f>SUMIF(AG151:AG159,"&lt;&gt;NOR",G151:G159)</f>
        <v>0</v>
      </c>
      <c r="H150" s="155"/>
      <c r="I150" s="155">
        <f>SUM(I151:I159)</f>
        <v>0</v>
      </c>
      <c r="J150" s="155"/>
      <c r="K150" s="155">
        <f>SUM(K151:K159)</f>
        <v>0</v>
      </c>
      <c r="L150" s="155"/>
      <c r="M150" s="155">
        <f>SUM(M151:M159)</f>
        <v>0</v>
      </c>
      <c r="N150" s="155"/>
      <c r="O150" s="155">
        <f>SUM(O151:O159)</f>
        <v>0</v>
      </c>
      <c r="P150" s="155"/>
      <c r="Q150" s="155">
        <f>SUM(Q151:Q159)</f>
        <v>0</v>
      </c>
      <c r="R150" s="155"/>
      <c r="S150" s="155"/>
      <c r="T150" s="156"/>
      <c r="U150" s="150"/>
      <c r="V150" s="150">
        <f>SUM(V151:V159)</f>
        <v>0</v>
      </c>
      <c r="W150" s="150"/>
      <c r="X150" s="150"/>
      <c r="AG150" t="s">
        <v>92</v>
      </c>
    </row>
    <row r="151" spans="1:60" outlineLevel="1" x14ac:dyDescent="0.25">
      <c r="A151" s="157">
        <f>A147+1</f>
        <v>56</v>
      </c>
      <c r="B151" s="158" t="s">
        <v>141</v>
      </c>
      <c r="C151" s="168" t="s">
        <v>142</v>
      </c>
      <c r="D151" s="159" t="s">
        <v>100</v>
      </c>
      <c r="E151" s="160">
        <v>1</v>
      </c>
      <c r="F151" s="161"/>
      <c r="G151" s="162">
        <f>ROUND(E151*F151,2)</f>
        <v>0</v>
      </c>
      <c r="H151" s="161">
        <v>0</v>
      </c>
      <c r="I151" s="162">
        <f>ROUND(E151*H151,2)</f>
        <v>0</v>
      </c>
      <c r="J151" s="161">
        <v>0</v>
      </c>
      <c r="K151" s="162">
        <f>ROUND(E151*J151,2)</f>
        <v>0</v>
      </c>
      <c r="L151" s="162">
        <v>21</v>
      </c>
      <c r="M151" s="162">
        <f>G151*(1+L151/100)</f>
        <v>0</v>
      </c>
      <c r="N151" s="162">
        <v>0</v>
      </c>
      <c r="O151" s="162">
        <f>ROUND(E151*N151,2)</f>
        <v>0</v>
      </c>
      <c r="P151" s="162">
        <v>0</v>
      </c>
      <c r="Q151" s="162">
        <f>ROUND(E151*P151,2)</f>
        <v>0</v>
      </c>
      <c r="R151" s="162"/>
      <c r="S151" s="162" t="s">
        <v>345</v>
      </c>
      <c r="T151" s="163" t="s">
        <v>101</v>
      </c>
      <c r="U151" s="149">
        <v>0</v>
      </c>
      <c r="V151" s="149">
        <f>ROUND(E151*U151,2)</f>
        <v>0</v>
      </c>
      <c r="W151" s="149"/>
      <c r="X151" s="149" t="s">
        <v>102</v>
      </c>
      <c r="Y151" s="176"/>
      <c r="Z151" s="140"/>
      <c r="AA151" s="140"/>
      <c r="AB151" s="140"/>
      <c r="AC151" s="140"/>
      <c r="AD151" s="140"/>
      <c r="AE151" s="140"/>
      <c r="AF151" s="140"/>
      <c r="AG151" s="140" t="s">
        <v>103</v>
      </c>
      <c r="AH151" s="140"/>
      <c r="AI151" s="140"/>
      <c r="AJ151" s="140"/>
      <c r="AK151" s="140"/>
      <c r="AL151" s="140"/>
      <c r="AM151" s="140"/>
      <c r="AN151" s="140"/>
      <c r="AO151" s="140"/>
      <c r="AP151" s="140"/>
      <c r="AQ151" s="140"/>
      <c r="AR151" s="140"/>
      <c r="AS151" s="140"/>
      <c r="AT151" s="140"/>
      <c r="AU151" s="140"/>
      <c r="AV151" s="140"/>
      <c r="AW151" s="140"/>
      <c r="AX151" s="140"/>
      <c r="AY151" s="140"/>
      <c r="AZ151" s="140"/>
      <c r="BA151" s="140"/>
      <c r="BB151" s="140"/>
      <c r="BC151" s="140"/>
      <c r="BD151" s="140"/>
      <c r="BE151" s="140"/>
      <c r="BF151" s="140"/>
      <c r="BG151" s="140"/>
      <c r="BH151" s="140"/>
    </row>
    <row r="152" spans="1:60" ht="33.75" customHeight="1" outlineLevel="1" x14ac:dyDescent="0.25">
      <c r="A152" s="147"/>
      <c r="B152" s="148"/>
      <c r="C152" s="306" t="s">
        <v>158</v>
      </c>
      <c r="D152" s="307"/>
      <c r="E152" s="307"/>
      <c r="F152" s="307"/>
      <c r="G152" s="307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0"/>
      <c r="Z152" s="140"/>
      <c r="AA152" s="140"/>
      <c r="AB152" s="140"/>
      <c r="AC152" s="140"/>
      <c r="AD152" s="140"/>
      <c r="AE152" s="140"/>
      <c r="AF152" s="140"/>
      <c r="AG152" s="140" t="s">
        <v>105</v>
      </c>
      <c r="AH152" s="140"/>
      <c r="AI152" s="140"/>
      <c r="AJ152" s="140"/>
      <c r="AK152" s="140"/>
      <c r="AL152" s="140"/>
      <c r="AM152" s="140"/>
      <c r="AN152" s="140"/>
      <c r="AO152" s="140"/>
      <c r="AP152" s="140"/>
      <c r="AQ152" s="140"/>
      <c r="AR152" s="140"/>
      <c r="AS152" s="140"/>
      <c r="AT152" s="140"/>
      <c r="AU152" s="140"/>
      <c r="AV152" s="140"/>
      <c r="AW152" s="140"/>
      <c r="AX152" s="140"/>
      <c r="AY152" s="140"/>
      <c r="AZ152" s="140"/>
      <c r="BA152" s="165" t="str">
        <f>C152</f>
        <v>Náklady na vyhotovení návrhu dočasného dopravního značení, jeho projednání s dotčenými orgány a organizacemi, dodání dopravních značek i případné světelné signalizace, jejich rozmístění a přemísťování a jejich údržba v průběhu výstavby včetně následného odstranění po ukončení stavebních prací.</v>
      </c>
      <c r="BB152" s="140"/>
      <c r="BC152" s="140"/>
      <c r="BD152" s="140"/>
      <c r="BE152" s="140"/>
      <c r="BF152" s="140"/>
      <c r="BG152" s="140"/>
      <c r="BH152" s="140"/>
    </row>
    <row r="153" spans="1:60" outlineLevel="1" x14ac:dyDescent="0.25">
      <c r="A153" s="147"/>
      <c r="B153" s="148"/>
      <c r="C153" s="301"/>
      <c r="D153" s="302"/>
      <c r="E153" s="302"/>
      <c r="F153" s="302"/>
      <c r="G153" s="302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0"/>
      <c r="Z153" s="140"/>
      <c r="AA153" s="140"/>
      <c r="AB153" s="140"/>
      <c r="AC153" s="140"/>
      <c r="AD153" s="140"/>
      <c r="AE153" s="140"/>
      <c r="AF153" s="140"/>
      <c r="AG153" s="140" t="s">
        <v>93</v>
      </c>
      <c r="AH153" s="140"/>
      <c r="AI153" s="140"/>
      <c r="AJ153" s="140"/>
      <c r="AK153" s="140"/>
      <c r="AL153" s="140"/>
      <c r="AM153" s="140"/>
      <c r="AN153" s="140"/>
      <c r="AO153" s="140"/>
      <c r="AP153" s="140"/>
      <c r="AQ153" s="140"/>
      <c r="AR153" s="140"/>
      <c r="AS153" s="140"/>
      <c r="AT153" s="140"/>
      <c r="AU153" s="140"/>
      <c r="AV153" s="140"/>
      <c r="AW153" s="140"/>
      <c r="AX153" s="140"/>
      <c r="AY153" s="140"/>
      <c r="AZ153" s="140"/>
      <c r="BA153" s="140"/>
      <c r="BB153" s="140"/>
      <c r="BC153" s="140"/>
      <c r="BD153" s="140"/>
      <c r="BE153" s="140"/>
      <c r="BF153" s="140"/>
      <c r="BG153" s="140"/>
      <c r="BH153" s="140"/>
    </row>
    <row r="154" spans="1:60" outlineLevel="1" x14ac:dyDescent="0.25">
      <c r="A154" s="157">
        <f>A151+1</f>
        <v>57</v>
      </c>
      <c r="B154" s="158" t="s">
        <v>143</v>
      </c>
      <c r="C154" s="168" t="s">
        <v>144</v>
      </c>
      <c r="D154" s="159" t="s">
        <v>100</v>
      </c>
      <c r="E154" s="160">
        <v>1</v>
      </c>
      <c r="F154" s="161"/>
      <c r="G154" s="162">
        <f>ROUND(E154*F154,2)</f>
        <v>0</v>
      </c>
      <c r="H154" s="161">
        <v>0</v>
      </c>
      <c r="I154" s="162">
        <f>ROUND(E154*H154,2)</f>
        <v>0</v>
      </c>
      <c r="J154" s="161">
        <v>0</v>
      </c>
      <c r="K154" s="162">
        <f>ROUND(E154*J154,2)</f>
        <v>0</v>
      </c>
      <c r="L154" s="162">
        <v>21</v>
      </c>
      <c r="M154" s="162">
        <f>G154*(1+L154/100)</f>
        <v>0</v>
      </c>
      <c r="N154" s="162">
        <v>0</v>
      </c>
      <c r="O154" s="162">
        <f>ROUND(E154*N154,2)</f>
        <v>0</v>
      </c>
      <c r="P154" s="162">
        <v>0</v>
      </c>
      <c r="Q154" s="162">
        <f>ROUND(E154*P154,2)</f>
        <v>0</v>
      </c>
      <c r="R154" s="162"/>
      <c r="S154" s="162" t="s">
        <v>209</v>
      </c>
      <c r="T154" s="163" t="s">
        <v>101</v>
      </c>
      <c r="U154" s="149">
        <v>0</v>
      </c>
      <c r="V154" s="149">
        <f>ROUND(E154*U154,2)</f>
        <v>0</v>
      </c>
      <c r="W154" s="149"/>
      <c r="X154" s="149" t="s">
        <v>102</v>
      </c>
      <c r="Y154" s="140"/>
      <c r="Z154" s="140"/>
      <c r="AA154" s="140"/>
      <c r="AB154" s="140"/>
      <c r="AC154" s="140"/>
      <c r="AD154" s="140"/>
      <c r="AE154" s="140"/>
      <c r="AF154" s="140"/>
      <c r="AG154" s="140" t="s">
        <v>103</v>
      </c>
      <c r="AH154" s="140"/>
      <c r="AI154" s="140"/>
      <c r="AJ154" s="140"/>
      <c r="AK154" s="140"/>
      <c r="AL154" s="140"/>
      <c r="AM154" s="140"/>
      <c r="AN154" s="140"/>
      <c r="AO154" s="140"/>
      <c r="AP154" s="140"/>
      <c r="AQ154" s="140"/>
      <c r="AR154" s="140"/>
      <c r="AS154" s="140"/>
      <c r="AT154" s="140"/>
      <c r="AU154" s="140"/>
      <c r="AV154" s="140"/>
      <c r="AW154" s="140"/>
      <c r="AX154" s="140"/>
      <c r="AY154" s="140"/>
      <c r="AZ154" s="140"/>
      <c r="BA154" s="140"/>
      <c r="BB154" s="140"/>
      <c r="BC154" s="140"/>
      <c r="BD154" s="140"/>
      <c r="BE154" s="140"/>
      <c r="BF154" s="140"/>
      <c r="BG154" s="140"/>
      <c r="BH154" s="140"/>
    </row>
    <row r="155" spans="1:60" outlineLevel="1" x14ac:dyDescent="0.25">
      <c r="A155" s="147"/>
      <c r="B155" s="148"/>
      <c r="C155" s="306" t="s">
        <v>145</v>
      </c>
      <c r="D155" s="307"/>
      <c r="E155" s="307"/>
      <c r="F155" s="307"/>
      <c r="G155" s="307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0"/>
      <c r="Z155" s="140"/>
      <c r="AA155" s="140"/>
      <c r="AB155" s="140"/>
      <c r="AC155" s="140"/>
      <c r="AD155" s="140"/>
      <c r="AE155" s="140"/>
      <c r="AF155" s="140"/>
      <c r="AG155" s="140" t="s">
        <v>105</v>
      </c>
      <c r="AH155" s="140"/>
      <c r="AI155" s="140"/>
      <c r="AJ155" s="140"/>
      <c r="AK155" s="140"/>
      <c r="AL155" s="140"/>
      <c r="AM155" s="140"/>
      <c r="AN155" s="140"/>
      <c r="AO155" s="140"/>
      <c r="AP155" s="140"/>
      <c r="AQ155" s="140"/>
      <c r="AR155" s="140"/>
      <c r="AS155" s="140"/>
      <c r="AT155" s="140"/>
      <c r="AU155" s="140"/>
      <c r="AV155" s="140"/>
      <c r="AW155" s="140"/>
      <c r="AX155" s="140"/>
      <c r="AY155" s="140"/>
      <c r="AZ155" s="140"/>
      <c r="BA155" s="165" t="str">
        <f>C155</f>
        <v>Náklady na vyhotovení dokumentace skutečného provedení stavby a její předání objednateli v požadované formě a požadovaném počtu.</v>
      </c>
      <c r="BB155" s="140"/>
      <c r="BC155" s="140"/>
      <c r="BD155" s="140"/>
      <c r="BE155" s="140"/>
      <c r="BF155" s="140"/>
      <c r="BG155" s="140"/>
      <c r="BH155" s="140"/>
    </row>
    <row r="156" spans="1:60" outlineLevel="1" x14ac:dyDescent="0.25">
      <c r="A156" s="147"/>
      <c r="B156" s="148"/>
      <c r="C156" s="301"/>
      <c r="D156" s="302"/>
      <c r="E156" s="302"/>
      <c r="F156" s="302"/>
      <c r="G156" s="302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0"/>
      <c r="Z156" s="140"/>
      <c r="AA156" s="140"/>
      <c r="AB156" s="140"/>
      <c r="AC156" s="140"/>
      <c r="AD156" s="140"/>
      <c r="AE156" s="140"/>
      <c r="AF156" s="140"/>
      <c r="AG156" s="140" t="s">
        <v>93</v>
      </c>
      <c r="AH156" s="140"/>
      <c r="AI156" s="140"/>
      <c r="AJ156" s="140"/>
      <c r="AK156" s="140"/>
      <c r="AL156" s="140"/>
      <c r="AM156" s="140"/>
      <c r="AN156" s="140"/>
      <c r="AO156" s="140"/>
      <c r="AP156" s="140"/>
      <c r="AQ156" s="140"/>
      <c r="AR156" s="140"/>
      <c r="AS156" s="140"/>
      <c r="AT156" s="140"/>
      <c r="AU156" s="140"/>
      <c r="AV156" s="140"/>
      <c r="AW156" s="140"/>
      <c r="AX156" s="140"/>
      <c r="AY156" s="140"/>
      <c r="AZ156" s="140"/>
      <c r="BA156" s="140"/>
      <c r="BB156" s="140"/>
      <c r="BC156" s="140"/>
      <c r="BD156" s="140"/>
      <c r="BE156" s="140"/>
      <c r="BF156" s="140"/>
      <c r="BG156" s="140"/>
      <c r="BH156" s="140"/>
    </row>
    <row r="157" spans="1:60" outlineLevel="1" x14ac:dyDescent="0.25">
      <c r="A157" s="157">
        <f>A154+1</f>
        <v>58</v>
      </c>
      <c r="B157" s="158" t="s">
        <v>146</v>
      </c>
      <c r="C157" s="168" t="s">
        <v>147</v>
      </c>
      <c r="D157" s="159" t="s">
        <v>100</v>
      </c>
      <c r="E157" s="160">
        <v>1</v>
      </c>
      <c r="F157" s="161"/>
      <c r="G157" s="162">
        <f>ROUND(E157*F157,2)</f>
        <v>0</v>
      </c>
      <c r="H157" s="161">
        <v>0</v>
      </c>
      <c r="I157" s="162">
        <f>ROUND(E157*H157,2)</f>
        <v>0</v>
      </c>
      <c r="J157" s="161">
        <v>0</v>
      </c>
      <c r="K157" s="162">
        <f>ROUND(E157*J157,2)</f>
        <v>0</v>
      </c>
      <c r="L157" s="162">
        <v>21</v>
      </c>
      <c r="M157" s="162">
        <f>G157*(1+L157/100)</f>
        <v>0</v>
      </c>
      <c r="N157" s="162">
        <v>0</v>
      </c>
      <c r="O157" s="162">
        <f>ROUND(E157*N157,2)</f>
        <v>0</v>
      </c>
      <c r="P157" s="162">
        <v>0</v>
      </c>
      <c r="Q157" s="162">
        <f>ROUND(E157*P157,2)</f>
        <v>0</v>
      </c>
      <c r="R157" s="162"/>
      <c r="S157" s="162" t="s">
        <v>209</v>
      </c>
      <c r="T157" s="163" t="s">
        <v>101</v>
      </c>
      <c r="U157" s="149">
        <v>0</v>
      </c>
      <c r="V157" s="149">
        <f>ROUND(E157*U157,2)</f>
        <v>0</v>
      </c>
      <c r="W157" s="149"/>
      <c r="X157" s="149" t="s">
        <v>102</v>
      </c>
      <c r="Y157" s="140"/>
      <c r="Z157" s="140"/>
      <c r="AA157" s="140"/>
      <c r="AB157" s="140"/>
      <c r="AC157" s="140"/>
      <c r="AD157" s="140"/>
      <c r="AE157" s="140"/>
      <c r="AF157" s="140"/>
      <c r="AG157" s="140" t="s">
        <v>103</v>
      </c>
      <c r="AH157" s="140"/>
      <c r="AI157" s="140"/>
      <c r="AJ157" s="140"/>
      <c r="AK157" s="140"/>
      <c r="AL157" s="140"/>
      <c r="AM157" s="140"/>
      <c r="AN157" s="140"/>
      <c r="AO157" s="140"/>
      <c r="AP157" s="140"/>
      <c r="AQ157" s="140"/>
      <c r="AR157" s="140"/>
      <c r="AS157" s="140"/>
      <c r="AT157" s="140"/>
      <c r="AU157" s="140"/>
      <c r="AV157" s="140"/>
      <c r="AW157" s="140"/>
      <c r="AX157" s="140"/>
      <c r="AY157" s="140"/>
      <c r="AZ157" s="140"/>
      <c r="BA157" s="140"/>
      <c r="BB157" s="140"/>
      <c r="BC157" s="140"/>
      <c r="BD157" s="140"/>
      <c r="BE157" s="140"/>
      <c r="BF157" s="140"/>
      <c r="BG157" s="140"/>
      <c r="BH157" s="140"/>
    </row>
    <row r="158" spans="1:60" ht="13.95" customHeight="1" outlineLevel="1" x14ac:dyDescent="0.25">
      <c r="A158" s="147"/>
      <c r="B158" s="148"/>
      <c r="C158" s="306" t="s">
        <v>159</v>
      </c>
      <c r="D158" s="307"/>
      <c r="E158" s="307"/>
      <c r="F158" s="307"/>
      <c r="G158" s="307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0"/>
      <c r="Z158" s="140"/>
      <c r="AA158" s="140"/>
      <c r="AB158" s="140"/>
      <c r="AC158" s="140"/>
      <c r="AD158" s="140"/>
      <c r="AE158" s="140"/>
      <c r="AF158" s="140"/>
      <c r="AG158" s="140" t="s">
        <v>105</v>
      </c>
      <c r="AH158" s="140"/>
      <c r="AI158" s="140"/>
      <c r="AJ158" s="140"/>
      <c r="AK158" s="140"/>
      <c r="AL158" s="140"/>
      <c r="AM158" s="140"/>
      <c r="AN158" s="140"/>
      <c r="AO158" s="140"/>
      <c r="AP158" s="140"/>
      <c r="AQ158" s="140"/>
      <c r="AR158" s="140"/>
      <c r="AS158" s="140"/>
      <c r="AT158" s="140"/>
      <c r="AU158" s="140"/>
      <c r="AV158" s="140"/>
      <c r="AW158" s="140"/>
      <c r="AX158" s="140"/>
      <c r="AY158" s="140"/>
      <c r="AZ158" s="140"/>
      <c r="BA158" s="165" t="str">
        <f>C158</f>
        <v>Náklady spojené s povinnou publicitou. Zahrnuje zejména náklady na propagační a informační billboardy, tabule, internetovou propagaci, tiskoviny apod.</v>
      </c>
      <c r="BB158" s="140"/>
      <c r="BC158" s="140"/>
      <c r="BD158" s="140"/>
      <c r="BE158" s="140"/>
      <c r="BF158" s="140"/>
      <c r="BG158" s="140"/>
      <c r="BH158" s="140"/>
    </row>
    <row r="159" spans="1:60" outlineLevel="1" x14ac:dyDescent="0.25">
      <c r="A159" s="147"/>
      <c r="B159" s="148"/>
      <c r="C159" s="301"/>
      <c r="D159" s="302"/>
      <c r="E159" s="302"/>
      <c r="F159" s="302"/>
      <c r="G159" s="302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0"/>
      <c r="Z159" s="140"/>
      <c r="AA159" s="140"/>
      <c r="AB159" s="140"/>
      <c r="AC159" s="140"/>
      <c r="AD159" s="140"/>
      <c r="AE159" s="140"/>
      <c r="AF159" s="140"/>
      <c r="AG159" s="140" t="s">
        <v>93</v>
      </c>
      <c r="AH159" s="140"/>
      <c r="AI159" s="140"/>
      <c r="AJ159" s="140"/>
      <c r="AK159" s="140"/>
      <c r="AL159" s="140"/>
      <c r="AM159" s="140"/>
      <c r="AN159" s="140"/>
      <c r="AO159" s="140"/>
      <c r="AP159" s="140"/>
      <c r="AQ159" s="140"/>
      <c r="AR159" s="140"/>
      <c r="AS159" s="140"/>
      <c r="AT159" s="140"/>
      <c r="AU159" s="140"/>
      <c r="AV159" s="140"/>
      <c r="AW159" s="140"/>
      <c r="AX159" s="140"/>
      <c r="AY159" s="140"/>
      <c r="AZ159" s="140"/>
      <c r="BA159" s="140"/>
      <c r="BB159" s="140"/>
      <c r="BC159" s="140"/>
      <c r="BD159" s="140"/>
      <c r="BE159" s="140"/>
      <c r="BF159" s="140"/>
      <c r="BG159" s="140"/>
      <c r="BH159" s="140"/>
    </row>
    <row r="160" spans="1:60" x14ac:dyDescent="0.25">
      <c r="A160" s="3"/>
      <c r="B160" s="4"/>
      <c r="C160" s="170"/>
      <c r="D160" s="6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AE160">
        <v>15</v>
      </c>
      <c r="AF160">
        <v>21</v>
      </c>
      <c r="AG160" t="s">
        <v>78</v>
      </c>
    </row>
    <row r="161" spans="1:33" x14ac:dyDescent="0.25">
      <c r="A161" s="143"/>
      <c r="B161" s="144" t="s">
        <v>28</v>
      </c>
      <c r="C161" s="171"/>
      <c r="D161" s="145"/>
      <c r="E161" s="146"/>
      <c r="F161" s="146"/>
      <c r="G161" s="166">
        <f>G150+G139+G132+G125+G119+G86+G44+G8+G79</f>
        <v>0</v>
      </c>
      <c r="H161" s="3"/>
      <c r="I161" s="3"/>
      <c r="J161" s="3"/>
      <c r="K161" s="3"/>
      <c r="L161" s="142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AE161">
        <f>SUMIF(L7:L159,AE160,G7:G159)</f>
        <v>0</v>
      </c>
      <c r="AF161">
        <f>SUMIF(L7:L159,AF160,G7:G159)</f>
        <v>0</v>
      </c>
      <c r="AG161" t="s">
        <v>148</v>
      </c>
    </row>
    <row r="162" spans="1:33" x14ac:dyDescent="0.25">
      <c r="C162" s="172"/>
      <c r="D162" s="10"/>
      <c r="AG162" t="s">
        <v>149</v>
      </c>
    </row>
    <row r="163" spans="1:33" x14ac:dyDescent="0.25">
      <c r="D163" s="10"/>
    </row>
    <row r="164" spans="1:33" x14ac:dyDescent="0.25">
      <c r="D164" s="10"/>
    </row>
    <row r="165" spans="1:33" x14ac:dyDescent="0.25">
      <c r="D165" s="10"/>
    </row>
    <row r="166" spans="1:33" x14ac:dyDescent="0.25">
      <c r="D166" s="10"/>
    </row>
    <row r="167" spans="1:33" x14ac:dyDescent="0.25">
      <c r="D167" s="10"/>
    </row>
    <row r="168" spans="1:33" x14ac:dyDescent="0.25">
      <c r="D168" s="10"/>
    </row>
    <row r="169" spans="1:33" x14ac:dyDescent="0.25">
      <c r="D169" s="10"/>
    </row>
    <row r="170" spans="1:33" x14ac:dyDescent="0.25">
      <c r="D170" s="10"/>
    </row>
    <row r="171" spans="1:33" x14ac:dyDescent="0.25">
      <c r="D171" s="10"/>
    </row>
    <row r="172" spans="1:33" x14ac:dyDescent="0.25">
      <c r="D172" s="10"/>
    </row>
    <row r="173" spans="1:33" x14ac:dyDescent="0.25">
      <c r="D173" s="10"/>
    </row>
    <row r="174" spans="1:33" x14ac:dyDescent="0.25">
      <c r="D174" s="10"/>
    </row>
    <row r="175" spans="1:33" x14ac:dyDescent="0.25">
      <c r="D175" s="10"/>
    </row>
    <row r="176" spans="1:33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</sheetData>
  <sheetProtection algorithmName="SHA-512" hashValue="jUIJo6QpRCndS+mxXGZ1FxmXFJCWbnjQ/zcRixjCb2Y0kKAqJWXb9w+CIlY/05Bwt7Xw+c8/VOMeLUfPGAtf/w==" saltValue="XSasxvzar3TjgsvaM/F6QQ==" spinCount="100000" sheet="1" objects="1" scenarios="1"/>
  <mergeCells count="59">
    <mergeCell ref="C38:G38"/>
    <mergeCell ref="C89:G89"/>
    <mergeCell ref="C54:G54"/>
    <mergeCell ref="C46:G46"/>
    <mergeCell ref="C75:G75"/>
    <mergeCell ref="C82:G82"/>
    <mergeCell ref="C76:G76"/>
    <mergeCell ref="C131:G131"/>
    <mergeCell ref="C127:G127"/>
    <mergeCell ref="C117:G117"/>
    <mergeCell ref="C118:G118"/>
    <mergeCell ref="C122:G122"/>
    <mergeCell ref="C121:G121"/>
    <mergeCell ref="C107:G107"/>
    <mergeCell ref="C129:G129"/>
    <mergeCell ref="C30:G30"/>
    <mergeCell ref="C31:G31"/>
    <mergeCell ref="C43:G43"/>
    <mergeCell ref="C64:G64"/>
    <mergeCell ref="C52:G52"/>
    <mergeCell ref="C61:G61"/>
    <mergeCell ref="C62:G62"/>
    <mergeCell ref="C103:G103"/>
    <mergeCell ref="C106:G106"/>
    <mergeCell ref="C92:G92"/>
    <mergeCell ref="C104:G104"/>
    <mergeCell ref="C58:G58"/>
    <mergeCell ref="C115:G115"/>
    <mergeCell ref="C72:G72"/>
    <mergeCell ref="C158:G158"/>
    <mergeCell ref="C159:G159"/>
    <mergeCell ref="C134:G134"/>
    <mergeCell ref="C138:G138"/>
    <mergeCell ref="C143:G143"/>
    <mergeCell ref="C144:G144"/>
    <mergeCell ref="C141:G141"/>
    <mergeCell ref="C146:G146"/>
    <mergeCell ref="C148:G148"/>
    <mergeCell ref="C152:G152"/>
    <mergeCell ref="C156:G156"/>
    <mergeCell ref="C136:G136"/>
    <mergeCell ref="C153:G153"/>
    <mergeCell ref="C155:G155"/>
    <mergeCell ref="C27:G27"/>
    <mergeCell ref="C48:G48"/>
    <mergeCell ref="C33:G33"/>
    <mergeCell ref="A1:G1"/>
    <mergeCell ref="C3:G3"/>
    <mergeCell ref="C25:G25"/>
    <mergeCell ref="C13:G13"/>
    <mergeCell ref="C15:G15"/>
    <mergeCell ref="C17:G17"/>
    <mergeCell ref="C2:H2"/>
    <mergeCell ref="C4:H4"/>
    <mergeCell ref="C20:G20"/>
    <mergeCell ref="C23:G23"/>
    <mergeCell ref="C10:G10"/>
    <mergeCell ref="C35:G35"/>
    <mergeCell ref="C36:G36"/>
  </mergeCells>
  <pageMargins left="0.59055118110236204" right="0.196850393700787" top="0.78740157499999996" bottom="0.78740157499999996" header="0.3" footer="0.3"/>
  <pageSetup paperSize="9" scale="88" fitToHeight="0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BG4848"/>
  <sheetViews>
    <sheetView zoomScaleNormal="100" workbookViewId="0">
      <pane ySplit="7" topLeftCell="A32" activePane="bottomLeft" state="frozen"/>
      <selection pane="bottomLeft" activeCell="F108" sqref="F108"/>
    </sheetView>
  </sheetViews>
  <sheetFormatPr defaultColWidth="8.88671875" defaultRowHeight="13.2" outlineLevelRow="1" x14ac:dyDescent="0.25"/>
  <cols>
    <col min="1" max="1" width="3.44140625" customWidth="1"/>
    <col min="2" max="2" width="12.5546875" style="123" customWidth="1"/>
    <col min="3" max="3" width="63.33203125" style="123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1" width="0" hidden="1" customWidth="1"/>
    <col min="12" max="12" width="11.6640625" bestFit="1" customWidth="1"/>
    <col min="13" max="13" width="11.6640625" customWidth="1"/>
    <col min="14" max="17" width="0" hidden="1" customWidth="1"/>
    <col min="18" max="18" width="6.88671875" customWidth="1"/>
    <col min="19" max="19" width="9.109375"/>
    <col min="20" max="20" width="8.44140625" customWidth="1"/>
    <col min="21" max="24" width="0" hidden="1" customWidth="1"/>
    <col min="25" max="25" width="11.6640625" bestFit="1" customWidth="1"/>
    <col min="26" max="27" width="9.109375"/>
    <col min="28" max="28" width="0" hidden="1" customWidth="1"/>
    <col min="29" max="29" width="9.109375"/>
    <col min="30" max="40" width="0" hidden="1" customWidth="1"/>
    <col min="41" max="51" width="9.109375"/>
    <col min="52" max="52" width="98.6640625" customWidth="1"/>
  </cols>
  <sheetData>
    <row r="1" spans="1:59" ht="15.75" customHeight="1" x14ac:dyDescent="0.3">
      <c r="A1" s="296" t="s">
        <v>65</v>
      </c>
      <c r="B1" s="297"/>
      <c r="C1" s="297"/>
      <c r="D1" s="297"/>
      <c r="E1" s="297"/>
      <c r="F1" s="297"/>
      <c r="G1" s="297"/>
      <c r="H1" s="186"/>
      <c r="L1" s="190"/>
      <c r="AF1" t="s">
        <v>66</v>
      </c>
    </row>
    <row r="2" spans="1:59" ht="24.9" customHeight="1" x14ac:dyDescent="0.25">
      <c r="A2" s="187" t="s">
        <v>7</v>
      </c>
      <c r="B2" s="193" t="s">
        <v>349</v>
      </c>
      <c r="C2" s="303" t="s">
        <v>319</v>
      </c>
      <c r="D2" s="304"/>
      <c r="E2" s="304"/>
      <c r="F2" s="304"/>
      <c r="G2" s="304"/>
      <c r="H2" s="305"/>
      <c r="L2" s="190"/>
      <c r="AF2" t="s">
        <v>67</v>
      </c>
    </row>
    <row r="3" spans="1:59" ht="24.9" customHeight="1" x14ac:dyDescent="0.25">
      <c r="A3" s="187" t="s">
        <v>8</v>
      </c>
      <c r="B3" s="193" t="s">
        <v>43</v>
      </c>
      <c r="C3" s="298" t="s">
        <v>322</v>
      </c>
      <c r="D3" s="299"/>
      <c r="E3" s="299"/>
      <c r="F3" s="299"/>
      <c r="G3" s="300"/>
      <c r="H3" s="188"/>
      <c r="L3" s="190"/>
      <c r="AB3" s="123" t="s">
        <v>67</v>
      </c>
      <c r="AF3" t="s">
        <v>68</v>
      </c>
    </row>
    <row r="4" spans="1:59" ht="24.9" customHeight="1" x14ac:dyDescent="0.25">
      <c r="A4" s="189" t="s">
        <v>9</v>
      </c>
      <c r="B4" s="180" t="s">
        <v>349</v>
      </c>
      <c r="C4" s="247" t="s">
        <v>320</v>
      </c>
      <c r="D4" s="248"/>
      <c r="E4" s="248"/>
      <c r="F4" s="248"/>
      <c r="G4" s="248"/>
      <c r="H4" s="249"/>
      <c r="L4" s="190"/>
      <c r="AF4" t="s">
        <v>69</v>
      </c>
    </row>
    <row r="5" spans="1:59" x14ac:dyDescent="0.25">
      <c r="D5" s="10"/>
    </row>
    <row r="6" spans="1:59" ht="39.6" x14ac:dyDescent="0.25">
      <c r="A6" s="136" t="s">
        <v>70</v>
      </c>
      <c r="B6" s="138" t="s">
        <v>71</v>
      </c>
      <c r="C6" s="138" t="s">
        <v>72</v>
      </c>
      <c r="D6" s="137" t="s">
        <v>73</v>
      </c>
      <c r="E6" s="136" t="s">
        <v>74</v>
      </c>
      <c r="F6" s="135" t="s">
        <v>75</v>
      </c>
      <c r="G6" s="136" t="s">
        <v>28</v>
      </c>
      <c r="H6" s="139" t="s">
        <v>29</v>
      </c>
      <c r="I6" s="139" t="s">
        <v>76</v>
      </c>
      <c r="J6" s="139" t="s">
        <v>30</v>
      </c>
      <c r="K6" s="139" t="s">
        <v>77</v>
      </c>
      <c r="L6" s="139" t="s">
        <v>78</v>
      </c>
      <c r="M6" s="139" t="s">
        <v>79</v>
      </c>
      <c r="N6" s="139" t="s">
        <v>80</v>
      </c>
      <c r="O6" s="139" t="s">
        <v>81</v>
      </c>
      <c r="P6" s="139" t="s">
        <v>82</v>
      </c>
      <c r="Q6" s="139" t="s">
        <v>83</v>
      </c>
      <c r="R6" s="139" t="s">
        <v>84</v>
      </c>
      <c r="S6" s="139" t="s">
        <v>85</v>
      </c>
      <c r="T6" s="139" t="s">
        <v>86</v>
      </c>
      <c r="U6" s="139" t="s">
        <v>87</v>
      </c>
      <c r="V6" s="139" t="s">
        <v>88</v>
      </c>
      <c r="W6" s="139" t="s">
        <v>89</v>
      </c>
      <c r="X6" s="139" t="s">
        <v>90</v>
      </c>
    </row>
    <row r="7" spans="1:59" hidden="1" x14ac:dyDescent="0.25">
      <c r="A7" s="3"/>
      <c r="B7" s="4"/>
      <c r="C7" s="4"/>
      <c r="D7" s="6"/>
      <c r="E7" s="141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</row>
    <row r="8" spans="1:59" x14ac:dyDescent="0.25">
      <c r="A8" s="151" t="s">
        <v>91</v>
      </c>
      <c r="B8" s="152" t="s">
        <v>52</v>
      </c>
      <c r="C8" s="167" t="s">
        <v>53</v>
      </c>
      <c r="D8" s="153"/>
      <c r="E8" s="154"/>
      <c r="F8" s="155"/>
      <c r="G8" s="155">
        <f>SUMIF(AF9:AF35,"&lt;&gt;NOR",G9:G35)</f>
        <v>0</v>
      </c>
      <c r="H8" s="155"/>
      <c r="I8" s="155">
        <f>SUM(I9:I35)</f>
        <v>75.599999999999994</v>
      </c>
      <c r="J8" s="155"/>
      <c r="K8" s="155">
        <f>SUM(K9:K35)</f>
        <v>101614.98999999999</v>
      </c>
      <c r="L8" s="155"/>
      <c r="M8" s="155">
        <f>SUM(M9:M35)</f>
        <v>0</v>
      </c>
      <c r="N8" s="155"/>
      <c r="O8" s="155">
        <f>SUM(O9:O35)</f>
        <v>0</v>
      </c>
      <c r="P8" s="155"/>
      <c r="Q8" s="155">
        <f>SUM(Q9:Q35)</f>
        <v>0</v>
      </c>
      <c r="R8" s="155"/>
      <c r="S8" s="155"/>
      <c r="T8" s="156"/>
      <c r="U8" s="150"/>
      <c r="V8" s="150">
        <f>SUM(V9:V11)</f>
        <v>0</v>
      </c>
      <c r="W8" s="150"/>
      <c r="X8" s="150"/>
      <c r="Y8" s="84"/>
      <c r="AF8" t="s">
        <v>92</v>
      </c>
    </row>
    <row r="9" spans="1:59" outlineLevel="1" x14ac:dyDescent="0.25">
      <c r="A9" s="157">
        <v>1</v>
      </c>
      <c r="B9" s="158" t="s">
        <v>251</v>
      </c>
      <c r="C9" s="168" t="s">
        <v>252</v>
      </c>
      <c r="D9" s="159" t="s">
        <v>116</v>
      </c>
      <c r="E9" s="160">
        <f>8*3*2.5*2</f>
        <v>120</v>
      </c>
      <c r="F9" s="161"/>
      <c r="G9" s="162">
        <f>ROUND(E9*F9,2)</f>
        <v>0</v>
      </c>
      <c r="H9" s="161">
        <v>0</v>
      </c>
      <c r="I9" s="162">
        <f>ROUND(E9*H9,2)</f>
        <v>0</v>
      </c>
      <c r="J9" s="161">
        <v>118</v>
      </c>
      <c r="K9" s="162">
        <f>ROUND(E9*J9,2)</f>
        <v>14160</v>
      </c>
      <c r="L9" s="162">
        <v>21</v>
      </c>
      <c r="M9" s="162">
        <f>G9*(1+L9/100)</f>
        <v>0</v>
      </c>
      <c r="N9" s="162">
        <v>0</v>
      </c>
      <c r="O9" s="162">
        <f>ROUND(E9*N9,2)</f>
        <v>0</v>
      </c>
      <c r="P9" s="162">
        <v>0</v>
      </c>
      <c r="Q9" s="162">
        <f>ROUND(E9*P9,2)</f>
        <v>0</v>
      </c>
      <c r="R9" s="162" t="s">
        <v>115</v>
      </c>
      <c r="S9" s="162" t="s">
        <v>345</v>
      </c>
      <c r="T9" s="162" t="s">
        <v>345</v>
      </c>
      <c r="U9" s="149"/>
      <c r="V9" s="149"/>
      <c r="W9" s="149"/>
      <c r="X9" s="149"/>
      <c r="Y9" s="140"/>
      <c r="Z9" s="140"/>
      <c r="AA9" s="140"/>
      <c r="AB9" s="140"/>
      <c r="AC9" s="140"/>
      <c r="AD9" s="140"/>
      <c r="AE9" s="140"/>
      <c r="AF9" s="140" t="s">
        <v>93</v>
      </c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</row>
    <row r="10" spans="1:59" ht="12.75" customHeight="1" outlineLevel="1" x14ac:dyDescent="0.25">
      <c r="A10" s="147"/>
      <c r="B10" s="148"/>
      <c r="C10" s="292" t="s">
        <v>253</v>
      </c>
      <c r="D10" s="293"/>
      <c r="E10" s="293"/>
      <c r="F10" s="293"/>
      <c r="G10" s="293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>
        <v>0</v>
      </c>
      <c r="V10" s="149">
        <f>ROUND(E10*U10,2)</f>
        <v>0</v>
      </c>
      <c r="W10" s="149"/>
      <c r="X10" s="149" t="s">
        <v>110</v>
      </c>
      <c r="Y10" s="140"/>
      <c r="Z10" s="140"/>
      <c r="AA10" s="140"/>
      <c r="AB10" s="140"/>
      <c r="AC10" s="140"/>
      <c r="AD10" s="140"/>
      <c r="AE10" s="140"/>
      <c r="AF10" s="140" t="s">
        <v>111</v>
      </c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</row>
    <row r="11" spans="1:59" outlineLevel="1" x14ac:dyDescent="0.25">
      <c r="A11" s="147"/>
      <c r="B11" s="148"/>
      <c r="C11" s="301"/>
      <c r="D11" s="302"/>
      <c r="E11" s="302"/>
      <c r="F11" s="302"/>
      <c r="G11" s="302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0"/>
      <c r="Z11" s="140"/>
      <c r="AA11" s="140"/>
      <c r="AB11" s="140"/>
      <c r="AC11" s="140"/>
      <c r="AD11" s="140"/>
      <c r="AE11" s="140"/>
      <c r="AF11" s="140" t="s">
        <v>93</v>
      </c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</row>
    <row r="12" spans="1:59" outlineLevel="1" x14ac:dyDescent="0.25">
      <c r="A12" s="157">
        <f>A9+1</f>
        <v>2</v>
      </c>
      <c r="B12" s="158" t="s">
        <v>254</v>
      </c>
      <c r="C12" s="168" t="s">
        <v>255</v>
      </c>
      <c r="D12" s="159" t="s">
        <v>116</v>
      </c>
      <c r="E12" s="160">
        <v>5.98</v>
      </c>
      <c r="F12" s="161"/>
      <c r="G12" s="162">
        <f>ROUND(E12*F12,2)</f>
        <v>0</v>
      </c>
      <c r="H12" s="161">
        <v>0</v>
      </c>
      <c r="I12" s="162">
        <f>ROUND(E12*H12,2)</f>
        <v>0</v>
      </c>
      <c r="J12" s="161">
        <v>240</v>
      </c>
      <c r="K12" s="162">
        <f>ROUND(E12*J12,2)</f>
        <v>1435.2</v>
      </c>
      <c r="L12" s="162">
        <v>21</v>
      </c>
      <c r="M12" s="162">
        <f>G12*(1+L12/100)</f>
        <v>0</v>
      </c>
      <c r="N12" s="162">
        <v>0</v>
      </c>
      <c r="O12" s="162">
        <f>ROUND(E12*N12,2)</f>
        <v>0</v>
      </c>
      <c r="P12" s="162">
        <v>0</v>
      </c>
      <c r="Q12" s="162">
        <f>ROUND(E12*P12,2)</f>
        <v>0</v>
      </c>
      <c r="R12" s="162" t="s">
        <v>115</v>
      </c>
      <c r="S12" s="162" t="s">
        <v>345</v>
      </c>
      <c r="T12" s="162" t="s">
        <v>345</v>
      </c>
      <c r="U12" s="149"/>
      <c r="V12" s="149"/>
      <c r="W12" s="149"/>
      <c r="X12" s="149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</row>
    <row r="13" spans="1:59" ht="12.75" customHeight="1" outlineLevel="1" x14ac:dyDescent="0.25">
      <c r="A13" s="147"/>
      <c r="B13" s="148"/>
      <c r="C13" s="292" t="s">
        <v>256</v>
      </c>
      <c r="D13" s="293"/>
      <c r="E13" s="293"/>
      <c r="F13" s="293"/>
      <c r="G13" s="293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</row>
    <row r="14" spans="1:59" outlineLevel="1" x14ac:dyDescent="0.25">
      <c r="A14" s="147"/>
      <c r="B14" s="148"/>
      <c r="C14" s="301"/>
      <c r="D14" s="302"/>
      <c r="E14" s="302"/>
      <c r="F14" s="302"/>
      <c r="G14" s="302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</row>
    <row r="15" spans="1:59" outlineLevel="1" x14ac:dyDescent="0.25">
      <c r="A15" s="157">
        <f>A12+1</f>
        <v>3</v>
      </c>
      <c r="B15" s="158" t="s">
        <v>257</v>
      </c>
      <c r="C15" s="168" t="s">
        <v>258</v>
      </c>
      <c r="D15" s="159" t="s">
        <v>116</v>
      </c>
      <c r="E15" s="160">
        <v>17.95</v>
      </c>
      <c r="F15" s="161"/>
      <c r="G15" s="162">
        <f>ROUND(E15*F15,2)</f>
        <v>0</v>
      </c>
      <c r="H15" s="161">
        <v>0</v>
      </c>
      <c r="I15" s="162">
        <f>ROUND(E15*H15,2)</f>
        <v>0</v>
      </c>
      <c r="J15" s="161">
        <v>758</v>
      </c>
      <c r="K15" s="162">
        <f>ROUND(E15*J15,2)</f>
        <v>13606.1</v>
      </c>
      <c r="L15" s="162">
        <v>21</v>
      </c>
      <c r="M15" s="162">
        <f>G15*(1+L15/100)</f>
        <v>0</v>
      </c>
      <c r="N15" s="162">
        <v>0</v>
      </c>
      <c r="O15" s="162">
        <f>ROUND(E15*N15,2)</f>
        <v>0</v>
      </c>
      <c r="P15" s="162">
        <v>0</v>
      </c>
      <c r="Q15" s="162">
        <f>ROUND(E15*P15,2)</f>
        <v>0</v>
      </c>
      <c r="R15" s="162" t="s">
        <v>115</v>
      </c>
      <c r="S15" s="162" t="s">
        <v>345</v>
      </c>
      <c r="T15" s="162" t="s">
        <v>345</v>
      </c>
      <c r="U15" s="149"/>
      <c r="V15" s="149"/>
      <c r="W15" s="149"/>
      <c r="X15" s="149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</row>
    <row r="16" spans="1:59" outlineLevel="1" x14ac:dyDescent="0.25">
      <c r="A16" s="147"/>
      <c r="B16" s="148"/>
      <c r="C16" s="292" t="s">
        <v>259</v>
      </c>
      <c r="D16" s="293"/>
      <c r="E16" s="293"/>
      <c r="F16" s="293"/>
      <c r="G16" s="293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</row>
    <row r="17" spans="1:59" outlineLevel="1" x14ac:dyDescent="0.25">
      <c r="A17" s="147"/>
      <c r="B17" s="148"/>
      <c r="C17" s="301"/>
      <c r="D17" s="302"/>
      <c r="E17" s="302"/>
      <c r="F17" s="302"/>
      <c r="G17" s="302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</row>
    <row r="18" spans="1:59" outlineLevel="1" x14ac:dyDescent="0.25">
      <c r="A18" s="157">
        <f>A15+1</f>
        <v>4</v>
      </c>
      <c r="B18" s="158" t="s">
        <v>260</v>
      </c>
      <c r="C18" s="168" t="s">
        <v>261</v>
      </c>
      <c r="D18" s="159" t="s">
        <v>116</v>
      </c>
      <c r="E18" s="160">
        <v>17.95</v>
      </c>
      <c r="F18" s="161"/>
      <c r="G18" s="162">
        <f>ROUND(E18*F18,2)</f>
        <v>0</v>
      </c>
      <c r="H18" s="161">
        <v>0</v>
      </c>
      <c r="I18" s="162">
        <f>ROUND(E18*H18,2)</f>
        <v>0</v>
      </c>
      <c r="J18" s="161">
        <v>118</v>
      </c>
      <c r="K18" s="162">
        <f>ROUND(E18*J18,2)</f>
        <v>2118.1</v>
      </c>
      <c r="L18" s="162">
        <v>21</v>
      </c>
      <c r="M18" s="162">
        <f>G18*(1+L18/100)</f>
        <v>0</v>
      </c>
      <c r="N18" s="162">
        <v>0</v>
      </c>
      <c r="O18" s="162">
        <f>ROUND(E18*N18,2)</f>
        <v>0</v>
      </c>
      <c r="P18" s="162">
        <v>0</v>
      </c>
      <c r="Q18" s="162">
        <f>ROUND(E18*P18,2)</f>
        <v>0</v>
      </c>
      <c r="R18" s="162" t="s">
        <v>115</v>
      </c>
      <c r="S18" s="162" t="s">
        <v>345</v>
      </c>
      <c r="T18" s="162" t="s">
        <v>345</v>
      </c>
      <c r="U18" s="149"/>
      <c r="V18" s="149"/>
      <c r="W18" s="149"/>
      <c r="X18" s="149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</row>
    <row r="19" spans="1:59" outlineLevel="1" x14ac:dyDescent="0.25">
      <c r="A19" s="147"/>
      <c r="B19" s="148"/>
      <c r="C19" s="292" t="s">
        <v>259</v>
      </c>
      <c r="D19" s="293"/>
      <c r="E19" s="293"/>
      <c r="F19" s="293"/>
      <c r="G19" s="293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</row>
    <row r="20" spans="1:59" outlineLevel="1" x14ac:dyDescent="0.25">
      <c r="A20" s="147"/>
      <c r="B20" s="148"/>
      <c r="C20" s="301"/>
      <c r="D20" s="302"/>
      <c r="E20" s="302"/>
      <c r="F20" s="302"/>
      <c r="G20" s="302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</row>
    <row r="21" spans="1:59" outlineLevel="1" x14ac:dyDescent="0.25">
      <c r="A21" s="157">
        <f>A18+1</f>
        <v>5</v>
      </c>
      <c r="B21" s="158" t="s">
        <v>118</v>
      </c>
      <c r="C21" s="168" t="s">
        <v>338</v>
      </c>
      <c r="D21" s="159" t="s">
        <v>116</v>
      </c>
      <c r="E21" s="160">
        <f>E50</f>
        <v>49.896000000000001</v>
      </c>
      <c r="F21" s="161"/>
      <c r="G21" s="162">
        <f>ROUND(E21*F21,2)</f>
        <v>0</v>
      </c>
      <c r="H21" s="161">
        <v>0</v>
      </c>
      <c r="I21" s="162">
        <f>ROUND(E21*H21,2)</f>
        <v>0</v>
      </c>
      <c r="J21" s="161">
        <v>259.5</v>
      </c>
      <c r="K21" s="162">
        <f>ROUND(E21*J21,2)</f>
        <v>12948.01</v>
      </c>
      <c r="L21" s="162">
        <v>21</v>
      </c>
      <c r="M21" s="162">
        <f>G21*(1+L21/100)</f>
        <v>0</v>
      </c>
      <c r="N21" s="162">
        <v>0</v>
      </c>
      <c r="O21" s="162">
        <f>ROUND(E21*N21,2)</f>
        <v>0</v>
      </c>
      <c r="P21" s="162">
        <v>0</v>
      </c>
      <c r="Q21" s="162">
        <f>ROUND(E21*P21,2)</f>
        <v>0</v>
      </c>
      <c r="R21" s="162" t="s">
        <v>115</v>
      </c>
      <c r="S21" s="162" t="s">
        <v>345</v>
      </c>
      <c r="T21" s="162" t="s">
        <v>345</v>
      </c>
      <c r="U21" s="149"/>
      <c r="V21" s="149"/>
      <c r="W21" s="149"/>
      <c r="X21" s="149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</row>
    <row r="22" spans="1:59" ht="12.75" customHeight="1" outlineLevel="1" x14ac:dyDescent="0.25">
      <c r="A22" s="147"/>
      <c r="B22" s="148"/>
      <c r="C22" s="292" t="s">
        <v>119</v>
      </c>
      <c r="D22" s="293"/>
      <c r="E22" s="293"/>
      <c r="F22" s="293"/>
      <c r="G22" s="293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</row>
    <row r="23" spans="1:59" outlineLevel="1" x14ac:dyDescent="0.25">
      <c r="A23" s="147"/>
      <c r="B23" s="148"/>
      <c r="C23" s="301"/>
      <c r="D23" s="302"/>
      <c r="E23" s="302"/>
      <c r="F23" s="302"/>
      <c r="G23" s="302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</row>
    <row r="24" spans="1:59" outlineLevel="1" x14ac:dyDescent="0.25">
      <c r="A24" s="157">
        <f>A21+1</f>
        <v>6</v>
      </c>
      <c r="B24" s="158" t="s">
        <v>120</v>
      </c>
      <c r="C24" s="168" t="s">
        <v>164</v>
      </c>
      <c r="D24" s="159" t="s">
        <v>116</v>
      </c>
      <c r="E24" s="160">
        <f>E9-E21</f>
        <v>70.103999999999999</v>
      </c>
      <c r="F24" s="161"/>
      <c r="G24" s="162">
        <f>ROUND(E24*F24,2)</f>
        <v>0</v>
      </c>
      <c r="H24" s="161">
        <v>0</v>
      </c>
      <c r="I24" s="162">
        <f>ROUND(E24*H24,2)</f>
        <v>0</v>
      </c>
      <c r="J24" s="161">
        <v>265</v>
      </c>
      <c r="K24" s="162">
        <f>ROUND(E24*J24,2)</f>
        <v>18577.560000000001</v>
      </c>
      <c r="L24" s="162">
        <v>21</v>
      </c>
      <c r="M24" s="162">
        <f>G24*(1+L24/100)</f>
        <v>0</v>
      </c>
      <c r="N24" s="162">
        <v>0</v>
      </c>
      <c r="O24" s="162">
        <f>ROUND(E24*N24,2)</f>
        <v>0</v>
      </c>
      <c r="P24" s="162">
        <v>0</v>
      </c>
      <c r="Q24" s="162">
        <f>ROUND(E24*P24,2)</f>
        <v>0</v>
      </c>
      <c r="R24" s="162" t="s">
        <v>115</v>
      </c>
      <c r="S24" s="162" t="s">
        <v>345</v>
      </c>
      <c r="T24" s="162" t="s">
        <v>345</v>
      </c>
      <c r="U24" s="149"/>
      <c r="V24" s="149"/>
      <c r="W24" s="149"/>
      <c r="X24" s="149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</row>
    <row r="25" spans="1:59" ht="12.75" customHeight="1" outlineLevel="1" x14ac:dyDescent="0.25">
      <c r="A25" s="147"/>
      <c r="B25" s="148"/>
      <c r="C25" s="294"/>
      <c r="D25" s="295"/>
      <c r="E25" s="295"/>
      <c r="F25" s="295"/>
      <c r="G25" s="295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</row>
    <row r="26" spans="1:59" outlineLevel="1" x14ac:dyDescent="0.25">
      <c r="A26" s="157">
        <f>A24+1</f>
        <v>7</v>
      </c>
      <c r="B26" s="158" t="s">
        <v>199</v>
      </c>
      <c r="C26" s="168" t="s">
        <v>303</v>
      </c>
      <c r="D26" s="159" t="s">
        <v>116</v>
      </c>
      <c r="E26" s="160">
        <f>E24</f>
        <v>70.103999999999999</v>
      </c>
      <c r="F26" s="161"/>
      <c r="G26" s="162">
        <f>E26*F26</f>
        <v>0</v>
      </c>
      <c r="H26" s="161">
        <v>0</v>
      </c>
      <c r="I26" s="162">
        <v>0</v>
      </c>
      <c r="J26" s="161">
        <v>282.5</v>
      </c>
      <c r="K26" s="162">
        <v>22882.5</v>
      </c>
      <c r="L26" s="162">
        <v>21</v>
      </c>
      <c r="M26" s="162">
        <f>G26*1.21</f>
        <v>0</v>
      </c>
      <c r="N26" s="162">
        <v>0</v>
      </c>
      <c r="O26" s="162">
        <v>0</v>
      </c>
      <c r="P26" s="162">
        <v>0</v>
      </c>
      <c r="Q26" s="162">
        <v>0</v>
      </c>
      <c r="R26" s="162" t="s">
        <v>115</v>
      </c>
      <c r="S26" s="162" t="s">
        <v>345</v>
      </c>
      <c r="T26" s="162" t="s">
        <v>345</v>
      </c>
      <c r="U26" s="149"/>
      <c r="V26" s="149"/>
      <c r="W26" s="149"/>
      <c r="X26" s="149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</row>
    <row r="27" spans="1:59" outlineLevel="1" x14ac:dyDescent="0.25">
      <c r="A27" s="157"/>
      <c r="B27" s="158"/>
      <c r="C27" s="294"/>
      <c r="D27" s="295"/>
      <c r="E27" s="295"/>
      <c r="F27" s="295"/>
      <c r="G27" s="295"/>
      <c r="H27" s="161"/>
      <c r="I27" s="162"/>
      <c r="J27" s="161"/>
      <c r="K27" s="162"/>
      <c r="L27" s="162"/>
      <c r="M27" s="162"/>
      <c r="N27" s="162"/>
      <c r="O27" s="162"/>
      <c r="P27" s="162"/>
      <c r="Q27" s="162"/>
      <c r="R27" s="162"/>
      <c r="S27" s="162"/>
      <c r="T27" s="201"/>
      <c r="U27" s="149"/>
      <c r="V27" s="149"/>
      <c r="W27" s="149"/>
      <c r="X27" s="149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</row>
    <row r="28" spans="1:59" outlineLevel="1" x14ac:dyDescent="0.25">
      <c r="A28" s="157">
        <f>A26+1</f>
        <v>8</v>
      </c>
      <c r="B28" s="158" t="s">
        <v>121</v>
      </c>
      <c r="C28" s="168" t="s">
        <v>160</v>
      </c>
      <c r="D28" s="159" t="s">
        <v>98</v>
      </c>
      <c r="E28" s="160">
        <f>3*3*5</f>
        <v>45</v>
      </c>
      <c r="F28" s="161"/>
      <c r="G28" s="162">
        <f>ROUND(E28*F28,2)</f>
        <v>0</v>
      </c>
      <c r="H28" s="161">
        <v>1.68</v>
      </c>
      <c r="I28" s="162">
        <f>ROUND(E28*H28,2)</f>
        <v>75.599999999999994</v>
      </c>
      <c r="J28" s="161">
        <v>22.42</v>
      </c>
      <c r="K28" s="162">
        <f>ROUND(E28*J28,2)</f>
        <v>1008.9</v>
      </c>
      <c r="L28" s="162">
        <v>21</v>
      </c>
      <c r="M28" s="162">
        <f>G28*(1+L28/100)</f>
        <v>0</v>
      </c>
      <c r="N28" s="162">
        <v>0</v>
      </c>
      <c r="O28" s="162">
        <f>ROUND(E28*N28,2)</f>
        <v>0</v>
      </c>
      <c r="P28" s="162">
        <v>0</v>
      </c>
      <c r="Q28" s="162">
        <f>ROUND(E28*P28,2)</f>
        <v>0</v>
      </c>
      <c r="R28" s="162" t="s">
        <v>122</v>
      </c>
      <c r="S28" s="162" t="s">
        <v>345</v>
      </c>
      <c r="T28" s="162" t="s">
        <v>345</v>
      </c>
      <c r="U28" s="149"/>
      <c r="V28" s="149"/>
      <c r="W28" s="149"/>
      <c r="X28" s="149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</row>
    <row r="29" spans="1:59" ht="12.75" customHeight="1" outlineLevel="1" x14ac:dyDescent="0.25">
      <c r="A29" s="147"/>
      <c r="B29" s="148"/>
      <c r="C29" s="292" t="s">
        <v>123</v>
      </c>
      <c r="D29" s="293"/>
      <c r="E29" s="293"/>
      <c r="F29" s="293"/>
      <c r="G29" s="293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</row>
    <row r="30" spans="1:59" outlineLevel="1" x14ac:dyDescent="0.25">
      <c r="A30" s="147"/>
      <c r="B30" s="148"/>
      <c r="C30" s="301"/>
      <c r="D30" s="302"/>
      <c r="E30" s="302"/>
      <c r="F30" s="302"/>
      <c r="G30" s="302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</row>
    <row r="31" spans="1:59" ht="13.5" customHeight="1" outlineLevel="1" x14ac:dyDescent="0.25">
      <c r="A31" s="157">
        <f>A28+1</f>
        <v>9</v>
      </c>
      <c r="B31" s="158" t="s">
        <v>192</v>
      </c>
      <c r="C31" s="168" t="s">
        <v>182</v>
      </c>
      <c r="D31" s="159" t="s">
        <v>98</v>
      </c>
      <c r="E31" s="160">
        <f>E28</f>
        <v>45</v>
      </c>
      <c r="F31" s="161"/>
      <c r="G31" s="162">
        <f>ROUND(E31*F31,2)</f>
        <v>0</v>
      </c>
      <c r="H31" s="161">
        <v>0</v>
      </c>
      <c r="I31" s="162">
        <f>ROUND(E31*H31,2)</f>
        <v>0</v>
      </c>
      <c r="J31" s="161">
        <v>17.399999999999999</v>
      </c>
      <c r="K31" s="162">
        <f>ROUND(E31*J31,2)</f>
        <v>783</v>
      </c>
      <c r="L31" s="162">
        <v>21</v>
      </c>
      <c r="M31" s="162">
        <f>G31*(1+L31/100)</f>
        <v>0</v>
      </c>
      <c r="N31" s="162">
        <v>0</v>
      </c>
      <c r="O31" s="162">
        <f>ROUND(E31*N31,2)</f>
        <v>0</v>
      </c>
      <c r="P31" s="162">
        <v>0</v>
      </c>
      <c r="Q31" s="162">
        <f>ROUND(E31*P31,2)</f>
        <v>0</v>
      </c>
      <c r="R31" s="162" t="s">
        <v>181</v>
      </c>
      <c r="S31" s="162" t="s">
        <v>345</v>
      </c>
      <c r="T31" s="162" t="s">
        <v>345</v>
      </c>
      <c r="U31" s="149"/>
      <c r="V31" s="149"/>
      <c r="W31" s="149"/>
      <c r="X31" s="149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</row>
    <row r="32" spans="1:59" ht="12.75" customHeight="1" outlineLevel="1" x14ac:dyDescent="0.25">
      <c r="A32" s="147"/>
      <c r="B32" s="148"/>
      <c r="C32" s="292" t="s">
        <v>183</v>
      </c>
      <c r="D32" s="293"/>
      <c r="E32" s="293"/>
      <c r="F32" s="293"/>
      <c r="G32" s="293"/>
      <c r="H32" s="181"/>
      <c r="I32" s="149"/>
      <c r="J32" s="181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</row>
    <row r="33" spans="1:59" outlineLevel="1" x14ac:dyDescent="0.25">
      <c r="A33" s="147"/>
      <c r="B33" s="148"/>
      <c r="C33" s="169"/>
      <c r="D33" s="164"/>
      <c r="E33" s="164"/>
      <c r="F33" s="164"/>
      <c r="G33" s="164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</row>
    <row r="34" spans="1:59" outlineLevel="1" x14ac:dyDescent="0.25">
      <c r="A34" s="157">
        <f>A31+1</f>
        <v>10</v>
      </c>
      <c r="B34" s="158" t="s">
        <v>124</v>
      </c>
      <c r="C34" s="168" t="s">
        <v>125</v>
      </c>
      <c r="D34" s="159" t="s">
        <v>116</v>
      </c>
      <c r="E34" s="160">
        <f>E21</f>
        <v>49.896000000000001</v>
      </c>
      <c r="F34" s="161"/>
      <c r="G34" s="162">
        <f>ROUND(E34*F34,2)</f>
        <v>0</v>
      </c>
      <c r="H34" s="161">
        <v>0</v>
      </c>
      <c r="I34" s="162">
        <f>ROUND(E34*H34,2)</f>
        <v>0</v>
      </c>
      <c r="J34" s="161">
        <v>282.5</v>
      </c>
      <c r="K34" s="162">
        <f>ROUND(E34*J34,2)</f>
        <v>14095.62</v>
      </c>
      <c r="L34" s="162">
        <v>21</v>
      </c>
      <c r="M34" s="162">
        <f>G34*(1+L34/100)</f>
        <v>0</v>
      </c>
      <c r="N34" s="162">
        <v>0</v>
      </c>
      <c r="O34" s="162">
        <f>ROUND(E34*N34,2)</f>
        <v>0</v>
      </c>
      <c r="P34" s="162">
        <v>0</v>
      </c>
      <c r="Q34" s="162">
        <f>ROUND(E34*P34,2)</f>
        <v>0</v>
      </c>
      <c r="R34" s="162" t="s">
        <v>115</v>
      </c>
      <c r="S34" s="162" t="s">
        <v>345</v>
      </c>
      <c r="T34" s="162" t="s">
        <v>345</v>
      </c>
      <c r="U34" s="149"/>
      <c r="V34" s="149"/>
      <c r="W34" s="149"/>
      <c r="X34" s="149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</row>
    <row r="35" spans="1:59" outlineLevel="1" x14ac:dyDescent="0.25">
      <c r="A35" s="147"/>
      <c r="B35" s="148"/>
      <c r="C35" s="294"/>
      <c r="D35" s="295"/>
      <c r="E35" s="295"/>
      <c r="F35" s="295"/>
      <c r="G35" s="295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</row>
    <row r="36" spans="1:59" outlineLevel="1" x14ac:dyDescent="0.25">
      <c r="A36" s="151" t="s">
        <v>91</v>
      </c>
      <c r="B36" s="152" t="s">
        <v>262</v>
      </c>
      <c r="C36" s="167" t="s">
        <v>263</v>
      </c>
      <c r="D36" s="153"/>
      <c r="E36" s="154"/>
      <c r="F36" s="155"/>
      <c r="G36" s="155">
        <f>SUMIF(AF37:AF38,"&lt;&gt;NOR",G37:G38)</f>
        <v>0</v>
      </c>
      <c r="H36" s="155"/>
      <c r="I36" s="155">
        <f>SUM(I37:I38)</f>
        <v>356.55</v>
      </c>
      <c r="J36" s="155"/>
      <c r="K36" s="155">
        <f>SUM(K37:K38)</f>
        <v>795.45</v>
      </c>
      <c r="L36" s="155"/>
      <c r="M36" s="155">
        <f>SUM(M37:M38)</f>
        <v>0</v>
      </c>
      <c r="N36" s="155"/>
      <c r="O36" s="155">
        <f>SUM(O37:O38)</f>
        <v>0.26</v>
      </c>
      <c r="P36" s="155"/>
      <c r="Q36" s="155">
        <f>SUM(Q37:Q38)</f>
        <v>0</v>
      </c>
      <c r="R36" s="155"/>
      <c r="S36" s="155"/>
      <c r="T36" s="156"/>
      <c r="U36" s="149"/>
      <c r="V36" s="149"/>
      <c r="W36" s="149"/>
      <c r="X36" s="149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</row>
    <row r="37" spans="1:59" outlineLevel="1" x14ac:dyDescent="0.25">
      <c r="A37" s="157">
        <f>A34+1</f>
        <v>11</v>
      </c>
      <c r="B37" s="158" t="s">
        <v>336</v>
      </c>
      <c r="C37" s="168" t="s">
        <v>337</v>
      </c>
      <c r="D37" s="159" t="s">
        <v>311</v>
      </c>
      <c r="E37" s="160">
        <v>1</v>
      </c>
      <c r="F37" s="161"/>
      <c r="G37" s="162">
        <f>ROUND(E37*F37,2)</f>
        <v>0</v>
      </c>
      <c r="H37" s="161">
        <v>356.55</v>
      </c>
      <c r="I37" s="162">
        <f>ROUND(E37*H37,2)</f>
        <v>356.55</v>
      </c>
      <c r="J37" s="161">
        <v>795.45</v>
      </c>
      <c r="K37" s="162">
        <f>ROUND(E37*J37,2)</f>
        <v>795.45</v>
      </c>
      <c r="L37" s="162">
        <v>21</v>
      </c>
      <c r="M37" s="162">
        <f>G37*(1+L37/100)</f>
        <v>0</v>
      </c>
      <c r="N37" s="162">
        <v>0.26486999999999999</v>
      </c>
      <c r="O37" s="162">
        <f>ROUND(E37*N37,2)</f>
        <v>0.26</v>
      </c>
      <c r="P37" s="162">
        <v>0</v>
      </c>
      <c r="Q37" s="162">
        <f>ROUND(E37*P37,2)</f>
        <v>0</v>
      </c>
      <c r="R37" s="162" t="s">
        <v>265</v>
      </c>
      <c r="S37" s="163" t="s">
        <v>101</v>
      </c>
      <c r="T37" s="163" t="s">
        <v>101</v>
      </c>
      <c r="U37" s="149"/>
      <c r="V37" s="149"/>
      <c r="W37" s="149"/>
      <c r="X37" s="149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</row>
    <row r="38" spans="1:59" outlineLevel="1" x14ac:dyDescent="0.25">
      <c r="A38" s="147"/>
      <c r="B38" s="148"/>
      <c r="C38" s="294"/>
      <c r="D38" s="295"/>
      <c r="E38" s="295"/>
      <c r="F38" s="295"/>
      <c r="G38" s="295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</row>
    <row r="39" spans="1:59" x14ac:dyDescent="0.25">
      <c r="A39" s="151" t="s">
        <v>91</v>
      </c>
      <c r="B39" s="152" t="s">
        <v>200</v>
      </c>
      <c r="C39" s="167" t="s">
        <v>201</v>
      </c>
      <c r="D39" s="153"/>
      <c r="E39" s="154"/>
      <c r="F39" s="155"/>
      <c r="G39" s="155">
        <f>SUMIF(AF40:AF48,"&lt;&gt;NOR",G40:G48)</f>
        <v>0</v>
      </c>
      <c r="H39" s="155"/>
      <c r="I39" s="155">
        <f>SUM(I40:I48)</f>
        <v>34413.61</v>
      </c>
      <c r="J39" s="155"/>
      <c r="K39" s="155">
        <f>SUM(K40:K48)</f>
        <v>59869.19</v>
      </c>
      <c r="L39" s="155"/>
      <c r="M39" s="155">
        <f>SUM(M40:M48)</f>
        <v>0</v>
      </c>
      <c r="N39" s="155"/>
      <c r="O39" s="155">
        <f>SUM(O40:O48)</f>
        <v>28.73</v>
      </c>
      <c r="P39" s="155"/>
      <c r="Q39" s="155">
        <f>SUM(Q40:Q48)</f>
        <v>0</v>
      </c>
      <c r="R39" s="155"/>
      <c r="S39" s="155"/>
      <c r="T39" s="156"/>
      <c r="U39" s="150"/>
      <c r="V39" s="150">
        <f>SUM(V40:V43)</f>
        <v>0</v>
      </c>
      <c r="W39" s="150"/>
      <c r="X39" s="150"/>
      <c r="Y39" s="84"/>
      <c r="AF39" t="s">
        <v>92</v>
      </c>
    </row>
    <row r="40" spans="1:59" outlineLevel="1" x14ac:dyDescent="0.25">
      <c r="A40" s="157">
        <f>A37+1</f>
        <v>12</v>
      </c>
      <c r="B40" s="158" t="s">
        <v>333</v>
      </c>
      <c r="C40" s="168" t="s">
        <v>350</v>
      </c>
      <c r="D40" s="159" t="s">
        <v>116</v>
      </c>
      <c r="E40" s="160">
        <v>42</v>
      </c>
      <c r="F40" s="161"/>
      <c r="G40" s="162">
        <f>ROUND(E40*F40,2)</f>
        <v>0</v>
      </c>
      <c r="H40" s="161">
        <v>356.55</v>
      </c>
      <c r="I40" s="162">
        <f>ROUND(E40*H40,2)</f>
        <v>14975.1</v>
      </c>
      <c r="J40" s="161">
        <v>795.45</v>
      </c>
      <c r="K40" s="162">
        <f>ROUND(E40*J40,2)</f>
        <v>33408.9</v>
      </c>
      <c r="L40" s="162">
        <v>21</v>
      </c>
      <c r="M40" s="162">
        <f>G40*(1+L40/100)</f>
        <v>0</v>
      </c>
      <c r="N40" s="162">
        <v>0.26486999999999999</v>
      </c>
      <c r="O40" s="162">
        <f>ROUND(E40*N40,2)</f>
        <v>11.12</v>
      </c>
      <c r="P40" s="162">
        <v>0</v>
      </c>
      <c r="Q40" s="162">
        <f>ROUND(E40*P40,2)</f>
        <v>0</v>
      </c>
      <c r="R40" s="162" t="s">
        <v>265</v>
      </c>
      <c r="S40" s="163" t="s">
        <v>101</v>
      </c>
      <c r="T40" s="163" t="s">
        <v>101</v>
      </c>
      <c r="U40" s="149"/>
      <c r="V40" s="149"/>
      <c r="W40" s="149"/>
      <c r="X40" s="149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</row>
    <row r="41" spans="1:59" outlineLevel="1" x14ac:dyDescent="0.25">
      <c r="A41" s="147"/>
      <c r="B41" s="148"/>
      <c r="C41" s="169"/>
      <c r="D41" s="164"/>
      <c r="E41" s="164"/>
      <c r="F41" s="164"/>
      <c r="G41" s="164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</row>
    <row r="42" spans="1:59" outlineLevel="1" x14ac:dyDescent="0.25">
      <c r="A42" s="157">
        <f>A40+1</f>
        <v>13</v>
      </c>
      <c r="B42" s="158" t="s">
        <v>334</v>
      </c>
      <c r="C42" s="168" t="s">
        <v>331</v>
      </c>
      <c r="D42" s="159" t="s">
        <v>95</v>
      </c>
      <c r="E42" s="160">
        <v>8</v>
      </c>
      <c r="F42" s="161"/>
      <c r="G42" s="162">
        <f>ROUND(E42*F42,2)</f>
        <v>0</v>
      </c>
      <c r="H42" s="161">
        <v>375.32</v>
      </c>
      <c r="I42" s="162">
        <f>ROUND(E42*H42,2)</f>
        <v>3002.56</v>
      </c>
      <c r="J42" s="161">
        <v>1367.68</v>
      </c>
      <c r="K42" s="162">
        <f>ROUND(E42*J42,2)</f>
        <v>10941.44</v>
      </c>
      <c r="L42" s="162">
        <v>21</v>
      </c>
      <c r="M42" s="162">
        <f>G42*(1+L42/100)</f>
        <v>0</v>
      </c>
      <c r="N42" s="162">
        <v>0.26595000000000002</v>
      </c>
      <c r="O42" s="162">
        <f>ROUND(E42*N42,2)</f>
        <v>2.13</v>
      </c>
      <c r="P42" s="162">
        <v>0</v>
      </c>
      <c r="Q42" s="162">
        <f>ROUND(E42*P42,2)</f>
        <v>0</v>
      </c>
      <c r="R42" s="162" t="s">
        <v>265</v>
      </c>
      <c r="S42" s="163" t="s">
        <v>101</v>
      </c>
      <c r="T42" s="163" t="s">
        <v>101</v>
      </c>
      <c r="U42" s="149"/>
      <c r="V42" s="149"/>
      <c r="W42" s="149"/>
      <c r="X42" s="149"/>
      <c r="Y42" s="140"/>
      <c r="Z42" s="140"/>
      <c r="AA42" s="140"/>
      <c r="AB42" s="140"/>
      <c r="AC42" s="140"/>
      <c r="AD42" s="140"/>
      <c r="AE42" s="140"/>
      <c r="AF42" s="140" t="s">
        <v>105</v>
      </c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65" t="str">
        <f>C42</f>
        <v>Zřízení mostovky z panelů z předpjatého betonu hladkých, vč. dodávky, ukládky a lože</v>
      </c>
      <c r="BA42" s="140"/>
      <c r="BB42" s="140"/>
      <c r="BC42" s="140"/>
      <c r="BD42" s="140"/>
      <c r="BE42" s="140"/>
      <c r="BF42" s="140"/>
      <c r="BG42" s="140"/>
    </row>
    <row r="43" spans="1:59" outlineLevel="1" x14ac:dyDescent="0.25">
      <c r="A43" s="147"/>
      <c r="B43" s="148"/>
      <c r="C43" s="301"/>
      <c r="D43" s="302"/>
      <c r="E43" s="302"/>
      <c r="F43" s="302"/>
      <c r="G43" s="302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0"/>
      <c r="Z43" s="140"/>
      <c r="AA43" s="140"/>
      <c r="AB43" s="140"/>
      <c r="AC43" s="140"/>
      <c r="AD43" s="140"/>
      <c r="AE43" s="140"/>
      <c r="AF43" s="140" t="s">
        <v>93</v>
      </c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</row>
    <row r="44" spans="1:59" outlineLevel="1" x14ac:dyDescent="0.25">
      <c r="A44" s="157">
        <f>A42+1</f>
        <v>14</v>
      </c>
      <c r="B44" s="158" t="s">
        <v>335</v>
      </c>
      <c r="C44" s="168" t="s">
        <v>332</v>
      </c>
      <c r="D44" s="159" t="s">
        <v>116</v>
      </c>
      <c r="E44" s="160">
        <v>3.6</v>
      </c>
      <c r="F44" s="161"/>
      <c r="G44" s="162">
        <f>ROUND(E44*F44,2)</f>
        <v>0</v>
      </c>
      <c r="H44" s="161">
        <v>375.32</v>
      </c>
      <c r="I44" s="162">
        <f>ROUND(E44*H44,2)</f>
        <v>1351.15</v>
      </c>
      <c r="J44" s="161">
        <v>1367.68</v>
      </c>
      <c r="K44" s="162">
        <f>ROUND(E44*J44,2)</f>
        <v>4923.6499999999996</v>
      </c>
      <c r="L44" s="162">
        <v>21</v>
      </c>
      <c r="M44" s="162">
        <f>G44*(1+L44/100)</f>
        <v>0</v>
      </c>
      <c r="N44" s="162">
        <v>0.26595000000000002</v>
      </c>
      <c r="O44" s="162">
        <f>ROUND(E44*N44,2)</f>
        <v>0.96</v>
      </c>
      <c r="P44" s="162">
        <v>0</v>
      </c>
      <c r="Q44" s="162">
        <f>ROUND(E44*P44,2)</f>
        <v>0</v>
      </c>
      <c r="R44" s="162" t="s">
        <v>265</v>
      </c>
      <c r="S44" s="163" t="s">
        <v>101</v>
      </c>
      <c r="T44" s="163" t="s">
        <v>101</v>
      </c>
      <c r="U44" s="149"/>
      <c r="V44" s="149"/>
      <c r="W44" s="149"/>
      <c r="X44" s="149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</row>
    <row r="45" spans="1:59" outlineLevel="1" x14ac:dyDescent="0.25">
      <c r="A45" s="147"/>
      <c r="B45" s="148"/>
      <c r="C45" s="169"/>
      <c r="D45" s="164"/>
      <c r="E45" s="164"/>
      <c r="F45" s="164"/>
      <c r="G45" s="164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</row>
    <row r="46" spans="1:59" ht="20.399999999999999" outlineLevel="1" x14ac:dyDescent="0.25">
      <c r="A46" s="157">
        <f>A44+1</f>
        <v>15</v>
      </c>
      <c r="B46" s="158" t="s">
        <v>266</v>
      </c>
      <c r="C46" s="168" t="s">
        <v>267</v>
      </c>
      <c r="D46" s="159" t="s">
        <v>98</v>
      </c>
      <c r="E46" s="160">
        <v>20</v>
      </c>
      <c r="F46" s="161"/>
      <c r="G46" s="162">
        <f>ROUND(E46*F46,2)</f>
        <v>0</v>
      </c>
      <c r="H46" s="161">
        <v>754.24</v>
      </c>
      <c r="I46" s="162">
        <f>ROUND(E46*H46,2)</f>
        <v>15084.8</v>
      </c>
      <c r="J46" s="161">
        <v>529.76</v>
      </c>
      <c r="K46" s="162">
        <f>ROUND(E46*J46,2)</f>
        <v>10595.2</v>
      </c>
      <c r="L46" s="162">
        <v>21</v>
      </c>
      <c r="M46" s="162">
        <f>G46*(1+L46/100)</f>
        <v>0</v>
      </c>
      <c r="N46" s="162">
        <v>0.72618000000000005</v>
      </c>
      <c r="O46" s="162">
        <f>ROUND(E46*N46,2)</f>
        <v>14.52</v>
      </c>
      <c r="P46" s="162">
        <v>0</v>
      </c>
      <c r="Q46" s="162">
        <f>ROUND(E46*P46,2)</f>
        <v>0</v>
      </c>
      <c r="R46" s="162" t="s">
        <v>268</v>
      </c>
      <c r="S46" s="162" t="s">
        <v>345</v>
      </c>
      <c r="T46" s="162" t="s">
        <v>345</v>
      </c>
      <c r="U46" s="149"/>
      <c r="V46" s="149"/>
      <c r="W46" s="149"/>
      <c r="X46" s="149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</row>
    <row r="47" spans="1:59" outlineLevel="1" x14ac:dyDescent="0.25">
      <c r="A47" s="147"/>
      <c r="B47" s="148"/>
      <c r="C47" s="292" t="s">
        <v>269</v>
      </c>
      <c r="D47" s="293"/>
      <c r="E47" s="293"/>
      <c r="F47" s="293"/>
      <c r="G47" s="293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</row>
    <row r="48" spans="1:59" outlineLevel="1" x14ac:dyDescent="0.25">
      <c r="A48" s="147"/>
      <c r="B48" s="148"/>
      <c r="C48" s="301"/>
      <c r="D48" s="302"/>
      <c r="E48" s="302"/>
      <c r="F48" s="302"/>
      <c r="G48" s="302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</row>
    <row r="49" spans="1:59" ht="15" customHeight="1" outlineLevel="1" x14ac:dyDescent="0.25">
      <c r="A49" s="151" t="s">
        <v>91</v>
      </c>
      <c r="B49" s="152" t="s">
        <v>54</v>
      </c>
      <c r="C49" s="167" t="s">
        <v>55</v>
      </c>
      <c r="D49" s="153"/>
      <c r="E49" s="154"/>
      <c r="F49" s="155"/>
      <c r="G49" s="155">
        <f>SUMIF(AF50:AF59,"&lt;&gt;NOR",G50:G59)</f>
        <v>0</v>
      </c>
      <c r="H49" s="155"/>
      <c r="I49" s="155">
        <f>SUM(I50:I59)</f>
        <v>25755.27</v>
      </c>
      <c r="J49" s="155"/>
      <c r="K49" s="155">
        <f>SUM(K50:K59)</f>
        <v>13937.439999999999</v>
      </c>
      <c r="L49" s="155"/>
      <c r="M49" s="155">
        <f>SUM(M50:M59)</f>
        <v>0</v>
      </c>
      <c r="N49" s="155"/>
      <c r="O49" s="155">
        <f>SUM(O50:O59)</f>
        <v>34.17</v>
      </c>
      <c r="P49" s="155"/>
      <c r="Q49" s="155">
        <f>SUM(Q50:Q59)</f>
        <v>0</v>
      </c>
      <c r="R49" s="155"/>
      <c r="S49" s="155"/>
      <c r="T49" s="156"/>
      <c r="U49" s="149"/>
      <c r="V49" s="149"/>
      <c r="W49" s="149"/>
      <c r="X49" s="149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</row>
    <row r="50" spans="1:59" ht="20.399999999999999" outlineLevel="1" x14ac:dyDescent="0.25">
      <c r="A50" s="157">
        <f>A46+1</f>
        <v>16</v>
      </c>
      <c r="B50" s="158" t="s">
        <v>352</v>
      </c>
      <c r="C50" s="168" t="s">
        <v>351</v>
      </c>
      <c r="D50" s="159" t="s">
        <v>116</v>
      </c>
      <c r="E50" s="160">
        <f>6.6*2.1*1.8*2</f>
        <v>49.896000000000001</v>
      </c>
      <c r="F50" s="161"/>
      <c r="G50" s="162">
        <f>ROUND(E50*F50,2)</f>
        <v>0</v>
      </c>
      <c r="H50" s="161">
        <v>241.18</v>
      </c>
      <c r="I50" s="162">
        <f>ROUND(E50*H50,2)</f>
        <v>12033.92</v>
      </c>
      <c r="J50" s="161">
        <v>31.82</v>
      </c>
      <c r="K50" s="162">
        <f>ROUND(E50*J50,2)</f>
        <v>1587.69</v>
      </c>
      <c r="L50" s="162">
        <v>21</v>
      </c>
      <c r="M50" s="162">
        <f>G50*(1+L50/100)</f>
        <v>0</v>
      </c>
      <c r="N50" s="162">
        <v>0.55125000000000002</v>
      </c>
      <c r="O50" s="162">
        <f>ROUND(E50*N50,2)</f>
        <v>27.51</v>
      </c>
      <c r="P50" s="162">
        <v>0</v>
      </c>
      <c r="Q50" s="162">
        <f>ROUND(E50*P50,2)</f>
        <v>0</v>
      </c>
      <c r="R50" s="162" t="s">
        <v>109</v>
      </c>
      <c r="S50" s="162" t="s">
        <v>345</v>
      </c>
      <c r="T50" s="162" t="s">
        <v>345</v>
      </c>
      <c r="U50" s="149"/>
      <c r="V50" s="149"/>
      <c r="W50" s="149"/>
      <c r="X50" s="149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</row>
    <row r="51" spans="1:59" x14ac:dyDescent="0.25">
      <c r="A51" s="147"/>
      <c r="B51" s="148"/>
      <c r="C51" s="294"/>
      <c r="D51" s="295"/>
      <c r="E51" s="295"/>
      <c r="F51" s="295"/>
      <c r="G51" s="295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50"/>
      <c r="V51" s="150">
        <f>SUM(V52:V54)</f>
        <v>0</v>
      </c>
      <c r="W51" s="150"/>
      <c r="X51" s="150"/>
      <c r="AF51" t="s">
        <v>92</v>
      </c>
    </row>
    <row r="52" spans="1:59" outlineLevel="1" x14ac:dyDescent="0.25">
      <c r="A52" s="157">
        <f>A50+1</f>
        <v>17</v>
      </c>
      <c r="B52" s="158" t="s">
        <v>270</v>
      </c>
      <c r="C52" s="168" t="s">
        <v>330</v>
      </c>
      <c r="D52" s="159" t="s">
        <v>116</v>
      </c>
      <c r="E52" s="160">
        <f>6.6*2*2.5*0.2</f>
        <v>6.6000000000000005</v>
      </c>
      <c r="F52" s="161"/>
      <c r="G52" s="162">
        <f>ROUND(E52*F52,2)</f>
        <v>0</v>
      </c>
      <c r="H52" s="161">
        <v>242.51</v>
      </c>
      <c r="I52" s="162">
        <f>ROUND(E52*H52,2)</f>
        <v>1600.57</v>
      </c>
      <c r="J52" s="161">
        <v>34.49</v>
      </c>
      <c r="K52" s="162">
        <f>ROUND(E52*J52,2)</f>
        <v>227.63</v>
      </c>
      <c r="L52" s="162">
        <v>21</v>
      </c>
      <c r="M52" s="162">
        <f>G52*(1+L52/100)</f>
        <v>0</v>
      </c>
      <c r="N52" s="162">
        <v>0.30651</v>
      </c>
      <c r="O52" s="162">
        <f>ROUND(E52*N52,2)</f>
        <v>2.02</v>
      </c>
      <c r="P52" s="162">
        <v>0</v>
      </c>
      <c r="Q52" s="162">
        <f>ROUND(E52*P52,2)</f>
        <v>0</v>
      </c>
      <c r="R52" s="162" t="s">
        <v>109</v>
      </c>
      <c r="S52" s="162" t="s">
        <v>345</v>
      </c>
      <c r="T52" s="162" t="s">
        <v>345</v>
      </c>
      <c r="U52" s="149">
        <v>0</v>
      </c>
      <c r="V52" s="149">
        <f>ROUND(E52*U52,2)</f>
        <v>0</v>
      </c>
      <c r="W52" s="149"/>
      <c r="X52" s="149" t="s">
        <v>102</v>
      </c>
      <c r="Y52" s="140"/>
      <c r="Z52" s="140"/>
      <c r="AA52" s="140"/>
      <c r="AB52" s="140"/>
      <c r="AC52" s="140"/>
      <c r="AD52" s="140"/>
      <c r="AE52" s="140"/>
      <c r="AF52" s="140" t="s">
        <v>103</v>
      </c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</row>
    <row r="53" spans="1:59" ht="12.75" customHeight="1" outlineLevel="1" x14ac:dyDescent="0.25">
      <c r="A53" s="147"/>
      <c r="B53" s="148"/>
      <c r="C53" s="292" t="s">
        <v>271</v>
      </c>
      <c r="D53" s="293"/>
      <c r="E53" s="293"/>
      <c r="F53" s="293"/>
      <c r="G53" s="293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0"/>
      <c r="Z53" s="140"/>
      <c r="AA53" s="140"/>
      <c r="AB53" s="140"/>
      <c r="AC53" s="140"/>
      <c r="AD53" s="140"/>
      <c r="AE53" s="140"/>
      <c r="AF53" s="140" t="s">
        <v>105</v>
      </c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65" t="str">
        <f>C53</f>
        <v>bez dilatačních spár, s rozprostřením a zhutněním, ošetřením povrchu podkladu vodou</v>
      </c>
      <c r="BA53" s="140"/>
      <c r="BB53" s="140"/>
      <c r="BC53" s="140"/>
      <c r="BD53" s="140"/>
      <c r="BE53" s="140"/>
      <c r="BF53" s="140"/>
      <c r="BG53" s="140"/>
    </row>
    <row r="54" spans="1:59" outlineLevel="1" x14ac:dyDescent="0.25">
      <c r="A54" s="147"/>
      <c r="B54" s="148"/>
      <c r="C54" s="301"/>
      <c r="D54" s="302"/>
      <c r="E54" s="302"/>
      <c r="F54" s="302"/>
      <c r="G54" s="302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0"/>
      <c r="Z54" s="140"/>
      <c r="AA54" s="140"/>
      <c r="AB54" s="140"/>
      <c r="AC54" s="140"/>
      <c r="AD54" s="140"/>
      <c r="AE54" s="140"/>
      <c r="AF54" s="140" t="s">
        <v>93</v>
      </c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</row>
    <row r="55" spans="1:59" x14ac:dyDescent="0.25">
      <c r="A55" s="157">
        <f>A52+1</f>
        <v>18</v>
      </c>
      <c r="B55" s="158" t="s">
        <v>272</v>
      </c>
      <c r="C55" s="168" t="s">
        <v>273</v>
      </c>
      <c r="D55" s="159" t="s">
        <v>114</v>
      </c>
      <c r="E55" s="160">
        <v>13</v>
      </c>
      <c r="F55" s="161"/>
      <c r="G55" s="162">
        <f>ROUND(E55*F55,2)</f>
        <v>0</v>
      </c>
      <c r="H55" s="161">
        <v>9.66</v>
      </c>
      <c r="I55" s="162">
        <f>ROUND(E55*H55,2)</f>
        <v>125.58</v>
      </c>
      <c r="J55" s="161">
        <v>13.64</v>
      </c>
      <c r="K55" s="162">
        <f>ROUND(E55*J55,2)</f>
        <v>177.32</v>
      </c>
      <c r="L55" s="162">
        <v>21</v>
      </c>
      <c r="M55" s="162">
        <f>G55*(1+L55/100)</f>
        <v>0</v>
      </c>
      <c r="N55" s="162">
        <v>5.0000000000000001E-4</v>
      </c>
      <c r="O55" s="162">
        <f>ROUND(E55*N55,2)</f>
        <v>0.01</v>
      </c>
      <c r="P55" s="162">
        <v>0</v>
      </c>
      <c r="Q55" s="162">
        <f>ROUND(E55*P55,2)</f>
        <v>0</v>
      </c>
      <c r="R55" s="162" t="s">
        <v>268</v>
      </c>
      <c r="S55" s="162" t="s">
        <v>345</v>
      </c>
      <c r="T55" s="162" t="s">
        <v>345</v>
      </c>
    </row>
    <row r="56" spans="1:59" x14ac:dyDescent="0.25">
      <c r="A56" s="147"/>
      <c r="B56" s="148"/>
      <c r="C56" s="178"/>
      <c r="D56" s="179"/>
      <c r="E56" s="179"/>
      <c r="F56" s="179"/>
      <c r="G56" s="17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</row>
    <row r="57" spans="1:59" x14ac:dyDescent="0.25">
      <c r="A57" s="157">
        <f>A55+1</f>
        <v>19</v>
      </c>
      <c r="B57" s="158" t="s">
        <v>274</v>
      </c>
      <c r="C57" s="168" t="s">
        <v>275</v>
      </c>
      <c r="D57" s="159" t="s">
        <v>98</v>
      </c>
      <c r="E57" s="160">
        <v>63</v>
      </c>
      <c r="F57" s="161"/>
      <c r="G57" s="162">
        <f>ROUND(E57*F57,2)</f>
        <v>0</v>
      </c>
      <c r="H57" s="161">
        <v>190.4</v>
      </c>
      <c r="I57" s="162">
        <f>ROUND(E57*H57,2)</f>
        <v>11995.2</v>
      </c>
      <c r="J57" s="161">
        <v>189.6</v>
      </c>
      <c r="K57" s="162">
        <f>ROUND(E57*J57,2)</f>
        <v>11944.8</v>
      </c>
      <c r="L57" s="162">
        <v>21</v>
      </c>
      <c r="M57" s="162">
        <f>G57*(1+L57/100)</f>
        <v>0</v>
      </c>
      <c r="N57" s="162">
        <v>7.349E-2</v>
      </c>
      <c r="O57" s="162">
        <f>ROUND(E57*N57,2)</f>
        <v>4.63</v>
      </c>
      <c r="P57" s="162">
        <v>0</v>
      </c>
      <c r="Q57" s="162">
        <f>ROUND(E57*P57,2)</f>
        <v>0</v>
      </c>
      <c r="R57" s="162" t="s">
        <v>109</v>
      </c>
      <c r="S57" s="162" t="s">
        <v>345</v>
      </c>
      <c r="T57" s="162" t="s">
        <v>345</v>
      </c>
    </row>
    <row r="58" spans="1:59" ht="12.75" customHeight="1" x14ac:dyDescent="0.25">
      <c r="A58" s="147"/>
      <c r="B58" s="148"/>
      <c r="C58" s="292" t="s">
        <v>276</v>
      </c>
      <c r="D58" s="293"/>
      <c r="E58" s="293"/>
      <c r="F58" s="293"/>
      <c r="G58" s="293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</row>
    <row r="59" spans="1:59" x14ac:dyDescent="0.25">
      <c r="A59" s="147"/>
      <c r="B59" s="148"/>
      <c r="C59" s="301"/>
      <c r="D59" s="302"/>
      <c r="E59" s="302"/>
      <c r="F59" s="302"/>
      <c r="G59" s="302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</row>
    <row r="60" spans="1:59" x14ac:dyDescent="0.25">
      <c r="A60" s="151" t="s">
        <v>91</v>
      </c>
      <c r="B60" s="152" t="s">
        <v>56</v>
      </c>
      <c r="C60" s="167" t="s">
        <v>57</v>
      </c>
      <c r="D60" s="153"/>
      <c r="E60" s="154"/>
      <c r="F60" s="155"/>
      <c r="G60" s="155">
        <f>SUMIF(AF61:AF62,"&lt;&gt;NOR",G61:G62)</f>
        <v>0</v>
      </c>
      <c r="H60" s="155"/>
      <c r="I60" s="155">
        <f>SUM(I61:I62)</f>
        <v>7215</v>
      </c>
      <c r="J60" s="155"/>
      <c r="K60" s="155">
        <f>SUM(K61:K62)</f>
        <v>0</v>
      </c>
      <c r="L60" s="155"/>
      <c r="M60" s="155">
        <f>SUM(M61:M62)</f>
        <v>0</v>
      </c>
      <c r="N60" s="155"/>
      <c r="O60" s="155">
        <f>SUM(O61:O62)</f>
        <v>0.19</v>
      </c>
      <c r="P60" s="155"/>
      <c r="Q60" s="155">
        <f>SUM(Q61:Q62)</f>
        <v>0</v>
      </c>
      <c r="R60" s="155"/>
      <c r="S60" s="155"/>
      <c r="T60" s="156"/>
    </row>
    <row r="61" spans="1:59" ht="20.399999999999999" x14ac:dyDescent="0.25">
      <c r="A61" s="157">
        <f>A57+1</f>
        <v>20</v>
      </c>
      <c r="B61" s="158" t="s">
        <v>327</v>
      </c>
      <c r="C61" s="168" t="s">
        <v>326</v>
      </c>
      <c r="D61" s="159" t="s">
        <v>114</v>
      </c>
      <c r="E61" s="160">
        <v>15.6</v>
      </c>
      <c r="F61" s="161"/>
      <c r="G61" s="162">
        <f>ROUND(E61*F61,2)</f>
        <v>0</v>
      </c>
      <c r="H61" s="161">
        <v>462.5</v>
      </c>
      <c r="I61" s="162">
        <f>ROUND(E61*H61,2)</f>
        <v>7215</v>
      </c>
      <c r="J61" s="161">
        <v>0</v>
      </c>
      <c r="K61" s="162">
        <f>ROUND(E61*J61,2)</f>
        <v>0</v>
      </c>
      <c r="L61" s="162">
        <v>21</v>
      </c>
      <c r="M61" s="162">
        <f>G61*(1+L61/100)</f>
        <v>0</v>
      </c>
      <c r="N61" s="162">
        <v>1.2E-2</v>
      </c>
      <c r="O61" s="162">
        <f>ROUND(E61*N61,2)</f>
        <v>0.19</v>
      </c>
      <c r="P61" s="162">
        <v>0</v>
      </c>
      <c r="Q61" s="162">
        <f>ROUND(E61*P61,2)</f>
        <v>0</v>
      </c>
      <c r="R61" s="162" t="s">
        <v>94</v>
      </c>
      <c r="S61" s="162" t="s">
        <v>345</v>
      </c>
      <c r="T61" s="163" t="s">
        <v>101</v>
      </c>
    </row>
    <row r="62" spans="1:59" x14ac:dyDescent="0.25">
      <c r="A62" s="147"/>
      <c r="B62" s="148"/>
      <c r="C62" s="301"/>
      <c r="D62" s="302"/>
      <c r="E62" s="302"/>
      <c r="F62" s="302"/>
      <c r="G62" s="302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</row>
    <row r="63" spans="1:59" x14ac:dyDescent="0.25">
      <c r="A63" s="151" t="s">
        <v>91</v>
      </c>
      <c r="B63" s="152" t="s">
        <v>175</v>
      </c>
      <c r="C63" s="167" t="s">
        <v>174</v>
      </c>
      <c r="D63" s="153"/>
      <c r="E63" s="154"/>
      <c r="F63" s="155"/>
      <c r="G63" s="155">
        <f>SUMIF(AF64:AF70,"&lt;&gt;NOR",G64:G70)</f>
        <v>0</v>
      </c>
      <c r="H63" s="155"/>
      <c r="I63" s="155">
        <f>SUM(I64:I70)</f>
        <v>37288.090000000004</v>
      </c>
      <c r="J63" s="155"/>
      <c r="K63" s="155">
        <f>SUM(K64:K70)</f>
        <v>666810.10999999987</v>
      </c>
      <c r="L63" s="155"/>
      <c r="M63" s="155">
        <f>SUM(M64:M70)</f>
        <v>0</v>
      </c>
      <c r="N63" s="155"/>
      <c r="O63" s="155">
        <f>SUM(O64:O70)</f>
        <v>8.69</v>
      </c>
      <c r="P63" s="155"/>
      <c r="Q63" s="155">
        <f>SUM(Q64:Q70)</f>
        <v>168.57999999999998</v>
      </c>
      <c r="R63" s="155"/>
      <c r="S63" s="155"/>
      <c r="T63" s="156"/>
    </row>
    <row r="64" spans="1:59" x14ac:dyDescent="0.25">
      <c r="A64" s="157">
        <v>21</v>
      </c>
      <c r="B64" s="158" t="s">
        <v>277</v>
      </c>
      <c r="C64" s="168" t="s">
        <v>278</v>
      </c>
      <c r="D64" s="159" t="s">
        <v>116</v>
      </c>
      <c r="E64" s="160">
        <f>2*21+8*3.5</f>
        <v>70</v>
      </c>
      <c r="F64" s="161"/>
      <c r="G64" s="162">
        <f>ROUND(E64*F64,2)</f>
        <v>0</v>
      </c>
      <c r="H64" s="161">
        <v>502.69</v>
      </c>
      <c r="I64" s="162">
        <f>ROUND(E64*H64,2)</f>
        <v>35188.300000000003</v>
      </c>
      <c r="J64" s="161">
        <v>8987.31</v>
      </c>
      <c r="K64" s="162">
        <f>ROUND(E64*J64,2)</f>
        <v>629111.69999999995</v>
      </c>
      <c r="L64" s="162">
        <v>21</v>
      </c>
      <c r="M64" s="162">
        <f>G64*(1+L64/100)</f>
        <v>0</v>
      </c>
      <c r="N64" s="162">
        <v>0.12173</v>
      </c>
      <c r="O64" s="162">
        <f>ROUND(E64*N64,2)</f>
        <v>8.52</v>
      </c>
      <c r="P64" s="162">
        <v>2.4</v>
      </c>
      <c r="Q64" s="162">
        <f>ROUND(E64*P64,2)</f>
        <v>168</v>
      </c>
      <c r="R64" s="162" t="s">
        <v>264</v>
      </c>
      <c r="S64" s="162" t="s">
        <v>345</v>
      </c>
      <c r="T64" s="162" t="s">
        <v>345</v>
      </c>
    </row>
    <row r="65" spans="1:20" x14ac:dyDescent="0.25">
      <c r="A65" s="147"/>
      <c r="B65" s="148"/>
      <c r="C65" s="182" t="s">
        <v>323</v>
      </c>
      <c r="D65" s="183"/>
      <c r="E65" s="184"/>
      <c r="F65" s="192"/>
      <c r="G65" s="185"/>
      <c r="H65" s="181"/>
      <c r="I65" s="149"/>
      <c r="J65" s="181"/>
      <c r="K65" s="149"/>
      <c r="L65" s="149"/>
      <c r="M65" s="149"/>
      <c r="N65" s="149"/>
      <c r="O65" s="149"/>
      <c r="P65" s="149"/>
      <c r="Q65" s="149"/>
      <c r="R65" s="149"/>
      <c r="S65" s="149"/>
      <c r="T65" s="149"/>
    </row>
    <row r="66" spans="1:20" x14ac:dyDescent="0.25">
      <c r="A66" s="147"/>
      <c r="B66" s="148"/>
      <c r="C66" s="301"/>
      <c r="D66" s="302"/>
      <c r="E66" s="302"/>
      <c r="F66" s="302"/>
      <c r="G66" s="302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</row>
    <row r="67" spans="1:20" ht="15.75" customHeight="1" x14ac:dyDescent="0.25">
      <c r="A67" s="157">
        <f>A64+1</f>
        <v>22</v>
      </c>
      <c r="B67" s="158" t="s">
        <v>279</v>
      </c>
      <c r="C67" s="168" t="s">
        <v>324</v>
      </c>
      <c r="D67" s="159" t="s">
        <v>98</v>
      </c>
      <c r="E67" s="160">
        <v>63</v>
      </c>
      <c r="F67" s="161"/>
      <c r="G67" s="162">
        <f>ROUND(E67*F67,2)</f>
        <v>0</v>
      </c>
      <c r="H67" s="161">
        <v>33.33</v>
      </c>
      <c r="I67" s="162">
        <f>ROUND(E67*H67,2)</f>
        <v>2099.79</v>
      </c>
      <c r="J67" s="161">
        <v>509.67</v>
      </c>
      <c r="K67" s="162">
        <f>ROUND(E67*J67,2)</f>
        <v>32109.21</v>
      </c>
      <c r="L67" s="162">
        <v>21</v>
      </c>
      <c r="M67" s="162">
        <f>G67*(1+L67/100)</f>
        <v>0</v>
      </c>
      <c r="N67" s="162">
        <v>2.6199999999999999E-3</v>
      </c>
      <c r="O67" s="162">
        <f>ROUND(E67*N67,2)</f>
        <v>0.17</v>
      </c>
      <c r="P67" s="162">
        <v>3.0000000000000001E-3</v>
      </c>
      <c r="Q67" s="162">
        <f>ROUND(E67*P67,2)</f>
        <v>0.19</v>
      </c>
      <c r="R67" s="162" t="s">
        <v>280</v>
      </c>
      <c r="S67" s="162" t="s">
        <v>345</v>
      </c>
      <c r="T67" s="162" t="s">
        <v>345</v>
      </c>
    </row>
    <row r="68" spans="1:20" x14ac:dyDescent="0.25">
      <c r="A68" s="147"/>
      <c r="B68" s="148"/>
      <c r="C68" s="178"/>
      <c r="D68" s="179"/>
      <c r="E68" s="179"/>
      <c r="F68" s="179"/>
      <c r="G68" s="17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</row>
    <row r="69" spans="1:20" ht="20.399999999999999" x14ac:dyDescent="0.25">
      <c r="A69" s="157">
        <f>A67+1</f>
        <v>23</v>
      </c>
      <c r="B69" s="158" t="s">
        <v>281</v>
      </c>
      <c r="C69" s="168" t="s">
        <v>325</v>
      </c>
      <c r="D69" s="159" t="s">
        <v>114</v>
      </c>
      <c r="E69" s="160">
        <f>2*7.85</f>
        <v>15.7</v>
      </c>
      <c r="F69" s="161"/>
      <c r="G69" s="162">
        <f>ROUND(E69*F69,2)</f>
        <v>0</v>
      </c>
      <c r="H69" s="161">
        <v>0</v>
      </c>
      <c r="I69" s="162">
        <f>ROUND(E69*H69,2)</f>
        <v>0</v>
      </c>
      <c r="J69" s="161">
        <v>356</v>
      </c>
      <c r="K69" s="162">
        <f>ROUND(E69*J69,2)</f>
        <v>5589.2</v>
      </c>
      <c r="L69" s="162">
        <v>21</v>
      </c>
      <c r="M69" s="162">
        <f>G69*(1+L69/100)</f>
        <v>0</v>
      </c>
      <c r="N69" s="162">
        <v>0</v>
      </c>
      <c r="O69" s="162">
        <f>ROUND(E69*N69,2)</f>
        <v>0</v>
      </c>
      <c r="P69" s="162">
        <v>2.5000000000000001E-2</v>
      </c>
      <c r="Q69" s="162">
        <f>ROUND(E69*P69,2)</f>
        <v>0.39</v>
      </c>
      <c r="R69" s="162" t="s">
        <v>109</v>
      </c>
      <c r="S69" s="162" t="s">
        <v>345</v>
      </c>
      <c r="T69" s="162" t="s">
        <v>345</v>
      </c>
    </row>
    <row r="70" spans="1:20" x14ac:dyDescent="0.25">
      <c r="A70" s="147"/>
      <c r="B70" s="148"/>
      <c r="C70" s="301"/>
      <c r="D70" s="302"/>
      <c r="E70" s="302"/>
      <c r="F70" s="302"/>
      <c r="G70" s="302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</row>
    <row r="71" spans="1:20" x14ac:dyDescent="0.25">
      <c r="A71" s="151" t="s">
        <v>91</v>
      </c>
      <c r="B71" s="152" t="s">
        <v>58</v>
      </c>
      <c r="C71" s="167" t="s">
        <v>59</v>
      </c>
      <c r="D71" s="153"/>
      <c r="E71" s="154"/>
      <c r="F71" s="155"/>
      <c r="G71" s="155">
        <f>SUMIF(AF72:AF74,"&lt;&gt;NOR",G72:G74)</f>
        <v>0</v>
      </c>
      <c r="H71" s="155"/>
      <c r="I71" s="155">
        <f>SUM(I72:I74)</f>
        <v>0</v>
      </c>
      <c r="J71" s="155"/>
      <c r="K71" s="155">
        <f>SUM(K72:K74)</f>
        <v>133084.5</v>
      </c>
      <c r="L71" s="155"/>
      <c r="M71" s="155">
        <f>SUM(M72:M74)</f>
        <v>0</v>
      </c>
      <c r="N71" s="155"/>
      <c r="O71" s="155">
        <f>SUM(O72:O74)</f>
        <v>0</v>
      </c>
      <c r="P71" s="155"/>
      <c r="Q71" s="155">
        <f>SUM(Q72:Q74)</f>
        <v>0</v>
      </c>
      <c r="R71" s="155"/>
      <c r="S71" s="155"/>
      <c r="T71" s="156"/>
    </row>
    <row r="72" spans="1:20" x14ac:dyDescent="0.25">
      <c r="A72" s="157">
        <f>A69+1</f>
        <v>24</v>
      </c>
      <c r="B72" s="158" t="s">
        <v>282</v>
      </c>
      <c r="C72" s="168" t="s">
        <v>283</v>
      </c>
      <c r="D72" s="159" t="s">
        <v>126</v>
      </c>
      <c r="E72" s="160">
        <f>13.5+420</f>
        <v>433.5</v>
      </c>
      <c r="F72" s="161"/>
      <c r="G72" s="162">
        <f>ROUND(E72*F72,2)</f>
        <v>0</v>
      </c>
      <c r="H72" s="161">
        <v>0</v>
      </c>
      <c r="I72" s="162">
        <f>ROUND(E72*H72,2)</f>
        <v>0</v>
      </c>
      <c r="J72" s="161">
        <v>307</v>
      </c>
      <c r="K72" s="162">
        <f>ROUND(E72*J72,2)</f>
        <v>133084.5</v>
      </c>
      <c r="L72" s="162">
        <v>21</v>
      </c>
      <c r="M72" s="162">
        <f>G72*(1+L72/100)</f>
        <v>0</v>
      </c>
      <c r="N72" s="162">
        <v>0</v>
      </c>
      <c r="O72" s="162">
        <f>ROUND(E72*N72,2)</f>
        <v>0</v>
      </c>
      <c r="P72" s="162">
        <v>0</v>
      </c>
      <c r="Q72" s="162">
        <f>ROUND(E72*P72,2)</f>
        <v>0</v>
      </c>
      <c r="R72" s="162" t="s">
        <v>264</v>
      </c>
      <c r="S72" s="162" t="s">
        <v>345</v>
      </c>
      <c r="T72" s="162" t="s">
        <v>345</v>
      </c>
    </row>
    <row r="73" spans="1:20" ht="12.75" customHeight="1" x14ac:dyDescent="0.25">
      <c r="A73" s="147"/>
      <c r="B73" s="148"/>
      <c r="C73" s="292" t="s">
        <v>284</v>
      </c>
      <c r="D73" s="293"/>
      <c r="E73" s="293"/>
      <c r="F73" s="293"/>
      <c r="G73" s="293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</row>
    <row r="74" spans="1:20" x14ac:dyDescent="0.25">
      <c r="A74" s="147"/>
      <c r="B74" s="148"/>
      <c r="C74" s="301"/>
      <c r="D74" s="302"/>
      <c r="E74" s="302"/>
      <c r="F74" s="302"/>
      <c r="G74" s="302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</row>
    <row r="75" spans="1:20" x14ac:dyDescent="0.25">
      <c r="A75" s="151" t="s">
        <v>91</v>
      </c>
      <c r="B75" s="152" t="s">
        <v>285</v>
      </c>
      <c r="C75" s="167" t="s">
        <v>286</v>
      </c>
      <c r="D75" s="153"/>
      <c r="E75" s="154"/>
      <c r="F75" s="155"/>
      <c r="G75" s="155">
        <f>SUMIF(AF76:AF80,"&lt;&gt;NOR",G76:G80)</f>
        <v>0</v>
      </c>
      <c r="H75" s="155"/>
      <c r="I75" s="155">
        <f>SUM(I76:I80)</f>
        <v>39973.57</v>
      </c>
      <c r="J75" s="155"/>
      <c r="K75" s="155">
        <f>SUM(K76:K80)</f>
        <v>23944.03</v>
      </c>
      <c r="L75" s="155"/>
      <c r="M75" s="155">
        <f>SUM(M76:M80)</f>
        <v>0</v>
      </c>
      <c r="N75" s="155"/>
      <c r="O75" s="155">
        <f>SUM(O76:O80)</f>
        <v>1.22</v>
      </c>
      <c r="P75" s="155"/>
      <c r="Q75" s="155">
        <f>SUM(Q76:Q80)</f>
        <v>0</v>
      </c>
      <c r="R75" s="155"/>
      <c r="S75" s="155"/>
      <c r="T75" s="156"/>
    </row>
    <row r="76" spans="1:20" ht="20.399999999999999" x14ac:dyDescent="0.25">
      <c r="A76" s="157">
        <f>A72+1</f>
        <v>25</v>
      </c>
      <c r="B76" s="158" t="s">
        <v>287</v>
      </c>
      <c r="C76" s="168" t="s">
        <v>288</v>
      </c>
      <c r="D76" s="159" t="s">
        <v>98</v>
      </c>
      <c r="E76" s="160">
        <f>E78</f>
        <v>109</v>
      </c>
      <c r="F76" s="161"/>
      <c r="G76" s="162">
        <f>ROUND(E76*F76,2)</f>
        <v>0</v>
      </c>
      <c r="H76" s="161">
        <v>0</v>
      </c>
      <c r="I76" s="162">
        <f>ROUND(E76*H76,2)</f>
        <v>0</v>
      </c>
      <c r="J76" s="161">
        <v>12.4</v>
      </c>
      <c r="K76" s="162">
        <f>ROUND(E76*J76,2)</f>
        <v>1351.6</v>
      </c>
      <c r="L76" s="162">
        <v>21</v>
      </c>
      <c r="M76" s="162">
        <f>G76*(1+L76/100)</f>
        <v>0</v>
      </c>
      <c r="N76" s="162">
        <v>0</v>
      </c>
      <c r="O76" s="162">
        <f>ROUND(E76*N76,2)</f>
        <v>0</v>
      </c>
      <c r="P76" s="162">
        <v>0</v>
      </c>
      <c r="Q76" s="162">
        <f>ROUND(E76*P76,2)</f>
        <v>0</v>
      </c>
      <c r="R76" s="162" t="s">
        <v>289</v>
      </c>
      <c r="S76" s="162" t="s">
        <v>345</v>
      </c>
      <c r="T76" s="162" t="s">
        <v>345</v>
      </c>
    </row>
    <row r="77" spans="1:20" x14ac:dyDescent="0.25">
      <c r="A77" s="147"/>
      <c r="B77" s="148"/>
      <c r="C77" s="294"/>
      <c r="D77" s="295"/>
      <c r="E77" s="295"/>
      <c r="F77" s="295"/>
      <c r="G77" s="295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</row>
    <row r="78" spans="1:20" ht="30.6" x14ac:dyDescent="0.25">
      <c r="A78" s="157">
        <f>A76+1</f>
        <v>26</v>
      </c>
      <c r="B78" s="158" t="s">
        <v>290</v>
      </c>
      <c r="C78" s="168" t="s">
        <v>328</v>
      </c>
      <c r="D78" s="159" t="s">
        <v>98</v>
      </c>
      <c r="E78" s="160">
        <f>23*2+63</f>
        <v>109</v>
      </c>
      <c r="F78" s="161"/>
      <c r="G78" s="162">
        <f>ROUND(E78*F78,2)</f>
        <v>0</v>
      </c>
      <c r="H78" s="161">
        <v>366.73</v>
      </c>
      <c r="I78" s="162">
        <f>ROUND(E78*H78,2)</f>
        <v>39973.57</v>
      </c>
      <c r="J78" s="161">
        <v>207.27</v>
      </c>
      <c r="K78" s="162">
        <f>ROUND(E78*J78,2)</f>
        <v>22592.43</v>
      </c>
      <c r="L78" s="162">
        <v>21</v>
      </c>
      <c r="M78" s="162">
        <f>G78*(1+L78/100)</f>
        <v>0</v>
      </c>
      <c r="N78" s="162">
        <v>1.1169999999999999E-2</v>
      </c>
      <c r="O78" s="162">
        <f>ROUND(E78*N78,2)</f>
        <v>1.22</v>
      </c>
      <c r="P78" s="162">
        <v>0</v>
      </c>
      <c r="Q78" s="162">
        <f>ROUND(E78*P78,2)</f>
        <v>0</v>
      </c>
      <c r="R78" s="162" t="s">
        <v>289</v>
      </c>
      <c r="S78" s="162" t="s">
        <v>345</v>
      </c>
      <c r="T78" s="162" t="s">
        <v>345</v>
      </c>
    </row>
    <row r="79" spans="1:20" ht="12.75" customHeight="1" x14ac:dyDescent="0.25">
      <c r="A79" s="147"/>
      <c r="B79" s="148"/>
      <c r="C79" s="306" t="s">
        <v>291</v>
      </c>
      <c r="D79" s="307"/>
      <c r="E79" s="307"/>
      <c r="F79" s="307"/>
      <c r="G79" s="307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</row>
    <row r="80" spans="1:20" x14ac:dyDescent="0.25">
      <c r="A80" s="147"/>
      <c r="B80" s="148"/>
      <c r="C80" s="301"/>
      <c r="D80" s="302"/>
      <c r="E80" s="302"/>
      <c r="F80" s="302"/>
      <c r="G80" s="302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</row>
    <row r="81" spans="1:20" x14ac:dyDescent="0.25">
      <c r="A81" s="151" t="s">
        <v>91</v>
      </c>
      <c r="B81" s="152" t="s">
        <v>292</v>
      </c>
      <c r="C81" s="167" t="s">
        <v>293</v>
      </c>
      <c r="D81" s="153"/>
      <c r="E81" s="154"/>
      <c r="F81" s="155"/>
      <c r="G81" s="155">
        <f>SUMIF(AF82:AF83,"&lt;&gt;NOR",G82:G83)</f>
        <v>0</v>
      </c>
      <c r="H81" s="155"/>
      <c r="I81" s="155">
        <f>SUM(I82:I83)</f>
        <v>0</v>
      </c>
      <c r="J81" s="155"/>
      <c r="K81" s="155">
        <f>SUM(K82:K83)</f>
        <v>804</v>
      </c>
      <c r="L81" s="155"/>
      <c r="M81" s="155">
        <f>SUM(M82:M83)</f>
        <v>0</v>
      </c>
      <c r="N81" s="155"/>
      <c r="O81" s="155">
        <f>SUM(O82:O83)</f>
        <v>0</v>
      </c>
      <c r="P81" s="155"/>
      <c r="Q81" s="155">
        <f>SUM(Q82:Q83)</f>
        <v>0</v>
      </c>
      <c r="R81" s="155"/>
      <c r="S81" s="155"/>
      <c r="T81" s="156"/>
    </row>
    <row r="82" spans="1:20" x14ac:dyDescent="0.25">
      <c r="A82" s="157">
        <f>A78+1</f>
        <v>27</v>
      </c>
      <c r="B82" s="158" t="s">
        <v>294</v>
      </c>
      <c r="C82" s="168" t="s">
        <v>329</v>
      </c>
      <c r="D82" s="159" t="s">
        <v>114</v>
      </c>
      <c r="E82" s="160">
        <v>12</v>
      </c>
      <c r="F82" s="161"/>
      <c r="G82" s="162">
        <f>ROUND(E82*F82,2)</f>
        <v>0</v>
      </c>
      <c r="H82" s="161">
        <v>0</v>
      </c>
      <c r="I82" s="162">
        <f>ROUND(E82*H82,2)</f>
        <v>0</v>
      </c>
      <c r="J82" s="161">
        <v>67</v>
      </c>
      <c r="K82" s="162">
        <f>ROUND(E82*J82,2)</f>
        <v>804</v>
      </c>
      <c r="L82" s="162">
        <v>21</v>
      </c>
      <c r="M82" s="162">
        <f>G82*(1+L82/100)</f>
        <v>0</v>
      </c>
      <c r="N82" s="162">
        <v>0</v>
      </c>
      <c r="O82" s="162">
        <f>ROUND(E82*N82,2)</f>
        <v>0</v>
      </c>
      <c r="P82" s="162">
        <v>0</v>
      </c>
      <c r="Q82" s="162">
        <f>ROUND(E82*P82,2)</f>
        <v>0</v>
      </c>
      <c r="R82" s="162"/>
      <c r="S82" s="162" t="s">
        <v>345</v>
      </c>
      <c r="T82" s="162" t="s">
        <v>345</v>
      </c>
    </row>
    <row r="83" spans="1:20" x14ac:dyDescent="0.25">
      <c r="A83" s="147"/>
      <c r="B83" s="148"/>
      <c r="C83" s="294"/>
      <c r="D83" s="295"/>
      <c r="E83" s="295"/>
      <c r="F83" s="295"/>
      <c r="G83" s="295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</row>
    <row r="84" spans="1:20" x14ac:dyDescent="0.25">
      <c r="A84" s="151" t="s">
        <v>91</v>
      </c>
      <c r="B84" s="152" t="s">
        <v>60</v>
      </c>
      <c r="C84" s="167" t="s">
        <v>61</v>
      </c>
      <c r="D84" s="153"/>
      <c r="E84" s="154"/>
      <c r="F84" s="155"/>
      <c r="G84" s="155">
        <f>G85+G88+G90+G92</f>
        <v>0</v>
      </c>
      <c r="H84" s="155"/>
      <c r="I84" s="155">
        <f>SUM(I85:I93)</f>
        <v>0</v>
      </c>
      <c r="J84" s="155"/>
      <c r="K84" s="155">
        <f>SUM(K85:K93)</f>
        <v>249169.85</v>
      </c>
      <c r="L84" s="155"/>
      <c r="M84" s="155">
        <f>SUM(M85:M93)</f>
        <v>0</v>
      </c>
      <c r="N84" s="155"/>
      <c r="O84" s="155">
        <f>SUM(O85:O93)</f>
        <v>0</v>
      </c>
      <c r="P84" s="155"/>
      <c r="Q84" s="155">
        <f>SUM(Q85:Q93)</f>
        <v>0</v>
      </c>
      <c r="R84" s="155"/>
      <c r="S84" s="155"/>
      <c r="T84" s="156"/>
    </row>
    <row r="85" spans="1:20" x14ac:dyDescent="0.25">
      <c r="A85" s="157">
        <f>A82+1</f>
        <v>28</v>
      </c>
      <c r="B85" s="158" t="s">
        <v>223</v>
      </c>
      <c r="C85" s="168" t="s">
        <v>222</v>
      </c>
      <c r="D85" s="159" t="s">
        <v>126</v>
      </c>
      <c r="E85" s="160">
        <f>E90</f>
        <v>140</v>
      </c>
      <c r="F85" s="161"/>
      <c r="G85" s="162">
        <f>ROUND(E85*F85,2)</f>
        <v>0</v>
      </c>
      <c r="H85" s="161">
        <v>0</v>
      </c>
      <c r="I85" s="162">
        <f>ROUND(E85*H85,2)</f>
        <v>0</v>
      </c>
      <c r="J85" s="161">
        <v>227</v>
      </c>
      <c r="K85" s="162">
        <f>ROUND(E85*J85,2)</f>
        <v>31780</v>
      </c>
      <c r="L85" s="162">
        <v>21</v>
      </c>
      <c r="M85" s="162">
        <f>G85*(1+L85/100)</f>
        <v>0</v>
      </c>
      <c r="N85" s="162">
        <v>0</v>
      </c>
      <c r="O85" s="162">
        <f>ROUND(E85*N85,2)</f>
        <v>0</v>
      </c>
      <c r="P85" s="162">
        <v>0</v>
      </c>
      <c r="Q85" s="162">
        <f>ROUND(E85*P85,2)</f>
        <v>0</v>
      </c>
      <c r="R85" s="162" t="s">
        <v>137</v>
      </c>
      <c r="S85" s="162" t="s">
        <v>345</v>
      </c>
      <c r="T85" s="162" t="s">
        <v>345</v>
      </c>
    </row>
    <row r="86" spans="1:20" x14ac:dyDescent="0.25">
      <c r="A86" s="147"/>
      <c r="B86" s="148"/>
      <c r="C86" s="306" t="s">
        <v>295</v>
      </c>
      <c r="D86" s="307"/>
      <c r="E86" s="307"/>
      <c r="F86" s="307"/>
      <c r="G86" s="307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</row>
    <row r="87" spans="1:20" x14ac:dyDescent="0.25">
      <c r="A87" s="147"/>
      <c r="B87" s="148"/>
      <c r="C87" s="301"/>
      <c r="D87" s="302"/>
      <c r="E87" s="302"/>
      <c r="F87" s="302"/>
      <c r="G87" s="302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</row>
    <row r="88" spans="1:20" x14ac:dyDescent="0.25">
      <c r="A88" s="157">
        <f>A85+1</f>
        <v>29</v>
      </c>
      <c r="B88" s="158" t="s">
        <v>296</v>
      </c>
      <c r="C88" s="168" t="s">
        <v>224</v>
      </c>
      <c r="D88" s="159" t="s">
        <v>126</v>
      </c>
      <c r="E88" s="160">
        <f>E85*19</f>
        <v>2660</v>
      </c>
      <c r="F88" s="161"/>
      <c r="G88" s="162">
        <f>ROUND(E88*F88,2)</f>
        <v>0</v>
      </c>
      <c r="H88" s="161">
        <v>0</v>
      </c>
      <c r="I88" s="162">
        <f>ROUND(E88*H88,2)</f>
        <v>0</v>
      </c>
      <c r="J88" s="161">
        <v>15.9</v>
      </c>
      <c r="K88" s="162">
        <f>ROUND(E88*J88,2)</f>
        <v>42294</v>
      </c>
      <c r="L88" s="162">
        <v>21</v>
      </c>
      <c r="M88" s="162">
        <f>G88*(1+L88/100)</f>
        <v>0</v>
      </c>
      <c r="N88" s="162">
        <v>0</v>
      </c>
      <c r="O88" s="162">
        <f>ROUND(E88*N88,2)</f>
        <v>0</v>
      </c>
      <c r="P88" s="162">
        <v>0</v>
      </c>
      <c r="Q88" s="162">
        <f>ROUND(E88*P88,2)</f>
        <v>0</v>
      </c>
      <c r="R88" s="162" t="s">
        <v>137</v>
      </c>
      <c r="S88" s="162" t="s">
        <v>345</v>
      </c>
      <c r="T88" s="162" t="s">
        <v>345</v>
      </c>
    </row>
    <row r="89" spans="1:20" x14ac:dyDescent="0.25">
      <c r="A89" s="147"/>
      <c r="B89" s="148"/>
      <c r="C89" s="294"/>
      <c r="D89" s="295"/>
      <c r="E89" s="295"/>
      <c r="F89" s="295"/>
      <c r="G89" s="295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</row>
    <row r="90" spans="1:20" x14ac:dyDescent="0.25">
      <c r="A90" s="157">
        <f>A88+1</f>
        <v>30</v>
      </c>
      <c r="B90" s="158" t="s">
        <v>297</v>
      </c>
      <c r="C90" s="168" t="s">
        <v>298</v>
      </c>
      <c r="D90" s="159" t="s">
        <v>126</v>
      </c>
      <c r="E90" s="160">
        <f>E64*2</f>
        <v>140</v>
      </c>
      <c r="F90" s="161"/>
      <c r="G90" s="162">
        <f>ROUND(E90*F90,2)</f>
        <v>0</v>
      </c>
      <c r="H90" s="161">
        <v>0</v>
      </c>
      <c r="I90" s="162">
        <f>ROUND(E90*H90,2)</f>
        <v>0</v>
      </c>
      <c r="J90" s="161">
        <v>1245</v>
      </c>
      <c r="K90" s="162">
        <f>ROUND(E90*J90,2)</f>
        <v>174300</v>
      </c>
      <c r="L90" s="162">
        <v>21</v>
      </c>
      <c r="M90" s="162">
        <f>G90*(1+L90/100)</f>
        <v>0</v>
      </c>
      <c r="N90" s="162">
        <v>0</v>
      </c>
      <c r="O90" s="162">
        <f>ROUND(E90*N90,2)</f>
        <v>0</v>
      </c>
      <c r="P90" s="162">
        <v>0</v>
      </c>
      <c r="Q90" s="162">
        <f>ROUND(E90*P90,2)</f>
        <v>0</v>
      </c>
      <c r="R90" s="162" t="s">
        <v>137</v>
      </c>
      <c r="S90" s="162" t="s">
        <v>345</v>
      </c>
      <c r="T90" s="162" t="s">
        <v>345</v>
      </c>
    </row>
    <row r="91" spans="1:20" x14ac:dyDescent="0.25">
      <c r="A91" s="147"/>
      <c r="B91" s="148"/>
      <c r="C91" s="294"/>
      <c r="D91" s="295"/>
      <c r="E91" s="295"/>
      <c r="F91" s="295"/>
      <c r="G91" s="295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</row>
    <row r="92" spans="1:20" x14ac:dyDescent="0.25">
      <c r="A92" s="157">
        <f>A90+1</f>
        <v>31</v>
      </c>
      <c r="B92" s="158" t="s">
        <v>299</v>
      </c>
      <c r="C92" s="168" t="s">
        <v>300</v>
      </c>
      <c r="D92" s="159" t="s">
        <v>126</v>
      </c>
      <c r="E92" s="160">
        <v>0.55000000000000004</v>
      </c>
      <c r="F92" s="161"/>
      <c r="G92" s="162">
        <f>ROUND(E92*F92,2)</f>
        <v>0</v>
      </c>
      <c r="H92" s="161">
        <v>0</v>
      </c>
      <c r="I92" s="162">
        <f>ROUND(E92*H92,2)</f>
        <v>0</v>
      </c>
      <c r="J92" s="161">
        <v>1447</v>
      </c>
      <c r="K92" s="162">
        <f>ROUND(E92*J92,2)</f>
        <v>795.85</v>
      </c>
      <c r="L92" s="162">
        <v>21</v>
      </c>
      <c r="M92" s="162">
        <f>G92*(1+L92/100)</f>
        <v>0</v>
      </c>
      <c r="N92" s="162">
        <v>0</v>
      </c>
      <c r="O92" s="162">
        <f>ROUND(E92*N92,2)</f>
        <v>0</v>
      </c>
      <c r="P92" s="162">
        <v>0</v>
      </c>
      <c r="Q92" s="162">
        <f>ROUND(E92*P92,2)</f>
        <v>0</v>
      </c>
      <c r="R92" s="162" t="s">
        <v>137</v>
      </c>
      <c r="S92" s="162" t="s">
        <v>345</v>
      </c>
      <c r="T92" s="162" t="s">
        <v>345</v>
      </c>
    </row>
    <row r="93" spans="1:20" x14ac:dyDescent="0.25">
      <c r="A93" s="147"/>
      <c r="B93" s="148"/>
      <c r="C93" s="294"/>
      <c r="D93" s="295"/>
      <c r="E93" s="295"/>
      <c r="F93" s="295"/>
      <c r="G93" s="295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</row>
    <row r="94" spans="1:20" x14ac:dyDescent="0.25">
      <c r="A94" s="151" t="s">
        <v>91</v>
      </c>
      <c r="B94" s="152" t="s">
        <v>63</v>
      </c>
      <c r="C94" s="167" t="s">
        <v>26</v>
      </c>
      <c r="D94" s="153"/>
      <c r="E94" s="154"/>
      <c r="F94" s="155"/>
      <c r="G94" s="155">
        <f>SUMIF(AF95:AF103,"&lt;&gt;NOR",G95:G103)</f>
        <v>0</v>
      </c>
      <c r="H94" s="155"/>
      <c r="I94" s="155">
        <f>SUM(I95:I103)</f>
        <v>0</v>
      </c>
      <c r="J94" s="155"/>
      <c r="K94" s="155">
        <f>SUM(K95:K103)</f>
        <v>0</v>
      </c>
      <c r="L94" s="155"/>
      <c r="M94" s="155">
        <f>SUM(M95:M103)</f>
        <v>0</v>
      </c>
      <c r="N94" s="155"/>
      <c r="O94" s="155">
        <f>SUM(O95:O103)</f>
        <v>0</v>
      </c>
      <c r="P94" s="155"/>
      <c r="Q94" s="155">
        <f>SUM(Q95:Q103)</f>
        <v>0</v>
      </c>
      <c r="R94" s="155"/>
      <c r="S94" s="155"/>
      <c r="T94" s="156"/>
    </row>
    <row r="95" spans="1:20" x14ac:dyDescent="0.25">
      <c r="A95" s="157">
        <v>32</v>
      </c>
      <c r="B95" s="158" t="s">
        <v>314</v>
      </c>
      <c r="C95" s="168" t="s">
        <v>312</v>
      </c>
      <c r="D95" s="159" t="s">
        <v>100</v>
      </c>
      <c r="E95" s="160">
        <v>1</v>
      </c>
      <c r="F95" s="161"/>
      <c r="G95" s="162">
        <f>ROUND(E95*F95,2)</f>
        <v>0</v>
      </c>
      <c r="H95" s="161">
        <v>0</v>
      </c>
      <c r="I95" s="162">
        <f>ROUND(E95*H95,2)</f>
        <v>0</v>
      </c>
      <c r="J95" s="161">
        <v>0</v>
      </c>
      <c r="K95" s="162">
        <f>ROUND(E95*J95,2)</f>
        <v>0</v>
      </c>
      <c r="L95" s="162">
        <v>21</v>
      </c>
      <c r="M95" s="162">
        <f>G95*(1+L95/100)</f>
        <v>0</v>
      </c>
      <c r="N95" s="162">
        <v>0</v>
      </c>
      <c r="O95" s="162">
        <f>ROUND(E95*N95,2)</f>
        <v>0</v>
      </c>
      <c r="P95" s="162">
        <v>0</v>
      </c>
      <c r="Q95" s="162">
        <f>ROUND(E95*P95,2)</f>
        <v>0</v>
      </c>
      <c r="R95" s="162"/>
      <c r="S95" s="162" t="s">
        <v>345</v>
      </c>
      <c r="T95" s="163" t="s">
        <v>101</v>
      </c>
    </row>
    <row r="96" spans="1:20" x14ac:dyDescent="0.25">
      <c r="A96" s="173"/>
      <c r="B96" s="174"/>
      <c r="C96" s="308"/>
      <c r="D96" s="308"/>
      <c r="E96" s="308"/>
      <c r="F96" s="308"/>
      <c r="G96" s="308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</row>
    <row r="97" spans="1:20" ht="12.75" customHeight="1" x14ac:dyDescent="0.25">
      <c r="A97" s="157">
        <f>A95+1</f>
        <v>33</v>
      </c>
      <c r="B97" s="158" t="s">
        <v>315</v>
      </c>
      <c r="C97" s="168" t="s">
        <v>313</v>
      </c>
      <c r="D97" s="159" t="s">
        <v>100</v>
      </c>
      <c r="E97" s="160">
        <v>1</v>
      </c>
      <c r="F97" s="161"/>
      <c r="G97" s="162">
        <f>ROUND(E97*F97,2)</f>
        <v>0</v>
      </c>
      <c r="H97" s="161">
        <v>0</v>
      </c>
      <c r="I97" s="162">
        <f>ROUND(E97*H97,2)</f>
        <v>0</v>
      </c>
      <c r="J97" s="161">
        <v>0</v>
      </c>
      <c r="K97" s="162">
        <f>ROUND(E97*J97,2)</f>
        <v>0</v>
      </c>
      <c r="L97" s="162">
        <v>21</v>
      </c>
      <c r="M97" s="162">
        <f>G97*(1+L97/100)</f>
        <v>0</v>
      </c>
      <c r="N97" s="162">
        <v>0</v>
      </c>
      <c r="O97" s="162">
        <f>ROUND(E97*N97,2)</f>
        <v>0</v>
      </c>
      <c r="P97" s="162">
        <v>0</v>
      </c>
      <c r="Q97" s="162">
        <f>ROUND(E97*P97,2)</f>
        <v>0</v>
      </c>
      <c r="R97" s="162"/>
      <c r="S97" s="162" t="s">
        <v>345</v>
      </c>
      <c r="T97" s="163" t="s">
        <v>101</v>
      </c>
    </row>
    <row r="98" spans="1:20" x14ac:dyDescent="0.25">
      <c r="A98" s="147"/>
      <c r="B98" s="148"/>
      <c r="C98" s="309"/>
      <c r="D98" s="309"/>
      <c r="E98" s="309"/>
      <c r="F98" s="309"/>
      <c r="G98" s="30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</row>
    <row r="99" spans="1:20" x14ac:dyDescent="0.25">
      <c r="A99" s="157">
        <f>A97+1</f>
        <v>34</v>
      </c>
      <c r="B99" s="158" t="s">
        <v>157</v>
      </c>
      <c r="C99" s="168" t="s">
        <v>99</v>
      </c>
      <c r="D99" s="159" t="s">
        <v>100</v>
      </c>
      <c r="E99" s="160">
        <v>1</v>
      </c>
      <c r="F99" s="161"/>
      <c r="G99" s="162">
        <f>ROUND(E99*F99,2)</f>
        <v>0</v>
      </c>
      <c r="H99" s="161">
        <v>0</v>
      </c>
      <c r="I99" s="162">
        <f>ROUND(E99*H99,2)</f>
        <v>0</v>
      </c>
      <c r="J99" s="161">
        <v>0</v>
      </c>
      <c r="K99" s="162">
        <f>ROUND(E99*J99,2)</f>
        <v>0</v>
      </c>
      <c r="L99" s="162">
        <v>21</v>
      </c>
      <c r="M99" s="162">
        <f>G99*(1+L99/100)</f>
        <v>0</v>
      </c>
      <c r="N99" s="162">
        <v>0</v>
      </c>
      <c r="O99" s="162">
        <f>ROUND(E99*N99,2)</f>
        <v>0</v>
      </c>
      <c r="P99" s="162">
        <v>0</v>
      </c>
      <c r="Q99" s="162">
        <f>ROUND(E99*P99,2)</f>
        <v>0</v>
      </c>
      <c r="R99" s="162"/>
      <c r="S99" s="162" t="s">
        <v>345</v>
      </c>
      <c r="T99" s="163" t="s">
        <v>101</v>
      </c>
    </row>
    <row r="100" spans="1:20" ht="12.75" customHeight="1" x14ac:dyDescent="0.25">
      <c r="A100" s="147"/>
      <c r="B100" s="148"/>
      <c r="C100" s="294"/>
      <c r="D100" s="295"/>
      <c r="E100" s="295"/>
      <c r="F100" s="295"/>
      <c r="G100" s="295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</row>
    <row r="101" spans="1:20" x14ac:dyDescent="0.25">
      <c r="A101" s="157">
        <f>A99+1</f>
        <v>35</v>
      </c>
      <c r="B101" s="158" t="s">
        <v>106</v>
      </c>
      <c r="C101" s="168" t="s">
        <v>107</v>
      </c>
      <c r="D101" s="159" t="s">
        <v>100</v>
      </c>
      <c r="E101" s="160">
        <v>1</v>
      </c>
      <c r="F101" s="161"/>
      <c r="G101" s="162">
        <f>ROUND(E101*F101,2)</f>
        <v>0</v>
      </c>
      <c r="H101" s="161">
        <v>0</v>
      </c>
      <c r="I101" s="162">
        <f>ROUND(E101*H101,2)</f>
        <v>0</v>
      </c>
      <c r="J101" s="161">
        <v>0</v>
      </c>
      <c r="K101" s="162">
        <f>ROUND(E101*J101,2)</f>
        <v>0</v>
      </c>
      <c r="L101" s="162">
        <v>21</v>
      </c>
      <c r="M101" s="162">
        <f>G101*(1+L101/100)</f>
        <v>0</v>
      </c>
      <c r="N101" s="162">
        <v>0</v>
      </c>
      <c r="O101" s="162">
        <f>ROUND(E101*N101,2)</f>
        <v>0</v>
      </c>
      <c r="P101" s="162">
        <v>0</v>
      </c>
      <c r="Q101" s="162">
        <f>ROUND(E101*P101,2)</f>
        <v>0</v>
      </c>
      <c r="R101" s="162"/>
      <c r="S101" s="162" t="s">
        <v>345</v>
      </c>
      <c r="T101" s="163" t="s">
        <v>101</v>
      </c>
    </row>
    <row r="102" spans="1:20" ht="24" customHeight="1" x14ac:dyDescent="0.25">
      <c r="A102" s="147"/>
      <c r="B102" s="148"/>
      <c r="C102" s="306" t="s">
        <v>108</v>
      </c>
      <c r="D102" s="307"/>
      <c r="E102" s="307"/>
      <c r="F102" s="307"/>
      <c r="G102" s="307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</row>
    <row r="103" spans="1:20" ht="12.75" customHeight="1" x14ac:dyDescent="0.25">
      <c r="A103" s="147"/>
      <c r="B103" s="148"/>
      <c r="C103" s="169"/>
      <c r="D103" s="164"/>
      <c r="E103" s="164"/>
      <c r="F103" s="164"/>
      <c r="G103" s="164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</row>
    <row r="104" spans="1:20" x14ac:dyDescent="0.25">
      <c r="A104" s="151" t="s">
        <v>91</v>
      </c>
      <c r="B104" s="152" t="s">
        <v>64</v>
      </c>
      <c r="C104" s="167" t="s">
        <v>27</v>
      </c>
      <c r="D104" s="153"/>
      <c r="E104" s="154"/>
      <c r="F104" s="155"/>
      <c r="G104" s="155">
        <f>G105+G108</f>
        <v>0</v>
      </c>
      <c r="H104" s="155"/>
      <c r="I104" s="155">
        <f>SUM(I105:I110)</f>
        <v>0</v>
      </c>
      <c r="J104" s="155"/>
      <c r="K104" s="155">
        <f>SUM(K105:K110)</f>
        <v>0</v>
      </c>
      <c r="L104" s="155"/>
      <c r="M104" s="155">
        <f>M105+M108</f>
        <v>0</v>
      </c>
      <c r="N104" s="155"/>
      <c r="O104" s="155">
        <f>SUM(O105:O110)</f>
        <v>0</v>
      </c>
      <c r="P104" s="155"/>
      <c r="Q104" s="155">
        <f>SUM(Q105:Q110)</f>
        <v>0</v>
      </c>
      <c r="R104" s="155"/>
      <c r="S104" s="155"/>
      <c r="T104" s="156"/>
    </row>
    <row r="105" spans="1:20" x14ac:dyDescent="0.25">
      <c r="A105" s="157">
        <f>A101+1</f>
        <v>36</v>
      </c>
      <c r="B105" s="158" t="s">
        <v>141</v>
      </c>
      <c r="C105" s="168" t="s">
        <v>142</v>
      </c>
      <c r="D105" s="159" t="s">
        <v>100</v>
      </c>
      <c r="E105" s="160">
        <v>1</v>
      </c>
      <c r="F105" s="161"/>
      <c r="G105" s="162">
        <f>ROUND(E105*F105,2)</f>
        <v>0</v>
      </c>
      <c r="H105" s="161">
        <v>0</v>
      </c>
      <c r="I105" s="162">
        <f>ROUND(E105*H105,2)</f>
        <v>0</v>
      </c>
      <c r="J105" s="161">
        <v>0</v>
      </c>
      <c r="K105" s="162">
        <f>ROUND(E105*J105,2)</f>
        <v>0</v>
      </c>
      <c r="L105" s="162">
        <v>21</v>
      </c>
      <c r="M105" s="162">
        <f>G105*(1+L105/100)</f>
        <v>0</v>
      </c>
      <c r="N105" s="162">
        <v>0</v>
      </c>
      <c r="O105" s="162">
        <f>ROUND(E105*N105,2)</f>
        <v>0</v>
      </c>
      <c r="P105" s="162">
        <v>0</v>
      </c>
      <c r="Q105" s="162">
        <f>ROUND(E105*P105,2)</f>
        <v>0</v>
      </c>
      <c r="R105" s="162"/>
      <c r="S105" s="162" t="s">
        <v>345</v>
      </c>
      <c r="T105" s="163" t="s">
        <v>101</v>
      </c>
    </row>
    <row r="106" spans="1:20" ht="12.75" customHeight="1" x14ac:dyDescent="0.25">
      <c r="A106" s="147"/>
      <c r="B106" s="148"/>
      <c r="C106" s="306" t="s">
        <v>158</v>
      </c>
      <c r="D106" s="307"/>
      <c r="E106" s="307"/>
      <c r="F106" s="307"/>
      <c r="G106" s="307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</row>
    <row r="107" spans="1:20" x14ac:dyDescent="0.25">
      <c r="A107" s="147"/>
      <c r="B107" s="148"/>
      <c r="C107" s="301"/>
      <c r="D107" s="302"/>
      <c r="E107" s="302"/>
      <c r="F107" s="302"/>
      <c r="G107" s="302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</row>
    <row r="108" spans="1:20" x14ac:dyDescent="0.25">
      <c r="A108" s="157">
        <f>A105+1</f>
        <v>37</v>
      </c>
      <c r="B108" s="158" t="s">
        <v>143</v>
      </c>
      <c r="C108" s="168" t="s">
        <v>144</v>
      </c>
      <c r="D108" s="159" t="s">
        <v>100</v>
      </c>
      <c r="E108" s="160">
        <v>1</v>
      </c>
      <c r="F108" s="161"/>
      <c r="G108" s="162">
        <f>ROUND(E108*F108,2)</f>
        <v>0</v>
      </c>
      <c r="H108" s="161">
        <v>0</v>
      </c>
      <c r="I108" s="162">
        <f>ROUND(E108*H108,2)</f>
        <v>0</v>
      </c>
      <c r="J108" s="161">
        <v>0</v>
      </c>
      <c r="K108" s="162">
        <f>ROUND(E108*J108,2)</f>
        <v>0</v>
      </c>
      <c r="L108" s="162">
        <v>21</v>
      </c>
      <c r="M108" s="162">
        <f>G108*(1+L108/100)</f>
        <v>0</v>
      </c>
      <c r="N108" s="162">
        <v>0</v>
      </c>
      <c r="O108" s="162">
        <f>ROUND(E108*N108,2)</f>
        <v>0</v>
      </c>
      <c r="P108" s="162">
        <v>0</v>
      </c>
      <c r="Q108" s="162">
        <f>ROUND(E108*P108,2)</f>
        <v>0</v>
      </c>
      <c r="R108" s="162"/>
      <c r="S108" s="162" t="s">
        <v>345</v>
      </c>
      <c r="T108" s="163" t="s">
        <v>101</v>
      </c>
    </row>
    <row r="109" spans="1:20" ht="12.75" customHeight="1" x14ac:dyDescent="0.25">
      <c r="A109" s="147"/>
      <c r="B109" s="148"/>
      <c r="C109" s="306" t="s">
        <v>145</v>
      </c>
      <c r="D109" s="307"/>
      <c r="E109" s="307"/>
      <c r="F109" s="307"/>
      <c r="G109" s="307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</row>
    <row r="110" spans="1:20" x14ac:dyDescent="0.25">
      <c r="A110" s="147"/>
      <c r="B110" s="148"/>
      <c r="C110" s="301"/>
      <c r="D110" s="302"/>
      <c r="E110" s="302"/>
      <c r="F110" s="302"/>
      <c r="G110" s="302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</row>
    <row r="111" spans="1:20" x14ac:dyDescent="0.25">
      <c r="A111" s="3"/>
      <c r="B111" s="4"/>
      <c r="C111" s="170"/>
      <c r="D111" s="6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x14ac:dyDescent="0.25">
      <c r="A112" s="202"/>
      <c r="B112" s="203" t="s">
        <v>28</v>
      </c>
      <c r="C112" s="206"/>
      <c r="D112" s="204"/>
      <c r="E112" s="205"/>
      <c r="F112" s="205"/>
      <c r="G112" s="166">
        <f>G8+G36+G39+G49+G60+G63+G71+G75+G81+G84+G94+G104</f>
        <v>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</sheetData>
  <sheetProtection password="EA7D" sheet="1" objects="1" scenarios="1"/>
  <mergeCells count="51">
    <mergeCell ref="A1:G1"/>
    <mergeCell ref="C2:H2"/>
    <mergeCell ref="C3:G3"/>
    <mergeCell ref="C4:H4"/>
    <mergeCell ref="C27:G27"/>
    <mergeCell ref="C10:G10"/>
    <mergeCell ref="C11:G11"/>
    <mergeCell ref="C13:G13"/>
    <mergeCell ref="C14:G14"/>
    <mergeCell ref="C16:G16"/>
    <mergeCell ref="C62:G62"/>
    <mergeCell ref="C58:G58"/>
    <mergeCell ref="C47:G47"/>
    <mergeCell ref="C48:G48"/>
    <mergeCell ref="C51:G51"/>
    <mergeCell ref="C59:G59"/>
    <mergeCell ref="C53:G53"/>
    <mergeCell ref="C54:G54"/>
    <mergeCell ref="C79:G79"/>
    <mergeCell ref="C80:G80"/>
    <mergeCell ref="C74:G74"/>
    <mergeCell ref="C77:G77"/>
    <mergeCell ref="C66:G66"/>
    <mergeCell ref="C70:G70"/>
    <mergeCell ref="C73:G73"/>
    <mergeCell ref="C89:G89"/>
    <mergeCell ref="C91:G91"/>
    <mergeCell ref="C86:G86"/>
    <mergeCell ref="C87:G87"/>
    <mergeCell ref="C83:G83"/>
    <mergeCell ref="C43:G43"/>
    <mergeCell ref="C17:G17"/>
    <mergeCell ref="C38:G38"/>
    <mergeCell ref="C32:G32"/>
    <mergeCell ref="C25:G25"/>
    <mergeCell ref="C29:G29"/>
    <mergeCell ref="C19:G19"/>
    <mergeCell ref="C20:G20"/>
    <mergeCell ref="C22:G22"/>
    <mergeCell ref="C23:G23"/>
    <mergeCell ref="C35:G35"/>
    <mergeCell ref="C30:G30"/>
    <mergeCell ref="C107:G107"/>
    <mergeCell ref="C109:G109"/>
    <mergeCell ref="C110:G110"/>
    <mergeCell ref="C102:G102"/>
    <mergeCell ref="C93:G93"/>
    <mergeCell ref="C96:G96"/>
    <mergeCell ref="C98:G98"/>
    <mergeCell ref="C100:G100"/>
    <mergeCell ref="C106:G106"/>
  </mergeCells>
  <pageMargins left="0.59055118110236227" right="0.19685039370078741" top="0.59055118110236227" bottom="0.59055118110236227" header="0.31496062992125984" footer="0.31496062992125984"/>
  <pageSetup paperSize="9" scale="85" fitToHeight="0" orientation="landscape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mail" ma:contentTypeID="0x0101007588873DC7462F4E99D600A979EE6F12003C6090FAE48FA84D9D7A604679798D26" ma:contentTypeVersion="15" ma:contentTypeDescription="" ma:contentTypeScope="" ma:versionID="a377cd2d8821bf5a16d8c7ddfee49799">
  <xsd:schema xmlns:xsd="http://www.w3.org/2001/XMLSchema" xmlns:xs="http://www.w3.org/2001/XMLSchema" xmlns:p="http://schemas.microsoft.com/office/2006/metadata/properties" xmlns:ns2="f6c1a218-cbfa-4a01-b3d4-1c5c095dd6ea" xmlns:ns3="ddab2709-d05c-4f37-95a5-cbe5cf0d7b64" xmlns:ns4="af438a19-8878-4213-a2e5-7599a89ab1ae" targetNamespace="http://schemas.microsoft.com/office/2006/metadata/properties" ma:root="true" ma:fieldsID="0e1666d1a878109572e0c9d9a201f57d" ns2:_="" ns3:_="" ns4:_="">
    <xsd:import namespace="f6c1a218-cbfa-4a01-b3d4-1c5c095dd6ea"/>
    <xsd:import namespace="ddab2709-d05c-4f37-95a5-cbe5cf0d7b64"/>
    <xsd:import namespace="af438a19-8878-4213-a2e5-7599a89ab1ae"/>
    <xsd:element name="properties">
      <xsd:complexType>
        <xsd:sequence>
          <xsd:element name="documentManagement">
            <xsd:complexType>
              <xsd:all>
                <xsd:element ref="ns2:Odesilatel" minOccurs="0"/>
                <xsd:element ref="ns2:DatumPrijeti" minOccurs="0"/>
                <xsd:element ref="ns2:Prijemce" minOccurs="0"/>
                <xsd:element ref="ns3:Sdileni" minOccurs="0"/>
                <xsd:element ref="ns2:bd7fee66c727474ba32b4338e304212a" minOccurs="0"/>
                <xsd:element ref="ns2:TaxCatchAll" minOccurs="0"/>
                <xsd:element ref="ns2:TaxCatchAllLabel" minOccurs="0"/>
                <xsd:element ref="ns2:CisloKauzy" minOccurs="0"/>
                <xsd:element ref="ns2:m915fb28bee64c1bbecbf27b099958c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lcf76f155ced4ddcb4097134ff3c332f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1a218-cbfa-4a01-b3d4-1c5c095dd6ea" elementFormDefault="qualified">
    <xsd:import namespace="http://schemas.microsoft.com/office/2006/documentManagement/types"/>
    <xsd:import namespace="http://schemas.microsoft.com/office/infopath/2007/PartnerControls"/>
    <xsd:element name="Odesilatel" ma:index="8" nillable="true" ma:displayName="Odesilatel" ma:internalName="Odesilatel">
      <xsd:simpleType>
        <xsd:restriction base="dms:Text">
          <xsd:maxLength value="255"/>
        </xsd:restriction>
      </xsd:simpleType>
    </xsd:element>
    <xsd:element name="DatumPrijeti" ma:index="9" nillable="true" ma:displayName="Datum přijetí" ma:default="[today]" ma:format="DateTime" ma:internalName="DatumPrijeti">
      <xsd:simpleType>
        <xsd:restriction base="dms:DateTime"/>
      </xsd:simpleType>
    </xsd:element>
    <xsd:element name="Prijemce" ma:index="10" nillable="true" ma:displayName="Příjemce" ma:internalName="Prijemce">
      <xsd:simpleType>
        <xsd:restriction base="dms:Text">
          <xsd:maxLength value="255"/>
        </xsd:restriction>
      </xsd:simpleType>
    </xsd:element>
    <xsd:element name="bd7fee66c727474ba32b4338e304212a" ma:index="12" nillable="true" ma:taxonomy="true" ma:internalName="bd7fee66c727474ba32b4338e304212a" ma:taxonomyFieldName="_x00da__x010d_astn_x00ed_ci" ma:displayName="Účastníci" ma:default="" ma:fieldId="{bd7fee66-c727-474b-a32b-4338e304212a}" ma:taxonomyMulti="true" ma:sspId="6043c58e-86ac-4567-935f-c9e5dc0778ea" ma:termSetId="c516ece4-7b70-45e7-8142-06de3238b20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fd73a1ef-6f03-4361-8ea5-56e799e6fb0e}" ma:internalName="TaxCatchAll" ma:showField="CatchAllData" ma:web="f6c1a218-cbfa-4a01-b3d4-1c5c095dd6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fd73a1ef-6f03-4361-8ea5-56e799e6fb0e}" ma:internalName="TaxCatchAllLabel" ma:readOnly="true" ma:showField="CatchAllDataLabel" ma:web="f6c1a218-cbfa-4a01-b3d4-1c5c095dd6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isloKauzy" ma:index="16" nillable="true" ma:displayName="Číslo kauzy" ma:internalName="_x010c__x00ed_slo_x0020_kauzy">
      <xsd:simpleType>
        <xsd:restriction base="dms:Text">
          <xsd:maxLength value="255"/>
        </xsd:restriction>
      </xsd:simpleType>
    </xsd:element>
    <xsd:element name="m915fb28bee64c1bbecbf27b099958ce" ma:index="17" ma:taxonomy="true" ma:internalName="m915fb28bee64c1bbecbf27b099958ce" ma:taxonomyFieldName="Klient" ma:displayName="Klient" ma:default="" ma:fieldId="{6915fb28-bee6-4c1b-becb-f27b099958ce}" ma:sspId="6043c58e-86ac-4567-935f-c9e5dc0778ea" ma:termSetId="c516ece4-7b70-45e7-8142-06de3238b207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b2709-d05c-4f37-95a5-cbe5cf0d7b64" elementFormDefault="qualified">
    <xsd:import namespace="http://schemas.microsoft.com/office/2006/documentManagement/types"/>
    <xsd:import namespace="http://schemas.microsoft.com/office/infopath/2007/PartnerControls"/>
    <xsd:element name="Sdileni" ma:index="11" nillable="true" ma:displayName="Sdileni" ma:list="96077e25-20b9-4b92-844e-e59a2d738e89" ma:internalName="Sdileni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38a19-8878-4213-a2e5-7599a89ab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Značky obrázků" ma:readOnly="false" ma:fieldId="{5cf76f15-5ced-4ddc-b409-7134ff3c332f}" ma:taxonomyMulti="true" ma:sspId="6043c58e-86ac-4567-935f-c9e5dc0778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c1a218-cbfa-4a01-b3d4-1c5c095dd6ea">
      <Value>934</Value>
    </TaxCatchAll>
    <DatumPrijeti xmlns="f6c1a218-cbfa-4a01-b3d4-1c5c095dd6ea">2024-02-07T20:38:25+00:00</DatumPrijeti>
    <lcf76f155ced4ddcb4097134ff3c332f xmlns="af438a19-8878-4213-a2e5-7599a89ab1ae">
      <Terms xmlns="http://schemas.microsoft.com/office/infopath/2007/PartnerControls"/>
    </lcf76f155ced4ddcb4097134ff3c332f>
    <Odesilatel xmlns="f6c1a218-cbfa-4a01-b3d4-1c5c095dd6ea" xsi:nil="true"/>
    <m915fb28bee64c1bbecbf27b099958ce xmlns="f6c1a218-cbfa-4a01-b3d4-1c5c095dd6ea">
      <Terms xmlns="http://schemas.microsoft.com/office/infopath/2007/PartnerControls">
        <TermInfo xmlns="http://schemas.microsoft.com/office/infopath/2007/PartnerControls">
          <TermName xmlns="http://schemas.microsoft.com/office/infopath/2007/PartnerControls">Obec Drahelcice</TermName>
          <TermId xmlns="http://schemas.microsoft.com/office/infopath/2007/PartnerControls">097aabb8-a773-4965-91cd-322a2f61a41f</TermId>
        </TermInfo>
      </Terms>
    </m915fb28bee64c1bbecbf27b099958ce>
    <bd7fee66c727474ba32b4338e304212a xmlns="f6c1a218-cbfa-4a01-b3d4-1c5c095dd6ea">
      <Terms xmlns="http://schemas.microsoft.com/office/infopath/2007/PartnerControls"/>
    </bd7fee66c727474ba32b4338e304212a>
    <CisloKauzy xmlns="f6c1a218-cbfa-4a01-b3d4-1c5c095dd6ea">884-013 </CisloKauzy>
    <Sdileni xmlns="ddab2709-d05c-4f37-95a5-cbe5cf0d7b64" xsi:nil="true"/>
    <Prijemce xmlns="f6c1a218-cbfa-4a01-b3d4-1c5c095dd6ea" xsi:nil="true"/>
  </documentManagement>
</p:properties>
</file>

<file path=customXml/itemProps1.xml><?xml version="1.0" encoding="utf-8"?>
<ds:datastoreItem xmlns:ds="http://schemas.openxmlformats.org/officeDocument/2006/customXml" ds:itemID="{DC1F029B-670F-4123-A753-AFAB1D505DD8}"/>
</file>

<file path=customXml/itemProps2.xml><?xml version="1.0" encoding="utf-8"?>
<ds:datastoreItem xmlns:ds="http://schemas.openxmlformats.org/officeDocument/2006/customXml" ds:itemID="{D5AB8431-AFCC-425D-8C1A-2601E195BF61}"/>
</file>

<file path=customXml/itemProps3.xml><?xml version="1.0" encoding="utf-8"?>
<ds:datastoreItem xmlns:ds="http://schemas.openxmlformats.org/officeDocument/2006/customXml" ds:itemID="{B669E8E6-A4D9-45C3-B563-1F2585C8F5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Komunikace</vt:lpstr>
      <vt:lpstr>Most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Komunikace!Názvy_tisku</vt:lpstr>
      <vt:lpstr>Most!Názvy_tisku</vt:lpstr>
      <vt:lpstr>oadresa</vt:lpstr>
      <vt:lpstr>Stavba!Objednatel</vt:lpstr>
      <vt:lpstr>Stavba!Objekt</vt:lpstr>
      <vt:lpstr>Komunikace!Oblast_tisku</vt:lpstr>
      <vt:lpstr>Most!Oblast_tisku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</dc:creator>
  <cp:lastModifiedBy>Zdeněk</cp:lastModifiedBy>
  <cp:lastPrinted>2021-03-30T12:13:42Z</cp:lastPrinted>
  <dcterms:created xsi:type="dcterms:W3CDTF">2009-04-08T07:15:50Z</dcterms:created>
  <dcterms:modified xsi:type="dcterms:W3CDTF">2024-02-06T12:31:09Z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0x0101007588873DC7462F4E99D600A979EE6F12003C6090FAE48FA84D9D7A604679798D26</vt:lpwstr>
  </property>
  <property fmtid="{D5CDD505-2E9C-101B-9397-08002B2CF9AE}" pid="3" name="Účastníci">
    <vt:lpwstr/>
  </property>
  <property fmtid="{D5CDD505-2E9C-101B-9397-08002B2CF9AE}" pid="4" name="Klient">
    <vt:lpwstr>934</vt:lpwstr>
  </property>
  <property fmtid="{D5CDD505-2E9C-101B-9397-08002B2CF9AE}" pid="5" name="TaxKeyword">
    <vt:lpwstr/>
  </property>
  <property fmtid="{D5CDD505-2E9C-101B-9397-08002B2CF9AE}" pid="6" name="MediaServiceImageTags">
    <vt:lpwstr/>
  </property>
  <property fmtid="{D5CDD505-2E9C-101B-9397-08002B2CF9AE}" pid="7" name="TaxKeywordTaxHTField">
    <vt:lpwstr/>
  </property>
</Properties>
</file>