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13_ncr:1_{2C34AFEF-DBAA-46E3-B5F4-EB22029D8B5A}" xr6:coauthVersionLast="47" xr6:coauthVersionMax="47" xr10:uidLastSave="{00000000-0000-0000-0000-000000000000}"/>
  <bookViews>
    <workbookView xWindow="-28920" yWindow="-120" windowWidth="29040" windowHeight="15840" tabRatio="925" activeTab="3" xr2:uid="{00000000-000D-0000-FFFF-FFFF00000000}"/>
  </bookViews>
  <sheets>
    <sheet name="Krycí list rozpočtu" sheetId="1" r:id="rId1"/>
    <sheet name="VORN" sheetId="2" state="hidden" r:id="rId2"/>
    <sheet name="Rozpočet - objekty" sheetId="3" r:id="rId3"/>
    <sheet name="Stavební rozpočet" sheetId="4" r:id="rId4"/>
    <sheet name="Krycí list rozpočtu (SO 01)" sheetId="5" r:id="rId5"/>
    <sheet name="VORN objektu (SO 01)" sheetId="6" state="hidden" r:id="rId6"/>
    <sheet name="Stavební rozpočet (SO 01)" sheetId="7" r:id="rId7"/>
    <sheet name="Krycí list rozpočtu (SO 02)" sheetId="8" r:id="rId8"/>
    <sheet name="VORN objektu (SO 02)" sheetId="9" state="hidden" r:id="rId9"/>
    <sheet name="Stavební rozpočet (SO 02)" sheetId="10" r:id="rId10"/>
    <sheet name="Krycí list rozpočtu (SO 03)" sheetId="11" r:id="rId11"/>
    <sheet name="VORN objektu (SO 03)" sheetId="12" state="hidden" r:id="rId12"/>
    <sheet name="Stavební rozpočet (SO 03)" sheetId="13" r:id="rId13"/>
    <sheet name="Krycí list rozpočtu (SO 04)" sheetId="14" r:id="rId14"/>
    <sheet name="VORN objektu (SO 04)" sheetId="15" state="hidden" r:id="rId15"/>
    <sheet name="Stavební rozpočet (SO 04)" sheetId="16" r:id="rId16"/>
    <sheet name="Krycí list rozpočtu (VON)" sheetId="17" r:id="rId17"/>
    <sheet name="VORN objektu (VON)" sheetId="18" state="hidden" r:id="rId18"/>
    <sheet name="Stavební rozpočet (VON)" sheetId="19" r:id="rId19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4" i="1"/>
  <c r="C6" i="1"/>
  <c r="C8" i="1"/>
  <c r="C10" i="1"/>
  <c r="I10" i="1"/>
  <c r="F14" i="1"/>
  <c r="F15" i="1"/>
  <c r="I18" i="1"/>
  <c r="C2" i="2"/>
  <c r="F2" i="2"/>
  <c r="C4" i="2"/>
  <c r="F4" i="2"/>
  <c r="C6" i="2"/>
  <c r="F6" i="2"/>
  <c r="C8" i="2"/>
  <c r="F8" i="2"/>
  <c r="C10" i="2"/>
  <c r="F10" i="2"/>
  <c r="I10" i="2"/>
  <c r="I15" i="2"/>
  <c r="I16" i="2"/>
  <c r="I18" i="2" s="1"/>
  <c r="I17" i="2"/>
  <c r="F16" i="1" s="1"/>
  <c r="I21" i="2"/>
  <c r="I14" i="1" s="1"/>
  <c r="I22" i="2"/>
  <c r="I15" i="1" s="1"/>
  <c r="I23" i="2"/>
  <c r="I16" i="1" s="1"/>
  <c r="I24" i="2"/>
  <c r="I17" i="1" s="1"/>
  <c r="I25" i="2"/>
  <c r="I26" i="2"/>
  <c r="I19" i="1" s="1"/>
  <c r="I27" i="2"/>
  <c r="F35" i="2"/>
  <c r="I35" i="2" s="1"/>
  <c r="F36" i="2"/>
  <c r="I36" i="2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F44" i="2"/>
  <c r="I44" i="2"/>
  <c r="D2" i="3"/>
  <c r="H2" i="3"/>
  <c r="D4" i="3"/>
  <c r="H4" i="3"/>
  <c r="D6" i="3"/>
  <c r="H6" i="3"/>
  <c r="D8" i="3"/>
  <c r="H8" i="3"/>
  <c r="AR1" i="4"/>
  <c r="AS1" i="4"/>
  <c r="AT1" i="4"/>
  <c r="I14" i="4"/>
  <c r="AK14" i="4" s="1"/>
  <c r="Y14" i="4"/>
  <c r="AD14" i="4"/>
  <c r="AG14" i="4"/>
  <c r="AI14" i="4"/>
  <c r="AJ14" i="4"/>
  <c r="AN14" i="4"/>
  <c r="AO14" i="4"/>
  <c r="AW14" i="4" s="1"/>
  <c r="BB14" i="4" s="1"/>
  <c r="AV14" i="4"/>
  <c r="AU14" i="4" s="1"/>
  <c r="BC14" i="4"/>
  <c r="BE14" i="4"/>
  <c r="BG14" i="4"/>
  <c r="AE14" i="4" s="1"/>
  <c r="BH14" i="4"/>
  <c r="BI14" i="4"/>
  <c r="I15" i="4"/>
  <c r="AK15" i="4" s="1"/>
  <c r="Y15" i="4"/>
  <c r="AA15" i="4"/>
  <c r="AG15" i="4"/>
  <c r="AI15" i="4"/>
  <c r="AJ15" i="4"/>
  <c r="AN15" i="4"/>
  <c r="AO15" i="4"/>
  <c r="AW15" i="4" s="1"/>
  <c r="BB15" i="4" s="1"/>
  <c r="AV15" i="4"/>
  <c r="AU15" i="4" s="1"/>
  <c r="BC15" i="4"/>
  <c r="BE15" i="4"/>
  <c r="BG15" i="4"/>
  <c r="AE15" i="4" s="1"/>
  <c r="BH15" i="4"/>
  <c r="AD15" i="4" s="1"/>
  <c r="BI15" i="4"/>
  <c r="I16" i="4"/>
  <c r="AK16" i="4" s="1"/>
  <c r="Y16" i="4"/>
  <c r="AA16" i="4"/>
  <c r="AD16" i="4"/>
  <c r="AG16" i="4"/>
  <c r="AI16" i="4"/>
  <c r="AJ16" i="4"/>
  <c r="AN16" i="4"/>
  <c r="AO16" i="4"/>
  <c r="AW16" i="4" s="1"/>
  <c r="AV16" i="4"/>
  <c r="AU16" i="4" s="1"/>
  <c r="BB16" i="4"/>
  <c r="BC16" i="4"/>
  <c r="BE16" i="4"/>
  <c r="BG16" i="4"/>
  <c r="AE16" i="4" s="1"/>
  <c r="BH16" i="4"/>
  <c r="BI16" i="4"/>
  <c r="I17" i="4"/>
  <c r="AK17" i="4" s="1"/>
  <c r="Y17" i="4"/>
  <c r="AA17" i="4"/>
  <c r="AG17" i="4"/>
  <c r="AI17" i="4"/>
  <c r="AJ17" i="4"/>
  <c r="AN17" i="4"/>
  <c r="AV17" i="4" s="1"/>
  <c r="AO17" i="4"/>
  <c r="BC17" i="4"/>
  <c r="BE17" i="4"/>
  <c r="BG17" i="4"/>
  <c r="AE17" i="4" s="1"/>
  <c r="BI17" i="4"/>
  <c r="I22" i="4"/>
  <c r="AK22" i="4" s="1"/>
  <c r="Y22" i="4"/>
  <c r="AG22" i="4"/>
  <c r="AJ22" i="4"/>
  <c r="AN22" i="4"/>
  <c r="AV22" i="4" s="1"/>
  <c r="AO22" i="4"/>
  <c r="BC22" i="4"/>
  <c r="BE22" i="4"/>
  <c r="BI22" i="4"/>
  <c r="I24" i="4"/>
  <c r="AK24" i="4" s="1"/>
  <c r="Y24" i="4"/>
  <c r="AG24" i="4"/>
  <c r="AI24" i="4"/>
  <c r="AJ24" i="4"/>
  <c r="AN24" i="4"/>
  <c r="AO24" i="4"/>
  <c r="AW24" i="4" s="1"/>
  <c r="BB24" i="4" s="1"/>
  <c r="AV24" i="4"/>
  <c r="BC24" i="4"/>
  <c r="BE24" i="4"/>
  <c r="BG24" i="4"/>
  <c r="AE24" i="4" s="1"/>
  <c r="BH24" i="4"/>
  <c r="BI24" i="4"/>
  <c r="I26" i="4"/>
  <c r="AK26" i="4" s="1"/>
  <c r="AA26" i="4"/>
  <c r="AG26" i="4"/>
  <c r="AI26" i="4"/>
  <c r="AJ26" i="4"/>
  <c r="AN26" i="4"/>
  <c r="AV26" i="4" s="1"/>
  <c r="AO26" i="4"/>
  <c r="AW26" i="4" s="1"/>
  <c r="BC26" i="4"/>
  <c r="BE26" i="4"/>
  <c r="BG26" i="4"/>
  <c r="AE26" i="4" s="1"/>
  <c r="BH26" i="4"/>
  <c r="BI26" i="4"/>
  <c r="Y26" i="4" s="1"/>
  <c r="I27" i="4"/>
  <c r="AK27" i="4" s="1"/>
  <c r="Y27" i="4"/>
  <c r="AA27" i="4"/>
  <c r="AG27" i="4"/>
  <c r="AI27" i="4"/>
  <c r="AJ27" i="4"/>
  <c r="AN27" i="4"/>
  <c r="AO27" i="4"/>
  <c r="AW27" i="4" s="1"/>
  <c r="AV27" i="4"/>
  <c r="BB27" i="4" s="1"/>
  <c r="BC27" i="4"/>
  <c r="BE27" i="4"/>
  <c r="BG27" i="4"/>
  <c r="AE27" i="4" s="1"/>
  <c r="BH27" i="4"/>
  <c r="BI27" i="4"/>
  <c r="I30" i="4"/>
  <c r="AK30" i="4" s="1"/>
  <c r="Y30" i="4"/>
  <c r="AG30" i="4"/>
  <c r="AJ30" i="4"/>
  <c r="AN30" i="4"/>
  <c r="AV30" i="4" s="1"/>
  <c r="AU30" i="4" s="1"/>
  <c r="AO30" i="4"/>
  <c r="AW30" i="4" s="1"/>
  <c r="BC30" i="4"/>
  <c r="BE30" i="4"/>
  <c r="BH30" i="4"/>
  <c r="BI30" i="4"/>
  <c r="I32" i="4"/>
  <c r="AK32" i="4" s="1"/>
  <c r="Y32" i="4"/>
  <c r="AD32" i="4"/>
  <c r="AF32" i="4"/>
  <c r="AG32" i="4"/>
  <c r="AJ32" i="4"/>
  <c r="AN32" i="4"/>
  <c r="AV32" i="4" s="1"/>
  <c r="AU32" i="4" s="1"/>
  <c r="AO32" i="4"/>
  <c r="AW32" i="4" s="1"/>
  <c r="BC32" i="4"/>
  <c r="BE32" i="4"/>
  <c r="BH32" i="4"/>
  <c r="AB32" i="4" s="1"/>
  <c r="BI32" i="4"/>
  <c r="I34" i="4"/>
  <c r="I35" i="4"/>
  <c r="AI35" i="4" s="1"/>
  <c r="AN35" i="4"/>
  <c r="AO35" i="4"/>
  <c r="AW35" i="4"/>
  <c r="BC35" i="4"/>
  <c r="BH35" i="4"/>
  <c r="BI35" i="4"/>
  <c r="Y35" i="4" s="1"/>
  <c r="I37" i="4"/>
  <c r="AI37" i="4" s="1"/>
  <c r="BE37" i="4"/>
  <c r="AG37" i="4"/>
  <c r="AJ37" i="4"/>
  <c r="AK37" i="4"/>
  <c r="AN37" i="4"/>
  <c r="AO37" i="4"/>
  <c r="BC37" i="4"/>
  <c r="BI37" i="4"/>
  <c r="Y37" i="4" s="1"/>
  <c r="I40" i="4"/>
  <c r="AF40" i="4"/>
  <c r="AK40" i="4"/>
  <c r="AN40" i="4"/>
  <c r="BG40" i="4" s="1"/>
  <c r="AC40" i="4" s="1"/>
  <c r="AO40" i="4"/>
  <c r="AW40" i="4"/>
  <c r="BC40" i="4"/>
  <c r="BE40" i="4"/>
  <c r="BH40" i="4"/>
  <c r="BI40" i="4"/>
  <c r="AG40" i="4" s="1"/>
  <c r="I46" i="4"/>
  <c r="BE46" i="4"/>
  <c r="AA46" i="4"/>
  <c r="AB46" i="4"/>
  <c r="AD46" i="4"/>
  <c r="AK46" i="4"/>
  <c r="AN46" i="4"/>
  <c r="AO46" i="4"/>
  <c r="BH46" i="4" s="1"/>
  <c r="AF46" i="4" s="1"/>
  <c r="AV46" i="4"/>
  <c r="AW46" i="4"/>
  <c r="BC46" i="4"/>
  <c r="BG46" i="4"/>
  <c r="AC46" i="4" s="1"/>
  <c r="BI46" i="4"/>
  <c r="AG46" i="4" s="1"/>
  <c r="I48" i="4"/>
  <c r="BE48" i="4"/>
  <c r="Y48" i="4"/>
  <c r="AA48" i="4"/>
  <c r="AG48" i="4"/>
  <c r="AK48" i="4"/>
  <c r="AN48" i="4"/>
  <c r="AV48" i="4" s="1"/>
  <c r="AO48" i="4"/>
  <c r="AW48" i="4" s="1"/>
  <c r="BC48" i="4"/>
  <c r="BG48" i="4"/>
  <c r="BH48" i="4"/>
  <c r="BI48" i="4"/>
  <c r="I51" i="4"/>
  <c r="Y51" i="4"/>
  <c r="AA51" i="4"/>
  <c r="AE51" i="4"/>
  <c r="AF51" i="4"/>
  <c r="AG51" i="4"/>
  <c r="AN51" i="4"/>
  <c r="AO51" i="4"/>
  <c r="AW51" i="4" s="1"/>
  <c r="AV51" i="4"/>
  <c r="BC51" i="4"/>
  <c r="BE51" i="4"/>
  <c r="BG51" i="4"/>
  <c r="AC51" i="4" s="1"/>
  <c r="BH51" i="4"/>
  <c r="AB51" i="4" s="1"/>
  <c r="BI51" i="4"/>
  <c r="I53" i="4"/>
  <c r="I54" i="4"/>
  <c r="AG54" i="4"/>
  <c r="AI54" i="4"/>
  <c r="AJ54" i="4"/>
  <c r="AK54" i="4"/>
  <c r="AT53" i="4" s="1"/>
  <c r="AN54" i="4"/>
  <c r="AV54" i="4" s="1"/>
  <c r="AU54" i="4" s="1"/>
  <c r="AO54" i="4"/>
  <c r="AW54" i="4"/>
  <c r="BC54" i="4"/>
  <c r="BE54" i="4"/>
  <c r="BH54" i="4"/>
  <c r="AF54" i="4" s="1"/>
  <c r="BI54" i="4"/>
  <c r="Y54" i="4" s="1"/>
  <c r="I59" i="4"/>
  <c r="AI59" i="4" s="1"/>
  <c r="BE59" i="4"/>
  <c r="AJ59" i="4"/>
  <c r="AK59" i="4"/>
  <c r="AN59" i="4"/>
  <c r="AO59" i="4"/>
  <c r="AW59" i="4" s="1"/>
  <c r="BC59" i="4"/>
  <c r="BI59" i="4"/>
  <c r="I61" i="4"/>
  <c r="AB61" i="4"/>
  <c r="AK61" i="4"/>
  <c r="AN61" i="4"/>
  <c r="AO61" i="4"/>
  <c r="AW61" i="4" s="1"/>
  <c r="AV61" i="4"/>
  <c r="AU61" i="4" s="1"/>
  <c r="BC61" i="4"/>
  <c r="BE61" i="4"/>
  <c r="BG61" i="4"/>
  <c r="AA61" i="4" s="1"/>
  <c r="BH61" i="4"/>
  <c r="AD61" i="4" s="1"/>
  <c r="BI61" i="4"/>
  <c r="AG61" i="4" s="1"/>
  <c r="I63" i="4"/>
  <c r="AK63" i="4"/>
  <c r="AN63" i="4"/>
  <c r="AV63" i="4" s="1"/>
  <c r="AU63" i="4" s="1"/>
  <c r="AO63" i="4"/>
  <c r="AW63" i="4" s="1"/>
  <c r="BC63" i="4"/>
  <c r="BE63" i="4"/>
  <c r="BH63" i="4"/>
  <c r="BI63" i="4"/>
  <c r="I66" i="4"/>
  <c r="AK66" i="4" s="1"/>
  <c r="AN66" i="4"/>
  <c r="AO66" i="4"/>
  <c r="AW66" i="4" s="1"/>
  <c r="BC66" i="4"/>
  <c r="BI66" i="4"/>
  <c r="AG66" i="4" s="1"/>
  <c r="I67" i="4"/>
  <c r="AK67" i="4" s="1"/>
  <c r="BE67" i="4"/>
  <c r="AB67" i="4"/>
  <c r="AF67" i="4"/>
  <c r="AI67" i="4"/>
  <c r="AJ67" i="4"/>
  <c r="AN67" i="4"/>
  <c r="AV67" i="4" s="1"/>
  <c r="AU67" i="4" s="1"/>
  <c r="AO67" i="4"/>
  <c r="AW67" i="4"/>
  <c r="BB67" i="4"/>
  <c r="BC67" i="4"/>
  <c r="BG67" i="4"/>
  <c r="BH67" i="4"/>
  <c r="AD67" i="4" s="1"/>
  <c r="BI67" i="4"/>
  <c r="Y67" i="4" s="1"/>
  <c r="I68" i="4"/>
  <c r="AK68" i="4" s="1"/>
  <c r="BE68" i="4"/>
  <c r="AI68" i="4"/>
  <c r="AJ68" i="4"/>
  <c r="AN68" i="4"/>
  <c r="AO68" i="4"/>
  <c r="AW68" i="4" s="1"/>
  <c r="BC68" i="4"/>
  <c r="BI68" i="4"/>
  <c r="AG68" i="4" s="1"/>
  <c r="I75" i="4"/>
  <c r="AK75" i="4" s="1"/>
  <c r="BE75" i="4"/>
  <c r="AG75" i="4"/>
  <c r="AN75" i="4"/>
  <c r="AV75" i="4" s="1"/>
  <c r="AO75" i="4"/>
  <c r="AW75" i="4" s="1"/>
  <c r="BC75" i="4"/>
  <c r="BG75" i="4"/>
  <c r="BI75" i="4"/>
  <c r="Y75" i="4" s="1"/>
  <c r="I77" i="4"/>
  <c r="AK77" i="4" s="1"/>
  <c r="BE77" i="4"/>
  <c r="AI77" i="4"/>
  <c r="AJ77" i="4"/>
  <c r="AN77" i="4"/>
  <c r="AV77" i="4" s="1"/>
  <c r="AO77" i="4"/>
  <c r="AW77" i="4"/>
  <c r="BC77" i="4"/>
  <c r="BG77" i="4"/>
  <c r="BH77" i="4"/>
  <c r="AD77" i="4" s="1"/>
  <c r="BI77" i="4"/>
  <c r="AG77" i="4" s="1"/>
  <c r="I87" i="4"/>
  <c r="I88" i="4"/>
  <c r="AI88" i="4"/>
  <c r="AJ88" i="4"/>
  <c r="AK88" i="4"/>
  <c r="AN88" i="4"/>
  <c r="AV88" i="4" s="1"/>
  <c r="AO88" i="4"/>
  <c r="BC88" i="4"/>
  <c r="BE88" i="4"/>
  <c r="BG88" i="4"/>
  <c r="AA88" i="4" s="1"/>
  <c r="BI88" i="4"/>
  <c r="AG88" i="4" s="1"/>
  <c r="I89" i="4"/>
  <c r="Y89" i="4"/>
  <c r="AC89" i="4"/>
  <c r="AI89" i="4"/>
  <c r="AN89" i="4"/>
  <c r="BG89" i="4" s="1"/>
  <c r="AO89" i="4"/>
  <c r="AW89" i="4" s="1"/>
  <c r="AV89" i="4"/>
  <c r="AU89" i="4" s="1"/>
  <c r="BB89" i="4"/>
  <c r="BC89" i="4"/>
  <c r="BE89" i="4"/>
  <c r="BI89" i="4"/>
  <c r="AG89" i="4" s="1"/>
  <c r="I91" i="4"/>
  <c r="AG91" i="4"/>
  <c r="AJ91" i="4"/>
  <c r="AS90" i="4" s="1"/>
  <c r="AN91" i="4"/>
  <c r="AO91" i="4"/>
  <c r="AW91" i="4" s="1"/>
  <c r="AU91" i="4" s="1"/>
  <c r="AV91" i="4"/>
  <c r="BC91" i="4"/>
  <c r="BG91" i="4"/>
  <c r="BH91" i="4"/>
  <c r="AF91" i="4" s="1"/>
  <c r="BI91" i="4"/>
  <c r="Y91" i="4" s="1"/>
  <c r="I99" i="4"/>
  <c r="Y99" i="4"/>
  <c r="AA99" i="4"/>
  <c r="AG99" i="4"/>
  <c r="AI99" i="4"/>
  <c r="AN99" i="4"/>
  <c r="AO99" i="4"/>
  <c r="AV99" i="4"/>
  <c r="AW99" i="4"/>
  <c r="BC99" i="4"/>
  <c r="BE99" i="4"/>
  <c r="BG99" i="4"/>
  <c r="AE99" i="4" s="1"/>
  <c r="BH99" i="4"/>
  <c r="BI99" i="4"/>
  <c r="I105" i="4"/>
  <c r="Y105" i="4"/>
  <c r="AG105" i="4"/>
  <c r="AI105" i="4"/>
  <c r="AJ105" i="4"/>
  <c r="AK105" i="4"/>
  <c r="AN105" i="4"/>
  <c r="AO105" i="4"/>
  <c r="AW105" i="4" s="1"/>
  <c r="AV105" i="4"/>
  <c r="BC105" i="4"/>
  <c r="BE105" i="4"/>
  <c r="BG105" i="4"/>
  <c r="AE105" i="4" s="1"/>
  <c r="BI105" i="4"/>
  <c r="I108" i="4"/>
  <c r="AK108" i="4" s="1"/>
  <c r="Y108" i="4"/>
  <c r="AA108" i="4"/>
  <c r="AG108" i="4"/>
  <c r="AI108" i="4"/>
  <c r="AN108" i="4"/>
  <c r="AV108" i="4" s="1"/>
  <c r="AO108" i="4"/>
  <c r="BH108" i="4" s="1"/>
  <c r="AF108" i="4" s="1"/>
  <c r="BC108" i="4"/>
  <c r="BE108" i="4"/>
  <c r="BG108" i="4"/>
  <c r="AE108" i="4" s="1"/>
  <c r="BI108" i="4"/>
  <c r="I113" i="4"/>
  <c r="AI113" i="4" s="1"/>
  <c r="BE113" i="4"/>
  <c r="Y113" i="4"/>
  <c r="AG113" i="4"/>
  <c r="AJ113" i="4"/>
  <c r="AK113" i="4"/>
  <c r="AN113" i="4"/>
  <c r="AV113" i="4" s="1"/>
  <c r="AO113" i="4"/>
  <c r="AW113" i="4" s="1"/>
  <c r="BC113" i="4"/>
  <c r="BG113" i="4"/>
  <c r="BI113" i="4"/>
  <c r="I116" i="4"/>
  <c r="Y116" i="4"/>
  <c r="AD116" i="4"/>
  <c r="AF116" i="4"/>
  <c r="AG116" i="4"/>
  <c r="AI116" i="4"/>
  <c r="AJ116" i="4"/>
  <c r="AK116" i="4"/>
  <c r="AN116" i="4"/>
  <c r="BG116" i="4" s="1"/>
  <c r="AC116" i="4" s="1"/>
  <c r="AO116" i="4"/>
  <c r="AW116" i="4"/>
  <c r="BC116" i="4"/>
  <c r="BE116" i="4"/>
  <c r="BH116" i="4"/>
  <c r="AB116" i="4" s="1"/>
  <c r="BI116" i="4"/>
  <c r="I121" i="4"/>
  <c r="AI121" i="4" s="1"/>
  <c r="AJ121" i="4"/>
  <c r="AK121" i="4"/>
  <c r="AN121" i="4"/>
  <c r="AO121" i="4"/>
  <c r="BC121" i="4"/>
  <c r="BI121" i="4"/>
  <c r="I124" i="4"/>
  <c r="AI124" i="4" s="1"/>
  <c r="AN124" i="4"/>
  <c r="AV124" i="4" s="1"/>
  <c r="AO124" i="4"/>
  <c r="BC124" i="4"/>
  <c r="BE124" i="4"/>
  <c r="BG124" i="4"/>
  <c r="BI124" i="4"/>
  <c r="I128" i="4"/>
  <c r="AI128" i="4" s="1"/>
  <c r="AJ128" i="4"/>
  <c r="AK128" i="4"/>
  <c r="AN128" i="4"/>
  <c r="AO128" i="4"/>
  <c r="AW128" i="4" s="1"/>
  <c r="AU128" i="4" s="1"/>
  <c r="AV128" i="4"/>
  <c r="BC128" i="4"/>
  <c r="BE128" i="4"/>
  <c r="BG128" i="4"/>
  <c r="AC128" i="4" s="1"/>
  <c r="BI128" i="4"/>
  <c r="I129" i="4"/>
  <c r="AI129" i="4" s="1"/>
  <c r="AN129" i="4"/>
  <c r="AO129" i="4"/>
  <c r="AW129" i="4" s="1"/>
  <c r="BC129" i="4"/>
  <c r="BE129" i="4"/>
  <c r="BI129" i="4"/>
  <c r="AG129" i="4" s="1"/>
  <c r="I131" i="4"/>
  <c r="AN131" i="4"/>
  <c r="AV131" i="4" s="1"/>
  <c r="AO131" i="4"/>
  <c r="AW131" i="4" s="1"/>
  <c r="BC131" i="4"/>
  <c r="BE131" i="4"/>
  <c r="BG131" i="4"/>
  <c r="BH131" i="4"/>
  <c r="BI131" i="4"/>
  <c r="I132" i="4"/>
  <c r="AJ132" i="4" s="1"/>
  <c r="AE132" i="4"/>
  <c r="AN132" i="4"/>
  <c r="AV132" i="4" s="1"/>
  <c r="AO132" i="4"/>
  <c r="AW132" i="4" s="1"/>
  <c r="BC132" i="4"/>
  <c r="BE132" i="4"/>
  <c r="BG132" i="4"/>
  <c r="BH132" i="4"/>
  <c r="AF132" i="4" s="1"/>
  <c r="BI132" i="4"/>
  <c r="I134" i="4"/>
  <c r="AJ134" i="4" s="1"/>
  <c r="AN134" i="4"/>
  <c r="AV134" i="4" s="1"/>
  <c r="AO134" i="4"/>
  <c r="AW134" i="4" s="1"/>
  <c r="BC134" i="4"/>
  <c r="BE134" i="4"/>
  <c r="BI134" i="4"/>
  <c r="I136" i="4"/>
  <c r="AK136" i="4" s="1"/>
  <c r="Y136" i="4"/>
  <c r="AE136" i="4"/>
  <c r="AG136" i="4"/>
  <c r="AI136" i="4"/>
  <c r="AJ136" i="4"/>
  <c r="AN136" i="4"/>
  <c r="AV136" i="4" s="1"/>
  <c r="AO136" i="4"/>
  <c r="AW136" i="4" s="1"/>
  <c r="BC136" i="4"/>
  <c r="BG136" i="4"/>
  <c r="BH136" i="4"/>
  <c r="BI136" i="4"/>
  <c r="I137" i="4"/>
  <c r="AI137" i="4" s="1"/>
  <c r="BE137" i="4"/>
  <c r="Y137" i="4"/>
  <c r="AF137" i="4"/>
  <c r="AG137" i="4"/>
  <c r="AN137" i="4"/>
  <c r="AV137" i="4" s="1"/>
  <c r="AO137" i="4"/>
  <c r="BH137" i="4" s="1"/>
  <c r="BC137" i="4"/>
  <c r="BI137" i="4"/>
  <c r="I139" i="4"/>
  <c r="AK139" i="4" s="1"/>
  <c r="BE139" i="4"/>
  <c r="Y139" i="4"/>
  <c r="AD139" i="4"/>
  <c r="AG139" i="4"/>
  <c r="AI139" i="4"/>
  <c r="AN139" i="4"/>
  <c r="BG139" i="4" s="1"/>
  <c r="AO139" i="4"/>
  <c r="BH139" i="4" s="1"/>
  <c r="AV139" i="4"/>
  <c r="AW139" i="4"/>
  <c r="BC139" i="4"/>
  <c r="BI139" i="4"/>
  <c r="I141" i="4"/>
  <c r="BE141" i="4"/>
  <c r="Y141" i="4"/>
  <c r="AG141" i="4"/>
  <c r="AN141" i="4"/>
  <c r="AO141" i="4"/>
  <c r="AV141" i="4"/>
  <c r="BB141" i="4" s="1"/>
  <c r="AW141" i="4"/>
  <c r="BC141" i="4"/>
  <c r="BG141" i="4"/>
  <c r="AC141" i="4" s="1"/>
  <c r="BH141" i="4"/>
  <c r="BI141" i="4"/>
  <c r="I143" i="4"/>
  <c r="AK143" i="4" s="1"/>
  <c r="BE143" i="4"/>
  <c r="Y143" i="4"/>
  <c r="AF143" i="4"/>
  <c r="AG143" i="4"/>
  <c r="AI143" i="4"/>
  <c r="AN143" i="4"/>
  <c r="AO143" i="4"/>
  <c r="AV143" i="4"/>
  <c r="AW143" i="4"/>
  <c r="BC143" i="4"/>
  <c r="BG143" i="4"/>
  <c r="AC143" i="4" s="1"/>
  <c r="BH143" i="4"/>
  <c r="AB143" i="4" s="1"/>
  <c r="BI143" i="4"/>
  <c r="I144" i="4"/>
  <c r="AK144" i="4" s="1"/>
  <c r="BE144" i="4"/>
  <c r="AA144" i="4"/>
  <c r="AI144" i="4"/>
  <c r="AJ144" i="4"/>
  <c r="AN144" i="4"/>
  <c r="AV144" i="4" s="1"/>
  <c r="AU144" i="4" s="1"/>
  <c r="AO144" i="4"/>
  <c r="AW144" i="4" s="1"/>
  <c r="BC144" i="4"/>
  <c r="BG144" i="4"/>
  <c r="AC144" i="4" s="1"/>
  <c r="BH144" i="4"/>
  <c r="BI144" i="4"/>
  <c r="I146" i="4"/>
  <c r="BE146" i="4"/>
  <c r="AA146" i="4"/>
  <c r="AE146" i="4"/>
  <c r="AG146" i="4"/>
  <c r="AI146" i="4"/>
  <c r="AN146" i="4"/>
  <c r="AO146" i="4"/>
  <c r="BH146" i="4" s="1"/>
  <c r="AV146" i="4"/>
  <c r="BC146" i="4"/>
  <c r="BG146" i="4"/>
  <c r="AC146" i="4" s="1"/>
  <c r="BI146" i="4"/>
  <c r="Y146" i="4" s="1"/>
  <c r="I147" i="4"/>
  <c r="AK147" i="4" s="1"/>
  <c r="BE147" i="4"/>
  <c r="AN147" i="4"/>
  <c r="AO147" i="4"/>
  <c r="AV147" i="4"/>
  <c r="BC147" i="4"/>
  <c r="BG147" i="4"/>
  <c r="AC147" i="4" s="1"/>
  <c r="BI147" i="4"/>
  <c r="I149" i="4"/>
  <c r="BE149" i="4"/>
  <c r="AA149" i="4"/>
  <c r="AE149" i="4"/>
  <c r="AN149" i="4"/>
  <c r="AO149" i="4"/>
  <c r="BH149" i="4" s="1"/>
  <c r="AV149" i="4"/>
  <c r="BC149" i="4"/>
  <c r="BG149" i="4"/>
  <c r="AC149" i="4" s="1"/>
  <c r="BI149" i="4"/>
  <c r="Y149" i="4" s="1"/>
  <c r="I151" i="4"/>
  <c r="AK151" i="4" s="1"/>
  <c r="BE151" i="4"/>
  <c r="AI151" i="4"/>
  <c r="AJ151" i="4"/>
  <c r="AN151" i="4"/>
  <c r="AO151" i="4"/>
  <c r="AW151" i="4" s="1"/>
  <c r="AV151" i="4"/>
  <c r="BC151" i="4"/>
  <c r="BG151" i="4"/>
  <c r="AC151" i="4" s="1"/>
  <c r="BI151" i="4"/>
  <c r="AG151" i="4" s="1"/>
  <c r="I153" i="4"/>
  <c r="Y153" i="4"/>
  <c r="AG153" i="4"/>
  <c r="AN153" i="4"/>
  <c r="AV153" i="4" s="1"/>
  <c r="AU153" i="4" s="1"/>
  <c r="AO153" i="4"/>
  <c r="AW153" i="4"/>
  <c r="BC153" i="4"/>
  <c r="BE153" i="4"/>
  <c r="BG153" i="4"/>
  <c r="AC153" i="4" s="1"/>
  <c r="BH153" i="4"/>
  <c r="BI153" i="4"/>
  <c r="I155" i="4"/>
  <c r="BE155" i="4"/>
  <c r="AA155" i="4"/>
  <c r="AB155" i="4"/>
  <c r="AI155" i="4"/>
  <c r="AJ155" i="4"/>
  <c r="AK155" i="4"/>
  <c r="AN155" i="4"/>
  <c r="AV155" i="4" s="1"/>
  <c r="AO155" i="4"/>
  <c r="AU155" i="4"/>
  <c r="AW155" i="4"/>
  <c r="BB155" i="4" s="1"/>
  <c r="BC155" i="4"/>
  <c r="BG155" i="4"/>
  <c r="AC155" i="4" s="1"/>
  <c r="BH155" i="4"/>
  <c r="AD155" i="4" s="1"/>
  <c r="BI155" i="4"/>
  <c r="AG155" i="4" s="1"/>
  <c r="I156" i="4"/>
  <c r="Y156" i="4"/>
  <c r="AA156" i="4"/>
  <c r="AB156" i="4"/>
  <c r="AE156" i="4"/>
  <c r="AI156" i="4"/>
  <c r="AJ156" i="4"/>
  <c r="AK156" i="4"/>
  <c r="AN156" i="4"/>
  <c r="AV156" i="4" s="1"/>
  <c r="AO156" i="4"/>
  <c r="AU156" i="4"/>
  <c r="AW156" i="4"/>
  <c r="BC156" i="4"/>
  <c r="BE156" i="4"/>
  <c r="BG156" i="4"/>
  <c r="AC156" i="4" s="1"/>
  <c r="BH156" i="4"/>
  <c r="AD156" i="4" s="1"/>
  <c r="BI156" i="4"/>
  <c r="AG156" i="4" s="1"/>
  <c r="I158" i="4"/>
  <c r="AA158" i="4"/>
  <c r="AB158" i="4"/>
  <c r="AE158" i="4"/>
  <c r="AI158" i="4"/>
  <c r="AJ158" i="4"/>
  <c r="AK158" i="4"/>
  <c r="AN158" i="4"/>
  <c r="AV158" i="4" s="1"/>
  <c r="AO158" i="4"/>
  <c r="AU158" i="4"/>
  <c r="AW158" i="4"/>
  <c r="BB158" i="4"/>
  <c r="BC158" i="4"/>
  <c r="BE158" i="4"/>
  <c r="BG158" i="4"/>
  <c r="AC158" i="4" s="1"/>
  <c r="BH158" i="4"/>
  <c r="AD158" i="4" s="1"/>
  <c r="BI158" i="4"/>
  <c r="AG158" i="4" s="1"/>
  <c r="I160" i="4"/>
  <c r="AA160" i="4"/>
  <c r="AE160" i="4"/>
  <c r="AN160" i="4"/>
  <c r="AV160" i="4" s="1"/>
  <c r="AO160" i="4"/>
  <c r="BH160" i="4" s="1"/>
  <c r="AW160" i="4"/>
  <c r="BC160" i="4"/>
  <c r="BE160" i="4"/>
  <c r="BG160" i="4"/>
  <c r="AC160" i="4" s="1"/>
  <c r="BI160" i="4"/>
  <c r="AG160" i="4" s="1"/>
  <c r="I162" i="4"/>
  <c r="AB162" i="4"/>
  <c r="AI162" i="4"/>
  <c r="AJ162" i="4"/>
  <c r="AK162" i="4"/>
  <c r="AN162" i="4"/>
  <c r="AO162" i="4"/>
  <c r="AW162" i="4"/>
  <c r="BC162" i="4"/>
  <c r="BE162" i="4"/>
  <c r="BH162" i="4"/>
  <c r="AD162" i="4" s="1"/>
  <c r="BI162" i="4"/>
  <c r="I165" i="4"/>
  <c r="Y165" i="4"/>
  <c r="AC165" i="4"/>
  <c r="AN165" i="4"/>
  <c r="AV165" i="4" s="1"/>
  <c r="AO165" i="4"/>
  <c r="AW165" i="4" s="1"/>
  <c r="AU165" i="4"/>
  <c r="BB165" i="4"/>
  <c r="BC165" i="4"/>
  <c r="BE165" i="4"/>
  <c r="BG165" i="4"/>
  <c r="AA165" i="4" s="1"/>
  <c r="BI165" i="4"/>
  <c r="AG165" i="4" s="1"/>
  <c r="I166" i="4"/>
  <c r="AJ166" i="4" s="1"/>
  <c r="Y166" i="4"/>
  <c r="AI166" i="4"/>
  <c r="AK166" i="4"/>
  <c r="AN166" i="4"/>
  <c r="AV166" i="4" s="1"/>
  <c r="AO166" i="4"/>
  <c r="BC166" i="4"/>
  <c r="BE166" i="4"/>
  <c r="BI166" i="4"/>
  <c r="AG166" i="4" s="1"/>
  <c r="I168" i="4"/>
  <c r="AJ168" i="4" s="1"/>
  <c r="AI168" i="4"/>
  <c r="AK168" i="4"/>
  <c r="AN168" i="4"/>
  <c r="AO168" i="4"/>
  <c r="BC168" i="4"/>
  <c r="BE168" i="4"/>
  <c r="BI168" i="4"/>
  <c r="AG168" i="4" s="1"/>
  <c r="I170" i="4"/>
  <c r="AJ170" i="4" s="1"/>
  <c r="AI170" i="4"/>
  <c r="AK170" i="4"/>
  <c r="AN170" i="4"/>
  <c r="AO170" i="4"/>
  <c r="BC170" i="4"/>
  <c r="BE170" i="4"/>
  <c r="BI170" i="4"/>
  <c r="I171" i="4"/>
  <c r="AJ171" i="4" s="1"/>
  <c r="AI171" i="4"/>
  <c r="AK171" i="4"/>
  <c r="AN171" i="4"/>
  <c r="AO171" i="4"/>
  <c r="AW171" i="4" s="1"/>
  <c r="BC171" i="4"/>
  <c r="BE171" i="4"/>
  <c r="BI171" i="4"/>
  <c r="I173" i="4"/>
  <c r="AE173" i="4"/>
  <c r="AN173" i="4"/>
  <c r="AV173" i="4" s="1"/>
  <c r="AO173" i="4"/>
  <c r="AW173" i="4" s="1"/>
  <c r="AU173" i="4" s="1"/>
  <c r="BC173" i="4"/>
  <c r="BE173" i="4"/>
  <c r="BG173" i="4"/>
  <c r="BH173" i="4"/>
  <c r="BI173" i="4"/>
  <c r="AG173" i="4" s="1"/>
  <c r="I175" i="4"/>
  <c r="AJ175" i="4" s="1"/>
  <c r="AI175" i="4"/>
  <c r="AK175" i="4"/>
  <c r="AN175" i="4"/>
  <c r="AV175" i="4" s="1"/>
  <c r="AU175" i="4" s="1"/>
  <c r="AO175" i="4"/>
  <c r="AW175" i="4" s="1"/>
  <c r="BC175" i="4"/>
  <c r="BE175" i="4"/>
  <c r="BG175" i="4"/>
  <c r="AE175" i="4" s="1"/>
  <c r="BI175" i="4"/>
  <c r="AG175" i="4" s="1"/>
  <c r="I178" i="4"/>
  <c r="AJ178" i="4" s="1"/>
  <c r="AI178" i="4"/>
  <c r="AK178" i="4"/>
  <c r="AN178" i="4"/>
  <c r="AV178" i="4" s="1"/>
  <c r="BB178" i="4" s="1"/>
  <c r="AO178" i="4"/>
  <c r="AW178" i="4" s="1"/>
  <c r="BC178" i="4"/>
  <c r="BE178" i="4"/>
  <c r="BH178" i="4"/>
  <c r="AD178" i="4" s="1"/>
  <c r="BI178" i="4"/>
  <c r="I179" i="4"/>
  <c r="AJ179" i="4" s="1"/>
  <c r="Y179" i="4"/>
  <c r="AC179" i="4"/>
  <c r="AI179" i="4"/>
  <c r="AK179" i="4"/>
  <c r="AN179" i="4"/>
  <c r="AV179" i="4" s="1"/>
  <c r="AO179" i="4"/>
  <c r="AW179" i="4" s="1"/>
  <c r="AU179" i="4"/>
  <c r="BB179" i="4"/>
  <c r="BC179" i="4"/>
  <c r="BE179" i="4"/>
  <c r="BG179" i="4"/>
  <c r="AA179" i="4" s="1"/>
  <c r="BI179" i="4"/>
  <c r="AG179" i="4" s="1"/>
  <c r="I181" i="4"/>
  <c r="AJ181" i="4" s="1"/>
  <c r="Y181" i="4"/>
  <c r="AI181" i="4"/>
  <c r="AK181" i="4"/>
  <c r="AN181" i="4"/>
  <c r="AV181" i="4" s="1"/>
  <c r="AO181" i="4"/>
  <c r="BC181" i="4"/>
  <c r="BE181" i="4"/>
  <c r="BI181" i="4"/>
  <c r="AG181" i="4" s="1"/>
  <c r="I182" i="4"/>
  <c r="AJ182" i="4" s="1"/>
  <c r="AI182" i="4"/>
  <c r="AK182" i="4"/>
  <c r="AN182" i="4"/>
  <c r="AO182" i="4"/>
  <c r="BC182" i="4"/>
  <c r="BE182" i="4"/>
  <c r="BI182" i="4"/>
  <c r="AG182" i="4" s="1"/>
  <c r="I184" i="4"/>
  <c r="AJ184" i="4" s="1"/>
  <c r="AI184" i="4"/>
  <c r="AK184" i="4"/>
  <c r="AN184" i="4"/>
  <c r="AO184" i="4"/>
  <c r="BC184" i="4"/>
  <c r="BE184" i="4"/>
  <c r="BI184" i="4"/>
  <c r="I185" i="4"/>
  <c r="Y185" i="4"/>
  <c r="AI185" i="4"/>
  <c r="AJ185" i="4"/>
  <c r="AK185" i="4"/>
  <c r="AN185" i="4"/>
  <c r="AV185" i="4" s="1"/>
  <c r="AO185" i="4"/>
  <c r="AW185" i="4" s="1"/>
  <c r="AU185" i="4" s="1"/>
  <c r="BC185" i="4"/>
  <c r="BE185" i="4"/>
  <c r="BG185" i="4"/>
  <c r="BH185" i="4"/>
  <c r="BI185" i="4"/>
  <c r="AG185" i="4" s="1"/>
  <c r="I187" i="4"/>
  <c r="AI187" i="4" s="1"/>
  <c r="Y187" i="4"/>
  <c r="AK187" i="4"/>
  <c r="AN187" i="4"/>
  <c r="AV187" i="4" s="1"/>
  <c r="BB187" i="4" s="1"/>
  <c r="AO187" i="4"/>
  <c r="AW187" i="4" s="1"/>
  <c r="BC187" i="4"/>
  <c r="BE187" i="4"/>
  <c r="BH187" i="4"/>
  <c r="BI187" i="4"/>
  <c r="AG187" i="4" s="1"/>
  <c r="I188" i="4"/>
  <c r="AI188" i="4"/>
  <c r="AJ188" i="4"/>
  <c r="AK188" i="4"/>
  <c r="AN188" i="4"/>
  <c r="AV188" i="4" s="1"/>
  <c r="AO188" i="4"/>
  <c r="BC188" i="4"/>
  <c r="BE188" i="4"/>
  <c r="BI188" i="4"/>
  <c r="AG188" i="4" s="1"/>
  <c r="I190" i="4"/>
  <c r="AI190" i="4"/>
  <c r="AJ190" i="4"/>
  <c r="AK190" i="4"/>
  <c r="AN190" i="4"/>
  <c r="AO190" i="4"/>
  <c r="BC190" i="4"/>
  <c r="BE190" i="4"/>
  <c r="BI190" i="4"/>
  <c r="I191" i="4"/>
  <c r="Y191" i="4"/>
  <c r="AN191" i="4"/>
  <c r="AV191" i="4" s="1"/>
  <c r="AO191" i="4"/>
  <c r="BC191" i="4"/>
  <c r="BE191" i="4"/>
  <c r="BG191" i="4"/>
  <c r="BI191" i="4"/>
  <c r="AG191" i="4" s="1"/>
  <c r="I193" i="4"/>
  <c r="AI193" i="4"/>
  <c r="AJ193" i="4"/>
  <c r="AK193" i="4"/>
  <c r="AN193" i="4"/>
  <c r="AV193" i="4" s="1"/>
  <c r="BB193" i="4" s="1"/>
  <c r="AO193" i="4"/>
  <c r="AW193" i="4" s="1"/>
  <c r="BC193" i="4"/>
  <c r="BE193" i="4"/>
  <c r="BH193" i="4"/>
  <c r="BI193" i="4"/>
  <c r="I194" i="4"/>
  <c r="AI194" i="4"/>
  <c r="AJ194" i="4"/>
  <c r="AK194" i="4"/>
  <c r="AN194" i="4"/>
  <c r="AV194" i="4" s="1"/>
  <c r="AO194" i="4"/>
  <c r="BC194" i="4"/>
  <c r="BE194" i="4"/>
  <c r="BI194" i="4"/>
  <c r="AG194" i="4" s="1"/>
  <c r="I196" i="4"/>
  <c r="AI196" i="4" s="1"/>
  <c r="Y196" i="4"/>
  <c r="AK196" i="4"/>
  <c r="AN196" i="4"/>
  <c r="AO196" i="4"/>
  <c r="AW196" i="4" s="1"/>
  <c r="BC196" i="4"/>
  <c r="BE196" i="4"/>
  <c r="BH196" i="4"/>
  <c r="BI196" i="4"/>
  <c r="AG196" i="4" s="1"/>
  <c r="I197" i="4"/>
  <c r="AI197" i="4"/>
  <c r="AJ197" i="4"/>
  <c r="AK197" i="4"/>
  <c r="AN197" i="4"/>
  <c r="AV197" i="4" s="1"/>
  <c r="AO197" i="4"/>
  <c r="AW197" i="4" s="1"/>
  <c r="BC197" i="4"/>
  <c r="BE197" i="4"/>
  <c r="BG197" i="4"/>
  <c r="BI197" i="4"/>
  <c r="I199" i="4"/>
  <c r="Y199" i="4"/>
  <c r="AI199" i="4"/>
  <c r="AJ199" i="4"/>
  <c r="AK199" i="4"/>
  <c r="AN199" i="4"/>
  <c r="AV199" i="4" s="1"/>
  <c r="AO199" i="4"/>
  <c r="BC199" i="4"/>
  <c r="BE199" i="4"/>
  <c r="BI199" i="4"/>
  <c r="AG199" i="4" s="1"/>
  <c r="I200" i="4"/>
  <c r="Y200" i="4"/>
  <c r="AI200" i="4"/>
  <c r="AJ200" i="4"/>
  <c r="AK200" i="4"/>
  <c r="AN200" i="4"/>
  <c r="AV200" i="4" s="1"/>
  <c r="AO200" i="4"/>
  <c r="BC200" i="4"/>
  <c r="BE200" i="4"/>
  <c r="BI200" i="4"/>
  <c r="AG200" i="4" s="1"/>
  <c r="I202" i="4"/>
  <c r="AD202" i="4"/>
  <c r="AN202" i="4"/>
  <c r="AO202" i="4"/>
  <c r="AW202" i="4" s="1"/>
  <c r="BC202" i="4"/>
  <c r="BE202" i="4"/>
  <c r="BH202" i="4"/>
  <c r="BI202" i="4"/>
  <c r="I204" i="4"/>
  <c r="AI204" i="4" s="1"/>
  <c r="Y204" i="4"/>
  <c r="AK204" i="4"/>
  <c r="AN204" i="4"/>
  <c r="AV204" i="4" s="1"/>
  <c r="BB204" i="4" s="1"/>
  <c r="AO204" i="4"/>
  <c r="AW204" i="4" s="1"/>
  <c r="BC204" i="4"/>
  <c r="BE204" i="4"/>
  <c r="BH204" i="4"/>
  <c r="BI204" i="4"/>
  <c r="AG204" i="4" s="1"/>
  <c r="I205" i="4"/>
  <c r="AI205" i="4"/>
  <c r="AJ205" i="4"/>
  <c r="AK205" i="4"/>
  <c r="AN205" i="4"/>
  <c r="AO205" i="4"/>
  <c r="AW205" i="4" s="1"/>
  <c r="BC205" i="4"/>
  <c r="BE205" i="4"/>
  <c r="BH205" i="4"/>
  <c r="BI205" i="4"/>
  <c r="AG205" i="4" s="1"/>
  <c r="I207" i="4"/>
  <c r="Y207" i="4"/>
  <c r="AI207" i="4"/>
  <c r="AJ207" i="4"/>
  <c r="AK207" i="4"/>
  <c r="AN207" i="4"/>
  <c r="AV207" i="4" s="1"/>
  <c r="AO207" i="4"/>
  <c r="AW207" i="4" s="1"/>
  <c r="AU207" i="4" s="1"/>
  <c r="BB207" i="4"/>
  <c r="BC207" i="4"/>
  <c r="BE207" i="4"/>
  <c r="BH207" i="4"/>
  <c r="BI207" i="4"/>
  <c r="AG207" i="4" s="1"/>
  <c r="I209" i="4"/>
  <c r="AI209" i="4"/>
  <c r="AJ209" i="4"/>
  <c r="AK209" i="4"/>
  <c r="AN209" i="4"/>
  <c r="AO209" i="4"/>
  <c r="BC209" i="4"/>
  <c r="BE209" i="4"/>
  <c r="BI209" i="4"/>
  <c r="AG209" i="4" s="1"/>
  <c r="I210" i="4"/>
  <c r="Y210" i="4"/>
  <c r="AI210" i="4"/>
  <c r="AJ210" i="4"/>
  <c r="AK210" i="4"/>
  <c r="AN210" i="4"/>
  <c r="AV210" i="4" s="1"/>
  <c r="BB210" i="4" s="1"/>
  <c r="AO210" i="4"/>
  <c r="AW210" i="4" s="1"/>
  <c r="BC210" i="4"/>
  <c r="BE210" i="4"/>
  <c r="BH210" i="4"/>
  <c r="BI210" i="4"/>
  <c r="AG210" i="4" s="1"/>
  <c r="I212" i="4"/>
  <c r="AK212" i="4" s="1"/>
  <c r="AI212" i="4"/>
  <c r="AJ212" i="4"/>
  <c r="AN212" i="4"/>
  <c r="AO212" i="4"/>
  <c r="BC212" i="4"/>
  <c r="BE212" i="4"/>
  <c r="BI212" i="4"/>
  <c r="AG212" i="4" s="1"/>
  <c r="I214" i="4"/>
  <c r="AB214" i="4"/>
  <c r="AF214" i="4"/>
  <c r="AI214" i="4"/>
  <c r="AJ214" i="4"/>
  <c r="AK214" i="4"/>
  <c r="AN214" i="4"/>
  <c r="AO214" i="4"/>
  <c r="AW214" i="4"/>
  <c r="BC214" i="4"/>
  <c r="BE214" i="4"/>
  <c r="BH214" i="4"/>
  <c r="AD214" i="4" s="1"/>
  <c r="BI214" i="4"/>
  <c r="I216" i="4"/>
  <c r="AF216" i="4"/>
  <c r="AI216" i="4"/>
  <c r="AN216" i="4"/>
  <c r="AO216" i="4"/>
  <c r="AW216" i="4"/>
  <c r="BC216" i="4"/>
  <c r="BE216" i="4"/>
  <c r="BH216" i="4"/>
  <c r="BI216" i="4"/>
  <c r="I219" i="4"/>
  <c r="AF219" i="4"/>
  <c r="AI219" i="4"/>
  <c r="AJ219" i="4"/>
  <c r="AK219" i="4"/>
  <c r="AN219" i="4"/>
  <c r="AO219" i="4"/>
  <c r="AW219" i="4"/>
  <c r="BC219" i="4"/>
  <c r="BE219" i="4"/>
  <c r="BH219" i="4"/>
  <c r="BI219" i="4"/>
  <c r="I221" i="4"/>
  <c r="AB221" i="4"/>
  <c r="AF221" i="4"/>
  <c r="AN221" i="4"/>
  <c r="AV221" i="4" s="1"/>
  <c r="AO221" i="4"/>
  <c r="AW221" i="4"/>
  <c r="BC221" i="4"/>
  <c r="BE221" i="4"/>
  <c r="BH221" i="4"/>
  <c r="AD221" i="4" s="1"/>
  <c r="BI221" i="4"/>
  <c r="I223" i="4"/>
  <c r="AB223" i="4"/>
  <c r="AF223" i="4"/>
  <c r="AI223" i="4"/>
  <c r="AN223" i="4"/>
  <c r="AV223" i="4" s="1"/>
  <c r="AO223" i="4"/>
  <c r="AU223" i="4"/>
  <c r="AW223" i="4"/>
  <c r="BC223" i="4"/>
  <c r="BE223" i="4"/>
  <c r="BH223" i="4"/>
  <c r="AD223" i="4" s="1"/>
  <c r="BI223" i="4"/>
  <c r="I225" i="4"/>
  <c r="AB225" i="4"/>
  <c r="AI225" i="4"/>
  <c r="AJ225" i="4"/>
  <c r="AK225" i="4"/>
  <c r="AN225" i="4"/>
  <c r="AV225" i="4" s="1"/>
  <c r="AO225" i="4"/>
  <c r="AW225" i="4"/>
  <c r="AU225" i="4" s="1"/>
  <c r="BC225" i="4"/>
  <c r="BE225" i="4"/>
  <c r="BG225" i="4"/>
  <c r="BH225" i="4"/>
  <c r="AD225" i="4" s="1"/>
  <c r="BI225" i="4"/>
  <c r="I228" i="4"/>
  <c r="AI228" i="4"/>
  <c r="AN228" i="4"/>
  <c r="AO228" i="4"/>
  <c r="AW228" i="4" s="1"/>
  <c r="BC228" i="4"/>
  <c r="BE228" i="4"/>
  <c r="BI228" i="4"/>
  <c r="I229" i="4"/>
  <c r="Y229" i="4"/>
  <c r="AE229" i="4"/>
  <c r="AN229" i="4"/>
  <c r="AO229" i="4"/>
  <c r="AV229" i="4"/>
  <c r="BC229" i="4"/>
  <c r="BE229" i="4"/>
  <c r="BG229" i="4"/>
  <c r="AA229" i="4" s="1"/>
  <c r="BI229" i="4"/>
  <c r="AG229" i="4" s="1"/>
  <c r="I231" i="4"/>
  <c r="AE231" i="4"/>
  <c r="AN231" i="4"/>
  <c r="AO231" i="4"/>
  <c r="AW231" i="4" s="1"/>
  <c r="AV231" i="4"/>
  <c r="BB231" i="4" s="1"/>
  <c r="BC231" i="4"/>
  <c r="BE231" i="4"/>
  <c r="BG231" i="4"/>
  <c r="AA231" i="4" s="1"/>
  <c r="BH231" i="4"/>
  <c r="BI231" i="4"/>
  <c r="AG231" i="4" s="1"/>
  <c r="I232" i="4"/>
  <c r="AN232" i="4"/>
  <c r="AO232" i="4"/>
  <c r="BC232" i="4"/>
  <c r="BE232" i="4"/>
  <c r="BI232" i="4"/>
  <c r="I234" i="4"/>
  <c r="AN234" i="4"/>
  <c r="AO234" i="4"/>
  <c r="AW234" i="4" s="1"/>
  <c r="AV234" i="4"/>
  <c r="AU234" i="4" s="1"/>
  <c r="BC234" i="4"/>
  <c r="BE234" i="4"/>
  <c r="BG234" i="4"/>
  <c r="AA234" i="4" s="1"/>
  <c r="BH234" i="4"/>
  <c r="AF234" i="4" s="1"/>
  <c r="BI234" i="4"/>
  <c r="I236" i="4"/>
  <c r="AE236" i="4"/>
  <c r="AI236" i="4"/>
  <c r="AN236" i="4"/>
  <c r="AO236" i="4"/>
  <c r="AW236" i="4" s="1"/>
  <c r="AV236" i="4"/>
  <c r="AU236" i="4" s="1"/>
  <c r="BC236" i="4"/>
  <c r="BE236" i="4"/>
  <c r="BG236" i="4"/>
  <c r="AA236" i="4" s="1"/>
  <c r="BH236" i="4"/>
  <c r="BI236" i="4"/>
  <c r="I237" i="4"/>
  <c r="AI237" i="4"/>
  <c r="AN237" i="4"/>
  <c r="AO237" i="4"/>
  <c r="AW237" i="4" s="1"/>
  <c r="AV237" i="4"/>
  <c r="AU237" i="4" s="1"/>
  <c r="BC237" i="4"/>
  <c r="BE237" i="4"/>
  <c r="BG237" i="4"/>
  <c r="AA237" i="4" s="1"/>
  <c r="BI237" i="4"/>
  <c r="AG237" i="4" s="1"/>
  <c r="I239" i="4"/>
  <c r="Y239" i="4"/>
  <c r="AN239" i="4"/>
  <c r="AO239" i="4"/>
  <c r="AW239" i="4" s="1"/>
  <c r="BC239" i="4"/>
  <c r="BE239" i="4"/>
  <c r="BI239" i="4"/>
  <c r="AG239" i="4" s="1"/>
  <c r="I240" i="4"/>
  <c r="Y240" i="4"/>
  <c r="AD240" i="4"/>
  <c r="AI240" i="4"/>
  <c r="AN240" i="4"/>
  <c r="AO240" i="4"/>
  <c r="AW240" i="4" s="1"/>
  <c r="AV240" i="4"/>
  <c r="BC240" i="4"/>
  <c r="BE240" i="4"/>
  <c r="BG240" i="4"/>
  <c r="AA240" i="4" s="1"/>
  <c r="BH240" i="4"/>
  <c r="AB240" i="4" s="1"/>
  <c r="BI240" i="4"/>
  <c r="AG240" i="4" s="1"/>
  <c r="I242" i="4"/>
  <c r="Y242" i="4"/>
  <c r="AE242" i="4"/>
  <c r="AN242" i="4"/>
  <c r="AO242" i="4"/>
  <c r="AW242" i="4" s="1"/>
  <c r="AV242" i="4"/>
  <c r="BC242" i="4"/>
  <c r="BE242" i="4"/>
  <c r="BG242" i="4"/>
  <c r="AA242" i="4" s="1"/>
  <c r="BI242" i="4"/>
  <c r="AG242" i="4" s="1"/>
  <c r="I243" i="4"/>
  <c r="AE243" i="4"/>
  <c r="AK243" i="4"/>
  <c r="AN243" i="4"/>
  <c r="AO243" i="4"/>
  <c r="AW243" i="4" s="1"/>
  <c r="AV243" i="4"/>
  <c r="AU243" i="4" s="1"/>
  <c r="BC243" i="4"/>
  <c r="BE243" i="4"/>
  <c r="BG243" i="4"/>
  <c r="AA243" i="4" s="1"/>
  <c r="BH243" i="4"/>
  <c r="BI243" i="4"/>
  <c r="AG243" i="4" s="1"/>
  <c r="I245" i="4"/>
  <c r="AJ245" i="4" s="1"/>
  <c r="AK245" i="4"/>
  <c r="AN245" i="4"/>
  <c r="AO245" i="4"/>
  <c r="AV245" i="4"/>
  <c r="BC245" i="4"/>
  <c r="BE245" i="4"/>
  <c r="BG245" i="4"/>
  <c r="BI245" i="4"/>
  <c r="AG245" i="4" s="1"/>
  <c r="I246" i="4"/>
  <c r="AK246" i="4" s="1"/>
  <c r="AN246" i="4"/>
  <c r="AV246" i="4" s="1"/>
  <c r="AO246" i="4"/>
  <c r="BC246" i="4"/>
  <c r="BE246" i="4"/>
  <c r="BG246" i="4"/>
  <c r="BI246" i="4"/>
  <c r="I248" i="4"/>
  <c r="AN248" i="4"/>
  <c r="BG248" i="4" s="1"/>
  <c r="AO248" i="4"/>
  <c r="AV248" i="4"/>
  <c r="BC248" i="4"/>
  <c r="BE248" i="4"/>
  <c r="BI248" i="4"/>
  <c r="I251" i="4"/>
  <c r="AN251" i="4"/>
  <c r="AV251" i="4" s="1"/>
  <c r="AO251" i="4"/>
  <c r="BC251" i="4"/>
  <c r="BE251" i="4"/>
  <c r="BG251" i="4"/>
  <c r="AC251" i="4" s="1"/>
  <c r="BI251" i="4"/>
  <c r="I253" i="4"/>
  <c r="AI253" i="4"/>
  <c r="AN253" i="4"/>
  <c r="BG253" i="4" s="1"/>
  <c r="AO253" i="4"/>
  <c r="AV253" i="4"/>
  <c r="BC253" i="4"/>
  <c r="BE253" i="4"/>
  <c r="BI253" i="4"/>
  <c r="I254" i="4"/>
  <c r="AJ254" i="4" s="1"/>
  <c r="AI254" i="4"/>
  <c r="AK254" i="4"/>
  <c r="AN254" i="4"/>
  <c r="AO254" i="4"/>
  <c r="BC254" i="4"/>
  <c r="BE254" i="4"/>
  <c r="BI254" i="4"/>
  <c r="I255" i="4"/>
  <c r="AI255" i="4"/>
  <c r="AN255" i="4"/>
  <c r="BG255" i="4" s="1"/>
  <c r="AO255" i="4"/>
  <c r="BC255" i="4"/>
  <c r="BE255" i="4"/>
  <c r="BI255" i="4"/>
  <c r="I256" i="4"/>
  <c r="AI256" i="4"/>
  <c r="AJ256" i="4"/>
  <c r="AK256" i="4"/>
  <c r="AN256" i="4"/>
  <c r="AO256" i="4"/>
  <c r="BC256" i="4"/>
  <c r="BE256" i="4"/>
  <c r="BI256" i="4"/>
  <c r="I258" i="4"/>
  <c r="Y258" i="4"/>
  <c r="AE258" i="4"/>
  <c r="AI258" i="4"/>
  <c r="AJ258" i="4"/>
  <c r="AK258" i="4"/>
  <c r="AN258" i="4"/>
  <c r="BG258" i="4" s="1"/>
  <c r="AO258" i="4"/>
  <c r="AW258" i="4" s="1"/>
  <c r="BC258" i="4"/>
  <c r="BE258" i="4"/>
  <c r="BH258" i="4"/>
  <c r="BI258" i="4"/>
  <c r="AG258" i="4" s="1"/>
  <c r="I260" i="4"/>
  <c r="AN260" i="4"/>
  <c r="AO260" i="4"/>
  <c r="AW260" i="4" s="1"/>
  <c r="BC260" i="4"/>
  <c r="BE260" i="4"/>
  <c r="BH260" i="4"/>
  <c r="BI260" i="4"/>
  <c r="AG260" i="4" s="1"/>
  <c r="I261" i="4"/>
  <c r="AI261" i="4" s="1"/>
  <c r="AJ261" i="4"/>
  <c r="AN261" i="4"/>
  <c r="AO261" i="4"/>
  <c r="AW261" i="4" s="1"/>
  <c r="BC261" i="4"/>
  <c r="BE261" i="4"/>
  <c r="BI261" i="4"/>
  <c r="I263" i="4"/>
  <c r="Y263" i="4"/>
  <c r="AN263" i="4"/>
  <c r="AO263" i="4"/>
  <c r="BC263" i="4"/>
  <c r="BE263" i="4"/>
  <c r="BI263" i="4"/>
  <c r="AG263" i="4" s="1"/>
  <c r="I265" i="4"/>
  <c r="Y265" i="4"/>
  <c r="AN265" i="4"/>
  <c r="AO265" i="4"/>
  <c r="BC265" i="4"/>
  <c r="BE265" i="4"/>
  <c r="BI265" i="4"/>
  <c r="AG265" i="4" s="1"/>
  <c r="I266" i="4"/>
  <c r="AN266" i="4"/>
  <c r="AO266" i="4"/>
  <c r="AW266" i="4" s="1"/>
  <c r="BC266" i="4"/>
  <c r="BE266" i="4"/>
  <c r="BH266" i="4"/>
  <c r="BI266" i="4"/>
  <c r="AG266" i="4" s="1"/>
  <c r="I268" i="4"/>
  <c r="AI268" i="4" s="1"/>
  <c r="AA268" i="4"/>
  <c r="AJ268" i="4"/>
  <c r="AN268" i="4"/>
  <c r="AV268" i="4" s="1"/>
  <c r="AO268" i="4"/>
  <c r="AW268" i="4" s="1"/>
  <c r="AU268" i="4"/>
  <c r="BC268" i="4"/>
  <c r="BE268" i="4"/>
  <c r="BG268" i="4"/>
  <c r="BI268" i="4"/>
  <c r="AG268" i="4" s="1"/>
  <c r="I270" i="4"/>
  <c r="AJ270" i="4" s="1"/>
  <c r="AF270" i="4"/>
  <c r="AN270" i="4"/>
  <c r="AO270" i="4"/>
  <c r="AW270" i="4" s="1"/>
  <c r="BC270" i="4"/>
  <c r="BE270" i="4"/>
  <c r="BH270" i="4"/>
  <c r="BI270" i="4"/>
  <c r="AG270" i="4" s="1"/>
  <c r="I272" i="4"/>
  <c r="AI272" i="4" s="1"/>
  <c r="AN272" i="4"/>
  <c r="BG272" i="4" s="1"/>
  <c r="AE272" i="4" s="1"/>
  <c r="AO272" i="4"/>
  <c r="AV272" i="4"/>
  <c r="BC272" i="4"/>
  <c r="BE272" i="4"/>
  <c r="BI272" i="4"/>
  <c r="I274" i="4"/>
  <c r="AE274" i="4"/>
  <c r="AN274" i="4"/>
  <c r="AO274" i="4"/>
  <c r="AV274" i="4"/>
  <c r="BC274" i="4"/>
  <c r="BE274" i="4"/>
  <c r="BG274" i="4"/>
  <c r="AA274" i="4" s="1"/>
  <c r="BI274" i="4"/>
  <c r="Y274" i="4" s="1"/>
  <c r="I276" i="4"/>
  <c r="AK276" i="4" s="1"/>
  <c r="AB276" i="4"/>
  <c r="AF276" i="4"/>
  <c r="AG276" i="4"/>
  <c r="AN276" i="4"/>
  <c r="AO276" i="4"/>
  <c r="AV276" i="4"/>
  <c r="AW276" i="4"/>
  <c r="BC276" i="4"/>
  <c r="BE276" i="4"/>
  <c r="BG276" i="4"/>
  <c r="BH276" i="4"/>
  <c r="AD276" i="4" s="1"/>
  <c r="BI276" i="4"/>
  <c r="Y276" i="4" s="1"/>
  <c r="I280" i="4"/>
  <c r="BE280" i="4"/>
  <c r="AE280" i="4"/>
  <c r="AK280" i="4"/>
  <c r="AN280" i="4"/>
  <c r="BG280" i="4" s="1"/>
  <c r="AO280" i="4"/>
  <c r="AW280" i="4" s="1"/>
  <c r="AV280" i="4"/>
  <c r="BC280" i="4"/>
  <c r="BH280" i="4"/>
  <c r="AD280" i="4" s="1"/>
  <c r="BI280" i="4"/>
  <c r="I282" i="4"/>
  <c r="AI282" i="4" s="1"/>
  <c r="AJ282" i="4"/>
  <c r="AK282" i="4"/>
  <c r="AN282" i="4"/>
  <c r="AV282" i="4" s="1"/>
  <c r="AO282" i="4"/>
  <c r="BC282" i="4"/>
  <c r="BE282" i="4"/>
  <c r="BG282" i="4"/>
  <c r="BI282" i="4"/>
  <c r="I284" i="4"/>
  <c r="AJ284" i="4" s="1"/>
  <c r="BE284" i="4"/>
  <c r="AI284" i="4"/>
  <c r="AK284" i="4"/>
  <c r="AN284" i="4"/>
  <c r="AO284" i="4"/>
  <c r="AW284" i="4"/>
  <c r="BC284" i="4"/>
  <c r="BH284" i="4"/>
  <c r="BI284" i="4"/>
  <c r="I286" i="4"/>
  <c r="AG286" i="4"/>
  <c r="AI286" i="4"/>
  <c r="AJ286" i="4"/>
  <c r="AK286" i="4"/>
  <c r="AN286" i="4"/>
  <c r="AV286" i="4" s="1"/>
  <c r="AO286" i="4"/>
  <c r="AW286" i="4"/>
  <c r="BC286" i="4"/>
  <c r="BE286" i="4"/>
  <c r="BG286" i="4"/>
  <c r="BH286" i="4"/>
  <c r="BI286" i="4"/>
  <c r="Y286" i="4" s="1"/>
  <c r="I290" i="4"/>
  <c r="AE290" i="4"/>
  <c r="AJ290" i="4"/>
  <c r="AS289" i="4" s="1"/>
  <c r="AK290" i="4"/>
  <c r="AT289" i="4" s="1"/>
  <c r="AN290" i="4"/>
  <c r="AV290" i="4" s="1"/>
  <c r="AO290" i="4"/>
  <c r="AW290" i="4" s="1"/>
  <c r="BC290" i="4"/>
  <c r="BE290" i="4"/>
  <c r="BG290" i="4"/>
  <c r="AA290" i="4" s="1"/>
  <c r="BH290" i="4"/>
  <c r="BI290" i="4"/>
  <c r="I293" i="4"/>
  <c r="AG293" i="4"/>
  <c r="AN293" i="4"/>
  <c r="AO293" i="4"/>
  <c r="BC293" i="4"/>
  <c r="BI293" i="4"/>
  <c r="Y293" i="4" s="1"/>
  <c r="I294" i="4"/>
  <c r="BE294" i="4"/>
  <c r="AF294" i="4"/>
  <c r="AN294" i="4"/>
  <c r="AV294" i="4" s="1"/>
  <c r="AO294" i="4"/>
  <c r="AW294" i="4" s="1"/>
  <c r="BC294" i="4"/>
  <c r="BG294" i="4"/>
  <c r="BH294" i="4"/>
  <c r="AB294" i="4" s="1"/>
  <c r="BI294" i="4"/>
  <c r="AG294" i="4" s="1"/>
  <c r="I295" i="4"/>
  <c r="BE295" i="4"/>
  <c r="AN295" i="4"/>
  <c r="AO295" i="4"/>
  <c r="AW295" i="4" s="1"/>
  <c r="BC295" i="4"/>
  <c r="BH295" i="4"/>
  <c r="BI295" i="4"/>
  <c r="AG295" i="4" s="1"/>
  <c r="I297" i="4"/>
  <c r="AJ297" i="4" s="1"/>
  <c r="BE297" i="4"/>
  <c r="Y297" i="4"/>
  <c r="AI297" i="4"/>
  <c r="AN297" i="4"/>
  <c r="AV297" i="4" s="1"/>
  <c r="AO297" i="4"/>
  <c r="AW297" i="4" s="1"/>
  <c r="BC297" i="4"/>
  <c r="BI297" i="4"/>
  <c r="AG297" i="4" s="1"/>
  <c r="I298" i="4"/>
  <c r="BE298" i="4"/>
  <c r="AN298" i="4"/>
  <c r="AO298" i="4"/>
  <c r="AW298" i="4"/>
  <c r="BC298" i="4"/>
  <c r="BH298" i="4"/>
  <c r="BI298" i="4"/>
  <c r="Y298" i="4" s="1"/>
  <c r="I300" i="4"/>
  <c r="AG300" i="4"/>
  <c r="AK300" i="4"/>
  <c r="AN300" i="4"/>
  <c r="AO300" i="4"/>
  <c r="AW300" i="4" s="1"/>
  <c r="BC300" i="4"/>
  <c r="BE300" i="4"/>
  <c r="BH300" i="4"/>
  <c r="AF300" i="4" s="1"/>
  <c r="BI300" i="4"/>
  <c r="Y300" i="4" s="1"/>
  <c r="I303" i="4"/>
  <c r="AG303" i="4"/>
  <c r="AK303" i="4"/>
  <c r="AN303" i="4"/>
  <c r="AO303" i="4"/>
  <c r="BC303" i="4"/>
  <c r="BE303" i="4"/>
  <c r="BI303" i="4"/>
  <c r="Y303" i="4" s="1"/>
  <c r="I304" i="4"/>
  <c r="AI304" i="4"/>
  <c r="AN304" i="4"/>
  <c r="AO304" i="4"/>
  <c r="BC304" i="4"/>
  <c r="BE304" i="4"/>
  <c r="BI304" i="4"/>
  <c r="I305" i="4"/>
  <c r="AI305" i="4"/>
  <c r="AN305" i="4"/>
  <c r="AO305" i="4"/>
  <c r="BC305" i="4"/>
  <c r="BE305" i="4"/>
  <c r="BI305" i="4"/>
  <c r="Y305" i="4" s="1"/>
  <c r="I307" i="4"/>
  <c r="AG307" i="4"/>
  <c r="AI307" i="4"/>
  <c r="AN307" i="4"/>
  <c r="AO307" i="4"/>
  <c r="AW307" i="4" s="1"/>
  <c r="BC307" i="4"/>
  <c r="BE307" i="4"/>
  <c r="BH307" i="4"/>
  <c r="BI307" i="4"/>
  <c r="Y307" i="4" s="1"/>
  <c r="I309" i="4"/>
  <c r="Y309" i="4"/>
  <c r="AN309" i="4"/>
  <c r="BG309" i="4" s="1"/>
  <c r="AC309" i="4" s="1"/>
  <c r="AO309" i="4"/>
  <c r="BC309" i="4"/>
  <c r="BE309" i="4"/>
  <c r="BI309" i="4"/>
  <c r="AG309" i="4" s="1"/>
  <c r="I311" i="4"/>
  <c r="AJ311" i="4" s="1"/>
  <c r="Y311" i="4"/>
  <c r="AF311" i="4"/>
  <c r="AK311" i="4"/>
  <c r="AN311" i="4"/>
  <c r="AO311" i="4"/>
  <c r="AW311" i="4"/>
  <c r="BC311" i="4"/>
  <c r="BE311" i="4"/>
  <c r="BH311" i="4"/>
  <c r="BI311" i="4"/>
  <c r="AG311" i="4" s="1"/>
  <c r="I313" i="4"/>
  <c r="AJ313" i="4" s="1"/>
  <c r="AN313" i="4"/>
  <c r="BG313" i="4" s="1"/>
  <c r="AO313" i="4"/>
  <c r="AW313" i="4"/>
  <c r="BC313" i="4"/>
  <c r="BE313" i="4"/>
  <c r="BH313" i="4"/>
  <c r="BI313" i="4"/>
  <c r="Y313" i="4" s="1"/>
  <c r="I317" i="4"/>
  <c r="I316" i="4" s="1"/>
  <c r="AJ317" i="4"/>
  <c r="AS316" i="4" s="1"/>
  <c r="AN317" i="4"/>
  <c r="AO317" i="4"/>
  <c r="AW317" i="4" s="1"/>
  <c r="AV317" i="4"/>
  <c r="BC317" i="4"/>
  <c r="BE317" i="4"/>
  <c r="BG317" i="4"/>
  <c r="BH317" i="4"/>
  <c r="AB317" i="4" s="1"/>
  <c r="BI317" i="4"/>
  <c r="I319" i="4"/>
  <c r="AE319" i="4"/>
  <c r="AI319" i="4"/>
  <c r="AR318" i="4" s="1"/>
  <c r="AN319" i="4"/>
  <c r="BG319" i="4" s="1"/>
  <c r="AO319" i="4"/>
  <c r="AV319" i="4"/>
  <c r="BC319" i="4"/>
  <c r="BI319" i="4"/>
  <c r="AG319" i="4" s="1"/>
  <c r="I322" i="4"/>
  <c r="Y322" i="4"/>
  <c r="AG322" i="4"/>
  <c r="AN322" i="4"/>
  <c r="AO322" i="4"/>
  <c r="BC322" i="4"/>
  <c r="BE322" i="4"/>
  <c r="BI322" i="4"/>
  <c r="I324" i="4"/>
  <c r="AI324" i="4" s="1"/>
  <c r="AG324" i="4"/>
  <c r="AJ324" i="4"/>
  <c r="AK324" i="4"/>
  <c r="AN324" i="4"/>
  <c r="AV324" i="4" s="1"/>
  <c r="AO324" i="4"/>
  <c r="BC324" i="4"/>
  <c r="BG324" i="4"/>
  <c r="BI324" i="4"/>
  <c r="Y324" i="4" s="1"/>
  <c r="I326" i="4"/>
  <c r="Y326" i="4"/>
  <c r="AG326" i="4"/>
  <c r="AI326" i="4"/>
  <c r="AJ326" i="4"/>
  <c r="AK326" i="4"/>
  <c r="AN326" i="4"/>
  <c r="AO326" i="4"/>
  <c r="BC326" i="4"/>
  <c r="BE326" i="4"/>
  <c r="BI326" i="4"/>
  <c r="I327" i="4"/>
  <c r="BE327" i="4"/>
  <c r="Y327" i="4"/>
  <c r="AI327" i="4"/>
  <c r="AJ327" i="4"/>
  <c r="AK327" i="4"/>
  <c r="AN327" i="4"/>
  <c r="AV327" i="4" s="1"/>
  <c r="AO327" i="4"/>
  <c r="BC327" i="4"/>
  <c r="BG327" i="4"/>
  <c r="BI327" i="4"/>
  <c r="AG327" i="4" s="1"/>
  <c r="I329" i="4"/>
  <c r="Y329" i="4"/>
  <c r="AG329" i="4"/>
  <c r="AN329" i="4"/>
  <c r="AO329" i="4"/>
  <c r="AW329" i="4"/>
  <c r="BC329" i="4"/>
  <c r="BE329" i="4"/>
  <c r="BH329" i="4"/>
  <c r="BI329" i="4"/>
  <c r="I330" i="4"/>
  <c r="AJ330" i="4" s="1"/>
  <c r="BE330" i="4"/>
  <c r="AI330" i="4"/>
  <c r="AN330" i="4"/>
  <c r="AV330" i="4" s="1"/>
  <c r="AO330" i="4"/>
  <c r="BC330" i="4"/>
  <c r="BI330" i="4"/>
  <c r="Y330" i="4" s="1"/>
  <c r="I333" i="4"/>
  <c r="AJ333" i="4"/>
  <c r="AN333" i="4"/>
  <c r="AO333" i="4"/>
  <c r="BC333" i="4"/>
  <c r="BE333" i="4"/>
  <c r="BI333" i="4"/>
  <c r="I336" i="4"/>
  <c r="AI336" i="4"/>
  <c r="AJ336" i="4"/>
  <c r="AK336" i="4"/>
  <c r="AN336" i="4"/>
  <c r="AO336" i="4"/>
  <c r="AW336" i="4" s="1"/>
  <c r="BC336" i="4"/>
  <c r="BE336" i="4"/>
  <c r="BH336" i="4"/>
  <c r="AF336" i="4" s="1"/>
  <c r="BI336" i="4"/>
  <c r="I337" i="4"/>
  <c r="AI337" i="4" s="1"/>
  <c r="AJ337" i="4"/>
  <c r="AK337" i="4"/>
  <c r="AN337" i="4"/>
  <c r="AV337" i="4" s="1"/>
  <c r="AO337" i="4"/>
  <c r="BC337" i="4"/>
  <c r="BE337" i="4"/>
  <c r="BI337" i="4"/>
  <c r="AG337" i="4" s="1"/>
  <c r="I341" i="4"/>
  <c r="AJ341" i="4" s="1"/>
  <c r="Y341" i="4"/>
  <c r="AN341" i="4"/>
  <c r="AV341" i="4" s="1"/>
  <c r="AO341" i="4"/>
  <c r="BC341" i="4"/>
  <c r="BE341" i="4"/>
  <c r="BI341" i="4"/>
  <c r="AG341" i="4" s="1"/>
  <c r="I343" i="4"/>
  <c r="AJ343" i="4"/>
  <c r="AN343" i="4"/>
  <c r="AV343" i="4" s="1"/>
  <c r="AO343" i="4"/>
  <c r="AW343" i="4" s="1"/>
  <c r="BC343" i="4"/>
  <c r="BE343" i="4"/>
  <c r="BH343" i="4"/>
  <c r="AF343" i="4" s="1"/>
  <c r="BI343" i="4"/>
  <c r="AG343" i="4" s="1"/>
  <c r="I344" i="4"/>
  <c r="AJ344" i="4" s="1"/>
  <c r="Y344" i="4"/>
  <c r="AN344" i="4"/>
  <c r="AV344" i="4" s="1"/>
  <c r="AO344" i="4"/>
  <c r="AW344" i="4" s="1"/>
  <c r="BC344" i="4"/>
  <c r="BE344" i="4"/>
  <c r="BI344" i="4"/>
  <c r="AG344" i="4" s="1"/>
  <c r="I346" i="4"/>
  <c r="I347" i="4"/>
  <c r="AJ347" i="4"/>
  <c r="AS346" i="4" s="1"/>
  <c r="AN347" i="4"/>
  <c r="AO347" i="4"/>
  <c r="AV347" i="4"/>
  <c r="BC347" i="4"/>
  <c r="BG347" i="4"/>
  <c r="AC347" i="4" s="1"/>
  <c r="BI347" i="4"/>
  <c r="I350" i="4"/>
  <c r="Y350" i="4"/>
  <c r="AN350" i="4"/>
  <c r="BG350" i="4" s="1"/>
  <c r="AO350" i="4"/>
  <c r="AV350" i="4"/>
  <c r="BC350" i="4"/>
  <c r="BE350" i="4"/>
  <c r="BI350" i="4"/>
  <c r="AG350" i="4" s="1"/>
  <c r="I353" i="4"/>
  <c r="AI353" i="4" s="1"/>
  <c r="Y353" i="4"/>
  <c r="AJ353" i="4"/>
  <c r="AN353" i="4"/>
  <c r="AO353" i="4"/>
  <c r="AW353" i="4" s="1"/>
  <c r="AV353" i="4"/>
  <c r="BC353" i="4"/>
  <c r="BG353" i="4"/>
  <c r="AC353" i="4" s="1"/>
  <c r="BH353" i="4"/>
  <c r="BI353" i="4"/>
  <c r="AG353" i="4" s="1"/>
  <c r="I355" i="4"/>
  <c r="AI355" i="4" s="1"/>
  <c r="AG355" i="4"/>
  <c r="AK355" i="4"/>
  <c r="AN355" i="4"/>
  <c r="AO355" i="4"/>
  <c r="AW355" i="4" s="1"/>
  <c r="BC355" i="4"/>
  <c r="BE355" i="4"/>
  <c r="BH355" i="4"/>
  <c r="BI355" i="4"/>
  <c r="Y355" i="4" s="1"/>
  <c r="I357" i="4"/>
  <c r="I358" i="4"/>
  <c r="AI358" i="4" s="1"/>
  <c r="AR357" i="4" s="1"/>
  <c r="AK358" i="4"/>
  <c r="AT357" i="4" s="1"/>
  <c r="AN358" i="4"/>
  <c r="AO358" i="4"/>
  <c r="AW358" i="4" s="1"/>
  <c r="BC358" i="4"/>
  <c r="BH358" i="4"/>
  <c r="BI358" i="4"/>
  <c r="I359" i="4"/>
  <c r="AI359" i="4" s="1"/>
  <c r="AD359" i="4"/>
  <c r="AJ359" i="4"/>
  <c r="AK359" i="4"/>
  <c r="AN359" i="4"/>
  <c r="AO359" i="4"/>
  <c r="AW359" i="4"/>
  <c r="BC359" i="4"/>
  <c r="BE359" i="4"/>
  <c r="BH359" i="4"/>
  <c r="AF359" i="4" s="1"/>
  <c r="BI359" i="4"/>
  <c r="Y359" i="4" s="1"/>
  <c r="I362" i="4"/>
  <c r="AB362" i="4"/>
  <c r="AN362" i="4"/>
  <c r="BG362" i="4" s="1"/>
  <c r="AO362" i="4"/>
  <c r="BH362" i="4" s="1"/>
  <c r="AD362" i="4" s="1"/>
  <c r="AV362" i="4"/>
  <c r="AW362" i="4"/>
  <c r="BB362" i="4" s="1"/>
  <c r="BC362" i="4"/>
  <c r="BE362" i="4"/>
  <c r="BI362" i="4"/>
  <c r="I365" i="4"/>
  <c r="AJ365" i="4" s="1"/>
  <c r="AA365" i="4"/>
  <c r="AB365" i="4"/>
  <c r="AI365" i="4"/>
  <c r="AK365" i="4"/>
  <c r="AN365" i="4"/>
  <c r="AO365" i="4"/>
  <c r="AU365" i="4"/>
  <c r="AV365" i="4"/>
  <c r="BB365" i="4" s="1"/>
  <c r="AW365" i="4"/>
  <c r="BC365" i="4"/>
  <c r="BE365" i="4"/>
  <c r="BG365" i="4"/>
  <c r="BH365" i="4"/>
  <c r="AD365" i="4" s="1"/>
  <c r="BI365" i="4"/>
  <c r="I366" i="4"/>
  <c r="I367" i="4"/>
  <c r="AI367" i="4" s="1"/>
  <c r="AJ367" i="4"/>
  <c r="AS366" i="4" s="1"/>
  <c r="AK367" i="4"/>
  <c r="AT366" i="4" s="1"/>
  <c r="AN367" i="4"/>
  <c r="AV367" i="4" s="1"/>
  <c r="AU367" i="4" s="1"/>
  <c r="AO367" i="4"/>
  <c r="AW367" i="4"/>
  <c r="BC367" i="4"/>
  <c r="BE367" i="4"/>
  <c r="BH367" i="4"/>
  <c r="BI367" i="4"/>
  <c r="AG367" i="4" s="1"/>
  <c r="I369" i="4"/>
  <c r="AI369" i="4" s="1"/>
  <c r="AJ369" i="4"/>
  <c r="AK369" i="4"/>
  <c r="AN369" i="4"/>
  <c r="AO369" i="4"/>
  <c r="BH369" i="4" s="1"/>
  <c r="BC369" i="4"/>
  <c r="BE369" i="4"/>
  <c r="BI369" i="4"/>
  <c r="AG369" i="4" s="1"/>
  <c r="I372" i="4"/>
  <c r="AI372" i="4" s="1"/>
  <c r="AE372" i="4"/>
  <c r="AN372" i="4"/>
  <c r="AO372" i="4"/>
  <c r="AW372" i="4" s="1"/>
  <c r="AV372" i="4"/>
  <c r="BC372" i="4"/>
  <c r="BE372" i="4"/>
  <c r="BG372" i="4"/>
  <c r="AA372" i="4" s="1"/>
  <c r="BI372" i="4"/>
  <c r="AG372" i="4" s="1"/>
  <c r="I373" i="4"/>
  <c r="AN373" i="4"/>
  <c r="BG373" i="4" s="1"/>
  <c r="AO373" i="4"/>
  <c r="AV373" i="4"/>
  <c r="BC373" i="4"/>
  <c r="BE373" i="4"/>
  <c r="BI373" i="4"/>
  <c r="I374" i="4"/>
  <c r="AI374" i="4" s="1"/>
  <c r="AB374" i="4"/>
  <c r="AF374" i="4"/>
  <c r="AN374" i="4"/>
  <c r="AO374" i="4"/>
  <c r="AW374" i="4" s="1"/>
  <c r="AV374" i="4"/>
  <c r="BC374" i="4"/>
  <c r="BE374" i="4"/>
  <c r="BG374" i="4"/>
  <c r="BH374" i="4"/>
  <c r="AD374" i="4" s="1"/>
  <c r="BI374" i="4"/>
  <c r="AG374" i="4" s="1"/>
  <c r="I378" i="4"/>
  <c r="AI378" i="4" s="1"/>
  <c r="AN378" i="4"/>
  <c r="AO378" i="4"/>
  <c r="BC378" i="4"/>
  <c r="BE378" i="4"/>
  <c r="BI378" i="4"/>
  <c r="AG378" i="4" s="1"/>
  <c r="I380" i="4"/>
  <c r="AI380" i="4" s="1"/>
  <c r="AN380" i="4"/>
  <c r="AO380" i="4"/>
  <c r="AW380" i="4" s="1"/>
  <c r="AV380" i="4"/>
  <c r="BC380" i="4"/>
  <c r="BE380" i="4"/>
  <c r="BG380" i="4"/>
  <c r="AA380" i="4" s="1"/>
  <c r="BI380" i="4"/>
  <c r="AG380" i="4" s="1"/>
  <c r="I386" i="4"/>
  <c r="AK386" i="4" s="1"/>
  <c r="AT385" i="4" s="1"/>
  <c r="Y386" i="4"/>
  <c r="AF386" i="4"/>
  <c r="AI386" i="4"/>
  <c r="AR385" i="4" s="1"/>
  <c r="AN386" i="4"/>
  <c r="AO386" i="4"/>
  <c r="BH386" i="4" s="1"/>
  <c r="AW386" i="4"/>
  <c r="BC386" i="4"/>
  <c r="BI386" i="4"/>
  <c r="AG386" i="4" s="1"/>
  <c r="I390" i="4"/>
  <c r="AN390" i="4"/>
  <c r="AO390" i="4"/>
  <c r="BC390" i="4"/>
  <c r="BE390" i="4"/>
  <c r="BI390" i="4"/>
  <c r="AG390" i="4" s="1"/>
  <c r="I394" i="4"/>
  <c r="AN394" i="4"/>
  <c r="AO394" i="4"/>
  <c r="BC394" i="4"/>
  <c r="BE394" i="4"/>
  <c r="BI394" i="4"/>
  <c r="AG394" i="4" s="1"/>
  <c r="I396" i="4"/>
  <c r="I389" i="4" s="1"/>
  <c r="AC396" i="4"/>
  <c r="AN396" i="4"/>
  <c r="AV396" i="4" s="1"/>
  <c r="AO396" i="4"/>
  <c r="BC396" i="4"/>
  <c r="BE396" i="4"/>
  <c r="BG396" i="4"/>
  <c r="AE396" i="4" s="1"/>
  <c r="BI396" i="4"/>
  <c r="AG396" i="4" s="1"/>
  <c r="I398" i="4"/>
  <c r="AJ398" i="4" s="1"/>
  <c r="AA398" i="4"/>
  <c r="AD398" i="4"/>
  <c r="AN398" i="4"/>
  <c r="BG398" i="4" s="1"/>
  <c r="AC398" i="4" s="1"/>
  <c r="AO398" i="4"/>
  <c r="AV398" i="4"/>
  <c r="AW398" i="4"/>
  <c r="BC398" i="4"/>
  <c r="BH398" i="4"/>
  <c r="AB398" i="4" s="1"/>
  <c r="BI398" i="4"/>
  <c r="Y398" i="4" s="1"/>
  <c r="I399" i="4"/>
  <c r="BE399" i="4"/>
  <c r="AA399" i="4"/>
  <c r="AG399" i="4"/>
  <c r="AN399" i="4"/>
  <c r="AV399" i="4" s="1"/>
  <c r="AO399" i="4"/>
  <c r="BC399" i="4"/>
  <c r="BG399" i="4"/>
  <c r="AC399" i="4" s="1"/>
  <c r="BI399" i="4"/>
  <c r="Y399" i="4" s="1"/>
  <c r="I400" i="4"/>
  <c r="BE400" i="4"/>
  <c r="AJ400" i="4"/>
  <c r="AN400" i="4"/>
  <c r="BG400" i="4" s="1"/>
  <c r="AO400" i="4"/>
  <c r="AV400" i="4"/>
  <c r="BC400" i="4"/>
  <c r="BI400" i="4"/>
  <c r="Y400" i="4" s="1"/>
  <c r="I402" i="4"/>
  <c r="Y402" i="4"/>
  <c r="AN402" i="4"/>
  <c r="BG402" i="4" s="1"/>
  <c r="AO402" i="4"/>
  <c r="BC402" i="4"/>
  <c r="BI402" i="4"/>
  <c r="AG402" i="4" s="1"/>
  <c r="I405" i="4"/>
  <c r="AN405" i="4"/>
  <c r="AV405" i="4" s="1"/>
  <c r="AO405" i="4"/>
  <c r="BC405" i="4"/>
  <c r="BG405" i="4"/>
  <c r="BI405" i="4"/>
  <c r="I406" i="4"/>
  <c r="AI406" i="4" s="1"/>
  <c r="BE406" i="4"/>
  <c r="AA406" i="4"/>
  <c r="AJ406" i="4"/>
  <c r="AK406" i="4"/>
  <c r="AN406" i="4"/>
  <c r="AV406" i="4" s="1"/>
  <c r="AO406" i="4"/>
  <c r="BC406" i="4"/>
  <c r="BG406" i="4"/>
  <c r="AC406" i="4" s="1"/>
  <c r="BI406" i="4"/>
  <c r="I408" i="4"/>
  <c r="AI408" i="4" s="1"/>
  <c r="BE408" i="4"/>
  <c r="AA408" i="4"/>
  <c r="AK408" i="4"/>
  <c r="AN408" i="4"/>
  <c r="AV408" i="4" s="1"/>
  <c r="AO408" i="4"/>
  <c r="AW408" i="4" s="1"/>
  <c r="BC408" i="4"/>
  <c r="BG408" i="4"/>
  <c r="BH408" i="4"/>
  <c r="BI408" i="4"/>
  <c r="Y408" i="4" s="1"/>
  <c r="I410" i="4"/>
  <c r="AI410" i="4" s="1"/>
  <c r="AJ410" i="4"/>
  <c r="AK410" i="4"/>
  <c r="AN410" i="4"/>
  <c r="AV410" i="4" s="1"/>
  <c r="AU410" i="4" s="1"/>
  <c r="AO410" i="4"/>
  <c r="AW410" i="4" s="1"/>
  <c r="BC410" i="4"/>
  <c r="BE410" i="4"/>
  <c r="BH410" i="4"/>
  <c r="BI410" i="4"/>
  <c r="I412" i="4"/>
  <c r="AI412" i="4" s="1"/>
  <c r="BE412" i="4"/>
  <c r="AJ412" i="4"/>
  <c r="AK412" i="4"/>
  <c r="AN412" i="4"/>
  <c r="AV412" i="4" s="1"/>
  <c r="AU412" i="4" s="1"/>
  <c r="AO412" i="4"/>
  <c r="AW412" i="4"/>
  <c r="BC412" i="4"/>
  <c r="BH412" i="4"/>
  <c r="AD412" i="4" s="1"/>
  <c r="BI412" i="4"/>
  <c r="I413" i="4"/>
  <c r="AI413" i="4" s="1"/>
  <c r="BE413" i="4"/>
  <c r="AJ413" i="4"/>
  <c r="AN413" i="4"/>
  <c r="AO413" i="4"/>
  <c r="BC413" i="4"/>
  <c r="BI413" i="4"/>
  <c r="I415" i="4"/>
  <c r="AI415" i="4" s="1"/>
  <c r="BE415" i="4"/>
  <c r="AE415" i="4"/>
  <c r="AJ415" i="4"/>
  <c r="AN415" i="4"/>
  <c r="AV415" i="4" s="1"/>
  <c r="AO415" i="4"/>
  <c r="AW415" i="4" s="1"/>
  <c r="BC415" i="4"/>
  <c r="BG415" i="4"/>
  <c r="BI415" i="4"/>
  <c r="I417" i="4"/>
  <c r="AN417" i="4"/>
  <c r="AO417" i="4"/>
  <c r="BC417" i="4"/>
  <c r="BE417" i="4"/>
  <c r="BI417" i="4"/>
  <c r="I418" i="4"/>
  <c r="AI418" i="4" s="1"/>
  <c r="BE418" i="4"/>
  <c r="AJ418" i="4"/>
  <c r="AK418" i="4"/>
  <c r="AN418" i="4"/>
  <c r="AV418" i="4" s="1"/>
  <c r="AO418" i="4"/>
  <c r="BH418" i="4" s="1"/>
  <c r="AW418" i="4"/>
  <c r="BC418" i="4"/>
  <c r="BI418" i="4"/>
  <c r="I421" i="4"/>
  <c r="AE421" i="4"/>
  <c r="AN421" i="4"/>
  <c r="BG421" i="4" s="1"/>
  <c r="AO421" i="4"/>
  <c r="BH421" i="4" s="1"/>
  <c r="AF421" i="4" s="1"/>
  <c r="AV421" i="4"/>
  <c r="BC421" i="4"/>
  <c r="BI421" i="4"/>
  <c r="I422" i="4"/>
  <c r="BE422" i="4"/>
  <c r="Y422" i="4"/>
  <c r="AG422" i="4"/>
  <c r="AI422" i="4"/>
  <c r="AJ422" i="4"/>
  <c r="AK422" i="4"/>
  <c r="AN422" i="4"/>
  <c r="AO422" i="4"/>
  <c r="AW422" i="4" s="1"/>
  <c r="BC422" i="4"/>
  <c r="BI422" i="4"/>
  <c r="I424" i="4"/>
  <c r="BE424" i="4"/>
  <c r="AJ424" i="4"/>
  <c r="AN424" i="4"/>
  <c r="AO424" i="4"/>
  <c r="AW424" i="4" s="1"/>
  <c r="BC424" i="4"/>
  <c r="BI424" i="4"/>
  <c r="I426" i="4"/>
  <c r="AJ426" i="4"/>
  <c r="AN426" i="4"/>
  <c r="AV426" i="4" s="1"/>
  <c r="AO426" i="4"/>
  <c r="BC426" i="4"/>
  <c r="BE426" i="4"/>
  <c r="BI426" i="4"/>
  <c r="I428" i="4"/>
  <c r="AJ428" i="4" s="1"/>
  <c r="BE428" i="4"/>
  <c r="AI428" i="4"/>
  <c r="AK428" i="4"/>
  <c r="AN428" i="4"/>
  <c r="AO428" i="4"/>
  <c r="AW428" i="4" s="1"/>
  <c r="BC428" i="4"/>
  <c r="BI428" i="4"/>
  <c r="I430" i="4"/>
  <c r="AN430" i="4"/>
  <c r="AO430" i="4"/>
  <c r="AW430" i="4" s="1"/>
  <c r="BC430" i="4"/>
  <c r="BE430" i="4"/>
  <c r="BH430" i="4"/>
  <c r="AF430" i="4" s="1"/>
  <c r="BI430" i="4"/>
  <c r="I432" i="4"/>
  <c r="AJ432" i="4" s="1"/>
  <c r="BE432" i="4"/>
  <c r="AI432" i="4"/>
  <c r="AK432" i="4"/>
  <c r="AN432" i="4"/>
  <c r="AO432" i="4"/>
  <c r="BC432" i="4"/>
  <c r="BI432" i="4"/>
  <c r="I433" i="4"/>
  <c r="AA433" i="4"/>
  <c r="AI433" i="4"/>
  <c r="AJ433" i="4"/>
  <c r="AK433" i="4"/>
  <c r="AN433" i="4"/>
  <c r="AO433" i="4"/>
  <c r="AV433" i="4"/>
  <c r="BC433" i="4"/>
  <c r="BE433" i="4"/>
  <c r="BG433" i="4"/>
  <c r="BI433" i="4"/>
  <c r="I435" i="4"/>
  <c r="AJ435" i="4" s="1"/>
  <c r="BE435" i="4"/>
  <c r="AI435" i="4"/>
  <c r="AK435" i="4"/>
  <c r="AN435" i="4"/>
  <c r="AO435" i="4"/>
  <c r="AW435" i="4" s="1"/>
  <c r="BC435" i="4"/>
  <c r="BH435" i="4"/>
  <c r="BI435" i="4"/>
  <c r="Y435" i="4" s="1"/>
  <c r="I437" i="4"/>
  <c r="AI437" i="4" s="1"/>
  <c r="AG437" i="4"/>
  <c r="AJ437" i="4"/>
  <c r="AK437" i="4"/>
  <c r="AN437" i="4"/>
  <c r="AV437" i="4" s="1"/>
  <c r="AO437" i="4"/>
  <c r="AW437" i="4"/>
  <c r="BC437" i="4"/>
  <c r="BE437" i="4"/>
  <c r="BG437" i="4"/>
  <c r="BH437" i="4"/>
  <c r="AF437" i="4" s="1"/>
  <c r="BI437" i="4"/>
  <c r="Y437" i="4" s="1"/>
  <c r="I438" i="4"/>
  <c r="BE438" i="4"/>
  <c r="AI438" i="4"/>
  <c r="AJ438" i="4"/>
  <c r="AK438" i="4"/>
  <c r="AN438" i="4"/>
  <c r="AV438" i="4" s="1"/>
  <c r="AU438" i="4" s="1"/>
  <c r="AO438" i="4"/>
  <c r="AW438" i="4" s="1"/>
  <c r="BC438" i="4"/>
  <c r="BG438" i="4"/>
  <c r="BI438" i="4"/>
  <c r="I440" i="4"/>
  <c r="AK440" i="4" s="1"/>
  <c r="Y440" i="4"/>
  <c r="AA440" i="4"/>
  <c r="AG440" i="4"/>
  <c r="AI440" i="4"/>
  <c r="AJ440" i="4"/>
  <c r="AN440" i="4"/>
  <c r="AV440" i="4" s="1"/>
  <c r="AO440" i="4"/>
  <c r="BH440" i="4" s="1"/>
  <c r="AW440" i="4"/>
  <c r="BC440" i="4"/>
  <c r="BE440" i="4"/>
  <c r="BG440" i="4"/>
  <c r="BI440" i="4"/>
  <c r="I441" i="4"/>
  <c r="AK441" i="4" s="1"/>
  <c r="AA441" i="4"/>
  <c r="AE441" i="4"/>
  <c r="AI441" i="4"/>
  <c r="AJ441" i="4"/>
  <c r="AN441" i="4"/>
  <c r="AV441" i="4" s="1"/>
  <c r="AO441" i="4"/>
  <c r="AW441" i="4"/>
  <c r="BC441" i="4"/>
  <c r="BE441" i="4"/>
  <c r="BG441" i="4"/>
  <c r="AC441" i="4" s="1"/>
  <c r="BH441" i="4"/>
  <c r="BI441" i="4"/>
  <c r="I443" i="4"/>
  <c r="AI443" i="4" s="1"/>
  <c r="Y443" i="4"/>
  <c r="AJ443" i="4"/>
  <c r="AK443" i="4"/>
  <c r="AN443" i="4"/>
  <c r="BG443" i="4" s="1"/>
  <c r="AO443" i="4"/>
  <c r="BC443" i="4"/>
  <c r="BE443" i="4"/>
  <c r="BI443" i="4"/>
  <c r="AG443" i="4" s="1"/>
  <c r="I445" i="4"/>
  <c r="AJ445" i="4" s="1"/>
  <c r="AA445" i="4"/>
  <c r="AN445" i="4"/>
  <c r="AO445" i="4"/>
  <c r="AW445" i="4" s="1"/>
  <c r="AU445" i="4"/>
  <c r="AV445" i="4"/>
  <c r="BC445" i="4"/>
  <c r="BE445" i="4"/>
  <c r="BG445" i="4"/>
  <c r="BH445" i="4"/>
  <c r="BI445" i="4"/>
  <c r="AG445" i="4" s="1"/>
  <c r="I447" i="4"/>
  <c r="AK447" i="4" s="1"/>
  <c r="BE447" i="4"/>
  <c r="AI447" i="4"/>
  <c r="AJ447" i="4"/>
  <c r="AN447" i="4"/>
  <c r="AO447" i="4"/>
  <c r="BH447" i="4" s="1"/>
  <c r="AV447" i="4"/>
  <c r="BC447" i="4"/>
  <c r="BG447" i="4"/>
  <c r="BI447" i="4"/>
  <c r="Y447" i="4" s="1"/>
  <c r="I449" i="4"/>
  <c r="BE449" i="4"/>
  <c r="AA449" i="4"/>
  <c r="AI449" i="4"/>
  <c r="AJ449" i="4"/>
  <c r="AK449" i="4"/>
  <c r="AN449" i="4"/>
  <c r="AO449" i="4"/>
  <c r="AW449" i="4" s="1"/>
  <c r="AV449" i="4"/>
  <c r="BB449" i="4"/>
  <c r="BC449" i="4"/>
  <c r="BG449" i="4"/>
  <c r="BH449" i="4"/>
  <c r="AF449" i="4" s="1"/>
  <c r="BI449" i="4"/>
  <c r="AG449" i="4" s="1"/>
  <c r="I450" i="4"/>
  <c r="AI450" i="4"/>
  <c r="AJ450" i="4"/>
  <c r="AK450" i="4"/>
  <c r="AN450" i="4"/>
  <c r="AV450" i="4" s="1"/>
  <c r="AO450" i="4"/>
  <c r="BC450" i="4"/>
  <c r="BE450" i="4"/>
  <c r="BI450" i="4"/>
  <c r="I452" i="4"/>
  <c r="AA452" i="4"/>
  <c r="AN452" i="4"/>
  <c r="AO452" i="4"/>
  <c r="AW452" i="4" s="1"/>
  <c r="BB452" i="4" s="1"/>
  <c r="AV452" i="4"/>
  <c r="BC452" i="4"/>
  <c r="BE452" i="4"/>
  <c r="BG452" i="4"/>
  <c r="AC452" i="4" s="1"/>
  <c r="BI452" i="4"/>
  <c r="AG452" i="4" s="1"/>
  <c r="I454" i="4"/>
  <c r="AI454" i="4" s="1"/>
  <c r="AJ454" i="4"/>
  <c r="AN454" i="4"/>
  <c r="AV454" i="4" s="1"/>
  <c r="AO454" i="4"/>
  <c r="BC454" i="4"/>
  <c r="BE454" i="4"/>
  <c r="BG454" i="4"/>
  <c r="BI454" i="4"/>
  <c r="I455" i="4"/>
  <c r="AK455" i="4" s="1"/>
  <c r="AI455" i="4"/>
  <c r="AJ455" i="4"/>
  <c r="AN455" i="4"/>
  <c r="AO455" i="4"/>
  <c r="BC455" i="4"/>
  <c r="BE455" i="4"/>
  <c r="BI455" i="4"/>
  <c r="I457" i="4"/>
  <c r="Y457" i="4"/>
  <c r="AI457" i="4"/>
  <c r="AJ457" i="4"/>
  <c r="AK457" i="4"/>
  <c r="AN457" i="4"/>
  <c r="AV457" i="4" s="1"/>
  <c r="AO457" i="4"/>
  <c r="BC457" i="4"/>
  <c r="BG457" i="4"/>
  <c r="AE457" i="4" s="1"/>
  <c r="BI457" i="4"/>
  <c r="AG457" i="4" s="1"/>
  <c r="I459" i="4"/>
  <c r="AK459" i="4" s="1"/>
  <c r="AI459" i="4"/>
  <c r="AJ459" i="4"/>
  <c r="AN459" i="4"/>
  <c r="AO459" i="4"/>
  <c r="AW459" i="4" s="1"/>
  <c r="BC459" i="4"/>
  <c r="BE459" i="4"/>
  <c r="BI459" i="4"/>
  <c r="I460" i="4"/>
  <c r="AN460" i="4"/>
  <c r="AV460" i="4" s="1"/>
  <c r="AO460" i="4"/>
  <c r="BC460" i="4"/>
  <c r="BE460" i="4"/>
  <c r="BI460" i="4"/>
  <c r="I462" i="4"/>
  <c r="Y462" i="4"/>
  <c r="AG462" i="4"/>
  <c r="AI462" i="4"/>
  <c r="AJ462" i="4"/>
  <c r="AK462" i="4"/>
  <c r="AN462" i="4"/>
  <c r="AO462" i="4"/>
  <c r="BC462" i="4"/>
  <c r="BE462" i="4"/>
  <c r="BI462" i="4"/>
  <c r="I463" i="4"/>
  <c r="Y463" i="4"/>
  <c r="AD463" i="4"/>
  <c r="AN463" i="4"/>
  <c r="AO463" i="4"/>
  <c r="BH463" i="4" s="1"/>
  <c r="BC463" i="4"/>
  <c r="BE463" i="4"/>
  <c r="BI463" i="4"/>
  <c r="AG463" i="4" s="1"/>
  <c r="I465" i="4"/>
  <c r="BE465" i="4"/>
  <c r="Y465" i="4"/>
  <c r="AI465" i="4"/>
  <c r="AJ465" i="4"/>
  <c r="AK465" i="4"/>
  <c r="AN465" i="4"/>
  <c r="AV465" i="4" s="1"/>
  <c r="AO465" i="4"/>
  <c r="BH465" i="4" s="1"/>
  <c r="AD465" i="4" s="1"/>
  <c r="BC465" i="4"/>
  <c r="BG465" i="4"/>
  <c r="AA465" i="4" s="1"/>
  <c r="BI465" i="4"/>
  <c r="AG465" i="4" s="1"/>
  <c r="I467" i="4"/>
  <c r="Y467" i="4"/>
  <c r="AB467" i="4"/>
  <c r="AG467" i="4"/>
  <c r="AI467" i="4"/>
  <c r="AJ467" i="4"/>
  <c r="AK467" i="4"/>
  <c r="AN467" i="4"/>
  <c r="AO467" i="4"/>
  <c r="AW467" i="4" s="1"/>
  <c r="BC467" i="4"/>
  <c r="BE467" i="4"/>
  <c r="BH467" i="4"/>
  <c r="BI467" i="4"/>
  <c r="I469" i="4"/>
  <c r="AJ469" i="4" s="1"/>
  <c r="Y469" i="4"/>
  <c r="AK469" i="4"/>
  <c r="AN469" i="4"/>
  <c r="AO469" i="4"/>
  <c r="AW469" i="4" s="1"/>
  <c r="BC469" i="4"/>
  <c r="BE469" i="4"/>
  <c r="BH469" i="4"/>
  <c r="AF469" i="4" s="1"/>
  <c r="BI469" i="4"/>
  <c r="AG469" i="4" s="1"/>
  <c r="I471" i="4"/>
  <c r="AJ471" i="4" s="1"/>
  <c r="AB471" i="4"/>
  <c r="AI471" i="4"/>
  <c r="AK471" i="4"/>
  <c r="AN471" i="4"/>
  <c r="AO471" i="4"/>
  <c r="AW471" i="4" s="1"/>
  <c r="BC471" i="4"/>
  <c r="BE471" i="4"/>
  <c r="BH471" i="4"/>
  <c r="AF471" i="4" s="1"/>
  <c r="BI471" i="4"/>
  <c r="AG471" i="4" s="1"/>
  <c r="I472" i="4"/>
  <c r="AI472" i="4" s="1"/>
  <c r="AJ472" i="4"/>
  <c r="AK472" i="4"/>
  <c r="AN472" i="4"/>
  <c r="AV472" i="4" s="1"/>
  <c r="AO472" i="4"/>
  <c r="BC472" i="4"/>
  <c r="BE472" i="4"/>
  <c r="BG472" i="4"/>
  <c r="BI472" i="4"/>
  <c r="AG472" i="4" s="1"/>
  <c r="I474" i="4"/>
  <c r="AK474" i="4"/>
  <c r="AN474" i="4"/>
  <c r="AO474" i="4"/>
  <c r="BC474" i="4"/>
  <c r="BE474" i="4"/>
  <c r="BI474" i="4"/>
  <c r="I476" i="4"/>
  <c r="AK476" i="4" s="1"/>
  <c r="AI476" i="4"/>
  <c r="AJ476" i="4"/>
  <c r="AN476" i="4"/>
  <c r="AV476" i="4" s="1"/>
  <c r="AO476" i="4"/>
  <c r="AW476" i="4" s="1"/>
  <c r="BC476" i="4"/>
  <c r="BE476" i="4"/>
  <c r="BG476" i="4"/>
  <c r="BI476" i="4"/>
  <c r="AG476" i="4" s="1"/>
  <c r="I477" i="4"/>
  <c r="AI477" i="4" s="1"/>
  <c r="AJ477" i="4"/>
  <c r="AK477" i="4"/>
  <c r="AN477" i="4"/>
  <c r="AV477" i="4" s="1"/>
  <c r="AO477" i="4"/>
  <c r="BC477" i="4"/>
  <c r="BE477" i="4"/>
  <c r="BI477" i="4"/>
  <c r="I479" i="4"/>
  <c r="AK479" i="4" s="1"/>
  <c r="AI479" i="4"/>
  <c r="AJ479" i="4"/>
  <c r="AN479" i="4"/>
  <c r="AV479" i="4" s="1"/>
  <c r="AO479" i="4"/>
  <c r="AW479" i="4" s="1"/>
  <c r="BB479" i="4" s="1"/>
  <c r="BC479" i="4"/>
  <c r="BE479" i="4"/>
  <c r="BG479" i="4"/>
  <c r="BH479" i="4"/>
  <c r="BI479" i="4"/>
  <c r="I481" i="4"/>
  <c r="AJ481" i="4" s="1"/>
  <c r="AI481" i="4"/>
  <c r="AK481" i="4"/>
  <c r="AN481" i="4"/>
  <c r="AV481" i="4" s="1"/>
  <c r="AO481" i="4"/>
  <c r="AW481" i="4" s="1"/>
  <c r="BC481" i="4"/>
  <c r="BE481" i="4"/>
  <c r="BH481" i="4"/>
  <c r="AD481" i="4" s="1"/>
  <c r="BI481" i="4"/>
  <c r="AG481" i="4" s="1"/>
  <c r="I482" i="4"/>
  <c r="Y482" i="4"/>
  <c r="AN482" i="4"/>
  <c r="AO482" i="4"/>
  <c r="BC482" i="4"/>
  <c r="BE482" i="4"/>
  <c r="BI482" i="4"/>
  <c r="AG482" i="4" s="1"/>
  <c r="I484" i="4"/>
  <c r="AJ484" i="4" s="1"/>
  <c r="AI484" i="4"/>
  <c r="AK484" i="4"/>
  <c r="AN484" i="4"/>
  <c r="AO484" i="4"/>
  <c r="AW484" i="4" s="1"/>
  <c r="BC484" i="4"/>
  <c r="BE484" i="4"/>
  <c r="BH484" i="4"/>
  <c r="BI484" i="4"/>
  <c r="AG484" i="4" s="1"/>
  <c r="I486" i="4"/>
  <c r="Y486" i="4"/>
  <c r="AI486" i="4"/>
  <c r="AJ486" i="4"/>
  <c r="AK486" i="4"/>
  <c r="AN486" i="4"/>
  <c r="AV486" i="4" s="1"/>
  <c r="AO486" i="4"/>
  <c r="BC486" i="4"/>
  <c r="BE486" i="4"/>
  <c r="BG486" i="4"/>
  <c r="BI486" i="4"/>
  <c r="AG486" i="4" s="1"/>
  <c r="I488" i="4"/>
  <c r="AI488" i="4" s="1"/>
  <c r="AJ488" i="4"/>
  <c r="AK488" i="4"/>
  <c r="AN488" i="4"/>
  <c r="AO488" i="4"/>
  <c r="BC488" i="4"/>
  <c r="BE488" i="4"/>
  <c r="BI488" i="4"/>
  <c r="AG488" i="4" s="1"/>
  <c r="I490" i="4"/>
  <c r="AJ490" i="4" s="1"/>
  <c r="AI490" i="4"/>
  <c r="AK490" i="4"/>
  <c r="AN490" i="4"/>
  <c r="AV490" i="4" s="1"/>
  <c r="AO490" i="4"/>
  <c r="AW490" i="4" s="1"/>
  <c r="BC490" i="4"/>
  <c r="BE490" i="4"/>
  <c r="BI490" i="4"/>
  <c r="AG490" i="4" s="1"/>
  <c r="I493" i="4"/>
  <c r="AN493" i="4"/>
  <c r="AV493" i="4" s="1"/>
  <c r="AO493" i="4"/>
  <c r="AW493" i="4"/>
  <c r="AU493" i="4" s="1"/>
  <c r="BC493" i="4"/>
  <c r="BG493" i="4"/>
  <c r="BH493" i="4"/>
  <c r="BI493" i="4"/>
  <c r="Y493" i="4" s="1"/>
  <c r="I495" i="4"/>
  <c r="BE495" i="4"/>
  <c r="AN495" i="4"/>
  <c r="AO495" i="4"/>
  <c r="AW495" i="4" s="1"/>
  <c r="BC495" i="4"/>
  <c r="BH495" i="4"/>
  <c r="AD495" i="4" s="1"/>
  <c r="BI495" i="4"/>
  <c r="I497" i="4"/>
  <c r="BE497" i="4"/>
  <c r="AN497" i="4"/>
  <c r="AV497" i="4" s="1"/>
  <c r="AO497" i="4"/>
  <c r="AW497" i="4"/>
  <c r="AU497" i="4" s="1"/>
  <c r="BC497" i="4"/>
  <c r="BG497" i="4"/>
  <c r="BH497" i="4"/>
  <c r="BI497" i="4"/>
  <c r="Y497" i="4" s="1"/>
  <c r="I499" i="4"/>
  <c r="BE499" i="4"/>
  <c r="AC499" i="4"/>
  <c r="AG499" i="4"/>
  <c r="AN499" i="4"/>
  <c r="AV499" i="4" s="1"/>
  <c r="AO499" i="4"/>
  <c r="AW499" i="4" s="1"/>
  <c r="BC499" i="4"/>
  <c r="BG499" i="4"/>
  <c r="BH499" i="4"/>
  <c r="AB499" i="4" s="1"/>
  <c r="BI499" i="4"/>
  <c r="Y499" i="4" s="1"/>
  <c r="I503" i="4"/>
  <c r="AK503" i="4" s="1"/>
  <c r="AT502" i="4" s="1"/>
  <c r="Y503" i="4"/>
  <c r="AN503" i="4"/>
  <c r="AO503" i="4"/>
  <c r="AW503" i="4" s="1"/>
  <c r="AV503" i="4"/>
  <c r="BC503" i="4"/>
  <c r="BE503" i="4"/>
  <c r="BG503" i="4"/>
  <c r="BI503" i="4"/>
  <c r="AG503" i="4" s="1"/>
  <c r="I506" i="4"/>
  <c r="AN506" i="4"/>
  <c r="AV506" i="4" s="1"/>
  <c r="AO506" i="4"/>
  <c r="AW506" i="4" s="1"/>
  <c r="AU506" i="4"/>
  <c r="BC506" i="4"/>
  <c r="BE506" i="4"/>
  <c r="BH506" i="4"/>
  <c r="BI506" i="4"/>
  <c r="I507" i="4"/>
  <c r="AN507" i="4"/>
  <c r="AV507" i="4" s="1"/>
  <c r="AO507" i="4"/>
  <c r="AW507" i="4" s="1"/>
  <c r="BC507" i="4"/>
  <c r="BE507" i="4"/>
  <c r="BG507" i="4"/>
  <c r="AA507" i="4" s="1"/>
  <c r="BI507" i="4"/>
  <c r="I509" i="4"/>
  <c r="AN509" i="4"/>
  <c r="AO509" i="4"/>
  <c r="AW509" i="4" s="1"/>
  <c r="BC509" i="4"/>
  <c r="BE509" i="4"/>
  <c r="BH509" i="4"/>
  <c r="BI509" i="4"/>
  <c r="I510" i="4"/>
  <c r="AN510" i="4"/>
  <c r="AV510" i="4" s="1"/>
  <c r="AO510" i="4"/>
  <c r="BC510" i="4"/>
  <c r="BE510" i="4"/>
  <c r="BG510" i="4"/>
  <c r="BI510" i="4"/>
  <c r="I512" i="4"/>
  <c r="AG512" i="4"/>
  <c r="AN512" i="4"/>
  <c r="AO512" i="4"/>
  <c r="AV512" i="4"/>
  <c r="BC512" i="4"/>
  <c r="BG512" i="4"/>
  <c r="BI512" i="4"/>
  <c r="Y512" i="4" s="1"/>
  <c r="I514" i="4"/>
  <c r="AN514" i="4"/>
  <c r="AV514" i="4" s="1"/>
  <c r="AO514" i="4"/>
  <c r="BH514" i="4" s="1"/>
  <c r="AW514" i="4"/>
  <c r="BC514" i="4"/>
  <c r="BE514" i="4"/>
  <c r="BI514" i="4"/>
  <c r="I516" i="4"/>
  <c r="AK516" i="4"/>
  <c r="AT515" i="4" s="1"/>
  <c r="AN516" i="4"/>
  <c r="AV516" i="4" s="1"/>
  <c r="AU516" i="4" s="1"/>
  <c r="AO516" i="4"/>
  <c r="AW516" i="4" s="1"/>
  <c r="BC516" i="4"/>
  <c r="BE516" i="4"/>
  <c r="BI516" i="4"/>
  <c r="I519" i="4"/>
  <c r="AK519" i="4" s="1"/>
  <c r="AT518" i="4" s="1"/>
  <c r="AA519" i="4"/>
  <c r="AI519" i="4"/>
  <c r="AJ519" i="4"/>
  <c r="AN519" i="4"/>
  <c r="AV519" i="4" s="1"/>
  <c r="AO519" i="4"/>
  <c r="BH519" i="4" s="1"/>
  <c r="BC519" i="4"/>
  <c r="BG519" i="4"/>
  <c r="AC519" i="4" s="1"/>
  <c r="BI519" i="4"/>
  <c r="I521" i="4"/>
  <c r="AI521" i="4" s="1"/>
  <c r="BE521" i="4"/>
  <c r="AA521" i="4"/>
  <c r="AE521" i="4"/>
  <c r="AJ521" i="4"/>
  <c r="AK521" i="4"/>
  <c r="AN521" i="4"/>
  <c r="AV521" i="4" s="1"/>
  <c r="AO521" i="4"/>
  <c r="AU521" i="4"/>
  <c r="AW521" i="4"/>
  <c r="BC521" i="4"/>
  <c r="BG521" i="4"/>
  <c r="AC521" i="4" s="1"/>
  <c r="BH521" i="4"/>
  <c r="AD521" i="4" s="1"/>
  <c r="BI521" i="4"/>
  <c r="AG521" i="4" s="1"/>
  <c r="I523" i="4"/>
  <c r="BE523" i="4"/>
  <c r="AI523" i="4"/>
  <c r="AJ523" i="4"/>
  <c r="AK523" i="4"/>
  <c r="AN523" i="4"/>
  <c r="AO523" i="4"/>
  <c r="BH523" i="4" s="1"/>
  <c r="AW523" i="4"/>
  <c r="BC523" i="4"/>
  <c r="BI523" i="4"/>
  <c r="I524" i="4"/>
  <c r="AI524" i="4" s="1"/>
  <c r="BE524" i="4"/>
  <c r="AJ524" i="4"/>
  <c r="AK524" i="4"/>
  <c r="AN524" i="4"/>
  <c r="AV524" i="4" s="1"/>
  <c r="AO524" i="4"/>
  <c r="AW524" i="4" s="1"/>
  <c r="BB524" i="4" s="1"/>
  <c r="BC524" i="4"/>
  <c r="BI524" i="4"/>
  <c r="Y524" i="4" s="1"/>
  <c r="I525" i="4"/>
  <c r="AI525" i="4" s="1"/>
  <c r="BE525" i="4"/>
  <c r="AJ525" i="4"/>
  <c r="AK525" i="4"/>
  <c r="AN525" i="4"/>
  <c r="AV525" i="4" s="1"/>
  <c r="AO525" i="4"/>
  <c r="BC525" i="4"/>
  <c r="BI525" i="4"/>
  <c r="AG525" i="4" s="1"/>
  <c r="I527" i="4"/>
  <c r="AI527" i="4" s="1"/>
  <c r="BE527" i="4"/>
  <c r="AJ527" i="4"/>
  <c r="AK527" i="4"/>
  <c r="AN527" i="4"/>
  <c r="AO527" i="4"/>
  <c r="AV527" i="4"/>
  <c r="BC527" i="4"/>
  <c r="BG527" i="4"/>
  <c r="AC527" i="4" s="1"/>
  <c r="BI527" i="4"/>
  <c r="I530" i="4"/>
  <c r="AJ530" i="4" s="1"/>
  <c r="Y530" i="4"/>
  <c r="AI530" i="4"/>
  <c r="AK530" i="4"/>
  <c r="AN530" i="4"/>
  <c r="AO530" i="4"/>
  <c r="AW530" i="4"/>
  <c r="BC530" i="4"/>
  <c r="BE530" i="4"/>
  <c r="BH530" i="4"/>
  <c r="BI530" i="4"/>
  <c r="AG530" i="4" s="1"/>
  <c r="I535" i="4"/>
  <c r="AK535" i="4" s="1"/>
  <c r="Y535" i="4"/>
  <c r="AB535" i="4"/>
  <c r="AJ535" i="4"/>
  <c r="AN535" i="4"/>
  <c r="AV535" i="4" s="1"/>
  <c r="AO535" i="4"/>
  <c r="AW535" i="4" s="1"/>
  <c r="BC535" i="4"/>
  <c r="BE535" i="4"/>
  <c r="BH535" i="4"/>
  <c r="BI535" i="4"/>
  <c r="AG535" i="4" s="1"/>
  <c r="I536" i="4"/>
  <c r="AI536" i="4" s="1"/>
  <c r="Y536" i="4"/>
  <c r="AK536" i="4"/>
  <c r="AN536" i="4"/>
  <c r="AO536" i="4"/>
  <c r="AW536" i="4" s="1"/>
  <c r="AV536" i="4"/>
  <c r="AU536" i="4" s="1"/>
  <c r="BC536" i="4"/>
  <c r="BE536" i="4"/>
  <c r="BG536" i="4"/>
  <c r="AC536" i="4" s="1"/>
  <c r="BH536" i="4"/>
  <c r="BI536" i="4"/>
  <c r="AG536" i="4" s="1"/>
  <c r="I537" i="4"/>
  <c r="AK537" i="4" s="1"/>
  <c r="Y537" i="4"/>
  <c r="AI537" i="4"/>
  <c r="AJ537" i="4"/>
  <c r="AN537" i="4"/>
  <c r="AV537" i="4" s="1"/>
  <c r="AO537" i="4"/>
  <c r="AW537" i="4" s="1"/>
  <c r="BC537" i="4"/>
  <c r="BE537" i="4"/>
  <c r="BG537" i="4"/>
  <c r="AC537" i="4" s="1"/>
  <c r="BH537" i="4"/>
  <c r="BI537" i="4"/>
  <c r="AG537" i="4" s="1"/>
  <c r="I538" i="4"/>
  <c r="I529" i="4" s="1"/>
  <c r="AN538" i="4"/>
  <c r="AV538" i="4" s="1"/>
  <c r="AO538" i="4"/>
  <c r="AW538" i="4" s="1"/>
  <c r="BC538" i="4"/>
  <c r="BE538" i="4"/>
  <c r="BI538" i="4"/>
  <c r="AG538" i="4" s="1"/>
  <c r="I540" i="4"/>
  <c r="AR540" i="4"/>
  <c r="I541" i="4"/>
  <c r="AI541" i="4" s="1"/>
  <c r="AJ541" i="4"/>
  <c r="AN541" i="4"/>
  <c r="AO541" i="4"/>
  <c r="AW541" i="4" s="1"/>
  <c r="BC541" i="4"/>
  <c r="BE541" i="4"/>
  <c r="BH541" i="4"/>
  <c r="BI541" i="4"/>
  <c r="I544" i="4"/>
  <c r="AI544" i="4" s="1"/>
  <c r="AJ544" i="4"/>
  <c r="AN544" i="4"/>
  <c r="AO544" i="4"/>
  <c r="AW544" i="4" s="1"/>
  <c r="AV544" i="4"/>
  <c r="BC544" i="4"/>
  <c r="BE544" i="4"/>
  <c r="BG544" i="4"/>
  <c r="AE544" i="4" s="1"/>
  <c r="BI544" i="4"/>
  <c r="I547" i="4"/>
  <c r="AA547" i="4"/>
  <c r="AN547" i="4"/>
  <c r="BG547" i="4" s="1"/>
  <c r="AC547" i="4" s="1"/>
  <c r="AO547" i="4"/>
  <c r="AV547" i="4"/>
  <c r="AW547" i="4"/>
  <c r="BC547" i="4"/>
  <c r="BH547" i="4"/>
  <c r="AF547" i="4" s="1"/>
  <c r="BI547" i="4"/>
  <c r="AG547" i="4" s="1"/>
  <c r="I552" i="4"/>
  <c r="AK552" i="4" s="1"/>
  <c r="BE552" i="4"/>
  <c r="Y552" i="4"/>
  <c r="AI552" i="4"/>
  <c r="AJ552" i="4"/>
  <c r="AN552" i="4"/>
  <c r="AO552" i="4"/>
  <c r="BH552" i="4" s="1"/>
  <c r="AF552" i="4" s="1"/>
  <c r="AV552" i="4"/>
  <c r="BC552" i="4"/>
  <c r="BG552" i="4"/>
  <c r="BI552" i="4"/>
  <c r="AG552" i="4" s="1"/>
  <c r="I555" i="4"/>
  <c r="AI555" i="4" s="1"/>
  <c r="AD555" i="4"/>
  <c r="AG555" i="4"/>
  <c r="AK555" i="4"/>
  <c r="AN555" i="4"/>
  <c r="AV555" i="4" s="1"/>
  <c r="AO555" i="4"/>
  <c r="AW555" i="4"/>
  <c r="BC555" i="4"/>
  <c r="BE555" i="4"/>
  <c r="BH555" i="4"/>
  <c r="AF555" i="4" s="1"/>
  <c r="BI555" i="4"/>
  <c r="Y555" i="4" s="1"/>
  <c r="I560" i="4"/>
  <c r="AN560" i="4"/>
  <c r="AV560" i="4" s="1"/>
  <c r="AO560" i="4"/>
  <c r="BC560" i="4"/>
  <c r="BE560" i="4"/>
  <c r="BG560" i="4"/>
  <c r="AE560" i="4" s="1"/>
  <c r="BI560" i="4"/>
  <c r="Y560" i="4" s="1"/>
  <c r="I562" i="4"/>
  <c r="AN562" i="4"/>
  <c r="AO562" i="4"/>
  <c r="BC562" i="4"/>
  <c r="BE562" i="4"/>
  <c r="BI562" i="4"/>
  <c r="I564" i="4"/>
  <c r="AA564" i="4"/>
  <c r="AG564" i="4"/>
  <c r="AK564" i="4"/>
  <c r="AN564" i="4"/>
  <c r="BG564" i="4" s="1"/>
  <c r="AO564" i="4"/>
  <c r="BH564" i="4" s="1"/>
  <c r="AV564" i="4"/>
  <c r="BC564" i="4"/>
  <c r="BE564" i="4"/>
  <c r="BI564" i="4"/>
  <c r="Y564" i="4" s="1"/>
  <c r="I567" i="4"/>
  <c r="AA567" i="4"/>
  <c r="AE567" i="4"/>
  <c r="AN567" i="4"/>
  <c r="AV567" i="4" s="1"/>
  <c r="AO567" i="4"/>
  <c r="BC567" i="4"/>
  <c r="BE567" i="4"/>
  <c r="BG567" i="4"/>
  <c r="AC567" i="4" s="1"/>
  <c r="BI567" i="4"/>
  <c r="I568" i="4"/>
  <c r="AI568" i="4" s="1"/>
  <c r="AE568" i="4"/>
  <c r="AK568" i="4"/>
  <c r="AN568" i="4"/>
  <c r="AV568" i="4" s="1"/>
  <c r="AO568" i="4"/>
  <c r="AW568" i="4" s="1"/>
  <c r="BB568" i="4"/>
  <c r="BC568" i="4"/>
  <c r="BE568" i="4"/>
  <c r="BG568" i="4"/>
  <c r="AC568" i="4" s="1"/>
  <c r="BH568" i="4"/>
  <c r="BI568" i="4"/>
  <c r="I569" i="4"/>
  <c r="AA569" i="4"/>
  <c r="AE569" i="4"/>
  <c r="AI569" i="4"/>
  <c r="AJ569" i="4"/>
  <c r="AK569" i="4"/>
  <c r="AN569" i="4"/>
  <c r="AV569" i="4" s="1"/>
  <c r="AO569" i="4"/>
  <c r="BH569" i="4" s="1"/>
  <c r="AB569" i="4" s="1"/>
  <c r="BC569" i="4"/>
  <c r="BE569" i="4"/>
  <c r="BG569" i="4"/>
  <c r="AC569" i="4" s="1"/>
  <c r="BI569" i="4"/>
  <c r="I574" i="4"/>
  <c r="AE574" i="4"/>
  <c r="AI574" i="4"/>
  <c r="AJ574" i="4"/>
  <c r="AK574" i="4"/>
  <c r="AN574" i="4"/>
  <c r="BG574" i="4" s="1"/>
  <c r="AO574" i="4"/>
  <c r="BH574" i="4" s="1"/>
  <c r="AV574" i="4"/>
  <c r="BC574" i="4"/>
  <c r="BE574" i="4"/>
  <c r="BI574" i="4"/>
  <c r="Y574" i="4" s="1"/>
  <c r="I576" i="4"/>
  <c r="BE576" i="4"/>
  <c r="AI576" i="4"/>
  <c r="AJ576" i="4"/>
  <c r="AK576" i="4"/>
  <c r="AN576" i="4"/>
  <c r="AV576" i="4" s="1"/>
  <c r="AO576" i="4"/>
  <c r="AW576" i="4" s="1"/>
  <c r="BC576" i="4"/>
  <c r="BI576" i="4"/>
  <c r="I582" i="4"/>
  <c r="AI582" i="4" s="1"/>
  <c r="AN582" i="4"/>
  <c r="AV582" i="4" s="1"/>
  <c r="AO582" i="4"/>
  <c r="BH582" i="4" s="1"/>
  <c r="BC582" i="4"/>
  <c r="BE582" i="4"/>
  <c r="BG582" i="4"/>
  <c r="BI582" i="4"/>
  <c r="Y582" i="4" s="1"/>
  <c r="I588" i="4"/>
  <c r="AN588" i="4"/>
  <c r="AO588" i="4"/>
  <c r="BC588" i="4"/>
  <c r="BE588" i="4"/>
  <c r="BI588" i="4"/>
  <c r="AG588" i="4" s="1"/>
  <c r="I589" i="4"/>
  <c r="AK589" i="4" s="1"/>
  <c r="AD589" i="4"/>
  <c r="AG589" i="4"/>
  <c r="AJ589" i="4"/>
  <c r="AN589" i="4"/>
  <c r="AO589" i="4"/>
  <c r="AW589" i="4" s="1"/>
  <c r="BC589" i="4"/>
  <c r="BE589" i="4"/>
  <c r="BH589" i="4"/>
  <c r="AF589" i="4" s="1"/>
  <c r="BI589" i="4"/>
  <c r="Y589" i="4" s="1"/>
  <c r="I591" i="4"/>
  <c r="AG591" i="4"/>
  <c r="AN591" i="4"/>
  <c r="AO591" i="4"/>
  <c r="AW591" i="4" s="1"/>
  <c r="AV591" i="4"/>
  <c r="BC591" i="4"/>
  <c r="BE591" i="4"/>
  <c r="BG591" i="4"/>
  <c r="BH591" i="4"/>
  <c r="AD591" i="4" s="1"/>
  <c r="BI591" i="4"/>
  <c r="Y591" i="4" s="1"/>
  <c r="I597" i="4"/>
  <c r="I598" i="4"/>
  <c r="AJ598" i="4" s="1"/>
  <c r="AI598" i="4"/>
  <c r="AK598" i="4"/>
  <c r="AN598" i="4"/>
  <c r="AV598" i="4" s="1"/>
  <c r="AO598" i="4"/>
  <c r="BC598" i="4"/>
  <c r="BE598" i="4"/>
  <c r="BG598" i="4"/>
  <c r="AE598" i="4" s="1"/>
  <c r="BI598" i="4"/>
  <c r="AG598" i="4" s="1"/>
  <c r="I604" i="4"/>
  <c r="AJ604" i="4"/>
  <c r="AN604" i="4"/>
  <c r="AV604" i="4" s="1"/>
  <c r="AU604" i="4" s="1"/>
  <c r="AO604" i="4"/>
  <c r="AW604" i="4" s="1"/>
  <c r="BB604" i="4" s="1"/>
  <c r="BC604" i="4"/>
  <c r="BI604" i="4"/>
  <c r="Y604" i="4" s="1"/>
  <c r="I611" i="4"/>
  <c r="AI611" i="4" s="1"/>
  <c r="AK611" i="4"/>
  <c r="AN611" i="4"/>
  <c r="BG611" i="4" s="1"/>
  <c r="AO611" i="4"/>
  <c r="AW611" i="4" s="1"/>
  <c r="AV611" i="4"/>
  <c r="BC611" i="4"/>
  <c r="BE611" i="4"/>
  <c r="BI611" i="4"/>
  <c r="I612" i="4"/>
  <c r="AJ612" i="4" s="1"/>
  <c r="Y612" i="4"/>
  <c r="AG612" i="4"/>
  <c r="AK612" i="4"/>
  <c r="AN612" i="4"/>
  <c r="BG612" i="4" s="1"/>
  <c r="AO612" i="4"/>
  <c r="AW612" i="4" s="1"/>
  <c r="BC612" i="4"/>
  <c r="BE612" i="4"/>
  <c r="BI612" i="4"/>
  <c r="I613" i="4"/>
  <c r="AJ613" i="4" s="1"/>
  <c r="Y613" i="4"/>
  <c r="AF613" i="4"/>
  <c r="AG613" i="4"/>
  <c r="AK613" i="4"/>
  <c r="AN613" i="4"/>
  <c r="AV613" i="4" s="1"/>
  <c r="AO613" i="4"/>
  <c r="AW613" i="4" s="1"/>
  <c r="BC613" i="4"/>
  <c r="BE613" i="4"/>
  <c r="BG613" i="4"/>
  <c r="BH613" i="4"/>
  <c r="AD613" i="4" s="1"/>
  <c r="BI613" i="4"/>
  <c r="I615" i="4"/>
  <c r="AK615" i="4" s="1"/>
  <c r="AF615" i="4"/>
  <c r="AN615" i="4"/>
  <c r="AO615" i="4"/>
  <c r="AW615" i="4" s="1"/>
  <c r="BC615" i="4"/>
  <c r="BE615" i="4"/>
  <c r="BH615" i="4"/>
  <c r="AD615" i="4" s="1"/>
  <c r="BI615" i="4"/>
  <c r="Y615" i="4" s="1"/>
  <c r="I616" i="4"/>
  <c r="AJ616" i="4" s="1"/>
  <c r="Y616" i="4"/>
  <c r="AB616" i="4"/>
  <c r="AF616" i="4"/>
  <c r="AG616" i="4"/>
  <c r="AI616" i="4"/>
  <c r="AK616" i="4"/>
  <c r="AN616" i="4"/>
  <c r="AO616" i="4"/>
  <c r="AW616" i="4" s="1"/>
  <c r="AV616" i="4"/>
  <c r="BC616" i="4"/>
  <c r="BE616" i="4"/>
  <c r="BG616" i="4"/>
  <c r="BH616" i="4"/>
  <c r="AD616" i="4" s="1"/>
  <c r="BI616" i="4"/>
  <c r="I619" i="4"/>
  <c r="AJ619" i="4" s="1"/>
  <c r="AE619" i="4"/>
  <c r="AN619" i="4"/>
  <c r="AO619" i="4"/>
  <c r="AV619" i="4"/>
  <c r="AW619" i="4"/>
  <c r="AU619" i="4" s="1"/>
  <c r="BC619" i="4"/>
  <c r="BG619" i="4"/>
  <c r="AC619" i="4" s="1"/>
  <c r="BH619" i="4"/>
  <c r="BI619" i="4"/>
  <c r="I620" i="4"/>
  <c r="BE620" i="4"/>
  <c r="AF620" i="4"/>
  <c r="AN620" i="4"/>
  <c r="AO620" i="4"/>
  <c r="BH620" i="4" s="1"/>
  <c r="AW620" i="4"/>
  <c r="BC620" i="4"/>
  <c r="BI620" i="4"/>
  <c r="I622" i="4"/>
  <c r="BE622" i="4"/>
  <c r="AB622" i="4"/>
  <c r="AJ622" i="4"/>
  <c r="AN622" i="4"/>
  <c r="AO622" i="4"/>
  <c r="AW622" i="4"/>
  <c r="BC622" i="4"/>
  <c r="BH622" i="4"/>
  <c r="BI622" i="4"/>
  <c r="I623" i="4"/>
  <c r="BE623" i="4"/>
  <c r="AJ623" i="4"/>
  <c r="AN623" i="4"/>
  <c r="AO623" i="4"/>
  <c r="AV623" i="4"/>
  <c r="BC623" i="4"/>
  <c r="BG623" i="4"/>
  <c r="BI623" i="4"/>
  <c r="I625" i="4"/>
  <c r="AJ625" i="4" s="1"/>
  <c r="BE625" i="4"/>
  <c r="AN625" i="4"/>
  <c r="AV625" i="4" s="1"/>
  <c r="AO625" i="4"/>
  <c r="AW625" i="4"/>
  <c r="BC625" i="4"/>
  <c r="BG625" i="4"/>
  <c r="BH625" i="4"/>
  <c r="BI625" i="4"/>
  <c r="I626" i="4"/>
  <c r="BE626" i="4"/>
  <c r="AE626" i="4"/>
  <c r="AN626" i="4"/>
  <c r="BG626" i="4" s="1"/>
  <c r="AO626" i="4"/>
  <c r="AW626" i="4" s="1"/>
  <c r="BC626" i="4"/>
  <c r="BI626" i="4"/>
  <c r="I629" i="4"/>
  <c r="Y629" i="4"/>
  <c r="AE629" i="4"/>
  <c r="AN629" i="4"/>
  <c r="AO629" i="4"/>
  <c r="AW629" i="4" s="1"/>
  <c r="AV629" i="4"/>
  <c r="BB629" i="4" s="1"/>
  <c r="BC629" i="4"/>
  <c r="BE629" i="4"/>
  <c r="BG629" i="4"/>
  <c r="AC629" i="4" s="1"/>
  <c r="BH629" i="4"/>
  <c r="BI629" i="4"/>
  <c r="AG629" i="4" s="1"/>
  <c r="I631" i="4"/>
  <c r="AK631" i="4" s="1"/>
  <c r="AE631" i="4"/>
  <c r="AI631" i="4"/>
  <c r="AJ631" i="4"/>
  <c r="AN631" i="4"/>
  <c r="AV631" i="4" s="1"/>
  <c r="AO631" i="4"/>
  <c r="AW631" i="4" s="1"/>
  <c r="BC631" i="4"/>
  <c r="BE631" i="4"/>
  <c r="BG631" i="4"/>
  <c r="BI631" i="4"/>
  <c r="I634" i="4"/>
  <c r="AI634" i="4"/>
  <c r="AK634" i="4"/>
  <c r="AN634" i="4"/>
  <c r="AO634" i="4"/>
  <c r="AW634" i="4" s="1"/>
  <c r="BC634" i="4"/>
  <c r="BI634" i="4"/>
  <c r="Y634" i="4" s="1"/>
  <c r="I635" i="4"/>
  <c r="BE635" i="4"/>
  <c r="AJ635" i="4"/>
  <c r="AN635" i="4"/>
  <c r="AO635" i="4"/>
  <c r="AW635" i="4" s="1"/>
  <c r="BC635" i="4"/>
  <c r="BI635" i="4"/>
  <c r="Y635" i="4" s="1"/>
  <c r="I638" i="4"/>
  <c r="BE638" i="4"/>
  <c r="AG638" i="4"/>
  <c r="AK638" i="4"/>
  <c r="AN638" i="4"/>
  <c r="AV638" i="4" s="1"/>
  <c r="AO638" i="4"/>
  <c r="BC638" i="4"/>
  <c r="BI638" i="4"/>
  <c r="Y638" i="4" s="1"/>
  <c r="I641" i="4"/>
  <c r="AK641" i="4" s="1"/>
  <c r="Y641" i="4"/>
  <c r="AN641" i="4"/>
  <c r="AO641" i="4"/>
  <c r="AV641" i="4"/>
  <c r="BC641" i="4"/>
  <c r="BE641" i="4"/>
  <c r="BG641" i="4"/>
  <c r="AA641" i="4" s="1"/>
  <c r="BI641" i="4"/>
  <c r="AG641" i="4" s="1"/>
  <c r="I642" i="4"/>
  <c r="AF642" i="4"/>
  <c r="AG642" i="4"/>
  <c r="AN642" i="4"/>
  <c r="AV642" i="4" s="1"/>
  <c r="AO642" i="4"/>
  <c r="BH642" i="4" s="1"/>
  <c r="BC642" i="4"/>
  <c r="BE642" i="4"/>
  <c r="BI642" i="4"/>
  <c r="Y642" i="4" s="1"/>
  <c r="I643" i="4"/>
  <c r="I644" i="4"/>
  <c r="AI644" i="4" s="1"/>
  <c r="AR643" i="4" s="1"/>
  <c r="AK644" i="4"/>
  <c r="AT643" i="4" s="1"/>
  <c r="AN644" i="4"/>
  <c r="AV644" i="4" s="1"/>
  <c r="AO644" i="4"/>
  <c r="BC644" i="4"/>
  <c r="BG644" i="4"/>
  <c r="BI644" i="4"/>
  <c r="Y644" i="4" s="1"/>
  <c r="I646" i="4"/>
  <c r="AK646" i="4" s="1"/>
  <c r="Y646" i="4"/>
  <c r="AI646" i="4"/>
  <c r="AN646" i="4"/>
  <c r="AO646" i="4"/>
  <c r="AW646" i="4" s="1"/>
  <c r="AV646" i="4"/>
  <c r="BC646" i="4"/>
  <c r="BE646" i="4"/>
  <c r="BG646" i="4"/>
  <c r="AA646" i="4" s="1"/>
  <c r="BI646" i="4"/>
  <c r="AG646" i="4" s="1"/>
  <c r="I648" i="4"/>
  <c r="AJ648" i="4" s="1"/>
  <c r="AE648" i="4"/>
  <c r="AI648" i="4"/>
  <c r="AN648" i="4"/>
  <c r="AV648" i="4" s="1"/>
  <c r="AO648" i="4"/>
  <c r="AW648" i="4" s="1"/>
  <c r="AU648" i="4"/>
  <c r="BC648" i="4"/>
  <c r="BE648" i="4"/>
  <c r="BG648" i="4"/>
  <c r="BH648" i="4"/>
  <c r="AF648" i="4" s="1"/>
  <c r="BI648" i="4"/>
  <c r="I650" i="4"/>
  <c r="AK650" i="4"/>
  <c r="AN650" i="4"/>
  <c r="AV650" i="4" s="1"/>
  <c r="AO650" i="4"/>
  <c r="BC650" i="4"/>
  <c r="BE650" i="4"/>
  <c r="BI650" i="4"/>
  <c r="I651" i="4"/>
  <c r="Y651" i="4"/>
  <c r="AN651" i="4"/>
  <c r="AO651" i="4"/>
  <c r="AW651" i="4" s="1"/>
  <c r="BC651" i="4"/>
  <c r="BE651" i="4"/>
  <c r="BI651" i="4"/>
  <c r="AG651" i="4" s="1"/>
  <c r="I652" i="4"/>
  <c r="AK652" i="4" s="1"/>
  <c r="AN652" i="4"/>
  <c r="AV652" i="4" s="1"/>
  <c r="AO652" i="4"/>
  <c r="BC652" i="4"/>
  <c r="BE652" i="4"/>
  <c r="BI652" i="4"/>
  <c r="I654" i="4"/>
  <c r="AR654" i="4"/>
  <c r="I655" i="4"/>
  <c r="AI655" i="4" s="1"/>
  <c r="AJ655" i="4"/>
  <c r="AS654" i="4" s="1"/>
  <c r="AN655" i="4"/>
  <c r="AO655" i="4"/>
  <c r="BH655" i="4" s="1"/>
  <c r="AW655" i="4"/>
  <c r="BC655" i="4"/>
  <c r="BE655" i="4"/>
  <c r="BI655" i="4"/>
  <c r="Y655" i="4" s="1"/>
  <c r="I657" i="4"/>
  <c r="I658" i="4"/>
  <c r="AJ658" i="4" s="1"/>
  <c r="Y658" i="4"/>
  <c r="AK658" i="4"/>
  <c r="AN658" i="4"/>
  <c r="AO658" i="4"/>
  <c r="AW658" i="4" s="1"/>
  <c r="BC658" i="4"/>
  <c r="BE658" i="4"/>
  <c r="BI658" i="4"/>
  <c r="AG658" i="4" s="1"/>
  <c r="I660" i="4"/>
  <c r="AK660" i="4"/>
  <c r="AN660" i="4"/>
  <c r="AO660" i="4"/>
  <c r="AW660" i="4" s="1"/>
  <c r="AU660" i="4"/>
  <c r="AV660" i="4"/>
  <c r="BB660" i="4" s="1"/>
  <c r="BC660" i="4"/>
  <c r="BE660" i="4"/>
  <c r="BG660" i="4"/>
  <c r="BI660" i="4"/>
  <c r="AG660" i="4" s="1"/>
  <c r="I662" i="4"/>
  <c r="I663" i="4"/>
  <c r="AI663" i="4"/>
  <c r="AJ663" i="4"/>
  <c r="AK663" i="4"/>
  <c r="AN663" i="4"/>
  <c r="AV663" i="4" s="1"/>
  <c r="AO663" i="4"/>
  <c r="BC663" i="4"/>
  <c r="BI663" i="4"/>
  <c r="AG663" i="4" s="1"/>
  <c r="I665" i="4"/>
  <c r="AI665" i="4" s="1"/>
  <c r="BE665" i="4"/>
  <c r="AG665" i="4"/>
  <c r="AN665" i="4"/>
  <c r="AV665" i="4" s="1"/>
  <c r="AO665" i="4"/>
  <c r="BC665" i="4"/>
  <c r="BI665" i="4"/>
  <c r="Y665" i="4" s="1"/>
  <c r="I668" i="4"/>
  <c r="BE668" i="4"/>
  <c r="AD668" i="4"/>
  <c r="AI668" i="4"/>
  <c r="AK668" i="4"/>
  <c r="AN668" i="4"/>
  <c r="AV668" i="4" s="1"/>
  <c r="AO668" i="4"/>
  <c r="BH668" i="4" s="1"/>
  <c r="AB668" i="4" s="1"/>
  <c r="AW668" i="4"/>
  <c r="BB668" i="4"/>
  <c r="BC668" i="4"/>
  <c r="BG668" i="4"/>
  <c r="BI668" i="4"/>
  <c r="I670" i="4"/>
  <c r="AJ670" i="4" s="1"/>
  <c r="BE670" i="4"/>
  <c r="AI670" i="4"/>
  <c r="AN670" i="4"/>
  <c r="AV670" i="4" s="1"/>
  <c r="AO670" i="4"/>
  <c r="BC670" i="4"/>
  <c r="BI670" i="4"/>
  <c r="Y670" i="4" s="1"/>
  <c r="I671" i="4"/>
  <c r="BE671" i="4"/>
  <c r="Y671" i="4"/>
  <c r="AN671" i="4"/>
  <c r="AV671" i="4" s="1"/>
  <c r="AO671" i="4"/>
  <c r="BC671" i="4"/>
  <c r="BG671" i="4"/>
  <c r="BI671" i="4"/>
  <c r="AG671" i="4" s="1"/>
  <c r="I672" i="4"/>
  <c r="AJ672" i="4" s="1"/>
  <c r="BE672" i="4"/>
  <c r="AI672" i="4"/>
  <c r="AK672" i="4"/>
  <c r="AN672" i="4"/>
  <c r="AO672" i="4"/>
  <c r="AW672" i="4" s="1"/>
  <c r="BC672" i="4"/>
  <c r="BH672" i="4"/>
  <c r="BI672" i="4"/>
  <c r="Y672" i="4" s="1"/>
  <c r="I674" i="4"/>
  <c r="AI674" i="4" s="1"/>
  <c r="AR673" i="4" s="1"/>
  <c r="AB674" i="4"/>
  <c r="AK674" i="4"/>
  <c r="AN674" i="4"/>
  <c r="AO674" i="4"/>
  <c r="AW674" i="4"/>
  <c r="BC674" i="4"/>
  <c r="BH674" i="4"/>
  <c r="AD674" i="4" s="1"/>
  <c r="BI674" i="4"/>
  <c r="Y674" i="4" s="1"/>
  <c r="I676" i="4"/>
  <c r="AI676" i="4" s="1"/>
  <c r="BE676" i="4"/>
  <c r="AJ676" i="4"/>
  <c r="AK676" i="4"/>
  <c r="AN676" i="4"/>
  <c r="AO676" i="4"/>
  <c r="AV676" i="4"/>
  <c r="AW676" i="4"/>
  <c r="BC676" i="4"/>
  <c r="BG676" i="4"/>
  <c r="AE676" i="4" s="1"/>
  <c r="BH676" i="4"/>
  <c r="BI676" i="4"/>
  <c r="Y676" i="4" s="1"/>
  <c r="I679" i="4"/>
  <c r="Y679" i="4"/>
  <c r="AD679" i="4"/>
  <c r="AI679" i="4"/>
  <c r="AJ679" i="4"/>
  <c r="AK679" i="4"/>
  <c r="AN679" i="4"/>
  <c r="AO679" i="4"/>
  <c r="AW679" i="4" s="1"/>
  <c r="AV679" i="4"/>
  <c r="BC679" i="4"/>
  <c r="BE679" i="4"/>
  <c r="BG679" i="4"/>
  <c r="BH679" i="4"/>
  <c r="AF679" i="4" s="1"/>
  <c r="BI679" i="4"/>
  <c r="AG679" i="4" s="1"/>
  <c r="I680" i="4"/>
  <c r="AK680" i="4" s="1"/>
  <c r="AE680" i="4"/>
  <c r="AN680" i="4"/>
  <c r="AO680" i="4"/>
  <c r="AV680" i="4"/>
  <c r="BC680" i="4"/>
  <c r="BE680" i="4"/>
  <c r="BG680" i="4"/>
  <c r="AC680" i="4" s="1"/>
  <c r="BI680" i="4"/>
  <c r="I681" i="4"/>
  <c r="AJ681" i="4" s="1"/>
  <c r="AI681" i="4"/>
  <c r="AN681" i="4"/>
  <c r="AO681" i="4"/>
  <c r="AW681" i="4" s="1"/>
  <c r="AV681" i="4"/>
  <c r="BB681" i="4"/>
  <c r="BC681" i="4"/>
  <c r="BE681" i="4"/>
  <c r="BG681" i="4"/>
  <c r="BH681" i="4"/>
  <c r="BI681" i="4"/>
  <c r="I684" i="4"/>
  <c r="AK684" i="4" s="1"/>
  <c r="AI684" i="4"/>
  <c r="AJ684" i="4"/>
  <c r="AN684" i="4"/>
  <c r="AO684" i="4"/>
  <c r="BH684" i="4" s="1"/>
  <c r="AW684" i="4"/>
  <c r="BC684" i="4"/>
  <c r="BI684" i="4"/>
  <c r="I685" i="4"/>
  <c r="I683" i="4" s="1"/>
  <c r="BE685" i="4"/>
  <c r="AI685" i="4"/>
  <c r="AN685" i="4"/>
  <c r="AV685" i="4" s="1"/>
  <c r="AU685" i="4" s="1"/>
  <c r="AO685" i="4"/>
  <c r="AW685" i="4" s="1"/>
  <c r="BC685" i="4"/>
  <c r="BH685" i="4"/>
  <c r="BI685" i="4"/>
  <c r="I687" i="4"/>
  <c r="AC687" i="4"/>
  <c r="AN687" i="4"/>
  <c r="AO687" i="4"/>
  <c r="AV687" i="4"/>
  <c r="BC687" i="4"/>
  <c r="BE687" i="4"/>
  <c r="BG687" i="4"/>
  <c r="BI687" i="4"/>
  <c r="I691" i="4"/>
  <c r="AN691" i="4"/>
  <c r="AV691" i="4" s="1"/>
  <c r="AO691" i="4"/>
  <c r="BC691" i="4"/>
  <c r="BE691" i="4"/>
  <c r="BI691" i="4"/>
  <c r="I694" i="4"/>
  <c r="AN694" i="4"/>
  <c r="AO694" i="4"/>
  <c r="AW694" i="4" s="1"/>
  <c r="BC694" i="4"/>
  <c r="BE694" i="4"/>
  <c r="BH694" i="4"/>
  <c r="AF694" i="4" s="1"/>
  <c r="BI694" i="4"/>
  <c r="AG694" i="4" s="1"/>
  <c r="I695" i="4"/>
  <c r="AJ695" i="4" s="1"/>
  <c r="AK695" i="4"/>
  <c r="AN695" i="4"/>
  <c r="BG695" i="4" s="1"/>
  <c r="AO695" i="4"/>
  <c r="BC695" i="4"/>
  <c r="BE695" i="4"/>
  <c r="BI695" i="4"/>
  <c r="AG695" i="4" s="1"/>
  <c r="I698" i="4"/>
  <c r="AI698" i="4" s="1"/>
  <c r="Y698" i="4"/>
  <c r="AJ698" i="4"/>
  <c r="AK698" i="4"/>
  <c r="AN698" i="4"/>
  <c r="AO698" i="4"/>
  <c r="AW698" i="4"/>
  <c r="BC698" i="4"/>
  <c r="BH698" i="4"/>
  <c r="BI698" i="4"/>
  <c r="AG698" i="4" s="1"/>
  <c r="I701" i="4"/>
  <c r="BE701" i="4"/>
  <c r="AN701" i="4"/>
  <c r="AO701" i="4"/>
  <c r="BH701" i="4" s="1"/>
  <c r="AD701" i="4" s="1"/>
  <c r="AW701" i="4"/>
  <c r="BC701" i="4"/>
  <c r="BI701" i="4"/>
  <c r="AG701" i="4" s="1"/>
  <c r="I703" i="4"/>
  <c r="AJ703" i="4" s="1"/>
  <c r="BE703" i="4"/>
  <c r="AI703" i="4"/>
  <c r="AN703" i="4"/>
  <c r="AO703" i="4"/>
  <c r="BH703" i="4" s="1"/>
  <c r="AB703" i="4" s="1"/>
  <c r="AW703" i="4"/>
  <c r="BC703" i="4"/>
  <c r="BI703" i="4"/>
  <c r="I706" i="4"/>
  <c r="AN706" i="4"/>
  <c r="AV706" i="4" s="1"/>
  <c r="AO706" i="4"/>
  <c r="AW706" i="4"/>
  <c r="BC706" i="4"/>
  <c r="BE706" i="4"/>
  <c r="BG706" i="4"/>
  <c r="BH706" i="4"/>
  <c r="AD706" i="4" s="1"/>
  <c r="BI706" i="4"/>
  <c r="Y706" i="4" s="1"/>
  <c r="I708" i="4"/>
  <c r="AN708" i="4"/>
  <c r="BG708" i="4" s="1"/>
  <c r="AO708" i="4"/>
  <c r="BH708" i="4" s="1"/>
  <c r="AB708" i="4" s="1"/>
  <c r="AV708" i="4"/>
  <c r="BC708" i="4"/>
  <c r="BE708" i="4"/>
  <c r="BI708" i="4"/>
  <c r="I711" i="4"/>
  <c r="AK711" i="4" s="1"/>
  <c r="BE711" i="4"/>
  <c r="AF711" i="4"/>
  <c r="AN711" i="4"/>
  <c r="AO711" i="4"/>
  <c r="BH711" i="4" s="1"/>
  <c r="AV711" i="4"/>
  <c r="BC711" i="4"/>
  <c r="BG711" i="4"/>
  <c r="AA711" i="4" s="1"/>
  <c r="BI711" i="4"/>
  <c r="AG711" i="4" s="1"/>
  <c r="I712" i="4"/>
  <c r="BE712" i="4"/>
  <c r="Y712" i="4"/>
  <c r="AG712" i="4"/>
  <c r="AK712" i="4"/>
  <c r="AN712" i="4"/>
  <c r="BG712" i="4" s="1"/>
  <c r="AA712" i="4" s="1"/>
  <c r="AO712" i="4"/>
  <c r="AV712" i="4"/>
  <c r="AW712" i="4"/>
  <c r="BC712" i="4"/>
  <c r="BH712" i="4"/>
  <c r="BI712" i="4"/>
  <c r="I713" i="4"/>
  <c r="BE713" i="4"/>
  <c r="AK713" i="4"/>
  <c r="AN713" i="4"/>
  <c r="AV713" i="4" s="1"/>
  <c r="AO713" i="4"/>
  <c r="BH713" i="4" s="1"/>
  <c r="AW713" i="4"/>
  <c r="BC713" i="4"/>
  <c r="BG713" i="4"/>
  <c r="AA713" i="4" s="1"/>
  <c r="BI713" i="4"/>
  <c r="I714" i="4"/>
  <c r="AK714" i="4" s="1"/>
  <c r="BE714" i="4"/>
  <c r="AF714" i="4"/>
  <c r="AG714" i="4"/>
  <c r="AN714" i="4"/>
  <c r="AV714" i="4" s="1"/>
  <c r="AO714" i="4"/>
  <c r="AW714" i="4" s="1"/>
  <c r="BC714" i="4"/>
  <c r="BG714" i="4"/>
  <c r="AA714" i="4" s="1"/>
  <c r="BH714" i="4"/>
  <c r="AD714" i="4" s="1"/>
  <c r="BI714" i="4"/>
  <c r="Y714" i="4" s="1"/>
  <c r="I715" i="4"/>
  <c r="AK715" i="4" s="1"/>
  <c r="BE715" i="4"/>
  <c r="AG715" i="4"/>
  <c r="AN715" i="4"/>
  <c r="AO715" i="4"/>
  <c r="AW715" i="4" s="1"/>
  <c r="AV715" i="4"/>
  <c r="BC715" i="4"/>
  <c r="BG715" i="4"/>
  <c r="AA715" i="4" s="1"/>
  <c r="BI715" i="4"/>
  <c r="Y715" i="4" s="1"/>
  <c r="I716" i="4"/>
  <c r="BE716" i="4"/>
  <c r="AK716" i="4"/>
  <c r="AN716" i="4"/>
  <c r="BG716" i="4" s="1"/>
  <c r="AA716" i="4" s="1"/>
  <c r="AO716" i="4"/>
  <c r="AV716" i="4"/>
  <c r="AW716" i="4"/>
  <c r="BC716" i="4"/>
  <c r="BH716" i="4"/>
  <c r="AD716" i="4" s="1"/>
  <c r="BI716" i="4"/>
  <c r="I719" i="4"/>
  <c r="AI719" i="4" s="1"/>
  <c r="AG719" i="4"/>
  <c r="AK719" i="4"/>
  <c r="AN719" i="4"/>
  <c r="AO719" i="4"/>
  <c r="BH719" i="4" s="1"/>
  <c r="AB719" i="4" s="1"/>
  <c r="BC719" i="4"/>
  <c r="BI719" i="4"/>
  <c r="Y719" i="4" s="1"/>
  <c r="BN719" i="4"/>
  <c r="I720" i="4"/>
  <c r="AK720" i="4" s="1"/>
  <c r="AT718" i="4" s="1"/>
  <c r="BE720" i="4"/>
  <c r="AG720" i="4"/>
  <c r="AN720" i="4"/>
  <c r="AO720" i="4"/>
  <c r="BH720" i="4" s="1"/>
  <c r="AV720" i="4"/>
  <c r="BC720" i="4"/>
  <c r="BG720" i="4"/>
  <c r="AA720" i="4" s="1"/>
  <c r="BI720" i="4"/>
  <c r="Y720" i="4" s="1"/>
  <c r="BN720" i="4"/>
  <c r="C2" i="5"/>
  <c r="C4" i="5"/>
  <c r="C6" i="5"/>
  <c r="C8" i="5"/>
  <c r="C10" i="5"/>
  <c r="I10" i="5"/>
  <c r="F15" i="5"/>
  <c r="F16" i="5"/>
  <c r="I16" i="5"/>
  <c r="I17" i="5"/>
  <c r="C2" i="6"/>
  <c r="F2" i="6"/>
  <c r="C4" i="6"/>
  <c r="F4" i="6"/>
  <c r="C6" i="6"/>
  <c r="F6" i="6"/>
  <c r="C8" i="6"/>
  <c r="F8" i="6"/>
  <c r="C10" i="6"/>
  <c r="F10" i="6"/>
  <c r="I10" i="6"/>
  <c r="I15" i="6"/>
  <c r="I16" i="6"/>
  <c r="I17" i="6"/>
  <c r="I21" i="6"/>
  <c r="I22" i="6"/>
  <c r="I15" i="5" s="1"/>
  <c r="I23" i="6"/>
  <c r="I24" i="6"/>
  <c r="I25" i="6"/>
  <c r="I18" i="5" s="1"/>
  <c r="I26" i="6"/>
  <c r="I19" i="5" s="1"/>
  <c r="F35" i="6"/>
  <c r="I35" i="6" s="1"/>
  <c r="F36" i="6"/>
  <c r="I36" i="6" s="1"/>
  <c r="F37" i="6"/>
  <c r="I37" i="6" s="1"/>
  <c r="F38" i="6"/>
  <c r="I38" i="6" s="1"/>
  <c r="F39" i="6"/>
  <c r="I39" i="6" s="1"/>
  <c r="F40" i="6"/>
  <c r="I40" i="6" s="1"/>
  <c r="F41" i="6"/>
  <c r="I41" i="6" s="1"/>
  <c r="F42" i="6"/>
  <c r="I42" i="6" s="1"/>
  <c r="F43" i="6"/>
  <c r="I43" i="6" s="1"/>
  <c r="F44" i="6"/>
  <c r="I44" i="6" s="1"/>
  <c r="AR1" i="7"/>
  <c r="AS1" i="7"/>
  <c r="AT1" i="7"/>
  <c r="D2" i="7"/>
  <c r="H2" i="7"/>
  <c r="D4" i="7"/>
  <c r="H4" i="7"/>
  <c r="D6" i="7"/>
  <c r="H6" i="7"/>
  <c r="D8" i="7"/>
  <c r="H8" i="7"/>
  <c r="G14" i="7"/>
  <c r="H14" i="7"/>
  <c r="BE14" i="7"/>
  <c r="G15" i="7"/>
  <c r="H15" i="7"/>
  <c r="BE15" i="7"/>
  <c r="G16" i="7"/>
  <c r="H16" i="7"/>
  <c r="AO16" i="7" s="1"/>
  <c r="BE16" i="7"/>
  <c r="BI16" i="7"/>
  <c r="Y16" i="7" s="1"/>
  <c r="G17" i="7"/>
  <c r="H17" i="7"/>
  <c r="AN17" i="7" s="1"/>
  <c r="BG17" i="7" s="1"/>
  <c r="AE17" i="7" s="1"/>
  <c r="BE17" i="7"/>
  <c r="AO17" i="7"/>
  <c r="G22" i="7"/>
  <c r="H22" i="7"/>
  <c r="BE22" i="7"/>
  <c r="G24" i="7"/>
  <c r="H24" i="7"/>
  <c r="AO24" i="7" s="1"/>
  <c r="BH24" i="7" s="1"/>
  <c r="BE24" i="7"/>
  <c r="G26" i="7"/>
  <c r="H26" i="7"/>
  <c r="BE26" i="7"/>
  <c r="G27" i="7"/>
  <c r="H27" i="7"/>
  <c r="AO27" i="7" s="1"/>
  <c r="BE27" i="7"/>
  <c r="AN27" i="7"/>
  <c r="G30" i="7"/>
  <c r="H30" i="7"/>
  <c r="BE30" i="7"/>
  <c r="G32" i="7"/>
  <c r="H32" i="7"/>
  <c r="BE32" i="7"/>
  <c r="G35" i="7"/>
  <c r="H35" i="7"/>
  <c r="G37" i="7"/>
  <c r="H37" i="7"/>
  <c r="BC37" i="7" s="1"/>
  <c r="BE37" i="7"/>
  <c r="G40" i="7"/>
  <c r="H40" i="7"/>
  <c r="BC40" i="7" s="1"/>
  <c r="BE40" i="7"/>
  <c r="G46" i="7"/>
  <c r="H46" i="7"/>
  <c r="AO46" i="7" s="1"/>
  <c r="BH46" i="7" s="1"/>
  <c r="AD46" i="7" s="1"/>
  <c r="AB46" i="7"/>
  <c r="AF46" i="7"/>
  <c r="G48" i="7"/>
  <c r="H48" i="7"/>
  <c r="AO48" i="7" s="1"/>
  <c r="G51" i="7"/>
  <c r="H51" i="7"/>
  <c r="AO51" i="7" s="1"/>
  <c r="BE51" i="7"/>
  <c r="BC51" i="7"/>
  <c r="G54" i="7"/>
  <c r="H54" i="7"/>
  <c r="AN54" i="7" s="1"/>
  <c r="G59" i="7"/>
  <c r="H59" i="7"/>
  <c r="AN59" i="7" s="1"/>
  <c r="BC59" i="7"/>
  <c r="G61" i="7"/>
  <c r="H61" i="7"/>
  <c r="AO61" i="7" s="1"/>
  <c r="BH61" i="7" s="1"/>
  <c r="AD61" i="7" s="1"/>
  <c r="G63" i="7"/>
  <c r="H63" i="7"/>
  <c r="AN63" i="7" s="1"/>
  <c r="BE63" i="7"/>
  <c r="G66" i="7"/>
  <c r="H66" i="7"/>
  <c r="AN66" i="7" s="1"/>
  <c r="AO66" i="7"/>
  <c r="G67" i="7"/>
  <c r="H67" i="7"/>
  <c r="BC67" i="7" s="1"/>
  <c r="G68" i="7"/>
  <c r="H68" i="7"/>
  <c r="AN68" i="7" s="1"/>
  <c r="AO68" i="7"/>
  <c r="G75" i="7"/>
  <c r="H75" i="7"/>
  <c r="AN75" i="7" s="1"/>
  <c r="AO75" i="7"/>
  <c r="BC75" i="7"/>
  <c r="G77" i="7"/>
  <c r="I77" i="7" s="1"/>
  <c r="H77" i="7"/>
  <c r="AN77" i="7" s="1"/>
  <c r="BC77" i="7"/>
  <c r="G88" i="7"/>
  <c r="H88" i="7"/>
  <c r="AO88" i="7" s="1"/>
  <c r="AN88" i="7"/>
  <c r="BC88" i="7"/>
  <c r="G89" i="7"/>
  <c r="BI89" i="7" s="1"/>
  <c r="H89" i="7"/>
  <c r="AO89" i="7" s="1"/>
  <c r="AN89" i="7"/>
  <c r="AW89" i="7"/>
  <c r="G91" i="7"/>
  <c r="H91" i="7"/>
  <c r="G99" i="7"/>
  <c r="H99" i="7"/>
  <c r="BE99" i="7"/>
  <c r="G105" i="7"/>
  <c r="BE105" i="7" s="1"/>
  <c r="H105" i="7"/>
  <c r="AN105" i="7" s="1"/>
  <c r="G108" i="7"/>
  <c r="H108" i="7"/>
  <c r="AN108" i="7" s="1"/>
  <c r="AO108" i="7"/>
  <c r="G113" i="7"/>
  <c r="H113" i="7"/>
  <c r="G116" i="7"/>
  <c r="H116" i="7"/>
  <c r="BE116" i="7"/>
  <c r="G121" i="7"/>
  <c r="BI121" i="7" s="1"/>
  <c r="H121" i="7"/>
  <c r="AO121" i="7" s="1"/>
  <c r="AN121" i="7"/>
  <c r="BC121" i="7"/>
  <c r="G124" i="7"/>
  <c r="H124" i="7"/>
  <c r="AN124" i="7" s="1"/>
  <c r="AV124" i="7" s="1"/>
  <c r="BE124" i="7"/>
  <c r="G128" i="7"/>
  <c r="BI128" i="7" s="1"/>
  <c r="H128" i="7"/>
  <c r="BE128" i="7"/>
  <c r="G129" i="7"/>
  <c r="H129" i="7"/>
  <c r="BC129" i="7" s="1"/>
  <c r="AN129" i="7"/>
  <c r="G131" i="7"/>
  <c r="I131" i="7" s="1"/>
  <c r="AK131" i="7" s="1"/>
  <c r="H131" i="7"/>
  <c r="AN131" i="7" s="1"/>
  <c r="BC131" i="7"/>
  <c r="G132" i="7"/>
  <c r="H132" i="7"/>
  <c r="AO132" i="7" s="1"/>
  <c r="BH132" i="7" s="1"/>
  <c r="AF132" i="7" s="1"/>
  <c r="AN132" i="7"/>
  <c r="BC132" i="7"/>
  <c r="G134" i="7"/>
  <c r="H134" i="7"/>
  <c r="BE134" i="7"/>
  <c r="G136" i="7"/>
  <c r="I136" i="7" s="1"/>
  <c r="AI136" i="7" s="1"/>
  <c r="H136" i="7"/>
  <c r="BC136" i="7" s="1"/>
  <c r="BE136" i="7"/>
  <c r="AO136" i="7"/>
  <c r="G137" i="7"/>
  <c r="H137" i="7"/>
  <c r="I137" i="7" s="1"/>
  <c r="BE137" i="7"/>
  <c r="AO137" i="7"/>
  <c r="G139" i="7"/>
  <c r="H139" i="7"/>
  <c r="BC139" i="7" s="1"/>
  <c r="G141" i="7"/>
  <c r="BI141" i="7" s="1"/>
  <c r="H141" i="7"/>
  <c r="AO141" i="7" s="1"/>
  <c r="AN141" i="7"/>
  <c r="BC141" i="7"/>
  <c r="G143" i="7"/>
  <c r="I143" i="7" s="1"/>
  <c r="H143" i="7"/>
  <c r="BC143" i="7" s="1"/>
  <c r="BE143" i="7"/>
  <c r="AN143" i="7"/>
  <c r="G144" i="7"/>
  <c r="H144" i="7"/>
  <c r="AN144" i="7" s="1"/>
  <c r="AV144" i="7" s="1"/>
  <c r="BE144" i="7"/>
  <c r="G146" i="7"/>
  <c r="BE146" i="7" s="1"/>
  <c r="H146" i="7"/>
  <c r="BC146" i="7" s="1"/>
  <c r="G147" i="7"/>
  <c r="H147" i="7"/>
  <c r="G149" i="7"/>
  <c r="H149" i="7"/>
  <c r="G151" i="7"/>
  <c r="BI151" i="7" s="1"/>
  <c r="H151" i="7"/>
  <c r="AN151" i="7" s="1"/>
  <c r="BE151" i="7"/>
  <c r="G153" i="7"/>
  <c r="H153" i="7"/>
  <c r="AO153" i="7" s="1"/>
  <c r="AW153" i="7" s="1"/>
  <c r="G155" i="7"/>
  <c r="H155" i="7"/>
  <c r="AO155" i="7" s="1"/>
  <c r="BC155" i="7"/>
  <c r="G156" i="7"/>
  <c r="H156" i="7"/>
  <c r="AO156" i="7" s="1"/>
  <c r="G158" i="7"/>
  <c r="H158" i="7"/>
  <c r="G160" i="7"/>
  <c r="H160" i="7"/>
  <c r="AO160" i="7"/>
  <c r="G162" i="7"/>
  <c r="H162" i="7"/>
  <c r="BE162" i="7"/>
  <c r="AO162" i="7"/>
  <c r="BC162" i="7"/>
  <c r="G165" i="7"/>
  <c r="BG165" i="7" s="1"/>
  <c r="H165" i="7"/>
  <c r="AN165" i="7" s="1"/>
  <c r="BE165" i="7"/>
  <c r="AO165" i="7"/>
  <c r="BH165" i="7" s="1"/>
  <c r="BC165" i="7"/>
  <c r="G166" i="7"/>
  <c r="H166" i="7"/>
  <c r="BC166" i="7" s="1"/>
  <c r="BE166" i="7"/>
  <c r="G168" i="7"/>
  <c r="H168" i="7"/>
  <c r="BC168" i="7" s="1"/>
  <c r="G170" i="7"/>
  <c r="I170" i="7" s="1"/>
  <c r="H170" i="7"/>
  <c r="BC170" i="7" s="1"/>
  <c r="BE170" i="7"/>
  <c r="G171" i="7"/>
  <c r="BE171" i="7" s="1"/>
  <c r="H171" i="7"/>
  <c r="AO171" i="7" s="1"/>
  <c r="AN171" i="7"/>
  <c r="BC171" i="7"/>
  <c r="G173" i="7"/>
  <c r="H173" i="7"/>
  <c r="BC173" i="7" s="1"/>
  <c r="BE173" i="7"/>
  <c r="G175" i="7"/>
  <c r="H175" i="7"/>
  <c r="BC175" i="7" s="1"/>
  <c r="BE175" i="7"/>
  <c r="G178" i="7"/>
  <c r="BE178" i="7" s="1"/>
  <c r="H178" i="7"/>
  <c r="G179" i="7"/>
  <c r="H179" i="7"/>
  <c r="AN179" i="7" s="1"/>
  <c r="BG179" i="7" s="1"/>
  <c r="BE179" i="7"/>
  <c r="G181" i="7"/>
  <c r="H181" i="7"/>
  <c r="BC181" i="7" s="1"/>
  <c r="BE181" i="7"/>
  <c r="G182" i="7"/>
  <c r="BE182" i="7" s="1"/>
  <c r="H182" i="7"/>
  <c r="BC182" i="7" s="1"/>
  <c r="G184" i="7"/>
  <c r="BE184" i="7" s="1"/>
  <c r="H184" i="7"/>
  <c r="BC184" i="7" s="1"/>
  <c r="G185" i="7"/>
  <c r="H185" i="7"/>
  <c r="AN185" i="7" s="1"/>
  <c r="AO185" i="7"/>
  <c r="G187" i="7"/>
  <c r="H187" i="7"/>
  <c r="BE187" i="7"/>
  <c r="G188" i="7"/>
  <c r="BG188" i="7" s="1"/>
  <c r="H188" i="7"/>
  <c r="BC188" i="7" s="1"/>
  <c r="BE188" i="7"/>
  <c r="AN188" i="7"/>
  <c r="G190" i="7"/>
  <c r="BI190" i="7" s="1"/>
  <c r="H190" i="7"/>
  <c r="BC190" i="7"/>
  <c r="BE190" i="7"/>
  <c r="G191" i="7"/>
  <c r="H191" i="7"/>
  <c r="AN191" i="7" s="1"/>
  <c r="BE191" i="7"/>
  <c r="AO191" i="7"/>
  <c r="AW191" i="7" s="1"/>
  <c r="G193" i="7"/>
  <c r="H193" i="7"/>
  <c r="BC193" i="7" s="1"/>
  <c r="BE193" i="7"/>
  <c r="G194" i="7"/>
  <c r="H194" i="7"/>
  <c r="BC194" i="7" s="1"/>
  <c r="G196" i="7"/>
  <c r="H196" i="7"/>
  <c r="BE196" i="7"/>
  <c r="G197" i="7"/>
  <c r="BE197" i="7" s="1"/>
  <c r="H197" i="7"/>
  <c r="AN197" i="7" s="1"/>
  <c r="AO197" i="7"/>
  <c r="BC197" i="7"/>
  <c r="G199" i="7"/>
  <c r="H199" i="7"/>
  <c r="I199" i="7" s="1"/>
  <c r="BE199" i="7"/>
  <c r="G200" i="7"/>
  <c r="H200" i="7"/>
  <c r="BE200" i="7"/>
  <c r="G202" i="7"/>
  <c r="BE202" i="7" s="1"/>
  <c r="H202" i="7"/>
  <c r="G204" i="7"/>
  <c r="H204" i="7"/>
  <c r="BC204" i="7" s="1"/>
  <c r="BE204" i="7"/>
  <c r="AO204" i="7"/>
  <c r="G205" i="7"/>
  <c r="H205" i="7"/>
  <c r="BE205" i="7"/>
  <c r="G207" i="7"/>
  <c r="H207" i="7"/>
  <c r="G209" i="7"/>
  <c r="BI209" i="7" s="1"/>
  <c r="H209" i="7"/>
  <c r="AN209" i="7" s="1"/>
  <c r="AV209" i="7" s="1"/>
  <c r="BC209" i="7"/>
  <c r="G210" i="7"/>
  <c r="H210" i="7"/>
  <c r="AO210" i="7" s="1"/>
  <c r="G212" i="7"/>
  <c r="H212" i="7"/>
  <c r="BC212" i="7" s="1"/>
  <c r="BE212" i="7"/>
  <c r="BI212" i="7"/>
  <c r="G214" i="7"/>
  <c r="H214" i="7"/>
  <c r="G216" i="7"/>
  <c r="H216" i="7"/>
  <c r="AO216" i="7" s="1"/>
  <c r="AN216" i="7"/>
  <c r="BI216" i="7"/>
  <c r="G219" i="7"/>
  <c r="H219" i="7"/>
  <c r="G221" i="7"/>
  <c r="H221" i="7"/>
  <c r="I221" i="7" s="1"/>
  <c r="AI221" i="7" s="1"/>
  <c r="BE221" i="7"/>
  <c r="Y221" i="7"/>
  <c r="AJ221" i="7"/>
  <c r="BC221" i="7"/>
  <c r="BI221" i="7"/>
  <c r="AG221" i="7" s="1"/>
  <c r="G223" i="7"/>
  <c r="H223" i="7"/>
  <c r="G225" i="7"/>
  <c r="H225" i="7"/>
  <c r="G228" i="7"/>
  <c r="H228" i="7"/>
  <c r="BC228" i="7" s="1"/>
  <c r="G229" i="7"/>
  <c r="H229" i="7"/>
  <c r="G231" i="7"/>
  <c r="H231" i="7"/>
  <c r="AN231" i="7"/>
  <c r="AO231" i="7"/>
  <c r="BC231" i="7"/>
  <c r="BI231" i="7"/>
  <c r="AG231" i="7" s="1"/>
  <c r="G232" i="7"/>
  <c r="H232" i="7"/>
  <c r="BC232" i="7" s="1"/>
  <c r="I232" i="7"/>
  <c r="BE232" i="7"/>
  <c r="AN232" i="7"/>
  <c r="AO232" i="7"/>
  <c r="BH232" i="7" s="1"/>
  <c r="BG232" i="7"/>
  <c r="AC232" i="7" s="1"/>
  <c r="G234" i="7"/>
  <c r="BI234" i="7" s="1"/>
  <c r="H234" i="7"/>
  <c r="G236" i="7"/>
  <c r="H236" i="7"/>
  <c r="BC236" i="7" s="1"/>
  <c r="G237" i="7"/>
  <c r="BI237" i="7" s="1"/>
  <c r="AG237" i="7" s="1"/>
  <c r="H237" i="7"/>
  <c r="AN237" i="7" s="1"/>
  <c r="AO237" i="7"/>
  <c r="BC237" i="7"/>
  <c r="G239" i="7"/>
  <c r="I239" i="7" s="1"/>
  <c r="H239" i="7"/>
  <c r="AO239" i="7" s="1"/>
  <c r="BE239" i="7"/>
  <c r="AN239" i="7"/>
  <c r="BC239" i="7"/>
  <c r="G240" i="7"/>
  <c r="H240" i="7"/>
  <c r="G242" i="7"/>
  <c r="H242" i="7"/>
  <c r="BC242" i="7" s="1"/>
  <c r="G243" i="7"/>
  <c r="H243" i="7"/>
  <c r="G245" i="7"/>
  <c r="H245" i="7"/>
  <c r="AO245" i="7" s="1"/>
  <c r="BE245" i="7"/>
  <c r="BC245" i="7"/>
  <c r="G246" i="7"/>
  <c r="H246" i="7"/>
  <c r="G248" i="7"/>
  <c r="H248" i="7"/>
  <c r="BC248" i="7" s="1"/>
  <c r="G251" i="7"/>
  <c r="BI251" i="7" s="1"/>
  <c r="AG251" i="7" s="1"/>
  <c r="H251" i="7"/>
  <c r="AN251" i="7" s="1"/>
  <c r="AO251" i="7"/>
  <c r="BH251" i="7" s="1"/>
  <c r="G253" i="7"/>
  <c r="H253" i="7"/>
  <c r="BE253" i="7"/>
  <c r="G254" i="7"/>
  <c r="H254" i="7"/>
  <c r="G255" i="7"/>
  <c r="H255" i="7"/>
  <c r="BC255" i="7" s="1"/>
  <c r="AN255" i="7"/>
  <c r="AO255" i="7"/>
  <c r="G256" i="7"/>
  <c r="BI256" i="7" s="1"/>
  <c r="AG256" i="7" s="1"/>
  <c r="H256" i="7"/>
  <c r="AN256" i="7"/>
  <c r="BG256" i="7" s="1"/>
  <c r="AO256" i="7"/>
  <c r="BH256" i="7" s="1"/>
  <c r="BC256" i="7"/>
  <c r="G258" i="7"/>
  <c r="H258" i="7"/>
  <c r="AO258" i="7" s="1"/>
  <c r="BE258" i="7"/>
  <c r="AN258" i="7"/>
  <c r="AV258" i="7" s="1"/>
  <c r="BC258" i="7"/>
  <c r="G260" i="7"/>
  <c r="H260" i="7"/>
  <c r="G261" i="7"/>
  <c r="H261" i="7"/>
  <c r="BC261" i="7" s="1"/>
  <c r="G263" i="7"/>
  <c r="BI263" i="7" s="1"/>
  <c r="AG263" i="7" s="1"/>
  <c r="H263" i="7"/>
  <c r="BC263" i="7" s="1"/>
  <c r="G265" i="7"/>
  <c r="H265" i="7"/>
  <c r="BC265" i="7" s="1"/>
  <c r="BE265" i="7"/>
  <c r="AN265" i="7"/>
  <c r="AO265" i="7"/>
  <c r="G266" i="7"/>
  <c r="BI266" i="7" s="1"/>
  <c r="H266" i="7"/>
  <c r="G268" i="7"/>
  <c r="H268" i="7"/>
  <c r="BC268" i="7" s="1"/>
  <c r="AN268" i="7"/>
  <c r="AO268" i="7"/>
  <c r="G270" i="7"/>
  <c r="H270" i="7"/>
  <c r="G272" i="7"/>
  <c r="H272" i="7"/>
  <c r="AO272" i="7" s="1"/>
  <c r="AW272" i="7" s="1"/>
  <c r="BE272" i="7"/>
  <c r="G274" i="7"/>
  <c r="BI274" i="7" s="1"/>
  <c r="H274" i="7"/>
  <c r="G276" i="7"/>
  <c r="H276" i="7"/>
  <c r="BC276" i="7" s="1"/>
  <c r="G280" i="7"/>
  <c r="H280" i="7"/>
  <c r="G282" i="7"/>
  <c r="BI282" i="7" s="1"/>
  <c r="H282" i="7"/>
  <c r="AN282" i="7" s="1"/>
  <c r="G284" i="7"/>
  <c r="H284" i="7"/>
  <c r="AN284" i="7" s="1"/>
  <c r="BG284" i="7" s="1"/>
  <c r="BE284" i="7"/>
  <c r="G286" i="7"/>
  <c r="H286" i="7"/>
  <c r="BE286" i="7"/>
  <c r="G290" i="7"/>
  <c r="I290" i="7" s="1"/>
  <c r="I289" i="7" s="1"/>
  <c r="H290" i="7"/>
  <c r="AO290" i="7" s="1"/>
  <c r="BE290" i="7"/>
  <c r="AN290" i="7"/>
  <c r="BG290" i="7" s="1"/>
  <c r="AC290" i="7" s="1"/>
  <c r="BC290" i="7"/>
  <c r="BI290" i="7"/>
  <c r="AG290" i="7" s="1"/>
  <c r="G293" i="7"/>
  <c r="BI293" i="7" s="1"/>
  <c r="H293" i="7"/>
  <c r="BE293" i="7"/>
  <c r="AN293" i="7"/>
  <c r="BG293" i="7" s="1"/>
  <c r="AO293" i="7"/>
  <c r="AW293" i="7" s="1"/>
  <c r="BC293" i="7"/>
  <c r="BH293" i="7"/>
  <c r="AD293" i="7" s="1"/>
  <c r="G294" i="7"/>
  <c r="H294" i="7"/>
  <c r="BE294" i="7"/>
  <c r="G295" i="7"/>
  <c r="H295" i="7"/>
  <c r="G297" i="7"/>
  <c r="H297" i="7"/>
  <c r="G298" i="7"/>
  <c r="BI298" i="7" s="1"/>
  <c r="Y298" i="7" s="1"/>
  <c r="H298" i="7"/>
  <c r="AN298" i="7" s="1"/>
  <c r="BE298" i="7"/>
  <c r="AO298" i="7"/>
  <c r="AW298" i="7" s="1"/>
  <c r="BC298" i="7"/>
  <c r="G300" i="7"/>
  <c r="BI300" i="7" s="1"/>
  <c r="AG300" i="7" s="1"/>
  <c r="H300" i="7"/>
  <c r="AN300" i="7"/>
  <c r="BG300" i="7" s="1"/>
  <c r="AO300" i="7"/>
  <c r="BC300" i="7"/>
  <c r="G303" i="7"/>
  <c r="H303" i="7"/>
  <c r="BE303" i="7"/>
  <c r="AN303" i="7"/>
  <c r="G304" i="7"/>
  <c r="H304" i="7"/>
  <c r="G305" i="7"/>
  <c r="H305" i="7"/>
  <c r="BC305" i="7" s="1"/>
  <c r="G307" i="7"/>
  <c r="H307" i="7"/>
  <c r="AN307" i="7" s="1"/>
  <c r="BG307" i="7" s="1"/>
  <c r="AA307" i="7" s="1"/>
  <c r="AO307" i="7"/>
  <c r="BC307" i="7"/>
  <c r="G309" i="7"/>
  <c r="H309" i="7"/>
  <c r="BC309" i="7" s="1"/>
  <c r="BE309" i="7"/>
  <c r="AO309" i="7"/>
  <c r="BH309" i="7" s="1"/>
  <c r="G311" i="7"/>
  <c r="H311" i="7"/>
  <c r="AO311" i="7" s="1"/>
  <c r="G313" i="7"/>
  <c r="H313" i="7"/>
  <c r="G317" i="7"/>
  <c r="H317" i="7"/>
  <c r="G319" i="7"/>
  <c r="H319" i="7"/>
  <c r="G322" i="7"/>
  <c r="I322" i="7" s="1"/>
  <c r="H322" i="7"/>
  <c r="G324" i="7"/>
  <c r="H324" i="7"/>
  <c r="G326" i="7"/>
  <c r="H326" i="7"/>
  <c r="G327" i="7"/>
  <c r="I327" i="7" s="1"/>
  <c r="AI327" i="7" s="1"/>
  <c r="H327" i="7"/>
  <c r="BC327" i="7" s="1"/>
  <c r="BE327" i="7"/>
  <c r="AN327" i="7"/>
  <c r="G329" i="7"/>
  <c r="BI329" i="7" s="1"/>
  <c r="H329" i="7"/>
  <c r="BE329" i="7"/>
  <c r="G330" i="7"/>
  <c r="H330" i="7"/>
  <c r="BC330" i="7" s="1"/>
  <c r="C2" i="8"/>
  <c r="C4" i="8"/>
  <c r="C6" i="8"/>
  <c r="C8" i="8"/>
  <c r="C10" i="8"/>
  <c r="I10" i="8"/>
  <c r="F14" i="8"/>
  <c r="F15" i="8"/>
  <c r="I17" i="8"/>
  <c r="I18" i="8"/>
  <c r="F22" i="8"/>
  <c r="C2" i="9"/>
  <c r="F2" i="9"/>
  <c r="C4" i="9"/>
  <c r="F4" i="9"/>
  <c r="C6" i="9"/>
  <c r="F6" i="9"/>
  <c r="C8" i="9"/>
  <c r="F8" i="9"/>
  <c r="C10" i="9"/>
  <c r="F10" i="9"/>
  <c r="I10" i="9"/>
  <c r="I15" i="9"/>
  <c r="I16" i="9"/>
  <c r="I17" i="9"/>
  <c r="F16" i="8" s="1"/>
  <c r="I18" i="9"/>
  <c r="I21" i="9"/>
  <c r="I22" i="9"/>
  <c r="I15" i="8" s="1"/>
  <c r="I23" i="9"/>
  <c r="I16" i="8" s="1"/>
  <c r="I24" i="9"/>
  <c r="I25" i="9"/>
  <c r="I26" i="9"/>
  <c r="I19" i="8" s="1"/>
  <c r="F35" i="9"/>
  <c r="I35" i="9" s="1"/>
  <c r="F36" i="9"/>
  <c r="I36" i="9" s="1"/>
  <c r="F37" i="9"/>
  <c r="I37" i="9" s="1"/>
  <c r="F38" i="9"/>
  <c r="I38" i="9" s="1"/>
  <c r="F39" i="9"/>
  <c r="I39" i="9" s="1"/>
  <c r="F40" i="9"/>
  <c r="I40" i="9" s="1"/>
  <c r="F41" i="9"/>
  <c r="I41" i="9" s="1"/>
  <c r="F42" i="9"/>
  <c r="I42" i="9" s="1"/>
  <c r="F43" i="9"/>
  <c r="I43" i="9" s="1"/>
  <c r="F44" i="9"/>
  <c r="I44" i="9" s="1"/>
  <c r="AR1" i="10"/>
  <c r="AS1" i="10"/>
  <c r="AT1" i="10"/>
  <c r="D2" i="10"/>
  <c r="H2" i="10"/>
  <c r="D4" i="10"/>
  <c r="H4" i="10"/>
  <c r="D6" i="10"/>
  <c r="H6" i="10"/>
  <c r="D8" i="10"/>
  <c r="H8" i="10"/>
  <c r="G14" i="10"/>
  <c r="H14" i="10"/>
  <c r="BE14" i="10"/>
  <c r="G17" i="10"/>
  <c r="H17" i="10"/>
  <c r="AO17" i="10" s="1"/>
  <c r="I17" i="10"/>
  <c r="BE17" i="10"/>
  <c r="AW17" i="10"/>
  <c r="G18" i="10"/>
  <c r="H18" i="10"/>
  <c r="AO18" i="10" s="1"/>
  <c r="G22" i="10"/>
  <c r="H22" i="10"/>
  <c r="AO22" i="10" s="1"/>
  <c r="AW22" i="10" s="1"/>
  <c r="BE22" i="10"/>
  <c r="G24" i="10"/>
  <c r="BI24" i="10" s="1"/>
  <c r="H24" i="10"/>
  <c r="AN24" i="10" s="1"/>
  <c r="BE24" i="10"/>
  <c r="G25" i="10"/>
  <c r="H25" i="10"/>
  <c r="AO25" i="10" s="1"/>
  <c r="BE25" i="10"/>
  <c r="AW25" i="10"/>
  <c r="BC25" i="10"/>
  <c r="G28" i="10"/>
  <c r="H28" i="10"/>
  <c r="AO28" i="10" s="1"/>
  <c r="I28" i="10"/>
  <c r="G31" i="10"/>
  <c r="I31" i="10" s="1"/>
  <c r="H31" i="10"/>
  <c r="BC31" i="10" s="1"/>
  <c r="BE31" i="10"/>
  <c r="G34" i="10"/>
  <c r="AV34" i="10" s="1"/>
  <c r="H34" i="10"/>
  <c r="AO34" i="10" s="1"/>
  <c r="BE34" i="10"/>
  <c r="AN34" i="10"/>
  <c r="BC34" i="10"/>
  <c r="G36" i="10"/>
  <c r="H36" i="10"/>
  <c r="G39" i="10"/>
  <c r="H39" i="10"/>
  <c r="I39" i="10" s="1"/>
  <c r="BE39" i="10"/>
  <c r="G40" i="10"/>
  <c r="I40" i="10" s="1"/>
  <c r="AJ40" i="10" s="1"/>
  <c r="H40" i="10"/>
  <c r="BC40" i="10" s="1"/>
  <c r="G43" i="10"/>
  <c r="H43" i="10"/>
  <c r="AO43" i="10" s="1"/>
  <c r="AN43" i="10"/>
  <c r="G46" i="10"/>
  <c r="H46" i="10"/>
  <c r="BE46" i="10"/>
  <c r="G48" i="10"/>
  <c r="BI48" i="10" s="1"/>
  <c r="AG48" i="10" s="1"/>
  <c r="H48" i="10"/>
  <c r="BC48" i="10" s="1"/>
  <c r="G50" i="10"/>
  <c r="H50" i="10"/>
  <c r="G53" i="10"/>
  <c r="H53" i="10"/>
  <c r="BC53" i="10" s="1"/>
  <c r="G54" i="10"/>
  <c r="BI54" i="10" s="1"/>
  <c r="AG54" i="10" s="1"/>
  <c r="H54" i="10"/>
  <c r="AO54" i="10" s="1"/>
  <c r="BE54" i="10"/>
  <c r="G55" i="10"/>
  <c r="H55" i="10"/>
  <c r="BC55" i="10" s="1"/>
  <c r="BE55" i="10"/>
  <c r="G59" i="10"/>
  <c r="BI59" i="10" s="1"/>
  <c r="H59" i="10"/>
  <c r="AN59" i="10" s="1"/>
  <c r="BE59" i="10"/>
  <c r="BC59" i="10"/>
  <c r="G61" i="10"/>
  <c r="H61" i="10"/>
  <c r="BC61" i="10" s="1"/>
  <c r="G67" i="10"/>
  <c r="H67" i="10"/>
  <c r="G71" i="10"/>
  <c r="H71" i="10"/>
  <c r="I71" i="10" s="1"/>
  <c r="G75" i="10"/>
  <c r="BI75" i="10" s="1"/>
  <c r="H75" i="10"/>
  <c r="AN75" i="10" s="1"/>
  <c r="BE75" i="10"/>
  <c r="G77" i="10"/>
  <c r="H77" i="10"/>
  <c r="BE77" i="10"/>
  <c r="G79" i="10"/>
  <c r="H79" i="10"/>
  <c r="AN79" i="10" s="1"/>
  <c r="AO79" i="10"/>
  <c r="BH79" i="10" s="1"/>
  <c r="BC79" i="10"/>
  <c r="G80" i="10"/>
  <c r="BE80" i="10" s="1"/>
  <c r="H80" i="10"/>
  <c r="AN80" i="10" s="1"/>
  <c r="BC80" i="10"/>
  <c r="G81" i="10"/>
  <c r="H81" i="10"/>
  <c r="BC81" i="10" s="1"/>
  <c r="G83" i="10"/>
  <c r="I83" i="10" s="1"/>
  <c r="H83" i="10"/>
  <c r="AO83" i="10" s="1"/>
  <c r="BE83" i="10"/>
  <c r="G86" i="10"/>
  <c r="H86" i="10"/>
  <c r="AN86" i="10" s="1"/>
  <c r="G87" i="10"/>
  <c r="H87" i="10"/>
  <c r="AN87" i="10" s="1"/>
  <c r="G89" i="10"/>
  <c r="H89" i="10"/>
  <c r="BC89" i="10" s="1"/>
  <c r="BE89" i="10"/>
  <c r="G91" i="10"/>
  <c r="BI91" i="10" s="1"/>
  <c r="H91" i="10"/>
  <c r="AO91" i="10" s="1"/>
  <c r="G93" i="10"/>
  <c r="BH93" i="10" s="1"/>
  <c r="H93" i="10"/>
  <c r="AN93" i="10" s="1"/>
  <c r="AO93" i="10"/>
  <c r="BC93" i="10"/>
  <c r="G94" i="10"/>
  <c r="H94" i="10"/>
  <c r="AN94" i="10" s="1"/>
  <c r="G96" i="10"/>
  <c r="I96" i="10" s="1"/>
  <c r="H96" i="10"/>
  <c r="BC96" i="10" s="1"/>
  <c r="BE96" i="10"/>
  <c r="G98" i="10"/>
  <c r="H98" i="10"/>
  <c r="AO98" i="10"/>
  <c r="BH98" i="10" s="1"/>
  <c r="AF98" i="10" s="1"/>
  <c r="G99" i="10"/>
  <c r="H99" i="10"/>
  <c r="AO99" i="10" s="1"/>
  <c r="AN99" i="10"/>
  <c r="BC99" i="10"/>
  <c r="G102" i="10"/>
  <c r="H102" i="10"/>
  <c r="G103" i="10"/>
  <c r="BI103" i="10" s="1"/>
  <c r="AG103" i="10" s="1"/>
  <c r="H103" i="10"/>
  <c r="AO103" i="10" s="1"/>
  <c r="I103" i="10"/>
  <c r="AI103" i="10" s="1"/>
  <c r="BE103" i="10"/>
  <c r="G105" i="10"/>
  <c r="H105" i="10"/>
  <c r="AO105" i="10" s="1"/>
  <c r="BE105" i="10"/>
  <c r="AN105" i="10"/>
  <c r="BH105" i="10"/>
  <c r="AB105" i="10" s="1"/>
  <c r="G107" i="10"/>
  <c r="H107" i="10"/>
  <c r="BE107" i="10"/>
  <c r="G109" i="10"/>
  <c r="H109" i="10"/>
  <c r="G111" i="10"/>
  <c r="BE111" i="10" s="1"/>
  <c r="H111" i="10"/>
  <c r="BI111" i="10"/>
  <c r="AG111" i="10" s="1"/>
  <c r="G113" i="10"/>
  <c r="H113" i="10"/>
  <c r="AO113" i="10" s="1"/>
  <c r="BE113" i="10"/>
  <c r="AN113" i="10"/>
  <c r="BC113" i="10"/>
  <c r="G114" i="10"/>
  <c r="BI114" i="10" s="1"/>
  <c r="H114" i="10"/>
  <c r="I114" i="10"/>
  <c r="BE114" i="10"/>
  <c r="G116" i="10"/>
  <c r="H116" i="10"/>
  <c r="G118" i="10"/>
  <c r="BE118" i="10" s="1"/>
  <c r="H118" i="10"/>
  <c r="AO118" i="10" s="1"/>
  <c r="BC118" i="10"/>
  <c r="G119" i="10"/>
  <c r="H119" i="10"/>
  <c r="BE119" i="10"/>
  <c r="G121" i="10"/>
  <c r="H121" i="10"/>
  <c r="BE121" i="10"/>
  <c r="G122" i="10"/>
  <c r="H122" i="10"/>
  <c r="G124" i="10"/>
  <c r="BE124" i="10" s="1"/>
  <c r="H124" i="10"/>
  <c r="AO124" i="10" s="1"/>
  <c r="BH124" i="10" s="1"/>
  <c r="AB124" i="10" s="1"/>
  <c r="G126" i="10"/>
  <c r="H126" i="10"/>
  <c r="AN126" i="10" s="1"/>
  <c r="BE126" i="10"/>
  <c r="G128" i="10"/>
  <c r="H128" i="10"/>
  <c r="BE128" i="10"/>
  <c r="G130" i="10"/>
  <c r="H130" i="10"/>
  <c r="G131" i="10"/>
  <c r="H131" i="10"/>
  <c r="BE131" i="10"/>
  <c r="G133" i="10"/>
  <c r="H133" i="10"/>
  <c r="AO133" i="10" s="1"/>
  <c r="BE133" i="10"/>
  <c r="G135" i="10"/>
  <c r="H135" i="10"/>
  <c r="AN135" i="10" s="1"/>
  <c r="G136" i="10"/>
  <c r="H136" i="10"/>
  <c r="AO136" i="10" s="1"/>
  <c r="BE136" i="10"/>
  <c r="AN136" i="10"/>
  <c r="BC136" i="10"/>
  <c r="G138" i="10"/>
  <c r="I138" i="10" s="1"/>
  <c r="H138" i="10"/>
  <c r="AO138" i="10"/>
  <c r="BH138" i="10" s="1"/>
  <c r="AF138" i="10" s="1"/>
  <c r="G140" i="10"/>
  <c r="H140" i="10"/>
  <c r="BC140" i="10" s="1"/>
  <c r="G141" i="10"/>
  <c r="H141" i="10"/>
  <c r="AN141" i="10" s="1"/>
  <c r="G143" i="10"/>
  <c r="AW143" i="10" s="1"/>
  <c r="H143" i="10"/>
  <c r="AO143" i="10" s="1"/>
  <c r="BE143" i="10"/>
  <c r="BI143" i="10"/>
  <c r="AG143" i="10" s="1"/>
  <c r="G144" i="10"/>
  <c r="H144" i="10"/>
  <c r="AO144" i="10" s="1"/>
  <c r="G146" i="10"/>
  <c r="H146" i="10"/>
  <c r="BC146" i="10" s="1"/>
  <c r="AN146" i="10"/>
  <c r="G148" i="10"/>
  <c r="H148" i="10"/>
  <c r="AN148" i="10" s="1"/>
  <c r="G150" i="10"/>
  <c r="I150" i="10" s="1"/>
  <c r="H150" i="10"/>
  <c r="AO150" i="10" s="1"/>
  <c r="BH150" i="10" s="1"/>
  <c r="BE150" i="10"/>
  <c r="G152" i="10"/>
  <c r="H152" i="10"/>
  <c r="AO152" i="10" s="1"/>
  <c r="G153" i="10"/>
  <c r="H153" i="10"/>
  <c r="BC153" i="10" s="1"/>
  <c r="G155" i="10"/>
  <c r="H155" i="10"/>
  <c r="AN155" i="10" s="1"/>
  <c r="BI155" i="10"/>
  <c r="AG155" i="10" s="1"/>
  <c r="G157" i="10"/>
  <c r="H157" i="10"/>
  <c r="AO157" i="10" s="1"/>
  <c r="BE157" i="10"/>
  <c r="AN157" i="10"/>
  <c r="BC157" i="10"/>
  <c r="G158" i="10"/>
  <c r="I158" i="10" s="1"/>
  <c r="H158" i="10"/>
  <c r="G160" i="10"/>
  <c r="H160" i="10"/>
  <c r="BC160" i="10" s="1"/>
  <c r="AO160" i="10"/>
  <c r="G162" i="10"/>
  <c r="H162" i="10"/>
  <c r="AN162" i="10" s="1"/>
  <c r="BC162" i="10"/>
  <c r="G163" i="10"/>
  <c r="H163" i="10"/>
  <c r="BE163" i="10"/>
  <c r="G165" i="10"/>
  <c r="H165" i="10"/>
  <c r="AO165" i="10" s="1"/>
  <c r="G167" i="10"/>
  <c r="H167" i="10"/>
  <c r="G169" i="10"/>
  <c r="H169" i="10"/>
  <c r="AN169" i="10" s="1"/>
  <c r="G171" i="10"/>
  <c r="H171" i="10"/>
  <c r="BE171" i="10"/>
  <c r="AN171" i="10"/>
  <c r="G174" i="10"/>
  <c r="H174" i="10"/>
  <c r="BE174" i="10"/>
  <c r="AN174" i="10"/>
  <c r="AO174" i="10"/>
  <c r="BC174" i="10"/>
  <c r="G176" i="10"/>
  <c r="H176" i="10"/>
  <c r="BE176" i="10"/>
  <c r="G178" i="10"/>
  <c r="H178" i="10"/>
  <c r="BC178" i="10" s="1"/>
  <c r="G180" i="10"/>
  <c r="H180" i="10"/>
  <c r="AO180" i="10" s="1"/>
  <c r="AN180" i="10"/>
  <c r="G184" i="10"/>
  <c r="H184" i="10"/>
  <c r="BC184" i="10" s="1"/>
  <c r="G187" i="10"/>
  <c r="H187" i="10"/>
  <c r="BC187" i="10" s="1"/>
  <c r="G188" i="10"/>
  <c r="H188" i="10"/>
  <c r="AO188" i="10" s="1"/>
  <c r="AN188" i="10"/>
  <c r="BC188" i="10"/>
  <c r="G190" i="10"/>
  <c r="H190" i="10"/>
  <c r="AN190" i="10" s="1"/>
  <c r="AO190" i="10"/>
  <c r="G191" i="10"/>
  <c r="H191" i="10"/>
  <c r="BE191" i="10"/>
  <c r="G193" i="10"/>
  <c r="BI193" i="10" s="1"/>
  <c r="H193" i="10"/>
  <c r="I193" i="10"/>
  <c r="AJ193" i="10" s="1"/>
  <c r="AS192" i="10" s="1"/>
  <c r="AN193" i="10"/>
  <c r="AO193" i="10"/>
  <c r="AW193" i="10" s="1"/>
  <c r="BC193" i="10"/>
  <c r="BE193" i="10"/>
  <c r="BG193" i="10"/>
  <c r="AC193" i="10" s="1"/>
  <c r="G195" i="10"/>
  <c r="H195" i="10"/>
  <c r="AN195" i="10" s="1"/>
  <c r="G197" i="10"/>
  <c r="H197" i="10"/>
  <c r="AN197" i="10" s="1"/>
  <c r="G200" i="10"/>
  <c r="BI200" i="10" s="1"/>
  <c r="H200" i="10"/>
  <c r="AO200" i="10" s="1"/>
  <c r="BH200" i="10" s="1"/>
  <c r="AD200" i="10" s="1"/>
  <c r="BE200" i="10"/>
  <c r="G202" i="10"/>
  <c r="BG202" i="10" s="1"/>
  <c r="AE202" i="10" s="1"/>
  <c r="H202" i="10"/>
  <c r="AO202" i="10" s="1"/>
  <c r="BE202" i="10"/>
  <c r="AN202" i="10"/>
  <c r="BC202" i="10"/>
  <c r="G204" i="10"/>
  <c r="BH204" i="10" s="1"/>
  <c r="H204" i="10"/>
  <c r="AO204" i="10" s="1"/>
  <c r="BE204" i="10"/>
  <c r="G205" i="10"/>
  <c r="H205" i="10"/>
  <c r="G206" i="10"/>
  <c r="H206" i="10"/>
  <c r="AO206" i="10" s="1"/>
  <c r="AW206" i="10" s="1"/>
  <c r="BE206" i="10"/>
  <c r="AN206" i="10"/>
  <c r="G208" i="10"/>
  <c r="H208" i="10"/>
  <c r="BE208" i="10"/>
  <c r="C2" i="11"/>
  <c r="C4" i="11"/>
  <c r="C6" i="11"/>
  <c r="C8" i="11"/>
  <c r="C10" i="11"/>
  <c r="I10" i="11"/>
  <c r="F15" i="11"/>
  <c r="I18" i="11"/>
  <c r="C2" i="12"/>
  <c r="F2" i="12"/>
  <c r="C4" i="12"/>
  <c r="F4" i="12"/>
  <c r="C6" i="12"/>
  <c r="F6" i="12"/>
  <c r="C8" i="12"/>
  <c r="F8" i="12"/>
  <c r="C10" i="12"/>
  <c r="F10" i="12"/>
  <c r="I10" i="12"/>
  <c r="I15" i="12"/>
  <c r="F14" i="11" s="1"/>
  <c r="I16" i="12"/>
  <c r="I18" i="12" s="1"/>
  <c r="I17" i="12"/>
  <c r="F16" i="11" s="1"/>
  <c r="I21" i="12"/>
  <c r="I22" i="12"/>
  <c r="I15" i="11" s="1"/>
  <c r="I23" i="12"/>
  <c r="I16" i="11" s="1"/>
  <c r="I24" i="12"/>
  <c r="I17" i="11" s="1"/>
  <c r="I25" i="12"/>
  <c r="I26" i="12"/>
  <c r="I19" i="11" s="1"/>
  <c r="F35" i="12"/>
  <c r="I35" i="12"/>
  <c r="F36" i="12"/>
  <c r="I36" i="12" s="1"/>
  <c r="F37" i="12"/>
  <c r="I37" i="12"/>
  <c r="F38" i="12"/>
  <c r="I38" i="12" s="1"/>
  <c r="F39" i="12"/>
  <c r="I39" i="12" s="1"/>
  <c r="F40" i="12"/>
  <c r="I40" i="12" s="1"/>
  <c r="F41" i="12"/>
  <c r="I41" i="12"/>
  <c r="F42" i="12"/>
  <c r="I42" i="12" s="1"/>
  <c r="F43" i="12"/>
  <c r="I43" i="12"/>
  <c r="F44" i="12"/>
  <c r="I44" i="12" s="1"/>
  <c r="AR1" i="13"/>
  <c r="AS1" i="13"/>
  <c r="AT1" i="13"/>
  <c r="D2" i="13"/>
  <c r="H2" i="13"/>
  <c r="D4" i="13"/>
  <c r="H4" i="13"/>
  <c r="D6" i="13"/>
  <c r="H6" i="13"/>
  <c r="D8" i="13"/>
  <c r="H8" i="13"/>
  <c r="G14" i="13"/>
  <c r="I14" i="13" s="1"/>
  <c r="AJ14" i="13" s="1"/>
  <c r="H14" i="13"/>
  <c r="AN14" i="13"/>
  <c r="AV14" i="13" s="1"/>
  <c r="BE14" i="13"/>
  <c r="BI14" i="13"/>
  <c r="AG14" i="13" s="1"/>
  <c r="G19" i="13"/>
  <c r="H19" i="13"/>
  <c r="AN19" i="13" s="1"/>
  <c r="BE19" i="13"/>
  <c r="BC19" i="13"/>
  <c r="G20" i="13"/>
  <c r="H20" i="13"/>
  <c r="BE20" i="13"/>
  <c r="G21" i="13"/>
  <c r="BI21" i="13" s="1"/>
  <c r="H21" i="13"/>
  <c r="BC21" i="13" s="1"/>
  <c r="AN21" i="13"/>
  <c r="G22" i="13"/>
  <c r="H22" i="13"/>
  <c r="AO22" i="13" s="1"/>
  <c r="BE22" i="13"/>
  <c r="G25" i="13"/>
  <c r="H25" i="13"/>
  <c r="BC25" i="13" s="1"/>
  <c r="AN25" i="13"/>
  <c r="G28" i="13"/>
  <c r="H28" i="13"/>
  <c r="AN28" i="13" s="1"/>
  <c r="G31" i="13"/>
  <c r="I31" i="13" s="1"/>
  <c r="H31" i="13"/>
  <c r="AO31" i="13" s="1"/>
  <c r="BE31" i="13"/>
  <c r="G36" i="13"/>
  <c r="H36" i="13"/>
  <c r="AN36" i="13" s="1"/>
  <c r="BE36" i="13"/>
  <c r="G39" i="13"/>
  <c r="BI39" i="13" s="1"/>
  <c r="H39" i="13"/>
  <c r="AN39" i="13" s="1"/>
  <c r="G44" i="13"/>
  <c r="BI44" i="13" s="1"/>
  <c r="AG44" i="13" s="1"/>
  <c r="H44" i="13"/>
  <c r="AN44" i="13" s="1"/>
  <c r="BE44" i="13"/>
  <c r="Y44" i="13"/>
  <c r="AO44" i="13"/>
  <c r="BC44" i="13"/>
  <c r="G46" i="13"/>
  <c r="AW46" i="13" s="1"/>
  <c r="H46" i="13"/>
  <c r="AN46" i="13" s="1"/>
  <c r="BE46" i="13"/>
  <c r="AO46" i="13"/>
  <c r="G48" i="13"/>
  <c r="I48" i="13" s="1"/>
  <c r="H48" i="13"/>
  <c r="BE48" i="13"/>
  <c r="BI48" i="13"/>
  <c r="Y48" i="13" s="1"/>
  <c r="G51" i="13"/>
  <c r="H51" i="13"/>
  <c r="BC51" i="13" s="1"/>
  <c r="BE51" i="13"/>
  <c r="AO51" i="13"/>
  <c r="G52" i="13"/>
  <c r="H52" i="13"/>
  <c r="AO52" i="13"/>
  <c r="G53" i="13"/>
  <c r="H53" i="13"/>
  <c r="BC53" i="13" s="1"/>
  <c r="G58" i="13"/>
  <c r="H58" i="13"/>
  <c r="AN58" i="13" s="1"/>
  <c r="BC58" i="13"/>
  <c r="BI58" i="13"/>
  <c r="AG58" i="13" s="1"/>
  <c r="G60" i="13"/>
  <c r="H60" i="13"/>
  <c r="AN60" i="13" s="1"/>
  <c r="BG60" i="13" s="1"/>
  <c r="AA60" i="13" s="1"/>
  <c r="BE60" i="13"/>
  <c r="BC60" i="13"/>
  <c r="G66" i="13"/>
  <c r="H66" i="13"/>
  <c r="G72" i="13"/>
  <c r="H72" i="13"/>
  <c r="G73" i="13"/>
  <c r="H73" i="13"/>
  <c r="BC73" i="13" s="1"/>
  <c r="AO73" i="13"/>
  <c r="BH73" i="13" s="1"/>
  <c r="G75" i="13"/>
  <c r="H75" i="13"/>
  <c r="AO75" i="13" s="1"/>
  <c r="BH75" i="13" s="1"/>
  <c r="G82" i="13"/>
  <c r="BI82" i="13" s="1"/>
  <c r="H82" i="13"/>
  <c r="G88" i="13"/>
  <c r="H88" i="13"/>
  <c r="BC88" i="13" s="1"/>
  <c r="G95" i="13"/>
  <c r="H95" i="13"/>
  <c r="AO95" i="13" s="1"/>
  <c r="G96" i="13"/>
  <c r="H96" i="13"/>
  <c r="AN96" i="13" s="1"/>
  <c r="BC96" i="13"/>
  <c r="G97" i="13"/>
  <c r="BI97" i="13" s="1"/>
  <c r="H97" i="13"/>
  <c r="AN97" i="13" s="1"/>
  <c r="G99" i="13"/>
  <c r="I99" i="13" s="1"/>
  <c r="H99" i="13"/>
  <c r="AN99" i="13" s="1"/>
  <c r="BE99" i="13"/>
  <c r="G100" i="13"/>
  <c r="H100" i="13"/>
  <c r="G103" i="13"/>
  <c r="H103" i="13"/>
  <c r="G104" i="13"/>
  <c r="H104" i="13"/>
  <c r="BC104" i="13" s="1"/>
  <c r="G106" i="13"/>
  <c r="I106" i="13" s="1"/>
  <c r="H106" i="13"/>
  <c r="AO106" i="13" s="1"/>
  <c r="BE106" i="13"/>
  <c r="G107" i="13"/>
  <c r="H107" i="13"/>
  <c r="AN107" i="13" s="1"/>
  <c r="BE107" i="13"/>
  <c r="G109" i="13"/>
  <c r="H109" i="13"/>
  <c r="BE109" i="13"/>
  <c r="G110" i="13"/>
  <c r="H110" i="13"/>
  <c r="BC110" i="13" s="1"/>
  <c r="AN110" i="13"/>
  <c r="G113" i="13"/>
  <c r="H113" i="13"/>
  <c r="AO113" i="13" s="1"/>
  <c r="G115" i="13"/>
  <c r="H115" i="13"/>
  <c r="BC115" i="13" s="1"/>
  <c r="G118" i="13"/>
  <c r="H118" i="13"/>
  <c r="BC118" i="13" s="1"/>
  <c r="G119" i="13"/>
  <c r="I119" i="13" s="1"/>
  <c r="H119" i="13"/>
  <c r="AO119" i="13" s="1"/>
  <c r="BE119" i="13"/>
  <c r="G122" i="13"/>
  <c r="BH122" i="13" s="1"/>
  <c r="H122" i="13"/>
  <c r="BC122" i="13" s="1"/>
  <c r="AN122" i="13"/>
  <c r="AO122" i="13"/>
  <c r="G125" i="13"/>
  <c r="H125" i="13"/>
  <c r="AN125" i="13" s="1"/>
  <c r="BI125" i="13"/>
  <c r="AG125" i="13" s="1"/>
  <c r="G126" i="13"/>
  <c r="H126" i="13"/>
  <c r="BE126" i="13"/>
  <c r="AN126" i="13"/>
  <c r="AO126" i="13"/>
  <c r="BC126" i="13"/>
  <c r="G128" i="13"/>
  <c r="H128" i="13"/>
  <c r="AN128" i="13" s="1"/>
  <c r="BE128" i="13"/>
  <c r="G130" i="13"/>
  <c r="H130" i="13"/>
  <c r="AN130" i="13" s="1"/>
  <c r="G132" i="13"/>
  <c r="I132" i="13" s="1"/>
  <c r="AI132" i="13" s="1"/>
  <c r="H132" i="13"/>
  <c r="BC132" i="13" s="1"/>
  <c r="BE132" i="13"/>
  <c r="AO132" i="13"/>
  <c r="G134" i="13"/>
  <c r="H134" i="13"/>
  <c r="AO134" i="13" s="1"/>
  <c r="G135" i="13"/>
  <c r="H135" i="13"/>
  <c r="AN135" i="13" s="1"/>
  <c r="G136" i="13"/>
  <c r="H136" i="13"/>
  <c r="BC136" i="13" s="1"/>
  <c r="C2" i="14"/>
  <c r="C4" i="14"/>
  <c r="C6" i="14"/>
  <c r="C8" i="14"/>
  <c r="C10" i="14"/>
  <c r="I10" i="14"/>
  <c r="F16" i="14"/>
  <c r="I16" i="14"/>
  <c r="C2" i="15"/>
  <c r="F2" i="15"/>
  <c r="C4" i="15"/>
  <c r="F4" i="15"/>
  <c r="C6" i="15"/>
  <c r="F6" i="15"/>
  <c r="C8" i="15"/>
  <c r="F8" i="15"/>
  <c r="C10" i="15"/>
  <c r="F10" i="15"/>
  <c r="I10" i="15"/>
  <c r="I15" i="15"/>
  <c r="I16" i="15"/>
  <c r="F15" i="14" s="1"/>
  <c r="I17" i="15"/>
  <c r="I21" i="15"/>
  <c r="I22" i="15"/>
  <c r="I15" i="14" s="1"/>
  <c r="I23" i="15"/>
  <c r="I24" i="15"/>
  <c r="I17" i="14" s="1"/>
  <c r="I25" i="15"/>
  <c r="I18" i="14" s="1"/>
  <c r="I26" i="15"/>
  <c r="I19" i="14" s="1"/>
  <c r="F35" i="15"/>
  <c r="I35" i="15" s="1"/>
  <c r="F36" i="15"/>
  <c r="I36" i="15" s="1"/>
  <c r="F37" i="15"/>
  <c r="I37" i="15" s="1"/>
  <c r="F38" i="15"/>
  <c r="I38" i="15" s="1"/>
  <c r="F39" i="15"/>
  <c r="I39" i="15" s="1"/>
  <c r="F40" i="15"/>
  <c r="I40" i="15" s="1"/>
  <c r="F41" i="15"/>
  <c r="I41" i="15" s="1"/>
  <c r="F42" i="15"/>
  <c r="I42" i="15"/>
  <c r="F43" i="15"/>
  <c r="I43" i="15" s="1"/>
  <c r="F44" i="15"/>
  <c r="I44" i="15"/>
  <c r="AR1" i="16"/>
  <c r="AS1" i="16"/>
  <c r="AT1" i="16"/>
  <c r="D2" i="16"/>
  <c r="H2" i="16"/>
  <c r="D4" i="16"/>
  <c r="H4" i="16"/>
  <c r="D6" i="16"/>
  <c r="H6" i="16"/>
  <c r="D8" i="16"/>
  <c r="H8" i="16"/>
  <c r="G14" i="16"/>
  <c r="H14" i="16"/>
  <c r="AN14" i="16" s="1"/>
  <c r="G17" i="16"/>
  <c r="BI17" i="16" s="1"/>
  <c r="Y17" i="16" s="1"/>
  <c r="H17" i="16"/>
  <c r="BE17" i="16"/>
  <c r="G19" i="16"/>
  <c r="H19" i="16"/>
  <c r="BC19" i="16" s="1"/>
  <c r="G22" i="16"/>
  <c r="H22" i="16"/>
  <c r="AN22" i="16" s="1"/>
  <c r="G24" i="16"/>
  <c r="H24" i="16"/>
  <c r="AO24" i="16" s="1"/>
  <c r="AW24" i="16" s="1"/>
  <c r="BE24" i="16"/>
  <c r="G27" i="16"/>
  <c r="H27" i="16"/>
  <c r="BC27" i="16" s="1"/>
  <c r="G29" i="16"/>
  <c r="I29" i="16" s="1"/>
  <c r="AI29" i="16" s="1"/>
  <c r="H29" i="16"/>
  <c r="AO29" i="16" s="1"/>
  <c r="BE29" i="16"/>
  <c r="G30" i="16"/>
  <c r="H30" i="16"/>
  <c r="BC30" i="16" s="1"/>
  <c r="BE30" i="16"/>
  <c r="AN30" i="16"/>
  <c r="AO30" i="16"/>
  <c r="AW30" i="16" s="1"/>
  <c r="G31" i="16"/>
  <c r="H31" i="16"/>
  <c r="G33" i="16"/>
  <c r="H33" i="16"/>
  <c r="I33" i="16" s="1"/>
  <c r="BE33" i="16"/>
  <c r="G35" i="16"/>
  <c r="H35" i="16"/>
  <c r="AO35" i="16" s="1"/>
  <c r="G38" i="16"/>
  <c r="H38" i="16"/>
  <c r="G39" i="16"/>
  <c r="H39" i="16"/>
  <c r="BC39" i="16" s="1"/>
  <c r="G40" i="16"/>
  <c r="H40" i="16"/>
  <c r="BC40" i="16" s="1"/>
  <c r="I40" i="16"/>
  <c r="AI40" i="16" s="1"/>
  <c r="AN40" i="16"/>
  <c r="AV40" i="16" s="1"/>
  <c r="AU40" i="16" s="1"/>
  <c r="AO40" i="16"/>
  <c r="AW40" i="16" s="1"/>
  <c r="BE40" i="16"/>
  <c r="G43" i="16"/>
  <c r="H43" i="16"/>
  <c r="AN43" i="16" s="1"/>
  <c r="BG43" i="16" s="1"/>
  <c r="BE43" i="16"/>
  <c r="G44" i="16"/>
  <c r="H44" i="16"/>
  <c r="BE44" i="16"/>
  <c r="G46" i="16"/>
  <c r="BI46" i="16" s="1"/>
  <c r="H46" i="16"/>
  <c r="AN46" i="16"/>
  <c r="BG46" i="16" s="1"/>
  <c r="AO46" i="16"/>
  <c r="BC46" i="16"/>
  <c r="BE46" i="16"/>
  <c r="G50" i="16"/>
  <c r="H50" i="16"/>
  <c r="AN50" i="16" s="1"/>
  <c r="BC50" i="16"/>
  <c r="G53" i="16"/>
  <c r="H53" i="16"/>
  <c r="BC53" i="16" s="1"/>
  <c r="G54" i="16"/>
  <c r="I54" i="16" s="1"/>
  <c r="AK54" i="16" s="1"/>
  <c r="H54" i="16"/>
  <c r="AO54" i="16" s="1"/>
  <c r="BE54" i="16"/>
  <c r="G57" i="16"/>
  <c r="H57" i="16"/>
  <c r="BC57" i="16" s="1"/>
  <c r="BE57" i="16"/>
  <c r="AO57" i="16"/>
  <c r="G60" i="16"/>
  <c r="H60" i="16"/>
  <c r="AN60" i="16" s="1"/>
  <c r="BC60" i="16"/>
  <c r="G62" i="16"/>
  <c r="H62" i="16"/>
  <c r="BC62" i="16" s="1"/>
  <c r="BE62" i="16"/>
  <c r="AN62" i="16"/>
  <c r="AV62" i="16" s="1"/>
  <c r="G65" i="16"/>
  <c r="H65" i="16"/>
  <c r="BC65" i="16" s="1"/>
  <c r="BE65" i="16"/>
  <c r="AN65" i="16"/>
  <c r="AO65" i="16"/>
  <c r="G67" i="16"/>
  <c r="BI67" i="16" s="1"/>
  <c r="AG67" i="16" s="1"/>
  <c r="H67" i="16"/>
  <c r="AN67" i="16" s="1"/>
  <c r="C2" i="17"/>
  <c r="C4" i="17"/>
  <c r="C6" i="17"/>
  <c r="C8" i="17"/>
  <c r="C10" i="17"/>
  <c r="I10" i="17"/>
  <c r="I15" i="17"/>
  <c r="F16" i="17"/>
  <c r="I16" i="17"/>
  <c r="I19" i="17"/>
  <c r="C2" i="18"/>
  <c r="F2" i="18"/>
  <c r="C4" i="18"/>
  <c r="F4" i="18"/>
  <c r="C6" i="18"/>
  <c r="F6" i="18"/>
  <c r="C8" i="18"/>
  <c r="F8" i="18"/>
  <c r="C10" i="18"/>
  <c r="F10" i="18"/>
  <c r="I10" i="18"/>
  <c r="I15" i="18"/>
  <c r="F14" i="17" s="1"/>
  <c r="I16" i="18"/>
  <c r="F15" i="17" s="1"/>
  <c r="I17" i="18"/>
  <c r="I21" i="18"/>
  <c r="I27" i="18" s="1"/>
  <c r="I22" i="18"/>
  <c r="I23" i="18"/>
  <c r="I24" i="18"/>
  <c r="I17" i="17" s="1"/>
  <c r="I25" i="18"/>
  <c r="I18" i="17" s="1"/>
  <c r="I26" i="18"/>
  <c r="F35" i="18"/>
  <c r="I35" i="18" s="1"/>
  <c r="F36" i="18"/>
  <c r="I36" i="18"/>
  <c r="F37" i="18"/>
  <c r="I37" i="18" s="1"/>
  <c r="F38" i="18"/>
  <c r="I38" i="18" s="1"/>
  <c r="F39" i="18"/>
  <c r="I39" i="18" s="1"/>
  <c r="F40" i="18"/>
  <c r="I40" i="18" s="1"/>
  <c r="F41" i="18"/>
  <c r="I41" i="18" s="1"/>
  <c r="F42" i="18"/>
  <c r="I42" i="18" s="1"/>
  <c r="F43" i="18"/>
  <c r="I43" i="18" s="1"/>
  <c r="F44" i="18"/>
  <c r="I44" i="18"/>
  <c r="AS1" i="19"/>
  <c r="AT1" i="19"/>
  <c r="AU1" i="19"/>
  <c r="D2" i="19"/>
  <c r="J2" i="19"/>
  <c r="D4" i="19"/>
  <c r="J4" i="19"/>
  <c r="D6" i="19"/>
  <c r="J6" i="19"/>
  <c r="D8" i="19"/>
  <c r="J8" i="19"/>
  <c r="G14" i="19"/>
  <c r="BJ14" i="19" s="1"/>
  <c r="AH14" i="19" s="1"/>
  <c r="H14" i="19"/>
  <c r="AP14" i="19" s="1"/>
  <c r="BI14" i="19" s="1"/>
  <c r="G15" i="19"/>
  <c r="H15" i="19"/>
  <c r="AO15" i="19" s="1"/>
  <c r="BH15" i="19" s="1"/>
  <c r="BF15" i="19"/>
  <c r="G16" i="19"/>
  <c r="BJ16" i="19" s="1"/>
  <c r="H16" i="19"/>
  <c r="AO16" i="19" s="1"/>
  <c r="BF16" i="19"/>
  <c r="G17" i="19"/>
  <c r="H17" i="19"/>
  <c r="BD17" i="19" s="1"/>
  <c r="I17" i="19"/>
  <c r="AJ17" i="19" s="1"/>
  <c r="BF17" i="19"/>
  <c r="BJ17" i="19"/>
  <c r="Z17" i="19" s="1"/>
  <c r="G18" i="19"/>
  <c r="I18" i="19" s="1"/>
  <c r="H18" i="19"/>
  <c r="BD18" i="19" s="1"/>
  <c r="G19" i="19"/>
  <c r="H19" i="19"/>
  <c r="BD19" i="19" s="1"/>
  <c r="AP19" i="19"/>
  <c r="BI19" i="19" s="1"/>
  <c r="AX19" i="19"/>
  <c r="BF19" i="19"/>
  <c r="G22" i="19"/>
  <c r="I22" i="19" s="1"/>
  <c r="H22" i="19"/>
  <c r="AP22" i="19" s="1"/>
  <c r="BD22" i="19"/>
  <c r="BO22" i="19"/>
  <c r="G23" i="19"/>
  <c r="I23" i="19" s="1"/>
  <c r="AJ23" i="19" s="1"/>
  <c r="H23" i="19"/>
  <c r="BD23" i="19" s="1"/>
  <c r="BF23" i="19"/>
  <c r="Z23" i="19"/>
  <c r="AO23" i="19"/>
  <c r="BH23" i="19" s="1"/>
  <c r="AB23" i="19" s="1"/>
  <c r="AW23" i="19"/>
  <c r="BJ23" i="19"/>
  <c r="AH23" i="19" s="1"/>
  <c r="BG134" i="4" l="1"/>
  <c r="I21" i="19"/>
  <c r="I20" i="19" s="1"/>
  <c r="AK22" i="19"/>
  <c r="AL22" i="19"/>
  <c r="AE19" i="19"/>
  <c r="AC19" i="19"/>
  <c r="AC300" i="7"/>
  <c r="AA300" i="7"/>
  <c r="AJ31" i="13"/>
  <c r="AK31" i="13"/>
  <c r="AV99" i="13"/>
  <c r="BG99" i="13"/>
  <c r="AA99" i="13" s="1"/>
  <c r="AH16" i="19"/>
  <c r="Z16" i="19"/>
  <c r="BC116" i="10"/>
  <c r="AO116" i="10"/>
  <c r="BH116" i="10" s="1"/>
  <c r="BI116" i="10"/>
  <c r="BC297" i="7"/>
  <c r="AN297" i="7"/>
  <c r="AO297" i="7"/>
  <c r="BH297" i="7" s="1"/>
  <c r="AD256" i="7"/>
  <c r="AB256" i="7"/>
  <c r="AN243" i="7"/>
  <c r="AO243" i="7"/>
  <c r="BH243" i="7" s="1"/>
  <c r="AD243" i="7" s="1"/>
  <c r="BC243" i="7"/>
  <c r="AG212" i="7"/>
  <c r="Y212" i="7"/>
  <c r="AO26" i="7"/>
  <c r="BH26" i="7" s="1"/>
  <c r="AF26" i="7" s="1"/>
  <c r="AN26" i="7"/>
  <c r="AV26" i="7" s="1"/>
  <c r="AI701" i="4"/>
  <c r="AR697" i="4" s="1"/>
  <c r="AJ701" i="4"/>
  <c r="I697" i="4"/>
  <c r="AK701" i="4"/>
  <c r="BJ22" i="19"/>
  <c r="BJ15" i="19"/>
  <c r="BC29" i="16"/>
  <c r="I17" i="16"/>
  <c r="AI17" i="16" s="1"/>
  <c r="BC125" i="13"/>
  <c r="I109" i="13"/>
  <c r="BC99" i="13"/>
  <c r="AO88" i="13"/>
  <c r="I75" i="13"/>
  <c r="I74" i="13" s="1"/>
  <c r="I66" i="13"/>
  <c r="BG14" i="13"/>
  <c r="BE180" i="10"/>
  <c r="BI180" i="10"/>
  <c r="AG180" i="10" s="1"/>
  <c r="BC163" i="10"/>
  <c r="BI163" i="10"/>
  <c r="AG163" i="10" s="1"/>
  <c r="AN163" i="10"/>
  <c r="BG163" i="10" s="1"/>
  <c r="AA163" i="10" s="1"/>
  <c r="AO131" i="10"/>
  <c r="BH131" i="10" s="1"/>
  <c r="BC131" i="10"/>
  <c r="BH99" i="10"/>
  <c r="AF99" i="10" s="1"/>
  <c r="BI39" i="10"/>
  <c r="Y39" i="10" s="1"/>
  <c r="BC324" i="7"/>
  <c r="AO324" i="7"/>
  <c r="AN149" i="7"/>
  <c r="AO149" i="7"/>
  <c r="BC149" i="7"/>
  <c r="I88" i="7"/>
  <c r="AW88" i="7"/>
  <c r="I26" i="7"/>
  <c r="AO15" i="7"/>
  <c r="BH15" i="7" s="1"/>
  <c r="AN15" i="7"/>
  <c r="Y703" i="4"/>
  <c r="AG703" i="4"/>
  <c r="AD676" i="4"/>
  <c r="AF676" i="4"/>
  <c r="AJ651" i="4"/>
  <c r="AI651" i="4"/>
  <c r="AK651" i="4"/>
  <c r="AG648" i="4"/>
  <c r="Y648" i="4"/>
  <c r="AC564" i="4"/>
  <c r="AE564" i="4"/>
  <c r="AI514" i="4"/>
  <c r="AR513" i="4" s="1"/>
  <c r="AJ514" i="4"/>
  <c r="AS513" i="4" s="1"/>
  <c r="AK514" i="4"/>
  <c r="AT513" i="4" s="1"/>
  <c r="I513" i="4"/>
  <c r="AG474" i="4"/>
  <c r="Y474" i="4"/>
  <c r="BH322" i="4"/>
  <c r="AW322" i="4"/>
  <c r="AD313" i="4"/>
  <c r="AB313" i="4"/>
  <c r="AF313" i="4"/>
  <c r="AN205" i="10"/>
  <c r="AO205" i="10"/>
  <c r="Y193" i="10"/>
  <c r="AG193" i="10"/>
  <c r="AN46" i="10"/>
  <c r="BG46" i="10" s="1"/>
  <c r="AE46" i="10" s="1"/>
  <c r="AO46" i="10"/>
  <c r="BI46" i="10"/>
  <c r="AO219" i="7"/>
  <c r="AN219" i="7"/>
  <c r="BC219" i="7"/>
  <c r="I129" i="7"/>
  <c r="BG129" i="7"/>
  <c r="AE129" i="7" s="1"/>
  <c r="Y713" i="4"/>
  <c r="AG713" i="4"/>
  <c r="AC695" i="4"/>
  <c r="AE695" i="4"/>
  <c r="AJ671" i="4"/>
  <c r="AI671" i="4"/>
  <c r="AR667" i="4" s="1"/>
  <c r="AK671" i="4"/>
  <c r="Y668" i="4"/>
  <c r="AG668" i="4"/>
  <c r="AW623" i="4"/>
  <c r="AU623" i="4" s="1"/>
  <c r="BH623" i="4"/>
  <c r="AD619" i="4"/>
  <c r="AF619" i="4"/>
  <c r="AB619" i="4"/>
  <c r="AO19" i="19"/>
  <c r="BH19" i="19" s="1"/>
  <c r="AD19" i="19" s="1"/>
  <c r="I45" i="18"/>
  <c r="I23" i="17" s="1"/>
  <c r="AW65" i="16"/>
  <c r="AN57" i="16"/>
  <c r="AV57" i="16" s="1"/>
  <c r="AW46" i="16"/>
  <c r="AN35" i="16"/>
  <c r="BI136" i="13"/>
  <c r="AG136" i="13" s="1"/>
  <c r="Y125" i="13"/>
  <c r="BH113" i="13"/>
  <c r="AF113" i="13" s="1"/>
  <c r="BI104" i="13"/>
  <c r="AN88" i="13"/>
  <c r="BG88" i="13" s="1"/>
  <c r="AE88" i="13" s="1"/>
  <c r="BI73" i="13"/>
  <c r="BI60" i="13"/>
  <c r="BG25" i="13"/>
  <c r="BE188" i="10"/>
  <c r="BI188" i="10"/>
  <c r="AG188" i="10" s="1"/>
  <c r="BG169" i="10"/>
  <c r="BI169" i="10"/>
  <c r="Y143" i="10"/>
  <c r="AO14" i="10"/>
  <c r="BH14" i="10" s="1"/>
  <c r="AB14" i="10" s="1"/>
  <c r="BC14" i="10"/>
  <c r="BC295" i="7"/>
  <c r="AO295" i="7"/>
  <c r="Y121" i="7"/>
  <c r="AG121" i="7"/>
  <c r="BH108" i="7"/>
  <c r="AB108" i="7" s="1"/>
  <c r="BG15" i="7"/>
  <c r="Y716" i="4"/>
  <c r="AG716" i="4"/>
  <c r="AD711" i="4"/>
  <c r="AB711" i="4"/>
  <c r="BB708" i="4"/>
  <c r="AA695" i="4"/>
  <c r="BG694" i="4"/>
  <c r="AV694" i="4"/>
  <c r="BB694" i="4" s="1"/>
  <c r="AR683" i="4"/>
  <c r="AB676" i="4"/>
  <c r="AW638" i="4"/>
  <c r="BH638" i="4"/>
  <c r="BB598" i="4"/>
  <c r="AC582" i="4"/>
  <c r="AA582" i="4"/>
  <c r="AE582" i="4"/>
  <c r="Y523" i="4"/>
  <c r="AG523" i="4"/>
  <c r="AV482" i="4"/>
  <c r="BG482" i="4"/>
  <c r="AC482" i="4" s="1"/>
  <c r="AI402" i="4"/>
  <c r="AR401" i="4" s="1"/>
  <c r="AJ402" i="4"/>
  <c r="AS401" i="4" s="1"/>
  <c r="AK402" i="4"/>
  <c r="AT401" i="4" s="1"/>
  <c r="I401" i="4"/>
  <c r="AD712" i="4"/>
  <c r="AB712" i="4"/>
  <c r="AF712" i="4"/>
  <c r="AW670" i="4"/>
  <c r="BH670" i="4"/>
  <c r="AD493" i="4"/>
  <c r="AF493" i="4"/>
  <c r="AB493" i="4"/>
  <c r="AO17" i="19"/>
  <c r="I14" i="19"/>
  <c r="I35" i="16"/>
  <c r="AO99" i="13"/>
  <c r="BH99" i="13" s="1"/>
  <c r="AO60" i="13"/>
  <c r="BH60" i="13" s="1"/>
  <c r="AB60" i="13" s="1"/>
  <c r="BI31" i="13"/>
  <c r="AG31" i="13" s="1"/>
  <c r="AO111" i="10"/>
  <c r="BH111" i="10" s="1"/>
  <c r="AD111" i="10" s="1"/>
  <c r="I111" i="10"/>
  <c r="BC111" i="10"/>
  <c r="BC102" i="10"/>
  <c r="AN102" i="10"/>
  <c r="BG102" i="10" s="1"/>
  <c r="AE102" i="10" s="1"/>
  <c r="AO102" i="10"/>
  <c r="BH102" i="10" s="1"/>
  <c r="AD102" i="10" s="1"/>
  <c r="AD713" i="4"/>
  <c r="AF713" i="4"/>
  <c r="AC708" i="4"/>
  <c r="AE708" i="4"/>
  <c r="AA708" i="4"/>
  <c r="Y691" i="4"/>
  <c r="AG691" i="4"/>
  <c r="Y685" i="4"/>
  <c r="AG685" i="4"/>
  <c r="AG684" i="4"/>
  <c r="Y684" i="4"/>
  <c r="AC679" i="4"/>
  <c r="AA679" i="4"/>
  <c r="AE679" i="4"/>
  <c r="BG658" i="4"/>
  <c r="AV658" i="4"/>
  <c r="BG652" i="4"/>
  <c r="AR633" i="4"/>
  <c r="AD625" i="4"/>
  <c r="AB625" i="4"/>
  <c r="AF625" i="4"/>
  <c r="Y569" i="4"/>
  <c r="AG569" i="4"/>
  <c r="AW525" i="4"/>
  <c r="BB525" i="4" s="1"/>
  <c r="BH525" i="4"/>
  <c r="AU441" i="4"/>
  <c r="BB441" i="4"/>
  <c r="BH303" i="4"/>
  <c r="AW303" i="4"/>
  <c r="BD15" i="19"/>
  <c r="AO119" i="10"/>
  <c r="BH119" i="10" s="1"/>
  <c r="AB119" i="10" s="1"/>
  <c r="AN119" i="10"/>
  <c r="BG119" i="10" s="1"/>
  <c r="BC119" i="10"/>
  <c r="AI31" i="10"/>
  <c r="AJ31" i="10"/>
  <c r="AW265" i="7"/>
  <c r="I265" i="7"/>
  <c r="AI265" i="7" s="1"/>
  <c r="BG265" i="7"/>
  <c r="AC265" i="7" s="1"/>
  <c r="AN253" i="7"/>
  <c r="BC253" i="7"/>
  <c r="BO23" i="19"/>
  <c r="AO22" i="19"/>
  <c r="AW22" i="19" s="1"/>
  <c r="BJ19" i="19"/>
  <c r="AH17" i="19"/>
  <c r="BD16" i="19"/>
  <c r="AP15" i="19"/>
  <c r="BI15" i="19" s="1"/>
  <c r="I62" i="16"/>
  <c r="AI62" i="16" s="1"/>
  <c r="I57" i="16"/>
  <c r="AI57" i="16" s="1"/>
  <c r="BG50" i="16"/>
  <c r="AE50" i="16" s="1"/>
  <c r="BI40" i="16"/>
  <c r="BG40" i="16"/>
  <c r="AO19" i="16"/>
  <c r="I14" i="16"/>
  <c r="I13" i="16" s="1"/>
  <c r="BI130" i="13"/>
  <c r="BI106" i="13"/>
  <c r="AG106" i="13" s="1"/>
  <c r="BG96" i="13"/>
  <c r="AC96" i="13" s="1"/>
  <c r="BG44" i="13"/>
  <c r="AA44" i="13" s="1"/>
  <c r="I22" i="13"/>
  <c r="BI22" i="13"/>
  <c r="AG22" i="13" s="1"/>
  <c r="AO14" i="13"/>
  <c r="BC14" i="13"/>
  <c r="AV171" i="10"/>
  <c r="BG171" i="10"/>
  <c r="AA171" i="10" s="1"/>
  <c r="BG34" i="10"/>
  <c r="AE34" i="10" s="1"/>
  <c r="BC280" i="7"/>
  <c r="AN280" i="7"/>
  <c r="BG280" i="7" s="1"/>
  <c r="AA280" i="7" s="1"/>
  <c r="AO280" i="7"/>
  <c r="BH280" i="7" s="1"/>
  <c r="BH258" i="7"/>
  <c r="AO225" i="7"/>
  <c r="AN225" i="7"/>
  <c r="AV225" i="7" s="1"/>
  <c r="BC200" i="7"/>
  <c r="AN200" i="7"/>
  <c r="BG200" i="7" s="1"/>
  <c r="BH162" i="7"/>
  <c r="AV719" i="4"/>
  <c r="BG719" i="4"/>
  <c r="AC719" i="4" s="1"/>
  <c r="BH715" i="4"/>
  <c r="AV701" i="4"/>
  <c r="BB701" i="4" s="1"/>
  <c r="BG701" i="4"/>
  <c r="AE701" i="4" s="1"/>
  <c r="AG672" i="4"/>
  <c r="AC660" i="4"/>
  <c r="AE660" i="4"/>
  <c r="AA660" i="4"/>
  <c r="AT657" i="4"/>
  <c r="AD655" i="4"/>
  <c r="AB655" i="4"/>
  <c r="AF655" i="4"/>
  <c r="AD530" i="4"/>
  <c r="AB530" i="4"/>
  <c r="AF530" i="4"/>
  <c r="AD523" i="4"/>
  <c r="AB523" i="4"/>
  <c r="AN35" i="7"/>
  <c r="AO35" i="7"/>
  <c r="BC35" i="7"/>
  <c r="AD720" i="4"/>
  <c r="AB720" i="4"/>
  <c r="BH671" i="4"/>
  <c r="AW671" i="4"/>
  <c r="AF410" i="4"/>
  <c r="AB410" i="4"/>
  <c r="BJ18" i="19"/>
  <c r="AH18" i="19" s="1"/>
  <c r="BC128" i="13"/>
  <c r="BG122" i="13"/>
  <c r="AO115" i="13"/>
  <c r="BC31" i="13"/>
  <c r="BG21" i="13"/>
  <c r="I152" i="10"/>
  <c r="BI152" i="10"/>
  <c r="BC109" i="10"/>
  <c r="AO109" i="10"/>
  <c r="Y24" i="10"/>
  <c r="AG24" i="10"/>
  <c r="AN270" i="7"/>
  <c r="BG270" i="7" s="1"/>
  <c r="BC270" i="7"/>
  <c r="BH265" i="7"/>
  <c r="BI258" i="7"/>
  <c r="I258" i="7"/>
  <c r="AI258" i="7" s="1"/>
  <c r="AW258" i="7"/>
  <c r="AN113" i="7"/>
  <c r="BC113" i="7"/>
  <c r="AO99" i="7"/>
  <c r="AN99" i="7"/>
  <c r="BC99" i="7"/>
  <c r="AF720" i="4"/>
  <c r="AV698" i="4"/>
  <c r="AU698" i="4" s="1"/>
  <c r="BG698" i="4"/>
  <c r="AI660" i="4"/>
  <c r="AJ660" i="4"/>
  <c r="AS657" i="4" s="1"/>
  <c r="AG631" i="4"/>
  <c r="Y631" i="4"/>
  <c r="BC167" i="10"/>
  <c r="AN167" i="10"/>
  <c r="AO167" i="10"/>
  <c r="BH167" i="10" s="1"/>
  <c r="AO50" i="10"/>
  <c r="AN50" i="10"/>
  <c r="I25" i="10"/>
  <c r="AK25" i="10" s="1"/>
  <c r="BI25" i="10"/>
  <c r="AG25" i="10" s="1"/>
  <c r="AD708" i="4"/>
  <c r="AF708" i="4"/>
  <c r="AG687" i="4"/>
  <c r="Y687" i="4"/>
  <c r="AD497" i="4"/>
  <c r="AF497" i="4"/>
  <c r="AB497" i="4"/>
  <c r="BC67" i="16"/>
  <c r="BI62" i="16"/>
  <c r="BH46" i="16"/>
  <c r="BI39" i="16"/>
  <c r="AG39" i="16" s="1"/>
  <c r="I30" i="16"/>
  <c r="AN24" i="16"/>
  <c r="BG24" i="16" s="1"/>
  <c r="AW132" i="13"/>
  <c r="AU132" i="13" s="1"/>
  <c r="BI126" i="13"/>
  <c r="Y126" i="13" s="1"/>
  <c r="AN115" i="13"/>
  <c r="BG115" i="13" s="1"/>
  <c r="BH95" i="13"/>
  <c r="BI75" i="13"/>
  <c r="AG75" i="13" s="1"/>
  <c r="BI51" i="13"/>
  <c r="Y51" i="13" s="1"/>
  <c r="AV39" i="13"/>
  <c r="AN31" i="13"/>
  <c r="AV31" i="13" s="1"/>
  <c r="AO25" i="13"/>
  <c r="AO171" i="10"/>
  <c r="BC171" i="10"/>
  <c r="BI171" i="10"/>
  <c r="BI131" i="10"/>
  <c r="AG131" i="10" s="1"/>
  <c r="AO326" i="7"/>
  <c r="AN326" i="7"/>
  <c r="I245" i="7"/>
  <c r="BI245" i="7"/>
  <c r="BI173" i="7"/>
  <c r="AB713" i="4"/>
  <c r="AG706" i="4"/>
  <c r="AW695" i="4"/>
  <c r="BH695" i="4"/>
  <c r="AW691" i="4"/>
  <c r="BB691" i="4" s="1"/>
  <c r="BH691" i="4"/>
  <c r="BB685" i="4"/>
  <c r="AC681" i="4"/>
  <c r="AA681" i="4"/>
  <c r="AE681" i="4"/>
  <c r="BB679" i="4"/>
  <c r="AU679" i="4"/>
  <c r="AV651" i="4"/>
  <c r="BG651" i="4"/>
  <c r="AG611" i="4"/>
  <c r="Y611" i="4"/>
  <c r="BC206" i="10"/>
  <c r="BH205" i="10"/>
  <c r="AD205" i="10" s="1"/>
  <c r="AV193" i="10"/>
  <c r="AN160" i="10"/>
  <c r="BG148" i="10"/>
  <c r="AA148" i="10" s="1"/>
  <c r="BC105" i="10"/>
  <c r="BC103" i="10"/>
  <c r="BI102" i="10"/>
  <c r="AG102" i="10" s="1"/>
  <c r="AO59" i="10"/>
  <c r="BC28" i="10"/>
  <c r="BC22" i="10"/>
  <c r="AN17" i="10"/>
  <c r="AV17" i="10" s="1"/>
  <c r="I317" i="7"/>
  <c r="BI297" i="7"/>
  <c r="I286" i="7"/>
  <c r="I253" i="7"/>
  <c r="AI253" i="7" s="1"/>
  <c r="BI239" i="7"/>
  <c r="BH237" i="7"/>
  <c r="I166" i="7"/>
  <c r="AJ166" i="7" s="1"/>
  <c r="I149" i="7"/>
  <c r="BG89" i="7"/>
  <c r="AW719" i="4"/>
  <c r="BB719" i="4" s="1"/>
  <c r="Y701" i="4"/>
  <c r="Y695" i="4"/>
  <c r="AK685" i="4"/>
  <c r="AT683" i="4" s="1"/>
  <c r="BG665" i="4"/>
  <c r="AJ652" i="4"/>
  <c r="AG650" i="4"/>
  <c r="Y650" i="4"/>
  <c r="AC631" i="4"/>
  <c r="AA631" i="4"/>
  <c r="BH612" i="4"/>
  <c r="BG562" i="4"/>
  <c r="AV562" i="4"/>
  <c r="AI560" i="4"/>
  <c r="AJ560" i="4"/>
  <c r="AK560" i="4"/>
  <c r="AT554" i="4"/>
  <c r="AG477" i="4"/>
  <c r="Y477" i="4"/>
  <c r="AI474" i="4"/>
  <c r="AJ474" i="4"/>
  <c r="AW462" i="4"/>
  <c r="BH462" i="4"/>
  <c r="AB462" i="4" s="1"/>
  <c r="Y460" i="4"/>
  <c r="AG460" i="4"/>
  <c r="AI452" i="4"/>
  <c r="AJ452" i="4"/>
  <c r="AK452" i="4"/>
  <c r="AG447" i="4"/>
  <c r="AV428" i="4"/>
  <c r="BG428" i="4"/>
  <c r="AV413" i="4"/>
  <c r="BG413" i="4"/>
  <c r="AW333" i="4"/>
  <c r="BH333" i="4"/>
  <c r="AI221" i="4"/>
  <c r="AJ221" i="4"/>
  <c r="AK221" i="4"/>
  <c r="BI204" i="10"/>
  <c r="AG204" i="10" s="1"/>
  <c r="BI187" i="10"/>
  <c r="BI178" i="10"/>
  <c r="AV157" i="10"/>
  <c r="AO146" i="10"/>
  <c r="AN143" i="10"/>
  <c r="AV143" i="10" s="1"/>
  <c r="AV136" i="10"/>
  <c r="BI118" i="10"/>
  <c r="AG118" i="10" s="1"/>
  <c r="AN103" i="10"/>
  <c r="AV103" i="10" s="1"/>
  <c r="BG93" i="10"/>
  <c r="AC93" i="10" s="1"/>
  <c r="I81" i="10"/>
  <c r="I79" i="10"/>
  <c r="AI79" i="10" s="1"/>
  <c r="BI71" i="10"/>
  <c r="Y71" i="10" s="1"/>
  <c r="BC43" i="10"/>
  <c r="AN28" i="10"/>
  <c r="AV28" i="10" s="1"/>
  <c r="BB28" i="10" s="1"/>
  <c r="BH25" i="10"/>
  <c r="BG298" i="7"/>
  <c r="AV290" i="7"/>
  <c r="BC251" i="7"/>
  <c r="I196" i="7"/>
  <c r="AI196" i="7" s="1"/>
  <c r="I193" i="7"/>
  <c r="I190" i="7"/>
  <c r="I162" i="7"/>
  <c r="I144" i="7"/>
  <c r="BI134" i="7"/>
  <c r="AG134" i="7" s="1"/>
  <c r="AW121" i="7"/>
  <c r="AV68" i="7"/>
  <c r="BI51" i="7"/>
  <c r="AW46" i="7"/>
  <c r="AO37" i="7"/>
  <c r="AW24" i="7"/>
  <c r="BC17" i="7"/>
  <c r="BH16" i="7"/>
  <c r="AF16" i="7" s="1"/>
  <c r="AW720" i="4"/>
  <c r="AW711" i="4"/>
  <c r="Y711" i="4"/>
  <c r="AW708" i="4"/>
  <c r="AV695" i="4"/>
  <c r="AU694" i="4"/>
  <c r="BG691" i="4"/>
  <c r="AJ685" i="4"/>
  <c r="AS683" i="4" s="1"/>
  <c r="AI680" i="4"/>
  <c r="AK670" i="4"/>
  <c r="AF668" i="4"/>
  <c r="BH660" i="4"/>
  <c r="Y660" i="4"/>
  <c r="AI652" i="4"/>
  <c r="BG650" i="4"/>
  <c r="AJ650" i="4"/>
  <c r="AI650" i="4"/>
  <c r="BB648" i="4"/>
  <c r="AD620" i="4"/>
  <c r="AB620" i="4"/>
  <c r="AI604" i="4"/>
  <c r="AR597" i="4" s="1"/>
  <c r="AK604" i="4"/>
  <c r="AT597" i="4" s="1"/>
  <c r="AU591" i="4"/>
  <c r="BB591" i="4"/>
  <c r="AI567" i="4"/>
  <c r="AR566" i="4" s="1"/>
  <c r="AJ567" i="4"/>
  <c r="AK567" i="4"/>
  <c r="AT566" i="4" s="1"/>
  <c r="I566" i="4"/>
  <c r="AD536" i="4"/>
  <c r="AF536" i="4"/>
  <c r="AB536" i="4"/>
  <c r="AC512" i="4"/>
  <c r="AA512" i="4"/>
  <c r="AV463" i="4"/>
  <c r="BG463" i="4"/>
  <c r="AF441" i="4"/>
  <c r="AD441" i="4"/>
  <c r="AW417" i="4"/>
  <c r="AU417" i="4" s="1"/>
  <c r="BH417" i="4"/>
  <c r="AC408" i="4"/>
  <c r="AE408" i="4"/>
  <c r="AB295" i="4"/>
  <c r="AF295" i="4"/>
  <c r="AA294" i="4"/>
  <c r="AC294" i="4"/>
  <c r="AE294" i="4"/>
  <c r="I171" i="10"/>
  <c r="AI171" i="10" s="1"/>
  <c r="BI158" i="10"/>
  <c r="BC155" i="10"/>
  <c r="BC150" i="10"/>
  <c r="BG135" i="10"/>
  <c r="I131" i="10"/>
  <c r="BH109" i="10"/>
  <c r="AD109" i="10" s="1"/>
  <c r="BH103" i="10"/>
  <c r="AO80" i="10"/>
  <c r="BI77" i="10"/>
  <c r="I54" i="10"/>
  <c r="AI54" i="10" s="1"/>
  <c r="BI22" i="10"/>
  <c r="BH17" i="10"/>
  <c r="I324" i="7"/>
  <c r="BH307" i="7"/>
  <c r="AD307" i="7" s="1"/>
  <c r="AV303" i="7"/>
  <c r="Y290" i="7"/>
  <c r="BI280" i="7"/>
  <c r="I254" i="7"/>
  <c r="AN245" i="7"/>
  <c r="AV245" i="7" s="1"/>
  <c r="BB245" i="7" s="1"/>
  <c r="BI243" i="7"/>
  <c r="AG243" i="7" s="1"/>
  <c r="BI199" i="7"/>
  <c r="AO194" i="7"/>
  <c r="AW194" i="7" s="1"/>
  <c r="BI181" i="7"/>
  <c r="AO168" i="7"/>
  <c r="BH149" i="7"/>
  <c r="AB149" i="7" s="1"/>
  <c r="AO139" i="7"/>
  <c r="BI137" i="7"/>
  <c r="AW99" i="7"/>
  <c r="AW61" i="7"/>
  <c r="BI26" i="7"/>
  <c r="Y26" i="7" s="1"/>
  <c r="BI15" i="7"/>
  <c r="AB714" i="4"/>
  <c r="AF706" i="4"/>
  <c r="AA680" i="4"/>
  <c r="AG670" i="4"/>
  <c r="AG655" i="4"/>
  <c r="AF574" i="4"/>
  <c r="AD574" i="4"/>
  <c r="AV523" i="4"/>
  <c r="BG523" i="4"/>
  <c r="AD519" i="4"/>
  <c r="AB519" i="4"/>
  <c r="AW455" i="4"/>
  <c r="BH455" i="4"/>
  <c r="AV430" i="4"/>
  <c r="BG430" i="4"/>
  <c r="AI417" i="4"/>
  <c r="AK417" i="4"/>
  <c r="AJ417" i="4"/>
  <c r="AW400" i="4"/>
  <c r="BH400" i="4"/>
  <c r="AD367" i="4"/>
  <c r="AB367" i="4"/>
  <c r="AC362" i="4"/>
  <c r="AE362" i="4"/>
  <c r="AA362" i="4"/>
  <c r="AV293" i="4"/>
  <c r="BG293" i="4"/>
  <c r="AC286" i="4"/>
  <c r="AA286" i="4"/>
  <c r="AE286" i="4"/>
  <c r="AG197" i="4"/>
  <c r="Y197" i="4"/>
  <c r="BG146" i="10"/>
  <c r="BG17" i="10"/>
  <c r="AO330" i="7"/>
  <c r="AO276" i="7"/>
  <c r="I231" i="7"/>
  <c r="BG216" i="7"/>
  <c r="AN194" i="7"/>
  <c r="AV194" i="7" s="1"/>
  <c r="BG191" i="7"/>
  <c r="I139" i="7"/>
  <c r="AW136" i="7"/>
  <c r="I108" i="7"/>
  <c r="AK108" i="7" s="1"/>
  <c r="I37" i="7"/>
  <c r="AK37" i="7" s="1"/>
  <c r="I45" i="6"/>
  <c r="I23" i="5" s="1"/>
  <c r="AJ719" i="4"/>
  <c r="AF716" i="4"/>
  <c r="AB706" i="4"/>
  <c r="AU681" i="4"/>
  <c r="AJ674" i="4"/>
  <c r="AK665" i="4"/>
  <c r="AT662" i="4" s="1"/>
  <c r="Y663" i="4"/>
  <c r="AI658" i="4"/>
  <c r="AR657" i="4" s="1"/>
  <c r="AC648" i="4"/>
  <c r="AA648" i="4"/>
  <c r="BH644" i="4"/>
  <c r="AW644" i="4"/>
  <c r="AU644" i="4" s="1"/>
  <c r="AG634" i="4"/>
  <c r="BB625" i="4"/>
  <c r="BH604" i="4"/>
  <c r="AB604" i="4" s="1"/>
  <c r="AV588" i="4"/>
  <c r="BG588" i="4"/>
  <c r="AC574" i="4"/>
  <c r="AA574" i="4"/>
  <c r="AU547" i="4"/>
  <c r="BB547" i="4"/>
  <c r="AV530" i="4"/>
  <c r="BG530" i="4"/>
  <c r="AI482" i="4"/>
  <c r="AJ482" i="4"/>
  <c r="AK482" i="4"/>
  <c r="AV435" i="4"/>
  <c r="BB435" i="4" s="1"/>
  <c r="BG435" i="4"/>
  <c r="AJ430" i="4"/>
  <c r="AI430" i="4"/>
  <c r="AK430" i="4"/>
  <c r="AT420" i="4" s="1"/>
  <c r="AI329" i="4"/>
  <c r="AJ329" i="4"/>
  <c r="AK329" i="4"/>
  <c r="AV188" i="10"/>
  <c r="AV180" i="10"/>
  <c r="BI165" i="10"/>
  <c r="BG143" i="10"/>
  <c r="AA143" i="10" s="1"/>
  <c r="BC83" i="10"/>
  <c r="AW18" i="10"/>
  <c r="BI303" i="7"/>
  <c r="BC282" i="7"/>
  <c r="AN276" i="7"/>
  <c r="I260" i="7"/>
  <c r="BI232" i="7"/>
  <c r="BI144" i="7"/>
  <c r="AG144" i="7" s="1"/>
  <c r="I116" i="7"/>
  <c r="AJ116" i="7" s="1"/>
  <c r="AW51" i="7"/>
  <c r="AB716" i="4"/>
  <c r="AK703" i="4"/>
  <c r="AT697" i="4" s="1"/>
  <c r="AI695" i="4"/>
  <c r="AG674" i="4"/>
  <c r="AU668" i="4"/>
  <c r="AJ665" i="4"/>
  <c r="AS662" i="4" s="1"/>
  <c r="BG663" i="4"/>
  <c r="BH651" i="4"/>
  <c r="AW650" i="4"/>
  <c r="BH650" i="4"/>
  <c r="AB642" i="4"/>
  <c r="AD642" i="4"/>
  <c r="AI635" i="4"/>
  <c r="AK635" i="4"/>
  <c r="AT633" i="4" s="1"/>
  <c r="I633" i="4"/>
  <c r="AJ634" i="4"/>
  <c r="AS633" i="4" s="1"/>
  <c r="AD622" i="4"/>
  <c r="AF622" i="4"/>
  <c r="I587" i="4"/>
  <c r="AI588" i="4"/>
  <c r="AJ588" i="4"/>
  <c r="AS587" i="4" s="1"/>
  <c r="AK588" i="4"/>
  <c r="AT587" i="4" s="1"/>
  <c r="AJ582" i="4"/>
  <c r="AK582" i="4"/>
  <c r="BH567" i="4"/>
  <c r="AB567" i="4" s="1"/>
  <c r="AW567" i="4"/>
  <c r="AC552" i="4"/>
  <c r="AA552" i="4"/>
  <c r="BH538" i="4"/>
  <c r="AD537" i="4"/>
  <c r="AF537" i="4"/>
  <c r="AB537" i="4"/>
  <c r="AD535" i="4"/>
  <c r="AF535" i="4"/>
  <c r="AD514" i="4"/>
  <c r="AB514" i="4"/>
  <c r="AI460" i="4"/>
  <c r="AJ460" i="4"/>
  <c r="AK460" i="4"/>
  <c r="I361" i="4"/>
  <c r="AI362" i="4"/>
  <c r="AK362" i="4"/>
  <c r="AT361" i="4" s="1"/>
  <c r="AG333" i="4"/>
  <c r="Y333" i="4"/>
  <c r="BB280" i="4"/>
  <c r="AU280" i="4"/>
  <c r="AW272" i="4"/>
  <c r="BH272" i="4"/>
  <c r="AD272" i="4" s="1"/>
  <c r="AV254" i="4"/>
  <c r="BG254" i="4"/>
  <c r="AW174" i="10"/>
  <c r="BG99" i="10"/>
  <c r="BH83" i="10"/>
  <c r="AB83" i="10" s="1"/>
  <c r="I319" i="7"/>
  <c r="BG282" i="7"/>
  <c r="I184" i="7"/>
  <c r="AI184" i="7" s="1"/>
  <c r="I181" i="7"/>
  <c r="BC144" i="7"/>
  <c r="BC89" i="7"/>
  <c r="AW17" i="7"/>
  <c r="AF674" i="4"/>
  <c r="AC646" i="4"/>
  <c r="AE646" i="4"/>
  <c r="BH635" i="4"/>
  <c r="AD635" i="4" s="1"/>
  <c r="BH626" i="4"/>
  <c r="AW598" i="4"/>
  <c r="BH598" i="4"/>
  <c r="AA591" i="4"/>
  <c r="AC591" i="4"/>
  <c r="AE591" i="4"/>
  <c r="AD564" i="4"/>
  <c r="AB564" i="4"/>
  <c r="AW527" i="4"/>
  <c r="AU527" i="4" s="1"/>
  <c r="BH527" i="4"/>
  <c r="BH524" i="4"/>
  <c r="AI510" i="4"/>
  <c r="AJ510" i="4"/>
  <c r="I502" i="4"/>
  <c r="AJ503" i="4"/>
  <c r="AS502" i="4" s="1"/>
  <c r="AK445" i="4"/>
  <c r="AI445" i="4"/>
  <c r="AW433" i="4"/>
  <c r="BH433" i="4"/>
  <c r="Y430" i="4"/>
  <c r="AG430" i="4"/>
  <c r="BH405" i="4"/>
  <c r="AW405" i="4"/>
  <c r="AW373" i="4"/>
  <c r="BH373" i="4"/>
  <c r="Y365" i="4"/>
  <c r="AG365" i="4"/>
  <c r="AW337" i="4"/>
  <c r="BH337" i="4"/>
  <c r="AA629" i="4"/>
  <c r="BB623" i="4"/>
  <c r="BB611" i="4"/>
  <c r="AI589" i="4"/>
  <c r="AJ568" i="4"/>
  <c r="AJ555" i="4"/>
  <c r="AS554" i="4" s="1"/>
  <c r="Y547" i="4"/>
  <c r="AJ536" i="4"/>
  <c r="BG535" i="4"/>
  <c r="AI535" i="4"/>
  <c r="AU525" i="4"/>
  <c r="AU524" i="4"/>
  <c r="AB521" i="4"/>
  <c r="AW519" i="4"/>
  <c r="BH503" i="4"/>
  <c r="BB499" i="4"/>
  <c r="Y495" i="4"/>
  <c r="AG495" i="4"/>
  <c r="AU481" i="4"/>
  <c r="BB481" i="4"/>
  <c r="Y476" i="4"/>
  <c r="AV462" i="4"/>
  <c r="BG462" i="4"/>
  <c r="AG450" i="4"/>
  <c r="Y450" i="4"/>
  <c r="AC445" i="4"/>
  <c r="AE445" i="4"/>
  <c r="AC443" i="4"/>
  <c r="AE443" i="4"/>
  <c r="AW426" i="4"/>
  <c r="BH426" i="4"/>
  <c r="BB424" i="4"/>
  <c r="AD421" i="4"/>
  <c r="AV417" i="4"/>
  <c r="BG417" i="4"/>
  <c r="AC402" i="4"/>
  <c r="AA402" i="4"/>
  <c r="AC400" i="4"/>
  <c r="AA400" i="4"/>
  <c r="AW369" i="4"/>
  <c r="AR366" i="4"/>
  <c r="AW347" i="4"/>
  <c r="BH347" i="4"/>
  <c r="AF347" i="4" s="1"/>
  <c r="AW341" i="4"/>
  <c r="BH341" i="4"/>
  <c r="AF341" i="4" s="1"/>
  <c r="BH309" i="4"/>
  <c r="AW309" i="4"/>
  <c r="AV303" i="4"/>
  <c r="BG303" i="4"/>
  <c r="Y282" i="4"/>
  <c r="AG282" i="4"/>
  <c r="AF258" i="4"/>
  <c r="AB258" i="4"/>
  <c r="BG239" i="4"/>
  <c r="AV239" i="4"/>
  <c r="BB237" i="4"/>
  <c r="BG576" i="4"/>
  <c r="AW574" i="4"/>
  <c r="BB574" i="4" s="1"/>
  <c r="AG574" i="4"/>
  <c r="AW564" i="4"/>
  <c r="AU564" i="4" s="1"/>
  <c r="I518" i="4"/>
  <c r="AC503" i="4"/>
  <c r="AA503" i="4"/>
  <c r="Y484" i="4"/>
  <c r="AC437" i="4"/>
  <c r="AA437" i="4"/>
  <c r="AE437" i="4"/>
  <c r="AV424" i="4"/>
  <c r="AU424" i="4" s="1"/>
  <c r="BG424" i="4"/>
  <c r="AV422" i="4"/>
  <c r="BG422" i="4"/>
  <c r="I420" i="4"/>
  <c r="AI421" i="4"/>
  <c r="AJ421" i="4"/>
  <c r="AK421" i="4"/>
  <c r="AD386" i="4"/>
  <c r="AB386" i="4"/>
  <c r="AD369" i="4"/>
  <c r="AB369" i="4"/>
  <c r="AG362" i="4"/>
  <c r="Y362" i="4"/>
  <c r="AV359" i="4"/>
  <c r="AU359" i="4" s="1"/>
  <c r="BG359" i="4"/>
  <c r="AF355" i="4"/>
  <c r="AB355" i="4"/>
  <c r="AC350" i="4"/>
  <c r="AA350" i="4"/>
  <c r="AV304" i="4"/>
  <c r="BG304" i="4"/>
  <c r="BG300" i="4"/>
  <c r="AC300" i="4" s="1"/>
  <c r="AV300" i="4"/>
  <c r="AD286" i="4"/>
  <c r="AB286" i="4"/>
  <c r="AC282" i="4"/>
  <c r="AE282" i="4"/>
  <c r="AA282" i="4"/>
  <c r="AT279" i="4"/>
  <c r="AI265" i="4"/>
  <c r="AJ265" i="4"/>
  <c r="AK265" i="4"/>
  <c r="AG261" i="4"/>
  <c r="Y261" i="4"/>
  <c r="BG642" i="4"/>
  <c r="AA642" i="4" s="1"/>
  <c r="BG638" i="4"/>
  <c r="AA638" i="4" s="1"/>
  <c r="BH634" i="4"/>
  <c r="AD634" i="4" s="1"/>
  <c r="BB619" i="4"/>
  <c r="AA619" i="4"/>
  <c r="BB616" i="4"/>
  <c r="AG615" i="4"/>
  <c r="AB613" i="4"/>
  <c r="BH611" i="4"/>
  <c r="BG604" i="4"/>
  <c r="AF591" i="4"/>
  <c r="AB589" i="4"/>
  <c r="AG582" i="4"/>
  <c r="AW569" i="4"/>
  <c r="BB569" i="4" s="1"/>
  <c r="AA568" i="4"/>
  <c r="AB555" i="4"/>
  <c r="BH544" i="4"/>
  <c r="BG538" i="4"/>
  <c r="AA537" i="4"/>
  <c r="BB536" i="4"/>
  <c r="AA536" i="4"/>
  <c r="BB527" i="4"/>
  <c r="BG525" i="4"/>
  <c r="BG524" i="4"/>
  <c r="BB521" i="4"/>
  <c r="BG516" i="4"/>
  <c r="AW477" i="4"/>
  <c r="BB477" i="4" s="1"/>
  <c r="BH477" i="4"/>
  <c r="AI463" i="4"/>
  <c r="AJ463" i="4"/>
  <c r="AK463" i="4"/>
  <c r="BH457" i="4"/>
  <c r="AF457" i="4" s="1"/>
  <c r="AW457" i="4"/>
  <c r="Y455" i="4"/>
  <c r="AG455" i="4"/>
  <c r="AC447" i="4"/>
  <c r="AE447" i="4"/>
  <c r="AA447" i="4"/>
  <c r="AA443" i="4"/>
  <c r="AC438" i="4"/>
  <c r="AA438" i="4"/>
  <c r="AE438" i="4"/>
  <c r="AW421" i="4"/>
  <c r="BB421" i="4" s="1"/>
  <c r="AI405" i="4"/>
  <c r="AJ405" i="4"/>
  <c r="I404" i="4"/>
  <c r="AK405" i="4"/>
  <c r="AV390" i="4"/>
  <c r="BG390" i="4"/>
  <c r="AV358" i="4"/>
  <c r="BG358" i="4"/>
  <c r="AI350" i="4"/>
  <c r="AR349" i="4" s="1"/>
  <c r="AJ350" i="4"/>
  <c r="AK350" i="4"/>
  <c r="I349" i="4"/>
  <c r="AV333" i="4"/>
  <c r="BB333" i="4" s="1"/>
  <c r="BG333" i="4"/>
  <c r="AG330" i="4"/>
  <c r="AD311" i="4"/>
  <c r="AB311" i="4"/>
  <c r="AJ309" i="4"/>
  <c r="AI309" i="4"/>
  <c r="AK309" i="4"/>
  <c r="AG305" i="4"/>
  <c r="AJ304" i="4"/>
  <c r="AK304" i="4"/>
  <c r="AG604" i="4"/>
  <c r="AR554" i="4"/>
  <c r="Y538" i="4"/>
  <c r="AE527" i="4"/>
  <c r="AG524" i="4"/>
  <c r="AU503" i="4"/>
  <c r="BB503" i="4"/>
  <c r="AD499" i="4"/>
  <c r="AF499" i="4"/>
  <c r="AV495" i="4"/>
  <c r="BG495" i="4"/>
  <c r="Y490" i="4"/>
  <c r="AF481" i="4"/>
  <c r="AB481" i="4"/>
  <c r="AU457" i="4"/>
  <c r="AG454" i="4"/>
  <c r="Y454" i="4"/>
  <c r="I453" i="4"/>
  <c r="AK454" i="4"/>
  <c r="AF435" i="4"/>
  <c r="AD435" i="4"/>
  <c r="Y433" i="4"/>
  <c r="AG433" i="4"/>
  <c r="Y426" i="4"/>
  <c r="AG426" i="4"/>
  <c r="AI426" i="4"/>
  <c r="AK426" i="4"/>
  <c r="AI424" i="4"/>
  <c r="AK424" i="4"/>
  <c r="Y417" i="4"/>
  <c r="AG417" i="4"/>
  <c r="AC415" i="4"/>
  <c r="AA415" i="4"/>
  <c r="AF412" i="4"/>
  <c r="AB412" i="4"/>
  <c r="AV394" i="4"/>
  <c r="BG394" i="4"/>
  <c r="AW378" i="4"/>
  <c r="BH378" i="4"/>
  <c r="AC365" i="4"/>
  <c r="AE365" i="4"/>
  <c r="Y347" i="4"/>
  <c r="AG347" i="4"/>
  <c r="AS332" i="4"/>
  <c r="AJ295" i="4"/>
  <c r="AI295" i="4"/>
  <c r="I292" i="4"/>
  <c r="AI293" i="4"/>
  <c r="AG228" i="4"/>
  <c r="Y228" i="4"/>
  <c r="AU221" i="4"/>
  <c r="AU646" i="4"/>
  <c r="AJ644" i="4"/>
  <c r="AS643" i="4" s="1"/>
  <c r="AB615" i="4"/>
  <c r="AU569" i="4"/>
  <c r="I554" i="4"/>
  <c r="AA544" i="4"/>
  <c r="AS540" i="4"/>
  <c r="AI507" i="4"/>
  <c r="AJ507" i="4"/>
  <c r="AS505" i="4" s="1"/>
  <c r="AI506" i="4"/>
  <c r="AJ506" i="4"/>
  <c r="AF495" i="4"/>
  <c r="BG490" i="4"/>
  <c r="AG479" i="4"/>
  <c r="Y479" i="4"/>
  <c r="Y471" i="4"/>
  <c r="AC449" i="4"/>
  <c r="AE449" i="4"/>
  <c r="AC433" i="4"/>
  <c r="AE433" i="4"/>
  <c r="AV432" i="4"/>
  <c r="BG432" i="4"/>
  <c r="BG426" i="4"/>
  <c r="AF418" i="4"/>
  <c r="AB418" i="4"/>
  <c r="AD418" i="4"/>
  <c r="AC405" i="4"/>
  <c r="AE405" i="4"/>
  <c r="AA405" i="4"/>
  <c r="BB374" i="4"/>
  <c r="AU374" i="4"/>
  <c r="AU362" i="4"/>
  <c r="AV355" i="4"/>
  <c r="BG355" i="4"/>
  <c r="AD336" i="4"/>
  <c r="AI333" i="4"/>
  <c r="AK333" i="4"/>
  <c r="AD307" i="4"/>
  <c r="AB307" i="4"/>
  <c r="AF307" i="4"/>
  <c r="Y304" i="4"/>
  <c r="AG304" i="4"/>
  <c r="AV261" i="4"/>
  <c r="BG261" i="4"/>
  <c r="AA261" i="4" s="1"/>
  <c r="AU240" i="4"/>
  <c r="BB240" i="4"/>
  <c r="AJ202" i="4"/>
  <c r="AK202" i="4"/>
  <c r="AI202" i="4"/>
  <c r="AD160" i="4"/>
  <c r="AB160" i="4"/>
  <c r="AG635" i="4"/>
  <c r="BB631" i="4"/>
  <c r="AS597" i="4"/>
  <c r="AB591" i="4"/>
  <c r="Y588" i="4"/>
  <c r="AG560" i="4"/>
  <c r="AA527" i="4"/>
  <c r="Y514" i="4"/>
  <c r="AG514" i="4"/>
  <c r="AI509" i="4"/>
  <c r="AJ509" i="4"/>
  <c r="I505" i="4"/>
  <c r="AB495" i="4"/>
  <c r="AB469" i="4"/>
  <c r="AD449" i="4"/>
  <c r="AV443" i="4"/>
  <c r="AG441" i="4"/>
  <c r="Y441" i="4"/>
  <c r="AC440" i="4"/>
  <c r="AE440" i="4"/>
  <c r="AU435" i="4"/>
  <c r="AU428" i="4"/>
  <c r="BH424" i="4"/>
  <c r="BH422" i="4"/>
  <c r="AF422" i="4" s="1"/>
  <c r="AC421" i="4"/>
  <c r="AA421" i="4"/>
  <c r="Y410" i="4"/>
  <c r="AG410" i="4"/>
  <c r="AV402" i="4"/>
  <c r="AA396" i="4"/>
  <c r="AE380" i="4"/>
  <c r="BH326" i="4"/>
  <c r="AW326" i="4"/>
  <c r="AK322" i="4"/>
  <c r="AI322" i="4"/>
  <c r="AR321" i="4" s="1"/>
  <c r="AJ322" i="4"/>
  <c r="I321" i="4"/>
  <c r="AB298" i="4"/>
  <c r="AF298" i="4"/>
  <c r="BH297" i="4"/>
  <c r="AJ294" i="4"/>
  <c r="AI294" i="4"/>
  <c r="BH242" i="4"/>
  <c r="AV232" i="4"/>
  <c r="BG232" i="4"/>
  <c r="AW212" i="4"/>
  <c r="BH212" i="4"/>
  <c r="AW199" i="4"/>
  <c r="BH199" i="4"/>
  <c r="AD199" i="4" s="1"/>
  <c r="Y188" i="4"/>
  <c r="AU160" i="4"/>
  <c r="BB160" i="4"/>
  <c r="AC136" i="4"/>
  <c r="AA136" i="4"/>
  <c r="AU75" i="4"/>
  <c r="BB75" i="4"/>
  <c r="AU477" i="4"/>
  <c r="AI469" i="4"/>
  <c r="BG450" i="4"/>
  <c r="BH428" i="4"/>
  <c r="BH415" i="4"/>
  <c r="AK413" i="4"/>
  <c r="BG412" i="4"/>
  <c r="BG410" i="4"/>
  <c r="AE406" i="4"/>
  <c r="Y396" i="4"/>
  <c r="Y380" i="4"/>
  <c r="Y374" i="4"/>
  <c r="Y372" i="4"/>
  <c r="BG367" i="4"/>
  <c r="AJ358" i="4"/>
  <c r="AS357" i="4" s="1"/>
  <c r="AJ355" i="4"/>
  <c r="AA353" i="4"/>
  <c r="BH344" i="4"/>
  <c r="Y343" i="4"/>
  <c r="BG330" i="4"/>
  <c r="AJ307" i="4"/>
  <c r="AK307" i="4"/>
  <c r="AJ305" i="4"/>
  <c r="AK305" i="4"/>
  <c r="BG284" i="4"/>
  <c r="AV284" i="4"/>
  <c r="AU284" i="4" s="1"/>
  <c r="AC280" i="4"/>
  <c r="AA280" i="4"/>
  <c r="AA276" i="4"/>
  <c r="AE276" i="4"/>
  <c r="AW274" i="4"/>
  <c r="BH274" i="4"/>
  <c r="AV255" i="4"/>
  <c r="AW245" i="4"/>
  <c r="BH245" i="4"/>
  <c r="AE234" i="4"/>
  <c r="BH228" i="4"/>
  <c r="AD219" i="4"/>
  <c r="AB219" i="4"/>
  <c r="AJ173" i="4"/>
  <c r="AI173" i="4"/>
  <c r="AK173" i="4"/>
  <c r="AC48" i="4"/>
  <c r="AE48" i="4"/>
  <c r="AE40" i="4"/>
  <c r="BB438" i="4"/>
  <c r="AU408" i="4"/>
  <c r="AU405" i="4"/>
  <c r="AG400" i="4"/>
  <c r="Y394" i="4"/>
  <c r="AD317" i="4"/>
  <c r="AU297" i="4"/>
  <c r="BB297" i="4"/>
  <c r="Y280" i="4"/>
  <c r="AG280" i="4"/>
  <c r="AW265" i="4"/>
  <c r="BH265" i="4"/>
  <c r="AD260" i="4"/>
  <c r="AB260" i="4"/>
  <c r="AJ223" i="4"/>
  <c r="AK223" i="4"/>
  <c r="BB221" i="4"/>
  <c r="Y194" i="4"/>
  <c r="AU449" i="4"/>
  <c r="Y449" i="4"/>
  <c r="BB445" i="4"/>
  <c r="AG398" i="4"/>
  <c r="I385" i="4"/>
  <c r="BH282" i="4"/>
  <c r="AW282" i="4"/>
  <c r="AB280" i="4"/>
  <c r="AK272" i="4"/>
  <c r="BG265" i="4"/>
  <c r="AE265" i="4" s="1"/>
  <c r="AV265" i="4"/>
  <c r="AJ251" i="4"/>
  <c r="AI251" i="4"/>
  <c r="AK251" i="4"/>
  <c r="AG246" i="4"/>
  <c r="Y246" i="4"/>
  <c r="AA245" i="4"/>
  <c r="AE245" i="4"/>
  <c r="AE237" i="4"/>
  <c r="Y231" i="4"/>
  <c r="AV214" i="4"/>
  <c r="BB214" i="4" s="1"/>
  <c r="BG214" i="4"/>
  <c r="AE214" i="4" s="1"/>
  <c r="Y212" i="4"/>
  <c r="AV162" i="4"/>
  <c r="BG162" i="4"/>
  <c r="AE519" i="4"/>
  <c r="BB506" i="4"/>
  <c r="AG497" i="4"/>
  <c r="Y488" i="4"/>
  <c r="Y481" i="4"/>
  <c r="Y472" i="4"/>
  <c r="AE452" i="4"/>
  <c r="BG418" i="4"/>
  <c r="AJ408" i="4"/>
  <c r="AF398" i="4"/>
  <c r="Y390" i="4"/>
  <c r="AG359" i="4"/>
  <c r="AA347" i="4"/>
  <c r="Y337" i="4"/>
  <c r="AK330" i="4"/>
  <c r="BH305" i="4"/>
  <c r="AW305" i="4"/>
  <c r="AI290" i="4"/>
  <c r="AR289" i="4" s="1"/>
  <c r="I289" i="4"/>
  <c r="AD284" i="4"/>
  <c r="AB284" i="4"/>
  <c r="AJ272" i="4"/>
  <c r="BB268" i="4"/>
  <c r="BG228" i="4"/>
  <c r="AV228" i="4"/>
  <c r="AF225" i="4"/>
  <c r="AD216" i="4"/>
  <c r="AB216" i="4"/>
  <c r="AJ216" i="4"/>
  <c r="AK216" i="4"/>
  <c r="AG193" i="4"/>
  <c r="Y193" i="4"/>
  <c r="AW170" i="4"/>
  <c r="BH170" i="4"/>
  <c r="AI165" i="4"/>
  <c r="AK165" i="4"/>
  <c r="BB153" i="4"/>
  <c r="AR53" i="4"/>
  <c r="AG493" i="4"/>
  <c r="BH438" i="4"/>
  <c r="AK415" i="4"/>
  <c r="BB412" i="4"/>
  <c r="AJ386" i="4"/>
  <c r="AS385" i="4" s="1"/>
  <c r="BH380" i="4"/>
  <c r="BH372" i="4"/>
  <c r="AK353" i="4"/>
  <c r="AC319" i="4"/>
  <c r="AA319" i="4"/>
  <c r="AG313" i="4"/>
  <c r="BG305" i="4"/>
  <c r="AV305" i="4"/>
  <c r="BH304" i="4"/>
  <c r="AW304" i="4"/>
  <c r="AD300" i="4"/>
  <c r="AB300" i="4"/>
  <c r="AJ298" i="4"/>
  <c r="AI298" i="4"/>
  <c r="BH293" i="4"/>
  <c r="AW293" i="4"/>
  <c r="AI280" i="4"/>
  <c r="AR279" i="4" s="1"/>
  <c r="I279" i="4"/>
  <c r="AJ280" i="4"/>
  <c r="AG272" i="4"/>
  <c r="Y272" i="4"/>
  <c r="BB242" i="4"/>
  <c r="AE240" i="4"/>
  <c r="AG236" i="4"/>
  <c r="Y236" i="4"/>
  <c r="AI191" i="4"/>
  <c r="AJ191" i="4"/>
  <c r="AK191" i="4"/>
  <c r="AG178" i="4"/>
  <c r="Y178" i="4"/>
  <c r="AI160" i="4"/>
  <c r="AJ160" i="4"/>
  <c r="AK160" i="4"/>
  <c r="AC139" i="4"/>
  <c r="AA139" i="4"/>
  <c r="AE139" i="4"/>
  <c r="Y268" i="4"/>
  <c r="BB234" i="4"/>
  <c r="BB223" i="4"/>
  <c r="AJ204" i="4"/>
  <c r="AJ196" i="4"/>
  <c r="AJ187" i="4"/>
  <c r="BH171" i="4"/>
  <c r="BB156" i="4"/>
  <c r="BG137" i="4"/>
  <c r="Y88" i="4"/>
  <c r="AJ75" i="4"/>
  <c r="BH68" i="4"/>
  <c r="AJ66" i="4"/>
  <c r="BG63" i="4"/>
  <c r="AB54" i="4"/>
  <c r="Y46" i="4"/>
  <c r="Y40" i="4"/>
  <c r="AI32" i="4"/>
  <c r="AI30" i="4"/>
  <c r="AI22" i="4"/>
  <c r="I13" i="4"/>
  <c r="Y294" i="4"/>
  <c r="AG274" i="4"/>
  <c r="AJ147" i="4"/>
  <c r="BB128" i="4"/>
  <c r="AE128" i="4"/>
  <c r="BH113" i="4"/>
  <c r="AW108" i="4"/>
  <c r="BB108" i="4" s="1"/>
  <c r="AR98" i="4"/>
  <c r="BB77" i="4"/>
  <c r="BH75" i="4"/>
  <c r="AI75" i="4"/>
  <c r="AI66" i="4"/>
  <c r="BH59" i="4"/>
  <c r="AD51" i="4"/>
  <c r="AV40" i="4"/>
  <c r="AK35" i="4"/>
  <c r="AT34" i="4" s="1"/>
  <c r="BG32" i="4"/>
  <c r="BG30" i="4"/>
  <c r="BG22" i="4"/>
  <c r="Y295" i="4"/>
  <c r="BB225" i="4"/>
  <c r="AU210" i="4"/>
  <c r="BH151" i="4"/>
  <c r="AE151" i="4"/>
  <c r="AW149" i="4"/>
  <c r="BB149" i="4" s="1"/>
  <c r="AI147" i="4"/>
  <c r="AW146" i="4"/>
  <c r="BB146" i="4" s="1"/>
  <c r="BB144" i="4"/>
  <c r="BB136" i="4"/>
  <c r="AK129" i="4"/>
  <c r="AA128" i="4"/>
  <c r="AR34" i="4"/>
  <c r="AJ35" i="4"/>
  <c r="AS34" i="4" s="1"/>
  <c r="BB26" i="4"/>
  <c r="AU193" i="4"/>
  <c r="AU178" i="4"/>
  <c r="AA151" i="4"/>
  <c r="AE147" i="4"/>
  <c r="AE141" i="4"/>
  <c r="AJ129" i="4"/>
  <c r="BH66" i="4"/>
  <c r="AF61" i="4"/>
  <c r="AU51" i="4"/>
  <c r="AG35" i="4"/>
  <c r="AA147" i="4"/>
  <c r="AA141" i="4"/>
  <c r="I127" i="4"/>
  <c r="AK124" i="4"/>
  <c r="AV116" i="4"/>
  <c r="AF77" i="4"/>
  <c r="AE61" i="4"/>
  <c r="AE46" i="4"/>
  <c r="AU204" i="4"/>
  <c r="AU187" i="4"/>
  <c r="Y173" i="4"/>
  <c r="AE155" i="4"/>
  <c r="AE153" i="4"/>
  <c r="AE143" i="4"/>
  <c r="AJ124" i="4"/>
  <c r="AS120" i="4" s="1"/>
  <c r="AR120" i="4"/>
  <c r="AA105" i="4"/>
  <c r="BB99" i="4"/>
  <c r="AB77" i="4"/>
  <c r="AG67" i="4"/>
  <c r="I65" i="4"/>
  <c r="BB63" i="4"/>
  <c r="BB30" i="4"/>
  <c r="AA24" i="4"/>
  <c r="AA14" i="4"/>
  <c r="AA153" i="4"/>
  <c r="AG149" i="4"/>
  <c r="AE144" i="4"/>
  <c r="BB143" i="4"/>
  <c r="AA143" i="4"/>
  <c r="I120" i="4"/>
  <c r="AG46" i="16"/>
  <c r="Y46" i="16"/>
  <c r="AK30" i="16"/>
  <c r="AJ30" i="16"/>
  <c r="AE40" i="16"/>
  <c r="AC40" i="16"/>
  <c r="Y67" i="16"/>
  <c r="BI35" i="16"/>
  <c r="AG35" i="16" s="1"/>
  <c r="BC24" i="16"/>
  <c r="AB46" i="16"/>
  <c r="BG60" i="16"/>
  <c r="AC60" i="16" s="1"/>
  <c r="AJ57" i="16"/>
  <c r="AO50" i="16"/>
  <c r="BH50" i="16" s="1"/>
  <c r="I46" i="16"/>
  <c r="BH40" i="16"/>
  <c r="AK40" i="16"/>
  <c r="BC35" i="16"/>
  <c r="AN29" i="16"/>
  <c r="BI27" i="16"/>
  <c r="AG27" i="16" s="1"/>
  <c r="AN19" i="16"/>
  <c r="BG19" i="16" s="1"/>
  <c r="BI14" i="16"/>
  <c r="BI54" i="16"/>
  <c r="BI22" i="16"/>
  <c r="BG67" i="16"/>
  <c r="AC67" i="16" s="1"/>
  <c r="BG65" i="16"/>
  <c r="AE65" i="16" s="1"/>
  <c r="BH57" i="16"/>
  <c r="BC54" i="16"/>
  <c r="AO53" i="16"/>
  <c r="BH53" i="16" s="1"/>
  <c r="AF53" i="16" s="1"/>
  <c r="BC43" i="16"/>
  <c r="AJ40" i="16"/>
  <c r="AV35" i="16"/>
  <c r="AJ29" i="16"/>
  <c r="AV14" i="16"/>
  <c r="BH65" i="16"/>
  <c r="AB65" i="16" s="1"/>
  <c r="BG57" i="16"/>
  <c r="AE57" i="16" s="1"/>
  <c r="AN53" i="16"/>
  <c r="BG53" i="16" s="1"/>
  <c r="AN39" i="16"/>
  <c r="BG62" i="16"/>
  <c r="AA62" i="16" s="1"/>
  <c r="AN54" i="16"/>
  <c r="BG54" i="16" s="1"/>
  <c r="AE54" i="16" s="1"/>
  <c r="AO43" i="16"/>
  <c r="BH43" i="16" s="1"/>
  <c r="BI29" i="16"/>
  <c r="AO27" i="16"/>
  <c r="AW27" i="16" s="1"/>
  <c r="BI60" i="16"/>
  <c r="AW57" i="16"/>
  <c r="BB40" i="16"/>
  <c r="AN27" i="16"/>
  <c r="BG27" i="16" s="1"/>
  <c r="Y82" i="13"/>
  <c r="AG82" i="13"/>
  <c r="AI106" i="13"/>
  <c r="AK106" i="13"/>
  <c r="AJ106" i="13"/>
  <c r="AG39" i="13"/>
  <c r="Y39" i="13"/>
  <c r="AI22" i="13"/>
  <c r="AJ22" i="13"/>
  <c r="AK22" i="13"/>
  <c r="AA88" i="13"/>
  <c r="AI119" i="13"/>
  <c r="AK119" i="13"/>
  <c r="AJ119" i="13"/>
  <c r="AG97" i="13"/>
  <c r="Y97" i="13"/>
  <c r="AG130" i="13"/>
  <c r="Y130" i="13"/>
  <c r="AV132" i="13"/>
  <c r="BH126" i="13"/>
  <c r="AG126" i="13"/>
  <c r="BG107" i="13"/>
  <c r="AA107" i="13" s="1"/>
  <c r="I82" i="13"/>
  <c r="AK82" i="13" s="1"/>
  <c r="BC46" i="13"/>
  <c r="BG19" i="13"/>
  <c r="AA19" i="13" s="1"/>
  <c r="BG126" i="13"/>
  <c r="AA126" i="13" s="1"/>
  <c r="BC107" i="13"/>
  <c r="BH134" i="13"/>
  <c r="AN132" i="13"/>
  <c r="BI132" i="13"/>
  <c r="BI119" i="13"/>
  <c r="AG119" i="13" s="1"/>
  <c r="BI109" i="13"/>
  <c r="AO96" i="13"/>
  <c r="BH96" i="13" s="1"/>
  <c r="AN73" i="13"/>
  <c r="BG73" i="13" s="1"/>
  <c r="AC73" i="13" s="1"/>
  <c r="AF60" i="13"/>
  <c r="Y58" i="13"/>
  <c r="AN51" i="13"/>
  <c r="AV51" i="13" s="1"/>
  <c r="BG36" i="13"/>
  <c r="BG28" i="13"/>
  <c r="AA28" i="13" s="1"/>
  <c r="BC135" i="13"/>
  <c r="BH132" i="13"/>
  <c r="AO128" i="13"/>
  <c r="AW128" i="13" s="1"/>
  <c r="AO107" i="13"/>
  <c r="I100" i="13"/>
  <c r="BI99" i="13"/>
  <c r="BH52" i="13"/>
  <c r="AD52" i="13" s="1"/>
  <c r="AW44" i="13"/>
  <c r="I44" i="13"/>
  <c r="BH25" i="13"/>
  <c r="AF25" i="13" s="1"/>
  <c r="BC22" i="13"/>
  <c r="AO19" i="13"/>
  <c r="BH19" i="13" s="1"/>
  <c r="AB19" i="13" s="1"/>
  <c r="AO135" i="13"/>
  <c r="BG132" i="13"/>
  <c r="AA132" i="13" s="1"/>
  <c r="BC130" i="13"/>
  <c r="AW126" i="13"/>
  <c r="BC119" i="13"/>
  <c r="BG110" i="13"/>
  <c r="BC106" i="13"/>
  <c r="AO104" i="13"/>
  <c r="BH104" i="13" s="1"/>
  <c r="BH51" i="13"/>
  <c r="AG51" i="13"/>
  <c r="AV44" i="13"/>
  <c r="BB44" i="13" s="1"/>
  <c r="BC36" i="13"/>
  <c r="AN22" i="13"/>
  <c r="AV22" i="13" s="1"/>
  <c r="AU22" i="13" s="1"/>
  <c r="AV126" i="13"/>
  <c r="I126" i="13"/>
  <c r="AN119" i="13"/>
  <c r="AV119" i="13" s="1"/>
  <c r="AO110" i="13"/>
  <c r="AW110" i="13" s="1"/>
  <c r="AN106" i="13"/>
  <c r="AN104" i="13"/>
  <c r="BG104" i="13" s="1"/>
  <c r="BC97" i="13"/>
  <c r="BH88" i="13"/>
  <c r="AW60" i="13"/>
  <c r="I60" i="13"/>
  <c r="AO53" i="13"/>
  <c r="BH53" i="13" s="1"/>
  <c r="BG51" i="13"/>
  <c r="AA51" i="13" s="1"/>
  <c r="BI28" i="13"/>
  <c r="BG128" i="13"/>
  <c r="BH115" i="13"/>
  <c r="AF115" i="13" s="1"/>
  <c r="AV60" i="13"/>
  <c r="AN53" i="13"/>
  <c r="BG53" i="13" s="1"/>
  <c r="BG46" i="13"/>
  <c r="AO36" i="13"/>
  <c r="AW36" i="13" s="1"/>
  <c r="BC28" i="13"/>
  <c r="I20" i="13"/>
  <c r="AK14" i="13"/>
  <c r="AW51" i="13"/>
  <c r="I51" i="13"/>
  <c r="AI51" i="13" s="1"/>
  <c r="BH46" i="13"/>
  <c r="AB46" i="13" s="1"/>
  <c r="BH44" i="13"/>
  <c r="BC39" i="13"/>
  <c r="I82" i="10"/>
  <c r="AJ83" i="10"/>
  <c r="AS82" i="10" s="1"/>
  <c r="AK83" i="10"/>
  <c r="AT82" i="10" s="1"/>
  <c r="AW113" i="10"/>
  <c r="BH113" i="10"/>
  <c r="AB113" i="10" s="1"/>
  <c r="AV79" i="10"/>
  <c r="BG79" i="10"/>
  <c r="AJ79" i="10"/>
  <c r="BH202" i="10"/>
  <c r="AD202" i="10" s="1"/>
  <c r="BG195" i="10"/>
  <c r="AW171" i="10"/>
  <c r="BH171" i="10"/>
  <c r="AV205" i="10"/>
  <c r="BG205" i="10"/>
  <c r="AI131" i="10"/>
  <c r="AJ131" i="10"/>
  <c r="AK131" i="10"/>
  <c r="AW28" i="10"/>
  <c r="BH28" i="10"/>
  <c r="Y114" i="10"/>
  <c r="AG114" i="10"/>
  <c r="BH133" i="10"/>
  <c r="AB133" i="10" s="1"/>
  <c r="AW133" i="10"/>
  <c r="BG206" i="10"/>
  <c r="AK193" i="10"/>
  <c r="AT192" i="10" s="1"/>
  <c r="I188" i="10"/>
  <c r="AO184" i="10"/>
  <c r="BH184" i="10" s="1"/>
  <c r="AW163" i="10"/>
  <c r="AU163" i="10" s="1"/>
  <c r="Y163" i="10"/>
  <c r="BI148" i="10"/>
  <c r="BC143" i="10"/>
  <c r="I143" i="10"/>
  <c r="BC135" i="10"/>
  <c r="AN133" i="10"/>
  <c r="I128" i="10"/>
  <c r="AI128" i="10" s="1"/>
  <c r="I124" i="10"/>
  <c r="BI96" i="10"/>
  <c r="I91" i="10"/>
  <c r="BG86" i="10"/>
  <c r="BH206" i="10"/>
  <c r="AB206" i="10" s="1"/>
  <c r="AN204" i="10"/>
  <c r="AV204" i="10" s="1"/>
  <c r="AU204" i="10" s="1"/>
  <c r="AF200" i="10"/>
  <c r="BH193" i="10"/>
  <c r="AI193" i="10"/>
  <c r="AR192" i="10" s="1"/>
  <c r="BH188" i="10"/>
  <c r="AN184" i="10"/>
  <c r="BG184" i="10" s="1"/>
  <c r="AC184" i="10" s="1"/>
  <c r="I165" i="10"/>
  <c r="AV163" i="10"/>
  <c r="AN150" i="10"/>
  <c r="AV150" i="10" s="1"/>
  <c r="BC148" i="10"/>
  <c r="BB143" i="10"/>
  <c r="BH143" i="10"/>
  <c r="AF143" i="10" s="1"/>
  <c r="BI83" i="10"/>
  <c r="AG83" i="10" s="1"/>
  <c r="AV80" i="10"/>
  <c r="AO75" i="10"/>
  <c r="BH75" i="10" s="1"/>
  <c r="AN71" i="10"/>
  <c r="AV71" i="10" s="1"/>
  <c r="AW14" i="10"/>
  <c r="BB14" i="10" s="1"/>
  <c r="I14" i="10"/>
  <c r="Y204" i="10"/>
  <c r="BC195" i="10"/>
  <c r="I180" i="10"/>
  <c r="BG174" i="10"/>
  <c r="AA174" i="10" s="1"/>
  <c r="AO163" i="10"/>
  <c r="BH163" i="10" s="1"/>
  <c r="I163" i="10"/>
  <c r="AI163" i="10" s="1"/>
  <c r="BG162" i="10"/>
  <c r="AA162" i="10" s="1"/>
  <c r="BI157" i="10"/>
  <c r="I157" i="10"/>
  <c r="AI157" i="10" s="1"/>
  <c r="AO153" i="10"/>
  <c r="AW153" i="10" s="1"/>
  <c r="AO140" i="10"/>
  <c r="BH140" i="10" s="1"/>
  <c r="BI136" i="10"/>
  <c r="BG126" i="10"/>
  <c r="AA126" i="10" s="1"/>
  <c r="AW119" i="10"/>
  <c r="AB99" i="10"/>
  <c r="BI94" i="10"/>
  <c r="BG87" i="10"/>
  <c r="BH54" i="10"/>
  <c r="AB54" i="10" s="1"/>
  <c r="BC46" i="10"/>
  <c r="AN25" i="10"/>
  <c r="BC24" i="10"/>
  <c r="AN22" i="10"/>
  <c r="BG22" i="10" s="1"/>
  <c r="AA22" i="10" s="1"/>
  <c r="AN18" i="10"/>
  <c r="AV18" i="10" s="1"/>
  <c r="BB18" i="10" s="1"/>
  <c r="AN14" i="10"/>
  <c r="AV14" i="10" s="1"/>
  <c r="BC205" i="10"/>
  <c r="I205" i="10"/>
  <c r="AW204" i="10"/>
  <c r="AC202" i="10"/>
  <c r="AO195" i="10"/>
  <c r="AW195" i="10" s="1"/>
  <c r="BH180" i="10"/>
  <c r="BH174" i="10"/>
  <c r="AB174" i="10" s="1"/>
  <c r="BG167" i="10"/>
  <c r="AC167" i="10" s="1"/>
  <c r="BG157" i="10"/>
  <c r="AA157" i="10" s="1"/>
  <c r="AN153" i="10"/>
  <c r="BH152" i="10"/>
  <c r="AD152" i="10" s="1"/>
  <c r="BI141" i="10"/>
  <c r="AN140" i="10"/>
  <c r="BG140" i="10" s="1"/>
  <c r="AE140" i="10" s="1"/>
  <c r="BG136" i="10"/>
  <c r="AA136" i="10" s="1"/>
  <c r="BG133" i="10"/>
  <c r="AC133" i="10" s="1"/>
  <c r="BC126" i="10"/>
  <c r="BI124" i="10"/>
  <c r="AG124" i="10" s="1"/>
  <c r="BI122" i="10"/>
  <c r="AN118" i="10"/>
  <c r="AN116" i="10"/>
  <c r="BG116" i="10" s="1"/>
  <c r="AA116" i="10" s="1"/>
  <c r="I107" i="10"/>
  <c r="AK103" i="10"/>
  <c r="AN96" i="10"/>
  <c r="BG96" i="10" s="1"/>
  <c r="AA96" i="10" s="1"/>
  <c r="BC94" i="10"/>
  <c r="BI89" i="10"/>
  <c r="I89" i="10"/>
  <c r="AI89" i="10" s="1"/>
  <c r="BC197" i="10"/>
  <c r="BI150" i="10"/>
  <c r="BC141" i="10"/>
  <c r="I136" i="10"/>
  <c r="AI136" i="10" s="1"/>
  <c r="BC124" i="10"/>
  <c r="BG113" i="10"/>
  <c r="AA113" i="10" s="1"/>
  <c r="AJ103" i="10"/>
  <c r="BC86" i="10"/>
  <c r="BC54" i="10"/>
  <c r="AO48" i="10"/>
  <c r="BI205" i="10"/>
  <c r="AG205" i="10" s="1"/>
  <c r="AO197" i="10"/>
  <c r="BH197" i="10" s="1"/>
  <c r="BC190" i="10"/>
  <c r="BC180" i="10"/>
  <c r="BC169" i="10"/>
  <c r="BI162" i="10"/>
  <c r="BH144" i="10"/>
  <c r="AD144" i="10" s="1"/>
  <c r="BH136" i="10"/>
  <c r="AF136" i="10" s="1"/>
  <c r="BC133" i="10"/>
  <c r="AO126" i="10"/>
  <c r="BH126" i="10" s="1"/>
  <c r="AB126" i="10" s="1"/>
  <c r="AN124" i="10"/>
  <c r="AV124" i="10" s="1"/>
  <c r="BG105" i="10"/>
  <c r="AA105" i="10" s="1"/>
  <c r="AO86" i="10"/>
  <c r="BH86" i="10" s="1"/>
  <c r="AN83" i="10"/>
  <c r="AV83" i="10" s="1"/>
  <c r="I80" i="10"/>
  <c r="BG75" i="10"/>
  <c r="AW54" i="10"/>
  <c r="AN48" i="10"/>
  <c r="AO40" i="10"/>
  <c r="BH40" i="10" s="1"/>
  <c r="AA34" i="10"/>
  <c r="BI17" i="10"/>
  <c r="AG17" i="10" s="1"/>
  <c r="I121" i="10"/>
  <c r="I118" i="10"/>
  <c r="AN109" i="10"/>
  <c r="BG109" i="10" s="1"/>
  <c r="AE109" i="10" s="1"/>
  <c r="BG94" i="10"/>
  <c r="AA94" i="10" s="1"/>
  <c r="AN89" i="10"/>
  <c r="AV89" i="10" s="1"/>
  <c r="BI87" i="10"/>
  <c r="AN54" i="10"/>
  <c r="AV54" i="10" s="1"/>
  <c r="BC50" i="10"/>
  <c r="Y48" i="10"/>
  <c r="AK40" i="10"/>
  <c r="BI14" i="10"/>
  <c r="AW202" i="10"/>
  <c r="I208" i="10"/>
  <c r="AU193" i="10"/>
  <c r="Y155" i="10"/>
  <c r="AW150" i="10"/>
  <c r="BG141" i="10"/>
  <c r="AA141" i="10" s="1"/>
  <c r="BI135" i="10"/>
  <c r="AN131" i="10"/>
  <c r="AV131" i="10" s="1"/>
  <c r="BH118" i="10"/>
  <c r="AB118" i="10" s="1"/>
  <c r="AN111" i="10"/>
  <c r="AW105" i="10"/>
  <c r="BG103" i="10"/>
  <c r="AE103" i="10" s="1"/>
  <c r="I98" i="10"/>
  <c r="BC87" i="10"/>
  <c r="BC75" i="10"/>
  <c r="AK54" i="10"/>
  <c r="BH34" i="10"/>
  <c r="BH22" i="10"/>
  <c r="AB22" i="10" s="1"/>
  <c r="BC18" i="10"/>
  <c r="BC17" i="10"/>
  <c r="AC270" i="7"/>
  <c r="AA270" i="7"/>
  <c r="AV253" i="7"/>
  <c r="BG253" i="7"/>
  <c r="AD162" i="7"/>
  <c r="AB162" i="7"/>
  <c r="AF162" i="7"/>
  <c r="AD237" i="7"/>
  <c r="AB237" i="7"/>
  <c r="AD232" i="7"/>
  <c r="AB232" i="7"/>
  <c r="AF232" i="7"/>
  <c r="AI166" i="7"/>
  <c r="Y329" i="7"/>
  <c r="AG329" i="7"/>
  <c r="AC298" i="7"/>
  <c r="AA298" i="7"/>
  <c r="AD258" i="7"/>
  <c r="AB258" i="7"/>
  <c r="AF258" i="7"/>
  <c r="AB243" i="7"/>
  <c r="AI193" i="7"/>
  <c r="AJ193" i="7"/>
  <c r="AI190" i="7"/>
  <c r="AJ190" i="7"/>
  <c r="AK190" i="7"/>
  <c r="AK144" i="7"/>
  <c r="AI144" i="7"/>
  <c r="AJ144" i="7"/>
  <c r="AV131" i="7"/>
  <c r="BG131" i="7"/>
  <c r="AC131" i="7" s="1"/>
  <c r="AC293" i="7"/>
  <c r="AA293" i="7"/>
  <c r="AD251" i="7"/>
  <c r="AB251" i="7"/>
  <c r="Y128" i="7"/>
  <c r="AG128" i="7"/>
  <c r="AC284" i="7"/>
  <c r="AA284" i="7"/>
  <c r="AC256" i="7"/>
  <c r="AA256" i="7"/>
  <c r="AG303" i="7"/>
  <c r="Y303" i="7"/>
  <c r="AW290" i="7"/>
  <c r="BB290" i="7" s="1"/>
  <c r="BH290" i="7"/>
  <c r="AW239" i="7"/>
  <c r="BH239" i="7"/>
  <c r="AG232" i="7"/>
  <c r="Y232" i="7"/>
  <c r="AI143" i="7"/>
  <c r="AJ143" i="7"/>
  <c r="AK143" i="7"/>
  <c r="AD309" i="7"/>
  <c r="AB309" i="7"/>
  <c r="AF309" i="7"/>
  <c r="AW245" i="7"/>
  <c r="BH245" i="7"/>
  <c r="AW132" i="7"/>
  <c r="AO327" i="7"/>
  <c r="BI324" i="7"/>
  <c r="AW309" i="7"/>
  <c r="AO305" i="7"/>
  <c r="AW305" i="7" s="1"/>
  <c r="BG303" i="7"/>
  <c r="BI272" i="7"/>
  <c r="AN272" i="7"/>
  <c r="BG272" i="7" s="1"/>
  <c r="AE272" i="7" s="1"/>
  <c r="I272" i="7"/>
  <c r="AI272" i="7" s="1"/>
  <c r="AV265" i="7"/>
  <c r="AU265" i="7" s="1"/>
  <c r="AO263" i="7"/>
  <c r="BH263" i="7" s="1"/>
  <c r="BG258" i="7"/>
  <c r="I234" i="7"/>
  <c r="AK234" i="7" s="1"/>
  <c r="AW232" i="7"/>
  <c r="BC225" i="7"/>
  <c r="AN210" i="7"/>
  <c r="BG210" i="7" s="1"/>
  <c r="BG209" i="7"/>
  <c r="AN204" i="7"/>
  <c r="BG204" i="7" s="1"/>
  <c r="AO200" i="7"/>
  <c r="AW200" i="7" s="1"/>
  <c r="BC199" i="7"/>
  <c r="BH191" i="7"/>
  <c r="BG171" i="7"/>
  <c r="AC171" i="7" s="1"/>
  <c r="AW165" i="7"/>
  <c r="AW162" i="7"/>
  <c r="BI162" i="7"/>
  <c r="Y162" i="7" s="1"/>
  <c r="AN156" i="7"/>
  <c r="AV156" i="7" s="1"/>
  <c r="AO143" i="7"/>
  <c r="AV136" i="7"/>
  <c r="I134" i="7"/>
  <c r="AK134" i="7" s="1"/>
  <c r="AO129" i="7"/>
  <c r="BH129" i="7" s="1"/>
  <c r="AO124" i="7"/>
  <c r="BH124" i="7" s="1"/>
  <c r="BI116" i="7"/>
  <c r="AO113" i="7"/>
  <c r="AD108" i="7"/>
  <c r="BI77" i="7"/>
  <c r="BG63" i="7"/>
  <c r="AA63" i="7" s="1"/>
  <c r="I32" i="7"/>
  <c r="I329" i="7"/>
  <c r="BH324" i="7"/>
  <c r="AN305" i="7"/>
  <c r="BC303" i="7"/>
  <c r="BH298" i="7"/>
  <c r="BH295" i="7"/>
  <c r="BC284" i="7"/>
  <c r="BH272" i="7"/>
  <c r="I266" i="7"/>
  <c r="AN263" i="7"/>
  <c r="BG263" i="7" s="1"/>
  <c r="AE263" i="7" s="1"/>
  <c r="AV232" i="7"/>
  <c r="AV88" i="7"/>
  <c r="BI61" i="7"/>
  <c r="AW37" i="7"/>
  <c r="BG26" i="7"/>
  <c r="AE26" i="7" s="1"/>
  <c r="I15" i="7"/>
  <c r="BI286" i="7"/>
  <c r="BI260" i="7"/>
  <c r="AG260" i="7" s="1"/>
  <c r="BB258" i="7"/>
  <c r="BI193" i="7"/>
  <c r="BC191" i="7"/>
  <c r="AO188" i="7"/>
  <c r="BH188" i="7" s="1"/>
  <c r="BC185" i="7"/>
  <c r="BC179" i="7"/>
  <c r="AN162" i="7"/>
  <c r="BH144" i="7"/>
  <c r="AD144" i="7" s="1"/>
  <c r="BI143" i="7"/>
  <c r="AN139" i="7"/>
  <c r="BG139" i="7" s="1"/>
  <c r="AN136" i="7"/>
  <c r="BG136" i="7" s="1"/>
  <c r="AA136" i="7" s="1"/>
  <c r="I128" i="7"/>
  <c r="BI99" i="7"/>
  <c r="BH99" i="7"/>
  <c r="AV77" i="7"/>
  <c r="AO67" i="7"/>
  <c r="AW67" i="7" s="1"/>
  <c r="BI63" i="7"/>
  <c r="BC61" i="7"/>
  <c r="BC54" i="7"/>
  <c r="AN51" i="7"/>
  <c r="AN37" i="7"/>
  <c r="AV37" i="7" s="1"/>
  <c r="BC26" i="7"/>
  <c r="I24" i="7"/>
  <c r="AI24" i="7" s="1"/>
  <c r="BC16" i="7"/>
  <c r="BC15" i="7"/>
  <c r="AK327" i="7"/>
  <c r="AN330" i="7"/>
  <c r="BI327" i="7"/>
  <c r="AJ327" i="7"/>
  <c r="BC326" i="7"/>
  <c r="AN309" i="7"/>
  <c r="AV309" i="7" s="1"/>
  <c r="AU309" i="7" s="1"/>
  <c r="I309" i="7"/>
  <c r="AJ309" i="7" s="1"/>
  <c r="BG305" i="7"/>
  <c r="AB293" i="7"/>
  <c r="AA290" i="7"/>
  <c r="AO284" i="7"/>
  <c r="AW284" i="7" s="1"/>
  <c r="BI284" i="7"/>
  <c r="BC272" i="7"/>
  <c r="BI270" i="7"/>
  <c r="AG270" i="7" s="1"/>
  <c r="BI265" i="7"/>
  <c r="BG251" i="7"/>
  <c r="AO248" i="7"/>
  <c r="BG243" i="7"/>
  <c r="AO242" i="7"/>
  <c r="BG239" i="7"/>
  <c r="BG237" i="7"/>
  <c r="AO236" i="7"/>
  <c r="AJ231" i="7"/>
  <c r="I212" i="7"/>
  <c r="BG197" i="7"/>
  <c r="AC197" i="7" s="1"/>
  <c r="AO77" i="7"/>
  <c r="BH77" i="7" s="1"/>
  <c r="AN67" i="7"/>
  <c r="BG67" i="7" s="1"/>
  <c r="BC63" i="7"/>
  <c r="AO54" i="7"/>
  <c r="BI46" i="7"/>
  <c r="AW26" i="7"/>
  <c r="BI24" i="7"/>
  <c r="AG16" i="7"/>
  <c r="AW15" i="7"/>
  <c r="BH327" i="7"/>
  <c r="AF327" i="7" s="1"/>
  <c r="BI309" i="7"/>
  <c r="AO303" i="7"/>
  <c r="I303" i="7"/>
  <c r="AN248" i="7"/>
  <c r="AN242" i="7"/>
  <c r="AN236" i="7"/>
  <c r="AO228" i="7"/>
  <c r="AW228" i="7" s="1"/>
  <c r="AO179" i="7"/>
  <c r="AN168" i="7"/>
  <c r="AN155" i="7"/>
  <c r="BG155" i="7" s="1"/>
  <c r="BC151" i="7"/>
  <c r="AO146" i="7"/>
  <c r="BH136" i="7"/>
  <c r="BI136" i="7"/>
  <c r="BI124" i="7"/>
  <c r="BC108" i="7"/>
  <c r="BI88" i="7"/>
  <c r="AO63" i="7"/>
  <c r="AW63" i="7" s="1"/>
  <c r="AF61" i="7"/>
  <c r="BC46" i="7"/>
  <c r="BI32" i="7"/>
  <c r="BG27" i="7"/>
  <c r="BC24" i="7"/>
  <c r="BG327" i="7"/>
  <c r="BG225" i="7"/>
  <c r="BC216" i="7"/>
  <c r="AO209" i="7"/>
  <c r="AO175" i="7"/>
  <c r="AO151" i="7"/>
  <c r="AW151" i="7" s="1"/>
  <c r="AN146" i="7"/>
  <c r="AO144" i="7"/>
  <c r="AW144" i="7" s="1"/>
  <c r="BI139" i="7"/>
  <c r="AO131" i="7"/>
  <c r="BH131" i="7" s="1"/>
  <c r="BH121" i="7"/>
  <c r="I121" i="7"/>
  <c r="AJ121" i="7" s="1"/>
  <c r="AO105" i="7"/>
  <c r="AW105" i="7" s="1"/>
  <c r="BG88" i="7"/>
  <c r="AE88" i="7" s="1"/>
  <c r="BC68" i="7"/>
  <c r="Y300" i="7"/>
  <c r="BG297" i="7"/>
  <c r="AN295" i="7"/>
  <c r="BG295" i="7" s="1"/>
  <c r="AE295" i="7" s="1"/>
  <c r="AO282" i="7"/>
  <c r="BH282" i="7" s="1"/>
  <c r="AF282" i="7" s="1"/>
  <c r="AC280" i="7"/>
  <c r="I274" i="7"/>
  <c r="AJ274" i="7" s="1"/>
  <c r="AO270" i="7"/>
  <c r="BH270" i="7" s="1"/>
  <c r="AB265" i="7"/>
  <c r="AO261" i="7"/>
  <c r="AW261" i="7" s="1"/>
  <c r="AO253" i="7"/>
  <c r="AW253" i="7" s="1"/>
  <c r="AV239" i="7"/>
  <c r="AU239" i="7" s="1"/>
  <c r="BH231" i="7"/>
  <c r="I228" i="7"/>
  <c r="BC210" i="7"/>
  <c r="BH200" i="7"/>
  <c r="AD200" i="7" s="1"/>
  <c r="AO182" i="7"/>
  <c r="BH182" i="7" s="1"/>
  <c r="AD182" i="7" s="1"/>
  <c r="AN175" i="7"/>
  <c r="BG175" i="7" s="1"/>
  <c r="I173" i="7"/>
  <c r="BC156" i="7"/>
  <c r="BH155" i="7"/>
  <c r="I146" i="7"/>
  <c r="AI146" i="7" s="1"/>
  <c r="BI129" i="7"/>
  <c r="AV129" i="7"/>
  <c r="BC124" i="7"/>
  <c r="BH88" i="7"/>
  <c r="BC66" i="7"/>
  <c r="BG54" i="7"/>
  <c r="BH51" i="7"/>
  <c r="AN46" i="7"/>
  <c r="BI17" i="7"/>
  <c r="AW327" i="7"/>
  <c r="BI307" i="7"/>
  <c r="BH300" i="7"/>
  <c r="AF300" i="7" s="1"/>
  <c r="AG298" i="7"/>
  <c r="BH284" i="7"/>
  <c r="AA265" i="7"/>
  <c r="AN261" i="7"/>
  <c r="BI253" i="7"/>
  <c r="I246" i="7"/>
  <c r="AJ246" i="7" s="1"/>
  <c r="I240" i="7"/>
  <c r="AA232" i="7"/>
  <c r="BG231" i="7"/>
  <c r="Y231" i="7"/>
  <c r="BI225" i="7"/>
  <c r="AV216" i="7"/>
  <c r="AW204" i="7"/>
  <c r="BI184" i="7"/>
  <c r="AN182" i="7"/>
  <c r="BG182" i="7" s="1"/>
  <c r="BI166" i="7"/>
  <c r="Y166" i="7" s="1"/>
  <c r="AW137" i="7"/>
  <c r="Y134" i="7"/>
  <c r="BH17" i="7"/>
  <c r="AD17" i="7" s="1"/>
  <c r="AI66" i="13"/>
  <c r="AJ66" i="13"/>
  <c r="AK66" i="13"/>
  <c r="AA96" i="13"/>
  <c r="AJ14" i="19"/>
  <c r="AK14" i="19"/>
  <c r="AL14" i="19"/>
  <c r="AE46" i="16"/>
  <c r="AA46" i="16"/>
  <c r="AC46" i="16"/>
  <c r="AI35" i="16"/>
  <c r="AK35" i="16"/>
  <c r="AJ35" i="16"/>
  <c r="AE122" i="13"/>
  <c r="AA122" i="13"/>
  <c r="AC122" i="13"/>
  <c r="AA104" i="13"/>
  <c r="AC104" i="13"/>
  <c r="AE104" i="13"/>
  <c r="AG158" i="10"/>
  <c r="Y158" i="10"/>
  <c r="AD15" i="19"/>
  <c r="AF15" i="19"/>
  <c r="AB15" i="19"/>
  <c r="AE115" i="13"/>
  <c r="AA115" i="13"/>
  <c r="AC115" i="13"/>
  <c r="AF88" i="13"/>
  <c r="AB88" i="13"/>
  <c r="AD88" i="13"/>
  <c r="AB75" i="13"/>
  <c r="AD75" i="13"/>
  <c r="AF75" i="13"/>
  <c r="AB52" i="13"/>
  <c r="AC65" i="16"/>
  <c r="F22" i="17"/>
  <c r="AF50" i="16"/>
  <c r="AB50" i="16"/>
  <c r="AD50" i="16"/>
  <c r="AF104" i="13"/>
  <c r="AB104" i="13"/>
  <c r="AD104" i="13"/>
  <c r="AJ18" i="19"/>
  <c r="AK18" i="19"/>
  <c r="AL18" i="19"/>
  <c r="BE50" i="16"/>
  <c r="AJ33" i="16"/>
  <c r="AK33" i="16"/>
  <c r="AT32" i="16" s="1"/>
  <c r="AI33" i="16"/>
  <c r="AR32" i="16" s="1"/>
  <c r="I32" i="16"/>
  <c r="AG22" i="16"/>
  <c r="Y22" i="16"/>
  <c r="AF122" i="13"/>
  <c r="AB122" i="13"/>
  <c r="AD122" i="13"/>
  <c r="AB95" i="13"/>
  <c r="AD95" i="13"/>
  <c r="AF95" i="13"/>
  <c r="AA21" i="13"/>
  <c r="AE21" i="13"/>
  <c r="AC21" i="13"/>
  <c r="AF96" i="13"/>
  <c r="AB96" i="13"/>
  <c r="AD96" i="13"/>
  <c r="AF73" i="13"/>
  <c r="AB73" i="13"/>
  <c r="AD73" i="13"/>
  <c r="AI20" i="13"/>
  <c r="AJ20" i="13"/>
  <c r="AK20" i="13"/>
  <c r="BH16" i="19"/>
  <c r="AB134" i="13"/>
  <c r="AF134" i="13"/>
  <c r="AD134" i="13"/>
  <c r="AG122" i="10"/>
  <c r="Y122" i="10"/>
  <c r="AG14" i="19"/>
  <c r="AE14" i="19"/>
  <c r="AC14" i="19"/>
  <c r="AI100" i="13"/>
  <c r="AJ100" i="13"/>
  <c r="AK100" i="13"/>
  <c r="BI22" i="19"/>
  <c r="AX22" i="19"/>
  <c r="AF43" i="16"/>
  <c r="AD43" i="16"/>
  <c r="AB43" i="16"/>
  <c r="AD113" i="13"/>
  <c r="AG21" i="13"/>
  <c r="Y21" i="13"/>
  <c r="AI208" i="10"/>
  <c r="AJ208" i="10"/>
  <c r="AK208" i="10"/>
  <c r="AH19" i="19"/>
  <c r="Z19" i="19"/>
  <c r="AV22" i="19"/>
  <c r="BF22" i="19"/>
  <c r="J21" i="19"/>
  <c r="J20" i="19" s="1"/>
  <c r="AH15" i="19"/>
  <c r="Z15" i="19"/>
  <c r="AE43" i="16"/>
  <c r="AA43" i="16"/>
  <c r="AC43" i="16"/>
  <c r="AE24" i="16"/>
  <c r="AA24" i="16"/>
  <c r="AC24" i="16"/>
  <c r="I45" i="15"/>
  <c r="I23" i="14" s="1"/>
  <c r="BC38" i="16"/>
  <c r="AN38" i="16"/>
  <c r="BG38" i="16" s="1"/>
  <c r="AI274" i="7"/>
  <c r="AK274" i="7"/>
  <c r="BI156" i="7"/>
  <c r="BH156" i="7"/>
  <c r="AW156" i="7"/>
  <c r="I156" i="7"/>
  <c r="BG156" i="7"/>
  <c r="BE156" i="7"/>
  <c r="AF197" i="10"/>
  <c r="AB197" i="10"/>
  <c r="AD197" i="10"/>
  <c r="AV25" i="10"/>
  <c r="BG25" i="10"/>
  <c r="AF23" i="19"/>
  <c r="BC22" i="19"/>
  <c r="AJ22" i="19"/>
  <c r="AS21" i="19" s="1"/>
  <c r="AO18" i="19"/>
  <c r="BH18" i="19" s="1"/>
  <c r="AO14" i="19"/>
  <c r="BH14" i="19" s="1"/>
  <c r="AV65" i="16"/>
  <c r="I65" i="16"/>
  <c r="BE60" i="16"/>
  <c r="AC50" i="16"/>
  <c r="AV46" i="16"/>
  <c r="AA40" i="16"/>
  <c r="BG39" i="16"/>
  <c r="BH30" i="16"/>
  <c r="AI30" i="16"/>
  <c r="BI134" i="13"/>
  <c r="I134" i="13"/>
  <c r="AC128" i="13"/>
  <c r="AE128" i="13"/>
  <c r="BG125" i="13"/>
  <c r="BG119" i="13"/>
  <c r="BI110" i="13"/>
  <c r="AC110" i="13"/>
  <c r="BH106" i="13"/>
  <c r="AW106" i="13"/>
  <c r="BG97" i="13"/>
  <c r="BI88" i="13"/>
  <c r="BC75" i="13"/>
  <c r="AN75" i="13"/>
  <c r="AV75" i="13" s="1"/>
  <c r="AI48" i="13"/>
  <c r="AJ48" i="13"/>
  <c r="AK48" i="13"/>
  <c r="AC46" i="13"/>
  <c r="AE46" i="13"/>
  <c r="AC36" i="13"/>
  <c r="AE36" i="13"/>
  <c r="BI25" i="13"/>
  <c r="I25" i="13"/>
  <c r="AV25" i="13"/>
  <c r="AW25" i="13"/>
  <c r="AG187" i="10"/>
  <c r="Y187" i="10"/>
  <c r="AG178" i="10"/>
  <c r="Y178" i="10"/>
  <c r="BG160" i="10"/>
  <c r="AI152" i="10"/>
  <c r="AJ152" i="10"/>
  <c r="AK152" i="10"/>
  <c r="AB144" i="10"/>
  <c r="AF144" i="10"/>
  <c r="AJ128" i="10"/>
  <c r="AG116" i="10"/>
  <c r="Y116" i="10"/>
  <c r="AB102" i="10"/>
  <c r="BI67" i="10"/>
  <c r="I67" i="10"/>
  <c r="AN36" i="10"/>
  <c r="AO36" i="10"/>
  <c r="BH36" i="10" s="1"/>
  <c r="BC36" i="10"/>
  <c r="AU18" i="10"/>
  <c r="BE319" i="7"/>
  <c r="BC313" i="7"/>
  <c r="AN313" i="7"/>
  <c r="AO313" i="7"/>
  <c r="BH313" i="7" s="1"/>
  <c r="AG282" i="7"/>
  <c r="Y282" i="7"/>
  <c r="AG266" i="7"/>
  <c r="Y266" i="7"/>
  <c r="AJ54" i="16"/>
  <c r="AF184" i="10"/>
  <c r="AB184" i="10"/>
  <c r="AC135" i="10"/>
  <c r="AE135" i="10"/>
  <c r="AA135" i="10"/>
  <c r="BI255" i="7"/>
  <c r="I255" i="7"/>
  <c r="AV255" i="7"/>
  <c r="BE255" i="7"/>
  <c r="AW255" i="7"/>
  <c r="BG255" i="7"/>
  <c r="BH255" i="7"/>
  <c r="AP18" i="19"/>
  <c r="BI18" i="19" s="1"/>
  <c r="BH54" i="16"/>
  <c r="AW54" i="16"/>
  <c r="BI135" i="13"/>
  <c r="I135" i="13"/>
  <c r="AV135" i="13"/>
  <c r="BE135" i="13"/>
  <c r="AW135" i="13"/>
  <c r="BG130" i="13"/>
  <c r="BG43" i="10"/>
  <c r="I43" i="10"/>
  <c r="BH43" i="10"/>
  <c r="BI43" i="10"/>
  <c r="AV43" i="10"/>
  <c r="AF187" i="4"/>
  <c r="AB187" i="4"/>
  <c r="AD187" i="4"/>
  <c r="AP23" i="19"/>
  <c r="AP17" i="19"/>
  <c r="AW16" i="19"/>
  <c r="I16" i="19"/>
  <c r="AV67" i="16"/>
  <c r="I67" i="16"/>
  <c r="BI65" i="16"/>
  <c r="AO62" i="16"/>
  <c r="AV60" i="16"/>
  <c r="I60" i="16"/>
  <c r="BI53" i="16"/>
  <c r="I53" i="16"/>
  <c r="AV53" i="16"/>
  <c r="AW53" i="16"/>
  <c r="AW50" i="16"/>
  <c r="AN33" i="16"/>
  <c r="BG30" i="16"/>
  <c r="BI30" i="16"/>
  <c r="AK29" i="16"/>
  <c r="BH24" i="16"/>
  <c r="BI24" i="16"/>
  <c r="I24" i="16"/>
  <c r="AV24" i="16"/>
  <c r="BI19" i="16"/>
  <c r="BC14" i="16"/>
  <c r="F14" i="14"/>
  <c r="F22" i="14" s="1"/>
  <c r="I18" i="15"/>
  <c r="Y136" i="13"/>
  <c r="BC134" i="13"/>
  <c r="AN134" i="13"/>
  <c r="AV134" i="13" s="1"/>
  <c r="AJ132" i="13"/>
  <c r="AK132" i="13"/>
  <c r="AU126" i="13"/>
  <c r="AO118" i="13"/>
  <c r="BH118" i="13" s="1"/>
  <c r="BI100" i="13"/>
  <c r="AW75" i="13"/>
  <c r="BG75" i="13"/>
  <c r="BI66" i="13"/>
  <c r="AU60" i="13"/>
  <c r="AJ60" i="13"/>
  <c r="AK60" i="13"/>
  <c r="BC48" i="13"/>
  <c r="AN48" i="13"/>
  <c r="AO48" i="13"/>
  <c r="AJ44" i="13"/>
  <c r="AK44" i="13"/>
  <c r="BB14" i="13"/>
  <c r="BH14" i="13"/>
  <c r="AW14" i="13"/>
  <c r="AU14" i="13" s="1"/>
  <c r="I27" i="12"/>
  <c r="F29" i="12" s="1"/>
  <c r="I14" i="11"/>
  <c r="I22" i="11" s="1"/>
  <c r="AI138" i="10"/>
  <c r="AJ138" i="10"/>
  <c r="AK138" i="10"/>
  <c r="AA102" i="10"/>
  <c r="AC102" i="10"/>
  <c r="BE36" i="10"/>
  <c r="BI36" i="10"/>
  <c r="AV36" i="10"/>
  <c r="I36" i="10"/>
  <c r="BG36" i="10"/>
  <c r="AI28" i="10"/>
  <c r="AR27" i="10" s="1"/>
  <c r="AJ28" i="10"/>
  <c r="AS27" i="10" s="1"/>
  <c r="I27" i="10"/>
  <c r="AK28" i="10"/>
  <c r="AT27" i="10" s="1"/>
  <c r="I313" i="7"/>
  <c r="AV313" i="7"/>
  <c r="BE313" i="7"/>
  <c r="AW313" i="7"/>
  <c r="BG313" i="7"/>
  <c r="BI313" i="7"/>
  <c r="Y199" i="7"/>
  <c r="AG199" i="7"/>
  <c r="BC95" i="13"/>
  <c r="AN95" i="13"/>
  <c r="AI54" i="16"/>
  <c r="BH22" i="13"/>
  <c r="AW22" i="13"/>
  <c r="BH157" i="10"/>
  <c r="AW157" i="10"/>
  <c r="AI263" i="4"/>
  <c r="AK263" i="4"/>
  <c r="AJ263" i="4"/>
  <c r="AD23" i="19"/>
  <c r="BD14" i="19"/>
  <c r="AD65" i="16"/>
  <c r="AA50" i="16"/>
  <c r="AN44" i="16"/>
  <c r="AO44" i="16"/>
  <c r="AW35" i="16"/>
  <c r="BC33" i="16"/>
  <c r="AO33" i="16"/>
  <c r="BH19" i="16"/>
  <c r="AJ17" i="16"/>
  <c r="AK14" i="16"/>
  <c r="AN136" i="13"/>
  <c r="BG136" i="13" s="1"/>
  <c r="AO136" i="13"/>
  <c r="BH136" i="13" s="1"/>
  <c r="BE134" i="13"/>
  <c r="AW134" i="13"/>
  <c r="AJ126" i="13"/>
  <c r="AK126" i="13"/>
  <c r="AN118" i="13"/>
  <c r="BG118" i="13" s="1"/>
  <c r="I110" i="13"/>
  <c r="AV110" i="13"/>
  <c r="BE110" i="13"/>
  <c r="AG104" i="13"/>
  <c r="Y104" i="13"/>
  <c r="BC100" i="13"/>
  <c r="AN100" i="13"/>
  <c r="AV100" i="13" s="1"/>
  <c r="AJ99" i="13"/>
  <c r="AK99" i="13"/>
  <c r="I88" i="13"/>
  <c r="BE88" i="13"/>
  <c r="AW88" i="13"/>
  <c r="BE82" i="13"/>
  <c r="AG73" i="13"/>
  <c r="Y73" i="13"/>
  <c r="BC66" i="13"/>
  <c r="AN66" i="13"/>
  <c r="AV66" i="13" s="1"/>
  <c r="BI53" i="13"/>
  <c r="I53" i="13"/>
  <c r="BE53" i="13"/>
  <c r="I45" i="12"/>
  <c r="I23" i="11" s="1"/>
  <c r="BC208" i="10"/>
  <c r="AN208" i="10"/>
  <c r="AO208" i="10"/>
  <c r="AD184" i="10"/>
  <c r="BC176" i="10"/>
  <c r="AN176" i="10"/>
  <c r="AO176" i="10"/>
  <c r="I176" i="10"/>
  <c r="BI176" i="10"/>
  <c r="AE167" i="10"/>
  <c r="AA167" i="10"/>
  <c r="AB152" i="10"/>
  <c r="AF152" i="10"/>
  <c r="AV118" i="10"/>
  <c r="BG118" i="10"/>
  <c r="AA109" i="10"/>
  <c r="AC109" i="10"/>
  <c r="AI107" i="10"/>
  <c r="AJ107" i="10"/>
  <c r="AK107" i="10"/>
  <c r="AI98" i="10"/>
  <c r="AJ98" i="10"/>
  <c r="AK98" i="10"/>
  <c r="AG77" i="10"/>
  <c r="Y77" i="10"/>
  <c r="AV24" i="10"/>
  <c r="BG24" i="10"/>
  <c r="AK17" i="10"/>
  <c r="AI17" i="10"/>
  <c r="AJ17" i="10"/>
  <c r="Y293" i="7"/>
  <c r="AG293" i="7"/>
  <c r="AI266" i="7"/>
  <c r="AJ266" i="7"/>
  <c r="AK266" i="7"/>
  <c r="BI261" i="7"/>
  <c r="I261" i="7"/>
  <c r="AV261" i="7"/>
  <c r="BE261" i="7"/>
  <c r="BG261" i="7"/>
  <c r="BH261" i="7"/>
  <c r="AI246" i="7"/>
  <c r="AK246" i="7"/>
  <c r="AE216" i="7"/>
  <c r="AA216" i="7"/>
  <c r="AC216" i="7"/>
  <c r="BB35" i="16"/>
  <c r="I27" i="15"/>
  <c r="I14" i="14"/>
  <c r="I22" i="14" s="1"/>
  <c r="BC103" i="13"/>
  <c r="AN103" i="13"/>
  <c r="AO103" i="13"/>
  <c r="BC72" i="13"/>
  <c r="AN72" i="13"/>
  <c r="AO72" i="13"/>
  <c r="AD103" i="10"/>
  <c r="AF103" i="10"/>
  <c r="AB103" i="10"/>
  <c r="AE99" i="10"/>
  <c r="AA99" i="10"/>
  <c r="AC99" i="10"/>
  <c r="AF93" i="10"/>
  <c r="AD93" i="10"/>
  <c r="AW46" i="10"/>
  <c r="BH46" i="10"/>
  <c r="BI38" i="16"/>
  <c r="AU35" i="16"/>
  <c r="BI31" i="16"/>
  <c r="BG22" i="16"/>
  <c r="AW113" i="13"/>
  <c r="AW95" i="13"/>
  <c r="BG95" i="13"/>
  <c r="AK75" i="13"/>
  <c r="AT74" i="13" s="1"/>
  <c r="BG58" i="13"/>
  <c r="AC169" i="10"/>
  <c r="AE169" i="10"/>
  <c r="AA169" i="10"/>
  <c r="AE86" i="10"/>
  <c r="AA86" i="10"/>
  <c r="AJ196" i="7"/>
  <c r="AB136" i="4"/>
  <c r="AD136" i="4"/>
  <c r="AF136" i="4"/>
  <c r="AL23" i="19"/>
  <c r="AU21" i="19" s="1"/>
  <c r="AG19" i="19"/>
  <c r="I19" i="19"/>
  <c r="AL17" i="19"/>
  <c r="AP16" i="19"/>
  <c r="AW15" i="19"/>
  <c r="AG15" i="19"/>
  <c r="I15" i="19"/>
  <c r="Z14" i="19"/>
  <c r="I18" i="18"/>
  <c r="F29" i="18" s="1"/>
  <c r="I14" i="17"/>
  <c r="I22" i="17" s="1"/>
  <c r="AO67" i="16"/>
  <c r="BH67" i="16" s="1"/>
  <c r="AK62" i="16"/>
  <c r="AO60" i="16"/>
  <c r="BH60" i="16" s="1"/>
  <c r="AD57" i="16"/>
  <c r="BI44" i="16"/>
  <c r="I44" i="16"/>
  <c r="BH35" i="16"/>
  <c r="BI33" i="16"/>
  <c r="BH29" i="16"/>
  <c r="AW29" i="16"/>
  <c r="BC17" i="16"/>
  <c r="AN17" i="16"/>
  <c r="AV17" i="16" s="1"/>
  <c r="AO17" i="16"/>
  <c r="BH119" i="13"/>
  <c r="AW119" i="13"/>
  <c r="AU119" i="13" s="1"/>
  <c r="AI109" i="13"/>
  <c r="AJ109" i="13"/>
  <c r="AK109" i="13"/>
  <c r="AC107" i="13"/>
  <c r="AE107" i="13"/>
  <c r="BE100" i="13"/>
  <c r="AI82" i="13"/>
  <c r="AJ82" i="13"/>
  <c r="BE66" i="13"/>
  <c r="BG66" i="13"/>
  <c r="BI52" i="13"/>
  <c r="I52" i="13"/>
  <c r="AJ51" i="13"/>
  <c r="AK51" i="13"/>
  <c r="I21" i="13"/>
  <c r="AV21" i="13"/>
  <c r="BE21" i="13"/>
  <c r="BI208" i="10"/>
  <c r="AI158" i="10"/>
  <c r="AJ158" i="10"/>
  <c r="AK158" i="10"/>
  <c r="BI146" i="10"/>
  <c r="I146" i="10"/>
  <c r="AV146" i="10"/>
  <c r="BE146" i="10"/>
  <c r="AW146" i="10"/>
  <c r="BH146" i="10"/>
  <c r="AI121" i="10"/>
  <c r="AJ121" i="10"/>
  <c r="AK121" i="10"/>
  <c r="AV111" i="10"/>
  <c r="BG111" i="10"/>
  <c r="AI71" i="10"/>
  <c r="AK71" i="10"/>
  <c r="AJ71" i="10"/>
  <c r="I61" i="10"/>
  <c r="BE61" i="10"/>
  <c r="BI61" i="10"/>
  <c r="I45" i="9"/>
  <c r="I23" i="8" s="1"/>
  <c r="BE322" i="7"/>
  <c r="Y260" i="7"/>
  <c r="AI240" i="7"/>
  <c r="AJ240" i="7"/>
  <c r="AK240" i="7"/>
  <c r="BC191" i="10"/>
  <c r="AN191" i="10"/>
  <c r="AO191" i="10"/>
  <c r="I191" i="10"/>
  <c r="BI191" i="10"/>
  <c r="AE146" i="10"/>
  <c r="AA146" i="10"/>
  <c r="AC146" i="10"/>
  <c r="BC122" i="10"/>
  <c r="AN122" i="10"/>
  <c r="BG122" i="10" s="1"/>
  <c r="AO122" i="10"/>
  <c r="BH122" i="10" s="1"/>
  <c r="AO22" i="16"/>
  <c r="AW22" i="16" s="1"/>
  <c r="AG14" i="16"/>
  <c r="Y14" i="16"/>
  <c r="BG39" i="13"/>
  <c r="AE25" i="13"/>
  <c r="AA25" i="13"/>
  <c r="AD204" i="10"/>
  <c r="AB204" i="10"/>
  <c r="AF204" i="10"/>
  <c r="AE133" i="10"/>
  <c r="AA133" i="10"/>
  <c r="AC87" i="10"/>
  <c r="AE87" i="10"/>
  <c r="AA87" i="10"/>
  <c r="AK23" i="19"/>
  <c r="AT21" i="19" s="1"/>
  <c r="AX18" i="19"/>
  <c r="BF18" i="19"/>
  <c r="AK17" i="19"/>
  <c r="AX14" i="19"/>
  <c r="AJ62" i="16"/>
  <c r="BI57" i="16"/>
  <c r="BI43" i="16"/>
  <c r="I43" i="16"/>
  <c r="AV43" i="16"/>
  <c r="AO39" i="16"/>
  <c r="BH39" i="16" s="1"/>
  <c r="BG35" i="16"/>
  <c r="BE31" i="16"/>
  <c r="AV30" i="16"/>
  <c r="BC22" i="16"/>
  <c r="AK17" i="16"/>
  <c r="AO14" i="16"/>
  <c r="BH14" i="16" s="1"/>
  <c r="BG14" i="16"/>
  <c r="BH135" i="13"/>
  <c r="AA128" i="13"/>
  <c r="AI126" i="13"/>
  <c r="BI122" i="13"/>
  <c r="I122" i="13"/>
  <c r="AV122" i="13"/>
  <c r="AW122" i="13"/>
  <c r="BI115" i="13"/>
  <c r="I115" i="13"/>
  <c r="AV115" i="13"/>
  <c r="BE115" i="13"/>
  <c r="AW115" i="13"/>
  <c r="BC109" i="13"/>
  <c r="AN109" i="13"/>
  <c r="AO109" i="13"/>
  <c r="I104" i="13"/>
  <c r="AV104" i="13"/>
  <c r="BE104" i="13"/>
  <c r="AW104" i="13"/>
  <c r="BE103" i="13"/>
  <c r="AI99" i="13"/>
  <c r="BI96" i="13"/>
  <c r="I96" i="13"/>
  <c r="AV96" i="13"/>
  <c r="BE96" i="13"/>
  <c r="AW96" i="13"/>
  <c r="BC82" i="13"/>
  <c r="AN82" i="13"/>
  <c r="AO82" i="13"/>
  <c r="I73" i="13"/>
  <c r="BE73" i="13"/>
  <c r="AW73" i="13"/>
  <c r="BE72" i="13"/>
  <c r="AI60" i="13"/>
  <c r="BC52" i="13"/>
  <c r="AN52" i="13"/>
  <c r="AV52" i="13" s="1"/>
  <c r="AG48" i="13"/>
  <c r="AA46" i="13"/>
  <c r="AI44" i="13"/>
  <c r="AA36" i="13"/>
  <c r="AD25" i="13"/>
  <c r="BI20" i="13"/>
  <c r="AC19" i="13"/>
  <c r="AE19" i="13"/>
  <c r="AC14" i="13"/>
  <c r="F22" i="11"/>
  <c r="BE195" i="10"/>
  <c r="BB193" i="10"/>
  <c r="BH165" i="10"/>
  <c r="BC158" i="10"/>
  <c r="AN158" i="10"/>
  <c r="AV158" i="10" s="1"/>
  <c r="AO158" i="10"/>
  <c r="BH158" i="10" s="1"/>
  <c r="BI153" i="10"/>
  <c r="I153" i="10"/>
  <c r="AV153" i="10"/>
  <c r="BE153" i="10"/>
  <c r="BG153" i="10"/>
  <c r="BH153" i="10"/>
  <c r="AJ150" i="10"/>
  <c r="AK150" i="10"/>
  <c r="AI150" i="10"/>
  <c r="AJ143" i="10"/>
  <c r="AK143" i="10"/>
  <c r="AI143" i="10"/>
  <c r="BC130" i="10"/>
  <c r="AN130" i="10"/>
  <c r="BG130" i="10" s="1"/>
  <c r="AO130" i="10"/>
  <c r="AW130" i="10" s="1"/>
  <c r="AC116" i="10"/>
  <c r="Y102" i="10"/>
  <c r="AJ96" i="10"/>
  <c r="AK96" i="10"/>
  <c r="AI96" i="10"/>
  <c r="AB93" i="10"/>
  <c r="BH91" i="10"/>
  <c r="AO77" i="10"/>
  <c r="AN77" i="10"/>
  <c r="BC77" i="10"/>
  <c r="Y59" i="10"/>
  <c r="AG59" i="10"/>
  <c r="AW43" i="10"/>
  <c r="AE305" i="7"/>
  <c r="AA305" i="7"/>
  <c r="AC305" i="7"/>
  <c r="I39" i="16"/>
  <c r="AV39" i="16"/>
  <c r="BE39" i="16"/>
  <c r="BC31" i="16"/>
  <c r="AN31" i="16"/>
  <c r="BG31" i="16" s="1"/>
  <c r="I19" i="16"/>
  <c r="BE19" i="16"/>
  <c r="AW19" i="16"/>
  <c r="BC113" i="13"/>
  <c r="AN113" i="13"/>
  <c r="AV113" i="13" s="1"/>
  <c r="BG190" i="10"/>
  <c r="BI190" i="10"/>
  <c r="I190" i="10"/>
  <c r="AV190" i="10"/>
  <c r="BE190" i="10"/>
  <c r="AW190" i="10"/>
  <c r="BH190" i="10"/>
  <c r="AB109" i="10"/>
  <c r="AB98" i="10"/>
  <c r="AD98" i="10"/>
  <c r="AN187" i="7"/>
  <c r="AO187" i="7"/>
  <c r="BC187" i="7"/>
  <c r="BI187" i="7"/>
  <c r="I187" i="7"/>
  <c r="I118" i="13"/>
  <c r="AV118" i="13"/>
  <c r="AW118" i="13"/>
  <c r="AV95" i="13"/>
  <c r="Y75" i="13"/>
  <c r="AA206" i="10"/>
  <c r="AC206" i="10"/>
  <c r="AE206" i="10"/>
  <c r="AE93" i="10"/>
  <c r="AA93" i="10"/>
  <c r="AJ81" i="10"/>
  <c r="AK81" i="10"/>
  <c r="AI81" i="10"/>
  <c r="AC46" i="10"/>
  <c r="AA46" i="10"/>
  <c r="AE297" i="7"/>
  <c r="AC297" i="7"/>
  <c r="AA297" i="7"/>
  <c r="AI254" i="7"/>
  <c r="AJ254" i="7"/>
  <c r="AK254" i="7"/>
  <c r="AW18" i="19"/>
  <c r="BI50" i="16"/>
  <c r="I50" i="16"/>
  <c r="AV50" i="16"/>
  <c r="BC44" i="16"/>
  <c r="AO38" i="16"/>
  <c r="AW38" i="16" s="1"/>
  <c r="I38" i="16"/>
  <c r="AO31" i="16"/>
  <c r="BH31" i="16" s="1"/>
  <c r="I31" i="16"/>
  <c r="I27" i="16"/>
  <c r="AV27" i="16"/>
  <c r="AV22" i="16"/>
  <c r="I22" i="16"/>
  <c r="AG17" i="16"/>
  <c r="AJ14" i="16"/>
  <c r="BG135" i="13"/>
  <c r="BI118" i="13"/>
  <c r="BI113" i="13"/>
  <c r="I113" i="13"/>
  <c r="BI103" i="13"/>
  <c r="I103" i="13"/>
  <c r="AO100" i="13"/>
  <c r="BH100" i="13" s="1"/>
  <c r="BI95" i="13"/>
  <c r="I95" i="13"/>
  <c r="BI72" i="13"/>
  <c r="I72" i="13"/>
  <c r="AO66" i="13"/>
  <c r="BH66" i="13" s="1"/>
  <c r="AW52" i="13"/>
  <c r="BB31" i="13"/>
  <c r="BH31" i="13"/>
  <c r="AW31" i="13"/>
  <c r="AC28" i="13"/>
  <c r="AC25" i="13"/>
  <c r="AO21" i="13"/>
  <c r="BH21" i="13" s="1"/>
  <c r="BC20" i="13"/>
  <c r="AN20" i="13"/>
  <c r="AO20" i="13"/>
  <c r="Y205" i="10"/>
  <c r="AE195" i="10"/>
  <c r="AA195" i="10"/>
  <c r="AC195" i="10"/>
  <c r="BE184" i="10"/>
  <c r="AU171" i="10"/>
  <c r="BB171" i="10"/>
  <c r="AG152" i="10"/>
  <c r="Y152" i="10"/>
  <c r="AB150" i="10"/>
  <c r="AD150" i="10"/>
  <c r="AF150" i="10"/>
  <c r="AB138" i="10"/>
  <c r="AD138" i="10"/>
  <c r="I130" i="10"/>
  <c r="BE130" i="10"/>
  <c r="BI130" i="10"/>
  <c r="AC86" i="10"/>
  <c r="AJ39" i="10"/>
  <c r="AS38" i="10" s="1"/>
  <c r="I38" i="10"/>
  <c r="AI39" i="10"/>
  <c r="AK39" i="10"/>
  <c r="AT38" i="10" s="1"/>
  <c r="AA17" i="10"/>
  <c r="AC17" i="10"/>
  <c r="AE17" i="10"/>
  <c r="I316" i="7"/>
  <c r="AI317" i="7"/>
  <c r="AR316" i="7" s="1"/>
  <c r="AJ317" i="7"/>
  <c r="AS316" i="7" s="1"/>
  <c r="AK317" i="7"/>
  <c r="AT316" i="7" s="1"/>
  <c r="AG184" i="7"/>
  <c r="Y184" i="7"/>
  <c r="AI181" i="7"/>
  <c r="AJ181" i="7"/>
  <c r="AK181" i="7"/>
  <c r="AW136" i="13"/>
  <c r="BE136" i="13"/>
  <c r="AV128" i="13"/>
  <c r="I128" i="13"/>
  <c r="AE126" i="13"/>
  <c r="BE125" i="13"/>
  <c r="AV107" i="13"/>
  <c r="I107" i="13"/>
  <c r="Y106" i="13"/>
  <c r="AE99" i="13"/>
  <c r="BE97" i="13"/>
  <c r="AE60" i="13"/>
  <c r="BE58" i="13"/>
  <c r="AE51" i="13"/>
  <c r="AV46" i="13"/>
  <c r="I46" i="13"/>
  <c r="AE44" i="13"/>
  <c r="AV36" i="13"/>
  <c r="I36" i="13"/>
  <c r="AI31" i="13"/>
  <c r="Y31" i="13"/>
  <c r="BE28" i="13"/>
  <c r="Y22" i="13"/>
  <c r="AV19" i="13"/>
  <c r="AF19" i="13"/>
  <c r="I19" i="13"/>
  <c r="AI14" i="13"/>
  <c r="Y14" i="13"/>
  <c r="AV206" i="10"/>
  <c r="AF206" i="10"/>
  <c r="I206" i="10"/>
  <c r="AA202" i="10"/>
  <c r="BC200" i="10"/>
  <c r="BG188" i="10"/>
  <c r="BG180" i="10"/>
  <c r="AJ171" i="10"/>
  <c r="AK171" i="10"/>
  <c r="BE158" i="10"/>
  <c r="BG158" i="10"/>
  <c r="BC152" i="10"/>
  <c r="AN152" i="10"/>
  <c r="AV152" i="10" s="1"/>
  <c r="BI144" i="10"/>
  <c r="I144" i="10"/>
  <c r="AU143" i="10"/>
  <c r="AB143" i="10"/>
  <c r="AD143" i="10"/>
  <c r="BI140" i="10"/>
  <c r="I140" i="10"/>
  <c r="BE140" i="10"/>
  <c r="AW140" i="10"/>
  <c r="AW136" i="10"/>
  <c r="BB136" i="10" s="1"/>
  <c r="AK136" i="10"/>
  <c r="BI128" i="10"/>
  <c r="AC126" i="10"/>
  <c r="AE126" i="10"/>
  <c r="I122" i="10"/>
  <c r="AV122" i="10"/>
  <c r="BE122" i="10"/>
  <c r="AW122" i="10"/>
  <c r="BI109" i="10"/>
  <c r="BI99" i="10"/>
  <c r="I99" i="10"/>
  <c r="AV99" i="10"/>
  <c r="BE99" i="10"/>
  <c r="AW99" i="10"/>
  <c r="AJ89" i="10"/>
  <c r="AK89" i="10"/>
  <c r="AD83" i="10"/>
  <c r="AF83" i="10"/>
  <c r="AW80" i="10"/>
  <c r="AU80" i="10" s="1"/>
  <c r="BH80" i="10"/>
  <c r="AC75" i="10"/>
  <c r="AV59" i="10"/>
  <c r="AO55" i="10"/>
  <c r="I55" i="10"/>
  <c r="BI55" i="10"/>
  <c r="AN55" i="10"/>
  <c r="BI50" i="10"/>
  <c r="BE50" i="10"/>
  <c r="AW50" i="10"/>
  <c r="I50" i="10"/>
  <c r="BG50" i="10"/>
  <c r="BH50" i="10"/>
  <c r="AV50" i="10"/>
  <c r="AI25" i="10"/>
  <c r="AD324" i="7"/>
  <c r="AJ322" i="7"/>
  <c r="AK322" i="7"/>
  <c r="AI322" i="7"/>
  <c r="AI319" i="7"/>
  <c r="AR318" i="7" s="1"/>
  <c r="AJ319" i="7"/>
  <c r="AS318" i="7" s="1"/>
  <c r="AK319" i="7"/>
  <c r="AT318" i="7" s="1"/>
  <c r="I318" i="7"/>
  <c r="BC317" i="7"/>
  <c r="BI317" i="7"/>
  <c r="AN317" i="7"/>
  <c r="AO317" i="7"/>
  <c r="BH317" i="7" s="1"/>
  <c r="AI286" i="7"/>
  <c r="AJ286" i="7"/>
  <c r="AK286" i="7"/>
  <c r="AG280" i="7"/>
  <c r="Y280" i="7"/>
  <c r="BB265" i="7"/>
  <c r="BI254" i="7"/>
  <c r="BI248" i="7"/>
  <c r="I248" i="7"/>
  <c r="AV248" i="7"/>
  <c r="BE248" i="7"/>
  <c r="AW248" i="7"/>
  <c r="BG248" i="7"/>
  <c r="BH248" i="7"/>
  <c r="BI242" i="7"/>
  <c r="I242" i="7"/>
  <c r="AV242" i="7"/>
  <c r="BE242" i="7"/>
  <c r="AW242" i="7"/>
  <c r="BG242" i="7"/>
  <c r="BH242" i="7"/>
  <c r="BI236" i="7"/>
  <c r="I236" i="7"/>
  <c r="AV236" i="7"/>
  <c r="BE236" i="7"/>
  <c r="AW236" i="7"/>
  <c r="BG236" i="7"/>
  <c r="BH236" i="7"/>
  <c r="BC214" i="7"/>
  <c r="AN214" i="7"/>
  <c r="BG214" i="7" s="1"/>
  <c r="AO214" i="7"/>
  <c r="AE209" i="7"/>
  <c r="AA209" i="7"/>
  <c r="AC209" i="7"/>
  <c r="I136" i="13"/>
  <c r="AV130" i="13"/>
  <c r="I130" i="13"/>
  <c r="BI128" i="13"/>
  <c r="AV125" i="13"/>
  <c r="I125" i="13"/>
  <c r="BI107" i="13"/>
  <c r="AV97" i="13"/>
  <c r="I97" i="13"/>
  <c r="AD60" i="13"/>
  <c r="AV58" i="13"/>
  <c r="I58" i="13"/>
  <c r="AD51" i="13"/>
  <c r="BI46" i="13"/>
  <c r="AD44" i="13"/>
  <c r="I39" i="13"/>
  <c r="BI36" i="13"/>
  <c r="AV28" i="13"/>
  <c r="I28" i="13"/>
  <c r="BI19" i="13"/>
  <c r="BI206" i="10"/>
  <c r="AW205" i="10"/>
  <c r="AU205" i="10" s="1"/>
  <c r="BE205" i="10"/>
  <c r="BC204" i="10"/>
  <c r="I204" i="10"/>
  <c r="AB200" i="10"/>
  <c r="BI197" i="10"/>
  <c r="BG197" i="10"/>
  <c r="I197" i="10"/>
  <c r="AV197" i="10"/>
  <c r="AW197" i="10"/>
  <c r="I192" i="10"/>
  <c r="AB188" i="10"/>
  <c r="AW184" i="10"/>
  <c r="AB180" i="10"/>
  <c r="BI167" i="10"/>
  <c r="I167" i="10"/>
  <c r="AV167" i="10"/>
  <c r="BE167" i="10"/>
  <c r="AW167" i="10"/>
  <c r="BE152" i="10"/>
  <c r="AW152" i="10"/>
  <c r="BC144" i="10"/>
  <c r="AN144" i="10"/>
  <c r="AV144" i="10" s="1"/>
  <c r="BI138" i="10"/>
  <c r="AB136" i="10"/>
  <c r="AD136" i="10"/>
  <c r="BG131" i="10"/>
  <c r="BC128" i="10"/>
  <c r="AN128" i="10"/>
  <c r="AV128" i="10" s="1"/>
  <c r="AO128" i="10"/>
  <c r="BI121" i="10"/>
  <c r="I116" i="10"/>
  <c r="BE116" i="10"/>
  <c r="AW116" i="10"/>
  <c r="BI98" i="10"/>
  <c r="BI93" i="10"/>
  <c r="I93" i="10"/>
  <c r="AV93" i="10"/>
  <c r="BE93" i="10"/>
  <c r="AW93" i="10"/>
  <c r="AB79" i="10"/>
  <c r="AD79" i="10"/>
  <c r="AF79" i="10"/>
  <c r="AG71" i="10"/>
  <c r="BG48" i="10"/>
  <c r="AO31" i="10"/>
  <c r="BI31" i="10"/>
  <c r="AN31" i="10"/>
  <c r="Y25" i="10"/>
  <c r="Y22" i="10"/>
  <c r="AG22" i="10"/>
  <c r="AU17" i="10"/>
  <c r="BB17" i="10"/>
  <c r="AC295" i="7"/>
  <c r="BC294" i="7"/>
  <c r="AN294" i="7"/>
  <c r="AO294" i="7"/>
  <c r="I294" i="7"/>
  <c r="BI294" i="7"/>
  <c r="AF280" i="7"/>
  <c r="AB280" i="7"/>
  <c r="BC274" i="7"/>
  <c r="AN274" i="7"/>
  <c r="AV274" i="7" s="1"/>
  <c r="AO274" i="7"/>
  <c r="BH274" i="7" s="1"/>
  <c r="BI246" i="7"/>
  <c r="BI240" i="7"/>
  <c r="AG234" i="7"/>
  <c r="Y234" i="7"/>
  <c r="I214" i="7"/>
  <c r="BH214" i="7"/>
  <c r="BE214" i="7"/>
  <c r="BI214" i="7"/>
  <c r="AV214" i="7"/>
  <c r="AW214" i="7"/>
  <c r="BC207" i="7"/>
  <c r="AN207" i="7"/>
  <c r="AV207" i="7" s="1"/>
  <c r="AO207" i="7"/>
  <c r="AC132" i="13"/>
  <c r="AC99" i="13"/>
  <c r="AC60" i="13"/>
  <c r="AC51" i="13"/>
  <c r="AC44" i="13"/>
  <c r="AD19" i="13"/>
  <c r="AD206" i="10"/>
  <c r="AG165" i="10"/>
  <c r="Y165" i="10"/>
  <c r="AI165" i="10"/>
  <c r="AJ165" i="10"/>
  <c r="AK165" i="10"/>
  <c r="BE144" i="10"/>
  <c r="AW144" i="10"/>
  <c r="BG144" i="10"/>
  <c r="BC138" i="10"/>
  <c r="AN138" i="10"/>
  <c r="AV138" i="10" s="1"/>
  <c r="BG124" i="10"/>
  <c r="BC121" i="10"/>
  <c r="AN121" i="10"/>
  <c r="AV121" i="10" s="1"/>
  <c r="AO121" i="10"/>
  <c r="AI114" i="10"/>
  <c r="AJ114" i="10"/>
  <c r="AK114" i="10"/>
  <c r="AC113" i="10"/>
  <c r="AE113" i="10"/>
  <c r="I109" i="10"/>
  <c r="AV109" i="10"/>
  <c r="BE109" i="10"/>
  <c r="AW109" i="10"/>
  <c r="BC98" i="10"/>
  <c r="AN98" i="10"/>
  <c r="AV98" i="10" s="1"/>
  <c r="AG91" i="10"/>
  <c r="Y91" i="10"/>
  <c r="AI91" i="10"/>
  <c r="AJ91" i="10"/>
  <c r="AK91" i="10"/>
  <c r="BI86" i="10"/>
  <c r="I86" i="10"/>
  <c r="AV86" i="10"/>
  <c r="AW86" i="10"/>
  <c r="AE79" i="10"/>
  <c r="AA79" i="10"/>
  <c r="AC79" i="10"/>
  <c r="BE71" i="10"/>
  <c r="Y54" i="10"/>
  <c r="AG39" i="10"/>
  <c r="AK31" i="10"/>
  <c r="AF22" i="10"/>
  <c r="AD22" i="10"/>
  <c r="AJ329" i="7"/>
  <c r="AK329" i="7"/>
  <c r="AI329" i="7"/>
  <c r="BI326" i="7"/>
  <c r="I326" i="7"/>
  <c r="AV326" i="7"/>
  <c r="BE326" i="7"/>
  <c r="AW326" i="7"/>
  <c r="BG326" i="7"/>
  <c r="BH326" i="7"/>
  <c r="AI324" i="7"/>
  <c r="AJ324" i="7"/>
  <c r="AK324" i="7"/>
  <c r="BC266" i="7"/>
  <c r="AN266" i="7"/>
  <c r="AV266" i="7" s="1"/>
  <c r="AO266" i="7"/>
  <c r="BH266" i="7" s="1"/>
  <c r="AI260" i="7"/>
  <c r="AJ260" i="7"/>
  <c r="AK260" i="7"/>
  <c r="AG216" i="7"/>
  <c r="Y216" i="7"/>
  <c r="I207" i="7"/>
  <c r="BH207" i="7"/>
  <c r="BE207" i="7"/>
  <c r="BI207" i="7"/>
  <c r="AW207" i="7"/>
  <c r="AI199" i="7"/>
  <c r="AJ199" i="7"/>
  <c r="AK199" i="7"/>
  <c r="AB155" i="7"/>
  <c r="AD155" i="7"/>
  <c r="AF155" i="7"/>
  <c r="AU136" i="7"/>
  <c r="BB136" i="7"/>
  <c r="BE54" i="7"/>
  <c r="AO130" i="13"/>
  <c r="BH130" i="13" s="1"/>
  <c r="AO125" i="13"/>
  <c r="BH125" i="13" s="1"/>
  <c r="AO97" i="13"/>
  <c r="BH97" i="13" s="1"/>
  <c r="AO58" i="13"/>
  <c r="BH58" i="13" s="1"/>
  <c r="AO39" i="13"/>
  <c r="BH39" i="13" s="1"/>
  <c r="AO28" i="13"/>
  <c r="BH28" i="13" s="1"/>
  <c r="AE205" i="10"/>
  <c r="AN200" i="10"/>
  <c r="I200" i="10"/>
  <c r="AO187" i="10"/>
  <c r="BH187" i="10" s="1"/>
  <c r="I187" i="10"/>
  <c r="BI184" i="10"/>
  <c r="I184" i="10"/>
  <c r="AV184" i="10"/>
  <c r="AO178" i="10"/>
  <c r="BH178" i="10" s="1"/>
  <c r="I178" i="10"/>
  <c r="BC165" i="10"/>
  <c r="AN165" i="10"/>
  <c r="AV165" i="10" s="1"/>
  <c r="BH160" i="10"/>
  <c r="BG155" i="10"/>
  <c r="BE138" i="10"/>
  <c r="AW138" i="10"/>
  <c r="BG138" i="10"/>
  <c r="BG121" i="10"/>
  <c r="BC114" i="10"/>
  <c r="AN114" i="10"/>
  <c r="AV114" i="10" s="1"/>
  <c r="AO114" i="10"/>
  <c r="BI107" i="10"/>
  <c r="AC105" i="10"/>
  <c r="I102" i="10"/>
  <c r="AV102" i="10"/>
  <c r="AW102" i="10"/>
  <c r="BE98" i="10"/>
  <c r="AW98" i="10"/>
  <c r="BG98" i="10"/>
  <c r="BC91" i="10"/>
  <c r="AN91" i="10"/>
  <c r="AV91" i="10" s="1"/>
  <c r="Y75" i="10"/>
  <c r="AG75" i="10"/>
  <c r="Y46" i="10"/>
  <c r="AG46" i="10"/>
  <c r="AB28" i="10"/>
  <c r="AD28" i="10"/>
  <c r="AF28" i="10"/>
  <c r="AG324" i="7"/>
  <c r="Y324" i="7"/>
  <c r="BC304" i="7"/>
  <c r="AN304" i="7"/>
  <c r="AV304" i="7" s="1"/>
  <c r="AO304" i="7"/>
  <c r="BH304" i="7" s="1"/>
  <c r="AJ303" i="7"/>
  <c r="AK303" i="7"/>
  <c r="AI303" i="7"/>
  <c r="AE280" i="7"/>
  <c r="BC260" i="7"/>
  <c r="AN260" i="7"/>
  <c r="AV260" i="7" s="1"/>
  <c r="AO260" i="7"/>
  <c r="BH260" i="7" s="1"/>
  <c r="AU258" i="7"/>
  <c r="BB239" i="7"/>
  <c r="AI234" i="7"/>
  <c r="AJ234" i="7"/>
  <c r="AG209" i="7"/>
  <c r="Y209" i="7"/>
  <c r="AO178" i="7"/>
  <c r="BH178" i="7" s="1"/>
  <c r="AN178" i="7"/>
  <c r="I178" i="7"/>
  <c r="BC178" i="7"/>
  <c r="BI178" i="7"/>
  <c r="AI137" i="7"/>
  <c r="AK137" i="7"/>
  <c r="AJ137" i="7"/>
  <c r="BI202" i="10"/>
  <c r="I202" i="10"/>
  <c r="AV202" i="10"/>
  <c r="AA193" i="10"/>
  <c r="AE193" i="10"/>
  <c r="AN187" i="10"/>
  <c r="BG187" i="10" s="1"/>
  <c r="AN178" i="10"/>
  <c r="AV178" i="10" s="1"/>
  <c r="BE165" i="10"/>
  <c r="AW165" i="10"/>
  <c r="AJ163" i="10"/>
  <c r="AK163" i="10"/>
  <c r="AC148" i="10"/>
  <c r="AE148" i="10"/>
  <c r="AD124" i="10"/>
  <c r="AF124" i="10"/>
  <c r="BC107" i="10"/>
  <c r="AN107" i="10"/>
  <c r="AV107" i="10" s="1"/>
  <c r="AO107" i="10"/>
  <c r="AD99" i="10"/>
  <c r="BE91" i="10"/>
  <c r="AW91" i="10"/>
  <c r="AN81" i="10"/>
  <c r="AO81" i="10"/>
  <c r="BH81" i="10" s="1"/>
  <c r="I78" i="10"/>
  <c r="AO71" i="10"/>
  <c r="BH71" i="10" s="1"/>
  <c r="BC71" i="10"/>
  <c r="AN53" i="10"/>
  <c r="BG53" i="10" s="1"/>
  <c r="AO53" i="10"/>
  <c r="AW53" i="10" s="1"/>
  <c r="BE28" i="10"/>
  <c r="I18" i="10"/>
  <c r="BH18" i="10"/>
  <c r="BE18" i="10"/>
  <c r="BI18" i="10"/>
  <c r="Y17" i="10"/>
  <c r="BE330" i="7"/>
  <c r="AW330" i="7"/>
  <c r="I330" i="7"/>
  <c r="AV330" i="7"/>
  <c r="BG330" i="7"/>
  <c r="BH330" i="7"/>
  <c r="BI330" i="7"/>
  <c r="I311" i="7"/>
  <c r="BE311" i="7"/>
  <c r="AW311" i="7"/>
  <c r="BH311" i="7"/>
  <c r="BI311" i="7"/>
  <c r="AI309" i="7"/>
  <c r="BE304" i="7"/>
  <c r="I304" i="7"/>
  <c r="BI304" i="7"/>
  <c r="AF295" i="7"/>
  <c r="AB295" i="7"/>
  <c r="AD295" i="7"/>
  <c r="AE282" i="7"/>
  <c r="AA282" i="7"/>
  <c r="AC282" i="7"/>
  <c r="AD280" i="7"/>
  <c r="BI276" i="7"/>
  <c r="I276" i="7"/>
  <c r="AV276" i="7"/>
  <c r="BE276" i="7"/>
  <c r="AW276" i="7"/>
  <c r="BG276" i="7"/>
  <c r="BH276" i="7"/>
  <c r="BC254" i="7"/>
  <c r="AN254" i="7"/>
  <c r="AV254" i="7" s="1"/>
  <c r="AO254" i="7"/>
  <c r="BH254" i="7" s="1"/>
  <c r="AN205" i="7"/>
  <c r="AO205" i="7"/>
  <c r="BC205" i="7"/>
  <c r="I205" i="7"/>
  <c r="BI205" i="7"/>
  <c r="I194" i="7"/>
  <c r="BI194" i="7"/>
  <c r="BE194" i="7"/>
  <c r="BG194" i="7"/>
  <c r="BH194" i="7"/>
  <c r="AA182" i="7"/>
  <c r="AE182" i="7"/>
  <c r="AC182" i="7"/>
  <c r="BG162" i="7"/>
  <c r="AV162" i="7"/>
  <c r="BE139" i="7"/>
  <c r="AG200" i="10"/>
  <c r="Y200" i="10"/>
  <c r="BI195" i="10"/>
  <c r="I195" i="10"/>
  <c r="AV195" i="10"/>
  <c r="AC174" i="10"/>
  <c r="AE174" i="10"/>
  <c r="BI160" i="10"/>
  <c r="I160" i="10"/>
  <c r="AV160" i="10"/>
  <c r="BE160" i="10"/>
  <c r="AW160" i="10"/>
  <c r="AJ157" i="10"/>
  <c r="AK157" i="10"/>
  <c r="AC141" i="10"/>
  <c r="AE141" i="10"/>
  <c r="AD118" i="10"/>
  <c r="AF118" i="10"/>
  <c r="AC94" i="10"/>
  <c r="AE94" i="10"/>
  <c r="BE81" i="10"/>
  <c r="BG81" i="10"/>
  <c r="BI81" i="10"/>
  <c r="AV81" i="10"/>
  <c r="AW71" i="10"/>
  <c r="AU71" i="10" s="1"/>
  <c r="BC67" i="10"/>
  <c r="AN67" i="10"/>
  <c r="BG67" i="10" s="1"/>
  <c r="AO67" i="10"/>
  <c r="BH67" i="10" s="1"/>
  <c r="AN61" i="10"/>
  <c r="BG61" i="10" s="1"/>
  <c r="AO61" i="10"/>
  <c r="BH61" i="10" s="1"/>
  <c r="I53" i="10"/>
  <c r="BI53" i="10"/>
  <c r="BC39" i="10"/>
  <c r="AN39" i="10"/>
  <c r="AV39" i="10" s="1"/>
  <c r="AO39" i="10"/>
  <c r="BH39" i="10" s="1"/>
  <c r="AC22" i="10"/>
  <c r="AE22" i="10"/>
  <c r="I14" i="8"/>
  <c r="I22" i="8" s="1"/>
  <c r="I27" i="9"/>
  <c r="F29" i="9" s="1"/>
  <c r="Y286" i="7"/>
  <c r="AG286" i="7"/>
  <c r="AG274" i="7"/>
  <c r="Y274" i="7"/>
  <c r="BI268" i="7"/>
  <c r="I268" i="7"/>
  <c r="AV268" i="7"/>
  <c r="BE268" i="7"/>
  <c r="AW268" i="7"/>
  <c r="BG268" i="7"/>
  <c r="BH268" i="7"/>
  <c r="BC246" i="7"/>
  <c r="AN246" i="7"/>
  <c r="AV246" i="7" s="1"/>
  <c r="AO246" i="7"/>
  <c r="BH246" i="7" s="1"/>
  <c r="BC240" i="7"/>
  <c r="AN240" i="7"/>
  <c r="AV240" i="7" s="1"/>
  <c r="AO240" i="7"/>
  <c r="BH240" i="7" s="1"/>
  <c r="Y193" i="7"/>
  <c r="AG193" i="7"/>
  <c r="AV105" i="7"/>
  <c r="BG105" i="7"/>
  <c r="BG99" i="7"/>
  <c r="AV99" i="7"/>
  <c r="BC234" i="7"/>
  <c r="AN234" i="7"/>
  <c r="AV234" i="7" s="1"/>
  <c r="AU232" i="7"/>
  <c r="AG225" i="7"/>
  <c r="Y225" i="7"/>
  <c r="BC223" i="7"/>
  <c r="AN223" i="7"/>
  <c r="BG223" i="7" s="1"/>
  <c r="AO223" i="7"/>
  <c r="AW223" i="7" s="1"/>
  <c r="AE197" i="7"/>
  <c r="AA197" i="7"/>
  <c r="AO196" i="7"/>
  <c r="BH196" i="7" s="1"/>
  <c r="AN196" i="7"/>
  <c r="BI196" i="7"/>
  <c r="AB191" i="7"/>
  <c r="AF191" i="7"/>
  <c r="AD191" i="7"/>
  <c r="AI139" i="7"/>
  <c r="AJ139" i="7"/>
  <c r="AK139" i="7"/>
  <c r="Y568" i="4"/>
  <c r="AG568" i="4"/>
  <c r="BB544" i="4"/>
  <c r="AU544" i="4"/>
  <c r="Y188" i="10"/>
  <c r="Y180" i="10"/>
  <c r="AV174" i="10"/>
  <c r="AF174" i="10"/>
  <c r="I174" i="10"/>
  <c r="AE171" i="10"/>
  <c r="BE169" i="10"/>
  <c r="AE163" i="10"/>
  <c r="BE162" i="10"/>
  <c r="AE157" i="10"/>
  <c r="BE155" i="10"/>
  <c r="BE148" i="10"/>
  <c r="AE143" i="10"/>
  <c r="BE141" i="10"/>
  <c r="AE136" i="10"/>
  <c r="AV133" i="10"/>
  <c r="AF133" i="10"/>
  <c r="I133" i="10"/>
  <c r="Y131" i="10"/>
  <c r="AV126" i="10"/>
  <c r="AF126" i="10"/>
  <c r="I126" i="10"/>
  <c r="Y124" i="10"/>
  <c r="AV119" i="10"/>
  <c r="AF119" i="10"/>
  <c r="I119" i="10"/>
  <c r="Y118" i="10"/>
  <c r="AV113" i="10"/>
  <c r="I113" i="10"/>
  <c r="Y111" i="10"/>
  <c r="AV105" i="10"/>
  <c r="AF105" i="10"/>
  <c r="I105" i="10"/>
  <c r="Y103" i="10"/>
  <c r="AE96" i="10"/>
  <c r="BE94" i="10"/>
  <c r="BE87" i="10"/>
  <c r="AI83" i="10"/>
  <c r="AR82" i="10" s="1"/>
  <c r="Y83" i="10"/>
  <c r="AK80" i="10"/>
  <c r="BI79" i="10"/>
  <c r="AW79" i="10"/>
  <c r="BB79" i="10" s="1"/>
  <c r="I77" i="10"/>
  <c r="AB75" i="10"/>
  <c r="BH59" i="10"/>
  <c r="I59" i="10"/>
  <c r="AJ54" i="10"/>
  <c r="BH48" i="10"/>
  <c r="I48" i="10"/>
  <c r="AB40" i="10"/>
  <c r="BG39" i="10"/>
  <c r="BI34" i="10"/>
  <c r="AB25" i="10"/>
  <c r="AD25" i="10"/>
  <c r="AB17" i="10"/>
  <c r="AD17" i="10"/>
  <c r="BC322" i="7"/>
  <c r="AN322" i="7"/>
  <c r="AO322" i="7"/>
  <c r="BC319" i="7"/>
  <c r="AN319" i="7"/>
  <c r="AV319" i="7" s="1"/>
  <c r="AW317" i="7"/>
  <c r="AG297" i="7"/>
  <c r="Y297" i="7"/>
  <c r="AU290" i="7"/>
  <c r="BC286" i="7"/>
  <c r="AN286" i="7"/>
  <c r="AO286" i="7"/>
  <c r="BE274" i="7"/>
  <c r="BG274" i="7"/>
  <c r="Y270" i="7"/>
  <c r="BE266" i="7"/>
  <c r="BG266" i="7"/>
  <c r="Y263" i="7"/>
  <c r="BE260" i="7"/>
  <c r="AW260" i="7"/>
  <c r="BG260" i="7"/>
  <c r="Y256" i="7"/>
  <c r="BE254" i="7"/>
  <c r="BG254" i="7"/>
  <c r="Y251" i="7"/>
  <c r="BE246" i="7"/>
  <c r="BG246" i="7"/>
  <c r="Y243" i="7"/>
  <c r="BE240" i="7"/>
  <c r="BG240" i="7"/>
  <c r="Y237" i="7"/>
  <c r="BE234" i="7"/>
  <c r="BG234" i="7"/>
  <c r="I223" i="7"/>
  <c r="BE223" i="7"/>
  <c r="BI223" i="7"/>
  <c r="AV223" i="7"/>
  <c r="AE191" i="7"/>
  <c r="AA191" i="7"/>
  <c r="AC191" i="7"/>
  <c r="AW188" i="7"/>
  <c r="AI173" i="7"/>
  <c r="AJ173" i="7"/>
  <c r="AK173" i="7"/>
  <c r="I168" i="7"/>
  <c r="AV168" i="7"/>
  <c r="BI168" i="7"/>
  <c r="AW168" i="7"/>
  <c r="BG168" i="7"/>
  <c r="BH168" i="7"/>
  <c r="AN160" i="7"/>
  <c r="BG160" i="7" s="1"/>
  <c r="BC160" i="7"/>
  <c r="AB129" i="7"/>
  <c r="AD129" i="7"/>
  <c r="AF129" i="7"/>
  <c r="AC63" i="7"/>
  <c r="AE63" i="7"/>
  <c r="AW200" i="10"/>
  <c r="AW188" i="10"/>
  <c r="AU188" i="10" s="1"/>
  <c r="AW180" i="10"/>
  <c r="AU180" i="10" s="1"/>
  <c r="BI174" i="10"/>
  <c r="AV169" i="10"/>
  <c r="I169" i="10"/>
  <c r="AV162" i="10"/>
  <c r="I162" i="10"/>
  <c r="AV155" i="10"/>
  <c r="I155" i="10"/>
  <c r="AV148" i="10"/>
  <c r="I148" i="10"/>
  <c r="AV141" i="10"/>
  <c r="I141" i="10"/>
  <c r="AV135" i="10"/>
  <c r="I135" i="10"/>
  <c r="BI133" i="10"/>
  <c r="AW131" i="10"/>
  <c r="AU131" i="10" s="1"/>
  <c r="BI126" i="10"/>
  <c r="AW124" i="10"/>
  <c r="AU124" i="10" s="1"/>
  <c r="BI119" i="10"/>
  <c r="AW118" i="10"/>
  <c r="BI113" i="10"/>
  <c r="AW111" i="10"/>
  <c r="BI105" i="10"/>
  <c r="AW103" i="10"/>
  <c r="AU103" i="10" s="1"/>
  <c r="AO96" i="10"/>
  <c r="AV94" i="10"/>
  <c r="I94" i="10"/>
  <c r="AO89" i="10"/>
  <c r="AV87" i="10"/>
  <c r="I87" i="10"/>
  <c r="AW83" i="10"/>
  <c r="AU83" i="10" s="1"/>
  <c r="BG59" i="10"/>
  <c r="AD54" i="10"/>
  <c r="I46" i="10"/>
  <c r="AV46" i="10"/>
  <c r="BI40" i="10"/>
  <c r="AN40" i="10"/>
  <c r="AV40" i="10" s="1"/>
  <c r="AW39" i="10"/>
  <c r="I34" i="10"/>
  <c r="BG28" i="10"/>
  <c r="BI28" i="10"/>
  <c r="AF25" i="10"/>
  <c r="I22" i="10"/>
  <c r="AV22" i="10"/>
  <c r="AF17" i="10"/>
  <c r="AO319" i="7"/>
  <c r="BH305" i="7"/>
  <c r="BI295" i="7"/>
  <c r="I280" i="7"/>
  <c r="AV280" i="7"/>
  <c r="AW280" i="7"/>
  <c r="AJ272" i="7"/>
  <c r="AK272" i="7"/>
  <c r="AJ265" i="7"/>
  <c r="AK265" i="7"/>
  <c r="AJ258" i="7"/>
  <c r="AK258" i="7"/>
  <c r="AJ253" i="7"/>
  <c r="AK253" i="7"/>
  <c r="AJ245" i="7"/>
  <c r="AK245" i="7"/>
  <c r="AJ239" i="7"/>
  <c r="AK239" i="7"/>
  <c r="AJ232" i="7"/>
  <c r="AK232" i="7"/>
  <c r="AF188" i="7"/>
  <c r="AB188" i="7"/>
  <c r="AD188" i="7"/>
  <c r="Y173" i="7"/>
  <c r="AG173" i="7"/>
  <c r="AI170" i="7"/>
  <c r="AJ170" i="7"/>
  <c r="AK170" i="7"/>
  <c r="AG166" i="7"/>
  <c r="I160" i="7"/>
  <c r="AV160" i="7"/>
  <c r="BE160" i="7"/>
  <c r="AW160" i="7"/>
  <c r="BH160" i="7"/>
  <c r="BI160" i="7"/>
  <c r="AF144" i="7"/>
  <c r="BG66" i="7"/>
  <c r="AW66" i="7"/>
  <c r="I66" i="7"/>
  <c r="BH66" i="7"/>
  <c r="AV66" i="7"/>
  <c r="BI66" i="7"/>
  <c r="AO22" i="7"/>
  <c r="I22" i="7"/>
  <c r="BI22" i="7"/>
  <c r="AN22" i="7"/>
  <c r="BC22" i="7"/>
  <c r="I25" i="1"/>
  <c r="AD174" i="10"/>
  <c r="AC171" i="10"/>
  <c r="AC163" i="10"/>
  <c r="AC157" i="10"/>
  <c r="AC143" i="10"/>
  <c r="AC136" i="10"/>
  <c r="AD133" i="10"/>
  <c r="AD126" i="10"/>
  <c r="AD119" i="10"/>
  <c r="AD105" i="10"/>
  <c r="AC96" i="10"/>
  <c r="AU79" i="10"/>
  <c r="AW48" i="10"/>
  <c r="AB34" i="10"/>
  <c r="AD34" i="10"/>
  <c r="AU28" i="10"/>
  <c r="AD14" i="10"/>
  <c r="AF14" i="10"/>
  <c r="AJ290" i="7"/>
  <c r="AS289" i="7" s="1"/>
  <c r="AK290" i="7"/>
  <c r="AT289" i="7" s="1"/>
  <c r="AI245" i="7"/>
  <c r="AI239" i="7"/>
  <c r="AO234" i="7"/>
  <c r="BH234" i="7" s="1"/>
  <c r="AI232" i="7"/>
  <c r="AE204" i="7"/>
  <c r="AA204" i="7"/>
  <c r="AC204" i="7"/>
  <c r="AO202" i="7"/>
  <c r="BH202" i="7" s="1"/>
  <c r="AN202" i="7"/>
  <c r="I202" i="7"/>
  <c r="BC202" i="7"/>
  <c r="BI202" i="7"/>
  <c r="BC196" i="7"/>
  <c r="AE171" i="7"/>
  <c r="AA171" i="7"/>
  <c r="AO170" i="7"/>
  <c r="BH170" i="7" s="1"/>
  <c r="AN170" i="7"/>
  <c r="BI170" i="7"/>
  <c r="AB165" i="7"/>
  <c r="AF165" i="7"/>
  <c r="AD165" i="7"/>
  <c r="AJ162" i="7"/>
  <c r="AI162" i="7"/>
  <c r="AK162" i="7"/>
  <c r="BH153" i="7"/>
  <c r="I153" i="7"/>
  <c r="BE153" i="7"/>
  <c r="BI153" i="7"/>
  <c r="AW27" i="7"/>
  <c r="BH27" i="7"/>
  <c r="AO169" i="10"/>
  <c r="BH169" i="10" s="1"/>
  <c r="AO162" i="10"/>
  <c r="BH162" i="10" s="1"/>
  <c r="AO155" i="10"/>
  <c r="BH155" i="10" s="1"/>
  <c r="AO148" i="10"/>
  <c r="BH148" i="10" s="1"/>
  <c r="AO141" i="10"/>
  <c r="BH141" i="10" s="1"/>
  <c r="AO135" i="10"/>
  <c r="BH135" i="10" s="1"/>
  <c r="AO94" i="10"/>
  <c r="BH94" i="10" s="1"/>
  <c r="AO87" i="10"/>
  <c r="AW59" i="10"/>
  <c r="AI40" i="10"/>
  <c r="AF34" i="10"/>
  <c r="BG14" i="10"/>
  <c r="BC329" i="7"/>
  <c r="AN329" i="7"/>
  <c r="AO329" i="7"/>
  <c r="BE324" i="7"/>
  <c r="AW324" i="7"/>
  <c r="AC307" i="7"/>
  <c r="AE307" i="7"/>
  <c r="BI305" i="7"/>
  <c r="I305" i="7"/>
  <c r="AV305" i="7"/>
  <c r="BE305" i="7"/>
  <c r="I295" i="7"/>
  <c r="BE295" i="7"/>
  <c r="AW295" i="7"/>
  <c r="AI290" i="7"/>
  <c r="AR289" i="7" s="1"/>
  <c r="AN229" i="7"/>
  <c r="BG229" i="7" s="1"/>
  <c r="AO229" i="7"/>
  <c r="BH229" i="7" s="1"/>
  <c r="BC229" i="7"/>
  <c r="AG190" i="7"/>
  <c r="Y190" i="7"/>
  <c r="AE165" i="7"/>
  <c r="AA165" i="7"/>
  <c r="AC165" i="7"/>
  <c r="Y151" i="7"/>
  <c r="AG151" i="7"/>
  <c r="AE131" i="7"/>
  <c r="AA131" i="7"/>
  <c r="BG80" i="10"/>
  <c r="BI80" i="10"/>
  <c r="I75" i="10"/>
  <c r="I70" i="10" s="1"/>
  <c r="AV75" i="10"/>
  <c r="AV48" i="10"/>
  <c r="BE40" i="10"/>
  <c r="AW40" i="10"/>
  <c r="AW34" i="10"/>
  <c r="AU34" i="10" s="1"/>
  <c r="AO24" i="10"/>
  <c r="I24" i="10"/>
  <c r="AN324" i="7"/>
  <c r="BG324" i="7" s="1"/>
  <c r="BI322" i="7"/>
  <c r="BI319" i="7"/>
  <c r="BC311" i="7"/>
  <c r="AN311" i="7"/>
  <c r="BG311" i="7" s="1"/>
  <c r="I229" i="7"/>
  <c r="BE229" i="7"/>
  <c r="BI229" i="7"/>
  <c r="AI228" i="7"/>
  <c r="AJ228" i="7"/>
  <c r="AK228" i="7"/>
  <c r="AC225" i="7"/>
  <c r="AK221" i="7"/>
  <c r="BI219" i="7"/>
  <c r="I219" i="7"/>
  <c r="AV219" i="7"/>
  <c r="BE219" i="7"/>
  <c r="BG219" i="7"/>
  <c r="BH219" i="7"/>
  <c r="AW219" i="7"/>
  <c r="BI210" i="7"/>
  <c r="I210" i="7"/>
  <c r="AV210" i="7"/>
  <c r="BE210" i="7"/>
  <c r="BH210" i="7"/>
  <c r="AW210" i="7"/>
  <c r="AF200" i="7"/>
  <c r="AB200" i="7"/>
  <c r="BI185" i="7"/>
  <c r="I185" i="7"/>
  <c r="AV185" i="7"/>
  <c r="BE185" i="7"/>
  <c r="AW185" i="7"/>
  <c r="BG185" i="7"/>
  <c r="BH185" i="7"/>
  <c r="AF182" i="7"/>
  <c r="AB182" i="7"/>
  <c r="AV51" i="7"/>
  <c r="BG51" i="7"/>
  <c r="AV327" i="7"/>
  <c r="AW307" i="7"/>
  <c r="BE307" i="7"/>
  <c r="AE303" i="7"/>
  <c r="AW300" i="7"/>
  <c r="AV298" i="7"/>
  <c r="AF298" i="7"/>
  <c r="I298" i="7"/>
  <c r="AV293" i="7"/>
  <c r="AF293" i="7"/>
  <c r="I293" i="7"/>
  <c r="AE290" i="7"/>
  <c r="AV284" i="7"/>
  <c r="AF284" i="7"/>
  <c r="I284" i="7"/>
  <c r="AW270" i="7"/>
  <c r="BE270" i="7"/>
  <c r="AE265" i="7"/>
  <c r="AW263" i="7"/>
  <c r="BE263" i="7"/>
  <c r="AE258" i="7"/>
  <c r="AW256" i="7"/>
  <c r="BE256" i="7"/>
  <c r="AE253" i="7"/>
  <c r="AW251" i="7"/>
  <c r="BE251" i="7"/>
  <c r="AW243" i="7"/>
  <c r="BE243" i="7"/>
  <c r="AE239" i="7"/>
  <c r="AW237" i="7"/>
  <c r="BE237" i="7"/>
  <c r="AE232" i="7"/>
  <c r="AW231" i="7"/>
  <c r="BE231" i="7"/>
  <c r="BI228" i="7"/>
  <c r="AN228" i="7"/>
  <c r="BH225" i="7"/>
  <c r="I225" i="7"/>
  <c r="BH216" i="7"/>
  <c r="I216" i="7"/>
  <c r="BH209" i="7"/>
  <c r="I209" i="7"/>
  <c r="BI204" i="7"/>
  <c r="I204" i="7"/>
  <c r="AV204" i="7"/>
  <c r="AW197" i="7"/>
  <c r="I188" i="7"/>
  <c r="AV188" i="7"/>
  <c r="BI188" i="7"/>
  <c r="AW182" i="7"/>
  <c r="AN181" i="7"/>
  <c r="AO181" i="7"/>
  <c r="BI179" i="7"/>
  <c r="I179" i="7"/>
  <c r="AV179" i="7"/>
  <c r="AW171" i="7"/>
  <c r="BG143" i="7"/>
  <c r="AV143" i="7"/>
  <c r="AN137" i="7"/>
  <c r="AV137" i="7" s="1"/>
  <c r="BC137" i="7"/>
  <c r="AV121" i="7"/>
  <c r="BG121" i="7"/>
  <c r="BG113" i="7"/>
  <c r="BI113" i="7"/>
  <c r="I113" i="7"/>
  <c r="AV113" i="7"/>
  <c r="BE113" i="7"/>
  <c r="AW113" i="7"/>
  <c r="BH113" i="7"/>
  <c r="AK32" i="7"/>
  <c r="AJ32" i="7"/>
  <c r="AI32" i="7"/>
  <c r="AI26" i="7"/>
  <c r="AK26" i="7"/>
  <c r="AJ26" i="7"/>
  <c r="AO14" i="7"/>
  <c r="I14" i="7"/>
  <c r="BC14" i="7"/>
  <c r="AN14" i="7"/>
  <c r="BI14" i="7"/>
  <c r="AV634" i="4"/>
  <c r="BG634" i="4"/>
  <c r="AE327" i="7"/>
  <c r="AV307" i="7"/>
  <c r="AF307" i="7"/>
  <c r="I307" i="7"/>
  <c r="AV300" i="7"/>
  <c r="I300" i="7"/>
  <c r="AE298" i="7"/>
  <c r="AW297" i="7"/>
  <c r="BE297" i="7"/>
  <c r="AE293" i="7"/>
  <c r="AE284" i="7"/>
  <c r="AW282" i="7"/>
  <c r="BE282" i="7"/>
  <c r="AV270" i="7"/>
  <c r="AF270" i="7"/>
  <c r="I270" i="7"/>
  <c r="AV263" i="7"/>
  <c r="AF263" i="7"/>
  <c r="I263" i="7"/>
  <c r="AV256" i="7"/>
  <c r="AF256" i="7"/>
  <c r="I256" i="7"/>
  <c r="AV251" i="7"/>
  <c r="AF251" i="7"/>
  <c r="I251" i="7"/>
  <c r="AV243" i="7"/>
  <c r="AF243" i="7"/>
  <c r="I243" i="7"/>
  <c r="AV237" i="7"/>
  <c r="AF237" i="7"/>
  <c r="I237" i="7"/>
  <c r="AV231" i="7"/>
  <c r="AF231" i="7"/>
  <c r="AN221" i="7"/>
  <c r="AO221" i="7"/>
  <c r="AN212" i="7"/>
  <c r="AO212" i="7"/>
  <c r="BH204" i="7"/>
  <c r="AO190" i="7"/>
  <c r="BH190" i="7" s="1"/>
  <c r="AN190" i="7"/>
  <c r="AG162" i="7"/>
  <c r="AN158" i="7"/>
  <c r="BC158" i="7"/>
  <c r="AO158" i="7"/>
  <c r="AW158" i="7" s="1"/>
  <c r="BG151" i="7"/>
  <c r="I151" i="7"/>
  <c r="BH151" i="7"/>
  <c r="AV151" i="7"/>
  <c r="BC147" i="7"/>
  <c r="AN147" i="7"/>
  <c r="AV147" i="7" s="1"/>
  <c r="AO147" i="7"/>
  <c r="AW147" i="7" s="1"/>
  <c r="I141" i="7"/>
  <c r="AV141" i="7"/>
  <c r="BE141" i="7"/>
  <c r="AW141" i="7"/>
  <c r="BH141" i="7"/>
  <c r="BG141" i="7"/>
  <c r="Y139" i="7"/>
  <c r="AG139" i="7"/>
  <c r="AJ129" i="7"/>
  <c r="AK129" i="7"/>
  <c r="AI129" i="7"/>
  <c r="AJ128" i="7"/>
  <c r="AI128" i="7"/>
  <c r="AK128" i="7"/>
  <c r="AG89" i="7"/>
  <c r="Y89" i="7"/>
  <c r="BI67" i="7"/>
  <c r="BE67" i="7"/>
  <c r="BH67" i="7"/>
  <c r="AV67" i="7"/>
  <c r="I67" i="7"/>
  <c r="AC26" i="7"/>
  <c r="AA26" i="7"/>
  <c r="AB684" i="4"/>
  <c r="AF684" i="4"/>
  <c r="AD684" i="4"/>
  <c r="AV674" i="4"/>
  <c r="BG674" i="4"/>
  <c r="AE300" i="7"/>
  <c r="AV297" i="7"/>
  <c r="AF297" i="7"/>
  <c r="I297" i="7"/>
  <c r="AV282" i="7"/>
  <c r="I282" i="7"/>
  <c r="AE270" i="7"/>
  <c r="AE256" i="7"/>
  <c r="AE251" i="7"/>
  <c r="AE243" i="7"/>
  <c r="AE237" i="7"/>
  <c r="AE231" i="7"/>
  <c r="BE225" i="7"/>
  <c r="AW225" i="7"/>
  <c r="AU225" i="7" s="1"/>
  <c r="BE216" i="7"/>
  <c r="AW216" i="7"/>
  <c r="AU216" i="7" s="1"/>
  <c r="BE209" i="7"/>
  <c r="AW209" i="7"/>
  <c r="AU209" i="7" s="1"/>
  <c r="AN199" i="7"/>
  <c r="AO199" i="7"/>
  <c r="BI197" i="7"/>
  <c r="I197" i="7"/>
  <c r="AV197" i="7"/>
  <c r="I182" i="7"/>
  <c r="AV182" i="7"/>
  <c r="BI182" i="7"/>
  <c r="AN173" i="7"/>
  <c r="AO173" i="7"/>
  <c r="BI171" i="7"/>
  <c r="I171" i="7"/>
  <c r="AV171" i="7"/>
  <c r="BI158" i="7"/>
  <c r="I158" i="7"/>
  <c r="BE158" i="7"/>
  <c r="BH158" i="7"/>
  <c r="BE155" i="7"/>
  <c r="AW155" i="7"/>
  <c r="BI155" i="7"/>
  <c r="I155" i="7"/>
  <c r="AV155" i="7"/>
  <c r="AD149" i="7"/>
  <c r="AF149" i="7"/>
  <c r="AI149" i="7"/>
  <c r="AJ149" i="7"/>
  <c r="AK149" i="7"/>
  <c r="BE147" i="7"/>
  <c r="I147" i="7"/>
  <c r="BI147" i="7"/>
  <c r="BH147" i="7"/>
  <c r="AU144" i="7"/>
  <c r="BB144" i="7"/>
  <c r="Y137" i="7"/>
  <c r="AG137" i="7"/>
  <c r="AA89" i="7"/>
  <c r="AC89" i="7"/>
  <c r="AE89" i="7"/>
  <c r="Y51" i="7"/>
  <c r="AG51" i="7"/>
  <c r="BG35" i="7"/>
  <c r="BI35" i="7"/>
  <c r="AW35" i="7"/>
  <c r="I35" i="7"/>
  <c r="AV35" i="7"/>
  <c r="BH35" i="7"/>
  <c r="AO30" i="7"/>
  <c r="I30" i="7"/>
  <c r="BC30" i="7"/>
  <c r="AN30" i="7"/>
  <c r="BI30" i="7"/>
  <c r="AU695" i="4"/>
  <c r="BB695" i="4"/>
  <c r="BH460" i="4"/>
  <c r="AW460" i="4"/>
  <c r="BB460" i="4" s="1"/>
  <c r="AO184" i="7"/>
  <c r="BH184" i="7" s="1"/>
  <c r="AN184" i="7"/>
  <c r="Y181" i="7"/>
  <c r="AG181" i="7"/>
  <c r="AE179" i="7"/>
  <c r="AA179" i="7"/>
  <c r="AJ146" i="7"/>
  <c r="AK146" i="7"/>
  <c r="AG141" i="7"/>
  <c r="Y141" i="7"/>
  <c r="AW139" i="7"/>
  <c r="BH139" i="7"/>
  <c r="AE136" i="7"/>
  <c r="AC136" i="7"/>
  <c r="AD77" i="7"/>
  <c r="AF77" i="7"/>
  <c r="AB77" i="7"/>
  <c r="Y15" i="7"/>
  <c r="AG15" i="7"/>
  <c r="I200" i="7"/>
  <c r="AV200" i="7"/>
  <c r="BI200" i="7"/>
  <c r="BH197" i="7"/>
  <c r="AK193" i="7"/>
  <c r="AN193" i="7"/>
  <c r="AO193" i="7"/>
  <c r="BI191" i="7"/>
  <c r="I191" i="7"/>
  <c r="AV191" i="7"/>
  <c r="AA188" i="7"/>
  <c r="AE188" i="7"/>
  <c r="AC188" i="7"/>
  <c r="AK184" i="7"/>
  <c r="AC179" i="7"/>
  <c r="I175" i="7"/>
  <c r="AV175" i="7"/>
  <c r="BI175" i="7"/>
  <c r="BH171" i="7"/>
  <c r="AK166" i="7"/>
  <c r="AN166" i="7"/>
  <c r="AO166" i="7"/>
  <c r="BI165" i="7"/>
  <c r="I165" i="7"/>
  <c r="AV165" i="7"/>
  <c r="BE46" i="7"/>
  <c r="AC27" i="7"/>
  <c r="AA27" i="7"/>
  <c r="AE27" i="7"/>
  <c r="AE15" i="7"/>
  <c r="AA15" i="7"/>
  <c r="AC15" i="7"/>
  <c r="AV149" i="7"/>
  <c r="Y144" i="7"/>
  <c r="AB132" i="7"/>
  <c r="AI88" i="7"/>
  <c r="AJ88" i="7"/>
  <c r="AK88" i="7"/>
  <c r="BI75" i="7"/>
  <c r="BE75" i="7"/>
  <c r="BG75" i="7"/>
  <c r="AV75" i="7"/>
  <c r="I75" i="7"/>
  <c r="AW75" i="7"/>
  <c r="BH75" i="7"/>
  <c r="AN48" i="7"/>
  <c r="BG48" i="7" s="1"/>
  <c r="BC48" i="7"/>
  <c r="AG681" i="4"/>
  <c r="Y681" i="4"/>
  <c r="BG149" i="7"/>
  <c r="BI146" i="7"/>
  <c r="BG137" i="7"/>
  <c r="BH137" i="7"/>
  <c r="BG132" i="7"/>
  <c r="BI132" i="7"/>
  <c r="I132" i="7"/>
  <c r="AV132" i="7"/>
  <c r="BE132" i="7"/>
  <c r="AA129" i="7"/>
  <c r="AC129" i="7"/>
  <c r="BG124" i="7"/>
  <c r="I124" i="7"/>
  <c r="I120" i="7" s="1"/>
  <c r="AW124" i="7"/>
  <c r="AU124" i="7" s="1"/>
  <c r="AI108" i="7"/>
  <c r="AJ108" i="7"/>
  <c r="AN91" i="7"/>
  <c r="BG91" i="7" s="1"/>
  <c r="BC91" i="7"/>
  <c r="AO91" i="7"/>
  <c r="AW91" i="7" s="1"/>
  <c r="AG63" i="7"/>
  <c r="Y63" i="7"/>
  <c r="AT673" i="4"/>
  <c r="AW190" i="7"/>
  <c r="AW178" i="7"/>
  <c r="BC153" i="7"/>
  <c r="AN153" i="7"/>
  <c r="AV153" i="7" s="1"/>
  <c r="BH146" i="7"/>
  <c r="AV139" i="7"/>
  <c r="AK136" i="7"/>
  <c r="AJ136" i="7"/>
  <c r="I105" i="7"/>
  <c r="BC105" i="7"/>
  <c r="BI105" i="7"/>
  <c r="BI91" i="7"/>
  <c r="I91" i="7"/>
  <c r="AV91" i="7"/>
  <c r="BH63" i="7"/>
  <c r="AJ37" i="7"/>
  <c r="AI37" i="7"/>
  <c r="I27" i="6"/>
  <c r="I14" i="5"/>
  <c r="I22" i="5" s="1"/>
  <c r="AW510" i="4"/>
  <c r="AU510" i="4" s="1"/>
  <c r="BH510" i="4"/>
  <c r="BI149" i="7"/>
  <c r="BE149" i="7"/>
  <c r="AI131" i="7"/>
  <c r="AJ131" i="7"/>
  <c r="BE121" i="7"/>
  <c r="Y88" i="7"/>
  <c r="AG88" i="7"/>
  <c r="AI77" i="7"/>
  <c r="AK77" i="7"/>
  <c r="AJ77" i="7"/>
  <c r="BG59" i="7"/>
  <c r="BE59" i="7"/>
  <c r="I59" i="7"/>
  <c r="AV59" i="7"/>
  <c r="BI59" i="7"/>
  <c r="AA17" i="7"/>
  <c r="AC17" i="7"/>
  <c r="AU706" i="4"/>
  <c r="BB706" i="4"/>
  <c r="AA644" i="4"/>
  <c r="AE644" i="4"/>
  <c r="BH641" i="4"/>
  <c r="AW641" i="4"/>
  <c r="BB641" i="4" s="1"/>
  <c r="AB638" i="4"/>
  <c r="AD638" i="4"/>
  <c r="AF638" i="4"/>
  <c r="AV622" i="4"/>
  <c r="BG622" i="4"/>
  <c r="AG519" i="4"/>
  <c r="Y519" i="4"/>
  <c r="AW474" i="4"/>
  <c r="BH474" i="4"/>
  <c r="AW149" i="7"/>
  <c r="AW146" i="7"/>
  <c r="AD132" i="7"/>
  <c r="AK121" i="7"/>
  <c r="AI121" i="7"/>
  <c r="AC88" i="7"/>
  <c r="AA88" i="7"/>
  <c r="BE88" i="7"/>
  <c r="AE54" i="7"/>
  <c r="AA54" i="7"/>
  <c r="AC54" i="7"/>
  <c r="BC27" i="7"/>
  <c r="BI27" i="7"/>
  <c r="F14" i="5"/>
  <c r="F22" i="5" s="1"/>
  <c r="F23" i="1" s="1"/>
  <c r="I18" i="6"/>
  <c r="F29" i="6" s="1"/>
  <c r="AG708" i="4"/>
  <c r="Y708" i="4"/>
  <c r="AC644" i="4"/>
  <c r="BB495" i="4"/>
  <c r="AU495" i="4"/>
  <c r="BG144" i="7"/>
  <c r="AI116" i="7"/>
  <c r="BC116" i="7"/>
  <c r="AN116" i="7"/>
  <c r="AO116" i="7"/>
  <c r="AV46" i="7"/>
  <c r="BG46" i="7"/>
  <c r="AO40" i="7"/>
  <c r="BI40" i="7"/>
  <c r="AN40" i="7"/>
  <c r="BG40" i="7" s="1"/>
  <c r="AK24" i="7"/>
  <c r="AJ24" i="7"/>
  <c r="AT710" i="4"/>
  <c r="AU708" i="4"/>
  <c r="AI708" i="4"/>
  <c r="AR707" i="4" s="1"/>
  <c r="AK708" i="4"/>
  <c r="AT707" i="4" s="1"/>
  <c r="I707" i="4"/>
  <c r="AJ708" i="4"/>
  <c r="AS707" i="4" s="1"/>
  <c r="AB685" i="4"/>
  <c r="AF685" i="4"/>
  <c r="AD685" i="4"/>
  <c r="AA668" i="4"/>
  <c r="AE668" i="4"/>
  <c r="AC668" i="4"/>
  <c r="BH663" i="4"/>
  <c r="AW663" i="4"/>
  <c r="AU663" i="4" s="1"/>
  <c r="BI131" i="7"/>
  <c r="BE131" i="7"/>
  <c r="AW131" i="7"/>
  <c r="BB131" i="7" s="1"/>
  <c r="BI108" i="7"/>
  <c r="BE108" i="7"/>
  <c r="AW108" i="7"/>
  <c r="BE68" i="7"/>
  <c r="AW68" i="7"/>
  <c r="BB68" i="7" s="1"/>
  <c r="BG68" i="7"/>
  <c r="I68" i="7"/>
  <c r="BH68" i="7"/>
  <c r="BI54" i="7"/>
  <c r="AV54" i="7"/>
  <c r="AW54" i="7"/>
  <c r="I54" i="7"/>
  <c r="I48" i="7"/>
  <c r="BE48" i="7"/>
  <c r="BH48" i="7"/>
  <c r="BI48" i="7"/>
  <c r="AW48" i="7"/>
  <c r="AU671" i="4"/>
  <c r="BB671" i="4"/>
  <c r="AA626" i="4"/>
  <c r="AC626" i="4"/>
  <c r="AA625" i="4"/>
  <c r="AC625" i="4"/>
  <c r="AE625" i="4"/>
  <c r="AV541" i="4"/>
  <c r="BG541" i="4"/>
  <c r="AF447" i="4"/>
  <c r="AD447" i="4"/>
  <c r="AB447" i="4"/>
  <c r="BE129" i="7"/>
  <c r="AW129" i="7"/>
  <c r="AU129" i="7" s="1"/>
  <c r="BC128" i="7"/>
  <c r="AN128" i="7"/>
  <c r="AO128" i="7"/>
  <c r="BG108" i="7"/>
  <c r="AF108" i="7"/>
  <c r="I89" i="7"/>
  <c r="I87" i="7" s="1"/>
  <c r="AV89" i="7"/>
  <c r="BE89" i="7"/>
  <c r="BH89" i="7"/>
  <c r="Y46" i="7"/>
  <c r="AG46" i="7"/>
  <c r="AO32" i="7"/>
  <c r="AN32" i="7"/>
  <c r="BG32" i="7" s="1"/>
  <c r="BC32" i="7"/>
  <c r="AF17" i="7"/>
  <c r="AB17" i="7"/>
  <c r="AE706" i="4"/>
  <c r="AA706" i="4"/>
  <c r="AC706" i="4"/>
  <c r="AJ694" i="4"/>
  <c r="AS693" i="4" s="1"/>
  <c r="AK694" i="4"/>
  <c r="AT693" i="4" s="1"/>
  <c r="I693" i="4"/>
  <c r="AI694" i="4"/>
  <c r="AR693" i="4" s="1"/>
  <c r="AG680" i="4"/>
  <c r="Y680" i="4"/>
  <c r="AB670" i="4"/>
  <c r="AF670" i="4"/>
  <c r="AD670" i="4"/>
  <c r="AK629" i="4"/>
  <c r="AT628" i="4" s="1"/>
  <c r="I628" i="4"/>
  <c r="AI629" i="4"/>
  <c r="AR628" i="4" s="1"/>
  <c r="AJ629" i="4"/>
  <c r="AS628" i="4" s="1"/>
  <c r="AE616" i="4"/>
  <c r="AA616" i="4"/>
  <c r="AC616" i="4"/>
  <c r="AU613" i="4"/>
  <c r="BB613" i="4"/>
  <c r="AE612" i="4"/>
  <c r="AA612" i="4"/>
  <c r="AC612" i="4"/>
  <c r="AW560" i="4"/>
  <c r="AU560" i="4" s="1"/>
  <c r="BH560" i="4"/>
  <c r="AF484" i="4"/>
  <c r="AD484" i="4"/>
  <c r="AB484" i="4"/>
  <c r="AA462" i="4"/>
  <c r="AC462" i="4"/>
  <c r="AE462" i="4"/>
  <c r="AW450" i="4"/>
  <c r="BH450" i="4"/>
  <c r="AD681" i="4"/>
  <c r="AB681" i="4"/>
  <c r="AA663" i="4"/>
  <c r="AE663" i="4"/>
  <c r="AC663" i="4"/>
  <c r="BE663" i="4"/>
  <c r="AF568" i="4"/>
  <c r="AD568" i="4"/>
  <c r="AB568" i="4"/>
  <c r="AV474" i="4"/>
  <c r="BG474" i="4"/>
  <c r="BC134" i="7"/>
  <c r="AN134" i="7"/>
  <c r="AO134" i="7"/>
  <c r="AV108" i="7"/>
  <c r="BI68" i="7"/>
  <c r="Y61" i="7"/>
  <c r="AG61" i="7"/>
  <c r="BE61" i="7"/>
  <c r="BH54" i="7"/>
  <c r="BH37" i="7"/>
  <c r="AV703" i="4"/>
  <c r="BG703" i="4"/>
  <c r="AF698" i="4"/>
  <c r="AB698" i="4"/>
  <c r="AD698" i="4"/>
  <c r="AS697" i="4"/>
  <c r="AF681" i="4"/>
  <c r="BE674" i="4"/>
  <c r="AV672" i="4"/>
  <c r="BG672" i="4"/>
  <c r="AF509" i="4"/>
  <c r="AB509" i="4"/>
  <c r="AD509" i="4"/>
  <c r="AA499" i="4"/>
  <c r="AE499" i="4"/>
  <c r="I99" i="7"/>
  <c r="AB61" i="7"/>
  <c r="I51" i="7"/>
  <c r="I46" i="7"/>
  <c r="I27" i="7"/>
  <c r="AV27" i="7"/>
  <c r="AB26" i="7"/>
  <c r="AD26" i="7"/>
  <c r="AN24" i="7"/>
  <c r="BG24" i="7" s="1"/>
  <c r="AW16" i="7"/>
  <c r="BB720" i="4"/>
  <c r="AU720" i="4"/>
  <c r="I718" i="4"/>
  <c r="I717" i="4" s="1"/>
  <c r="AI720" i="4"/>
  <c r="AR718" i="4" s="1"/>
  <c r="AJ720" i="4"/>
  <c r="AS718" i="4" s="1"/>
  <c r="BE719" i="4"/>
  <c r="AA701" i="4"/>
  <c r="AC701" i="4"/>
  <c r="AA698" i="4"/>
  <c r="AC698" i="4"/>
  <c r="AE698" i="4"/>
  <c r="AA671" i="4"/>
  <c r="AE671" i="4"/>
  <c r="AC671" i="4"/>
  <c r="BG670" i="4"/>
  <c r="BB663" i="4"/>
  <c r="BG655" i="4"/>
  <c r="AV655" i="4"/>
  <c r="AW652" i="4"/>
  <c r="AU652" i="4" s="1"/>
  <c r="BH652" i="4"/>
  <c r="AU650" i="4"/>
  <c r="BB650" i="4"/>
  <c r="BB646" i="4"/>
  <c r="AI642" i="4"/>
  <c r="AJ642" i="4"/>
  <c r="AK642" i="4"/>
  <c r="AT637" i="4" s="1"/>
  <c r="AG622" i="4"/>
  <c r="Y622" i="4"/>
  <c r="AV620" i="4"/>
  <c r="BG620" i="4"/>
  <c r="AU576" i="4"/>
  <c r="BB576" i="4"/>
  <c r="AW488" i="4"/>
  <c r="BH488" i="4"/>
  <c r="AE476" i="4"/>
  <c r="AA476" i="4"/>
  <c r="AC476" i="4"/>
  <c r="AV336" i="4"/>
  <c r="BG336" i="4"/>
  <c r="AF333" i="4"/>
  <c r="AD333" i="4"/>
  <c r="AB333" i="4"/>
  <c r="AD121" i="7"/>
  <c r="BG77" i="7"/>
  <c r="BE77" i="7"/>
  <c r="AW77" i="7"/>
  <c r="I63" i="7"/>
  <c r="AV63" i="7"/>
  <c r="AN61" i="7"/>
  <c r="AO59" i="7"/>
  <c r="AW59" i="7" s="1"/>
  <c r="BG37" i="7"/>
  <c r="BI37" i="7"/>
  <c r="AG26" i="7"/>
  <c r="AB24" i="7"/>
  <c r="AD24" i="7"/>
  <c r="AF24" i="7"/>
  <c r="AU719" i="4"/>
  <c r="AB694" i="4"/>
  <c r="AD694" i="4"/>
  <c r="AV684" i="4"/>
  <c r="BG684" i="4"/>
  <c r="AA676" i="4"/>
  <c r="AC676" i="4"/>
  <c r="AF671" i="4"/>
  <c r="AW665" i="4"/>
  <c r="BH665" i="4"/>
  <c r="BE644" i="4"/>
  <c r="AV635" i="4"/>
  <c r="BG635" i="4"/>
  <c r="AB629" i="4"/>
  <c r="AD629" i="4"/>
  <c r="AF629" i="4"/>
  <c r="AJ615" i="4"/>
  <c r="AI615" i="4"/>
  <c r="AF582" i="4"/>
  <c r="AD582" i="4"/>
  <c r="AB582" i="4"/>
  <c r="AI562" i="4"/>
  <c r="I561" i="4"/>
  <c r="AJ562" i="4"/>
  <c r="AK562" i="4"/>
  <c r="AT561" i="4" s="1"/>
  <c r="AK547" i="4"/>
  <c r="AT546" i="4" s="1"/>
  <c r="I546" i="4"/>
  <c r="AI547" i="4"/>
  <c r="AR546" i="4" s="1"/>
  <c r="AJ547" i="4"/>
  <c r="AS546" i="4" s="1"/>
  <c r="AI538" i="4"/>
  <c r="AR529" i="4" s="1"/>
  <c r="AJ538" i="4"/>
  <c r="AS529" i="4" s="1"/>
  <c r="AK538" i="4"/>
  <c r="AT529" i="4" s="1"/>
  <c r="AU535" i="4"/>
  <c r="BB535" i="4"/>
  <c r="Y527" i="4"/>
  <c r="AG527" i="4"/>
  <c r="AE490" i="4"/>
  <c r="AA490" i="4"/>
  <c r="AC490" i="4"/>
  <c r="AV488" i="4"/>
  <c r="BG488" i="4"/>
  <c r="AB344" i="4"/>
  <c r="AD344" i="4"/>
  <c r="AF344" i="4"/>
  <c r="AB695" i="4"/>
  <c r="AD695" i="4"/>
  <c r="AF695" i="4"/>
  <c r="AI691" i="4"/>
  <c r="AR690" i="4" s="1"/>
  <c r="AK691" i="4"/>
  <c r="AT690" i="4" s="1"/>
  <c r="I690" i="4"/>
  <c r="BH687" i="4"/>
  <c r="AW687" i="4"/>
  <c r="BB687" i="4" s="1"/>
  <c r="I686" i="4"/>
  <c r="AJ687" i="4"/>
  <c r="AS686" i="4" s="1"/>
  <c r="AK687" i="4"/>
  <c r="AT686" i="4" s="1"/>
  <c r="AW680" i="4"/>
  <c r="AU680" i="4" s="1"/>
  <c r="BH680" i="4"/>
  <c r="AB672" i="4"/>
  <c r="AF672" i="4"/>
  <c r="AI622" i="4"/>
  <c r="AK622" i="4"/>
  <c r="AV615" i="4"/>
  <c r="BG615" i="4"/>
  <c r="AE611" i="4"/>
  <c r="AA611" i="4"/>
  <c r="AC611" i="4"/>
  <c r="AW588" i="4"/>
  <c r="BH588" i="4"/>
  <c r="BB358" i="4"/>
  <c r="AU358" i="4"/>
  <c r="I61" i="7"/>
  <c r="I40" i="7"/>
  <c r="AN16" i="7"/>
  <c r="I16" i="7"/>
  <c r="AB15" i="7"/>
  <c r="AD15" i="7"/>
  <c r="AF15" i="7"/>
  <c r="BB716" i="4"/>
  <c r="AU716" i="4"/>
  <c r="BB715" i="4"/>
  <c r="AU715" i="4"/>
  <c r="BB714" i="4"/>
  <c r="AU714" i="4"/>
  <c r="BB713" i="4"/>
  <c r="AU713" i="4"/>
  <c r="BB712" i="4"/>
  <c r="AU712" i="4"/>
  <c r="BB711" i="4"/>
  <c r="AU711" i="4"/>
  <c r="AI706" i="4"/>
  <c r="AR705" i="4" s="1"/>
  <c r="I705" i="4"/>
  <c r="AJ706" i="4"/>
  <c r="AS705" i="4" s="1"/>
  <c r="AJ691" i="4"/>
  <c r="AS690" i="4" s="1"/>
  <c r="AD672" i="4"/>
  <c r="AT667" i="4"/>
  <c r="AR662" i="4"/>
  <c r="AG652" i="4"/>
  <c r="Y652" i="4"/>
  <c r="AB648" i="4"/>
  <c r="AD648" i="4"/>
  <c r="BB638" i="4"/>
  <c r="AU638" i="4"/>
  <c r="BE634" i="4"/>
  <c r="AG620" i="4"/>
  <c r="Y620" i="4"/>
  <c r="I590" i="4"/>
  <c r="AJ591" i="4"/>
  <c r="AS590" i="4" s="1"/>
  <c r="AK591" i="4"/>
  <c r="AT590" i="4" s="1"/>
  <c r="AI591" i="4"/>
  <c r="AR590" i="4" s="1"/>
  <c r="AV469" i="4"/>
  <c r="BG469" i="4"/>
  <c r="AF440" i="4"/>
  <c r="AB440" i="4"/>
  <c r="AD440" i="4"/>
  <c r="I17" i="7"/>
  <c r="AV17" i="7"/>
  <c r="AB16" i="7"/>
  <c r="AD16" i="7"/>
  <c r="AA719" i="4"/>
  <c r="AE719" i="4"/>
  <c r="AI716" i="4"/>
  <c r="AJ716" i="4"/>
  <c r="AI715" i="4"/>
  <c r="AJ715" i="4"/>
  <c r="AI714" i="4"/>
  <c r="AJ714" i="4"/>
  <c r="AI713" i="4"/>
  <c r="AJ713" i="4"/>
  <c r="AI712" i="4"/>
  <c r="AJ712" i="4"/>
  <c r="AI711" i="4"/>
  <c r="I710" i="4"/>
  <c r="I709" i="4" s="1"/>
  <c r="K16" i="3" s="1"/>
  <c r="AJ711" i="4"/>
  <c r="AK706" i="4"/>
  <c r="AT705" i="4" s="1"/>
  <c r="BE698" i="4"/>
  <c r="AI687" i="4"/>
  <c r="AR686" i="4" s="1"/>
  <c r="AJ680" i="4"/>
  <c r="AS678" i="4" s="1"/>
  <c r="I678" i="4"/>
  <c r="BB676" i="4"/>
  <c r="AU676" i="4"/>
  <c r="AU670" i="4"/>
  <c r="BB670" i="4"/>
  <c r="AB650" i="4"/>
  <c r="AD650" i="4"/>
  <c r="AF650" i="4"/>
  <c r="BH646" i="4"/>
  <c r="AA623" i="4"/>
  <c r="AC623" i="4"/>
  <c r="AE623" i="4"/>
  <c r="AI620" i="4"/>
  <c r="AK620" i="4"/>
  <c r="I618" i="4"/>
  <c r="AJ620" i="4"/>
  <c r="Y576" i="4"/>
  <c r="AG576" i="4"/>
  <c r="Y567" i="4"/>
  <c r="AG567" i="4"/>
  <c r="AW562" i="4"/>
  <c r="AU562" i="4" s="1"/>
  <c r="BH562" i="4"/>
  <c r="AU519" i="4"/>
  <c r="BB519" i="4"/>
  <c r="AW443" i="4"/>
  <c r="BH443" i="4"/>
  <c r="AV40" i="7"/>
  <c r="AV15" i="7"/>
  <c r="AE720" i="4"/>
  <c r="F37" i="2"/>
  <c r="I37" i="2" s="1"/>
  <c r="I45" i="2" s="1"/>
  <c r="I24" i="1" s="1"/>
  <c r="AF719" i="4"/>
  <c r="AE716" i="4"/>
  <c r="AE715" i="4"/>
  <c r="AE714" i="4"/>
  <c r="AE713" i="4"/>
  <c r="AE712" i="4"/>
  <c r="AE711" i="4"/>
  <c r="AF703" i="4"/>
  <c r="BE684" i="4"/>
  <c r="AK681" i="4"/>
  <c r="AT678" i="4" s="1"/>
  <c r="AB679" i="4"/>
  <c r="AS673" i="4"/>
  <c r="AA665" i="4"/>
  <c r="AB651" i="4"/>
  <c r="AG644" i="4"/>
  <c r="AW642" i="4"/>
  <c r="AU642" i="4" s="1"/>
  <c r="AV626" i="4"/>
  <c r="AG619" i="4"/>
  <c r="Y619" i="4"/>
  <c r="AI619" i="4"/>
  <c r="AK619" i="4"/>
  <c r="AV612" i="4"/>
  <c r="BE604" i="4"/>
  <c r="AU598" i="4"/>
  <c r="Y598" i="4"/>
  <c r="BH576" i="4"/>
  <c r="AI564" i="4"/>
  <c r="AJ564" i="4"/>
  <c r="AB547" i="4"/>
  <c r="AD547" i="4"/>
  <c r="Y525" i="4"/>
  <c r="BE512" i="4"/>
  <c r="AG507" i="4"/>
  <c r="Y507" i="4"/>
  <c r="AA493" i="4"/>
  <c r="AE493" i="4"/>
  <c r="AC493" i="4"/>
  <c r="AE486" i="4"/>
  <c r="AA486" i="4"/>
  <c r="AC486" i="4"/>
  <c r="AW482" i="4"/>
  <c r="AU482" i="4" s="1"/>
  <c r="BH482" i="4"/>
  <c r="AW463" i="4"/>
  <c r="AW454" i="4"/>
  <c r="BH454" i="4"/>
  <c r="AU430" i="4"/>
  <c r="BB430" i="4"/>
  <c r="Y421" i="4"/>
  <c r="AG421" i="4"/>
  <c r="AU418" i="4"/>
  <c r="BH399" i="4"/>
  <c r="AW399" i="4"/>
  <c r="AR645" i="4"/>
  <c r="I645" i="4"/>
  <c r="AJ646" i="4"/>
  <c r="AS645" i="4" s="1"/>
  <c r="BB642" i="4"/>
  <c r="AF635" i="4"/>
  <c r="AB635" i="4"/>
  <c r="AF634" i="4"/>
  <c r="AB634" i="4"/>
  <c r="AV589" i="4"/>
  <c r="BG589" i="4"/>
  <c r="AW582" i="4"/>
  <c r="Y562" i="4"/>
  <c r="AG562" i="4"/>
  <c r="AG544" i="4"/>
  <c r="Y544" i="4"/>
  <c r="AR518" i="4"/>
  <c r="I511" i="4"/>
  <c r="AJ512" i="4"/>
  <c r="AS511" i="4" s="1"/>
  <c r="AK512" i="4"/>
  <c r="AT511" i="4" s="1"/>
  <c r="AI512" i="4"/>
  <c r="AR511" i="4" s="1"/>
  <c r="AC507" i="4"/>
  <c r="AE507" i="4"/>
  <c r="AU499" i="4"/>
  <c r="BB497" i="4"/>
  <c r="AF477" i="4"/>
  <c r="AB477" i="4"/>
  <c r="AF463" i="4"/>
  <c r="AB463" i="4"/>
  <c r="BE457" i="4"/>
  <c r="AW432" i="4"/>
  <c r="BH432" i="4"/>
  <c r="AU372" i="4"/>
  <c r="BB372" i="4"/>
  <c r="AG63" i="4"/>
  <c r="Y63" i="4"/>
  <c r="AC720" i="4"/>
  <c r="AD719" i="4"/>
  <c r="AC716" i="4"/>
  <c r="AC715" i="4"/>
  <c r="AC714" i="4"/>
  <c r="AC713" i="4"/>
  <c r="AC712" i="4"/>
  <c r="AC711" i="4"/>
  <c r="AD703" i="4"/>
  <c r="AF701" i="4"/>
  <c r="AB701" i="4"/>
  <c r="BH658" i="4"/>
  <c r="AU641" i="4"/>
  <c r="AU631" i="4"/>
  <c r="AU625" i="4"/>
  <c r="AU616" i="4"/>
  <c r="AE613" i="4"/>
  <c r="AA613" i="4"/>
  <c r="AI613" i="4"/>
  <c r="AU611" i="4"/>
  <c r="AF569" i="4"/>
  <c r="AD569" i="4"/>
  <c r="AF541" i="4"/>
  <c r="AB541" i="4"/>
  <c r="AD541" i="4"/>
  <c r="AU514" i="4"/>
  <c r="BB514" i="4"/>
  <c r="AW512" i="4"/>
  <c r="BB512" i="4" s="1"/>
  <c r="BH512" i="4"/>
  <c r="AG510" i="4"/>
  <c r="Y510" i="4"/>
  <c r="AV509" i="4"/>
  <c r="BG509" i="4"/>
  <c r="AA495" i="4"/>
  <c r="AE495" i="4"/>
  <c r="AC495" i="4"/>
  <c r="BE493" i="4"/>
  <c r="AU490" i="4"/>
  <c r="BB490" i="4"/>
  <c r="AD477" i="4"/>
  <c r="AV471" i="4"/>
  <c r="BG471" i="4"/>
  <c r="AF465" i="4"/>
  <c r="AB465" i="4"/>
  <c r="AV455" i="4"/>
  <c r="BG455" i="4"/>
  <c r="AF445" i="4"/>
  <c r="AB445" i="4"/>
  <c r="AD445" i="4"/>
  <c r="BB426" i="4"/>
  <c r="AU426" i="4"/>
  <c r="Y358" i="4"/>
  <c r="AG358" i="4"/>
  <c r="AG336" i="4"/>
  <c r="Y336" i="4"/>
  <c r="AV212" i="4"/>
  <c r="BG212" i="4"/>
  <c r="AG626" i="4"/>
  <c r="Y626" i="4"/>
  <c r="AI626" i="4"/>
  <c r="AK626" i="4"/>
  <c r="AA588" i="4"/>
  <c r="AE588" i="4"/>
  <c r="AU567" i="4"/>
  <c r="BB567" i="4"/>
  <c r="AC560" i="4"/>
  <c r="AA510" i="4"/>
  <c r="AC510" i="4"/>
  <c r="AE510" i="4"/>
  <c r="AG506" i="4"/>
  <c r="Y506" i="4"/>
  <c r="AV484" i="4"/>
  <c r="BG484" i="4"/>
  <c r="AF479" i="4"/>
  <c r="AB479" i="4"/>
  <c r="AD479" i="4"/>
  <c r="AU476" i="4"/>
  <c r="BB476" i="4"/>
  <c r="AW472" i="4"/>
  <c r="BB472" i="4" s="1"/>
  <c r="BH472" i="4"/>
  <c r="BE405" i="4"/>
  <c r="AW402" i="4"/>
  <c r="BH402" i="4"/>
  <c r="AV378" i="4"/>
  <c r="BG378" i="4"/>
  <c r="AV369" i="4"/>
  <c r="BG369" i="4"/>
  <c r="AU350" i="4"/>
  <c r="AU337" i="4"/>
  <c r="BB337" i="4"/>
  <c r="AV326" i="4"/>
  <c r="BG326" i="4"/>
  <c r="AA317" i="4"/>
  <c r="AC317" i="4"/>
  <c r="AE317" i="4"/>
  <c r="BG311" i="4"/>
  <c r="AV311" i="4"/>
  <c r="AU294" i="4"/>
  <c r="BB294" i="4"/>
  <c r="Y694" i="4"/>
  <c r="BG685" i="4"/>
  <c r="AR678" i="4"/>
  <c r="I673" i="4"/>
  <c r="I667" i="4"/>
  <c r="I653" i="4" s="1"/>
  <c r="K15" i="3" s="1"/>
  <c r="AJ668" i="4"/>
  <c r="AS667" i="4" s="1"/>
  <c r="AK655" i="4"/>
  <c r="AT654" i="4" s="1"/>
  <c r="AK648" i="4"/>
  <c r="AT645" i="4" s="1"/>
  <c r="AI641" i="4"/>
  <c r="AJ641" i="4"/>
  <c r="AU629" i="4"/>
  <c r="AJ626" i="4"/>
  <c r="AG625" i="4"/>
  <c r="Y625" i="4"/>
  <c r="AI625" i="4"/>
  <c r="AK625" i="4"/>
  <c r="AI612" i="4"/>
  <c r="AA598" i="4"/>
  <c r="AC598" i="4"/>
  <c r="AF567" i="4"/>
  <c r="AD567" i="4"/>
  <c r="AA560" i="4"/>
  <c r="BH516" i="4"/>
  <c r="AF506" i="4"/>
  <c r="AB506" i="4"/>
  <c r="AD506" i="4"/>
  <c r="AA497" i="4"/>
  <c r="AE497" i="4"/>
  <c r="AC497" i="4"/>
  <c r="AW486" i="4"/>
  <c r="BB486" i="4" s="1"/>
  <c r="BH486" i="4"/>
  <c r="BG481" i="4"/>
  <c r="AE479" i="4"/>
  <c r="AA479" i="4"/>
  <c r="AC479" i="4"/>
  <c r="AV467" i="4"/>
  <c r="BG467" i="4"/>
  <c r="AU440" i="4"/>
  <c r="BB440" i="4"/>
  <c r="Y413" i="4"/>
  <c r="AG413" i="4"/>
  <c r="AU380" i="4"/>
  <c r="BB380" i="4"/>
  <c r="AA374" i="4"/>
  <c r="AC374" i="4"/>
  <c r="AE374" i="4"/>
  <c r="AW350" i="4"/>
  <c r="BB350" i="4" s="1"/>
  <c r="BH350" i="4"/>
  <c r="AB341" i="4"/>
  <c r="AD341" i="4"/>
  <c r="BH327" i="4"/>
  <c r="AW327" i="4"/>
  <c r="BB327" i="4" s="1"/>
  <c r="AK313" i="4"/>
  <c r="AI313" i="4"/>
  <c r="BB286" i="4"/>
  <c r="AU286" i="4"/>
  <c r="AA255" i="4"/>
  <c r="AC255" i="4"/>
  <c r="AE255" i="4"/>
  <c r="AE687" i="4"/>
  <c r="AA687" i="4"/>
  <c r="AG676" i="4"/>
  <c r="BB644" i="4"/>
  <c r="AI638" i="4"/>
  <c r="I637" i="4"/>
  <c r="AJ638" i="4"/>
  <c r="BH631" i="4"/>
  <c r="AG623" i="4"/>
  <c r="Y623" i="4"/>
  <c r="AI623" i="4"/>
  <c r="AK623" i="4"/>
  <c r="AC613" i="4"/>
  <c r="AT610" i="4"/>
  <c r="I610" i="4"/>
  <c r="AJ611" i="4"/>
  <c r="AE604" i="4"/>
  <c r="AC588" i="4"/>
  <c r="AU568" i="4"/>
  <c r="AB552" i="4"/>
  <c r="AD552" i="4"/>
  <c r="AC544" i="4"/>
  <c r="AU538" i="4"/>
  <c r="BB538" i="4"/>
  <c r="BB537" i="4"/>
  <c r="BG514" i="4"/>
  <c r="BB507" i="4"/>
  <c r="AU507" i="4"/>
  <c r="BB493" i="4"/>
  <c r="AV459" i="4"/>
  <c r="BG459" i="4"/>
  <c r="AA454" i="4"/>
  <c r="AE454" i="4"/>
  <c r="AC454" i="4"/>
  <c r="Y428" i="4"/>
  <c r="AG428" i="4"/>
  <c r="AV386" i="4"/>
  <c r="BG386" i="4"/>
  <c r="AU373" i="4"/>
  <c r="BB373" i="4"/>
  <c r="BE353" i="4"/>
  <c r="AU343" i="4"/>
  <c r="BB343" i="4"/>
  <c r="AJ248" i="4"/>
  <c r="AK248" i="4"/>
  <c r="AI248" i="4"/>
  <c r="AE642" i="4"/>
  <c r="AE641" i="4"/>
  <c r="AE638" i="4"/>
  <c r="AF604" i="4"/>
  <c r="AF564" i="4"/>
  <c r="BG555" i="4"/>
  <c r="AW552" i="4"/>
  <c r="BB552" i="4" s="1"/>
  <c r="Y521" i="4"/>
  <c r="AG516" i="4"/>
  <c r="Y516" i="4"/>
  <c r="AI516" i="4"/>
  <c r="AR515" i="4" s="1"/>
  <c r="I515" i="4"/>
  <c r="AJ516" i="4"/>
  <c r="AS515" i="4" s="1"/>
  <c r="AG509" i="4"/>
  <c r="Y509" i="4"/>
  <c r="BH507" i="4"/>
  <c r="BG506" i="4"/>
  <c r="BH490" i="4"/>
  <c r="AU486" i="4"/>
  <c r="BG477" i="4"/>
  <c r="BH476" i="4"/>
  <c r="AU472" i="4"/>
  <c r="AB455" i="4"/>
  <c r="AW447" i="4"/>
  <c r="AU437" i="4"/>
  <c r="BB437" i="4"/>
  <c r="AD424" i="4"/>
  <c r="BE421" i="4"/>
  <c r="BB415" i="4"/>
  <c r="AU415" i="4"/>
  <c r="Y406" i="4"/>
  <c r="AG406" i="4"/>
  <c r="BE402" i="4"/>
  <c r="BB400" i="4"/>
  <c r="AU400" i="4"/>
  <c r="AW390" i="4"/>
  <c r="AU390" i="4" s="1"/>
  <c r="BH390" i="4"/>
  <c r="BE324" i="4"/>
  <c r="AV322" i="4"/>
  <c r="BG322" i="4"/>
  <c r="AE313" i="4"/>
  <c r="AA313" i="4"/>
  <c r="AC313" i="4"/>
  <c r="AJ232" i="4"/>
  <c r="AK232" i="4"/>
  <c r="AI232" i="4"/>
  <c r="Y209" i="4"/>
  <c r="AG202" i="4"/>
  <c r="Y202" i="4"/>
  <c r="AC642" i="4"/>
  <c r="AC641" i="4"/>
  <c r="AC638" i="4"/>
  <c r="BE619" i="4"/>
  <c r="AD604" i="4"/>
  <c r="BB564" i="4"/>
  <c r="AG541" i="4"/>
  <c r="Y541" i="4"/>
  <c r="AU460" i="4"/>
  <c r="AU454" i="4"/>
  <c r="BB454" i="4"/>
  <c r="AU452" i="4"/>
  <c r="AG438" i="4"/>
  <c r="Y438" i="4"/>
  <c r="AG435" i="4"/>
  <c r="BB428" i="4"/>
  <c r="AU422" i="4"/>
  <c r="BB422" i="4"/>
  <c r="BB418" i="4"/>
  <c r="BB405" i="4"/>
  <c r="AW396" i="4"/>
  <c r="BB396" i="4" s="1"/>
  <c r="BH396" i="4"/>
  <c r="AF358" i="4"/>
  <c r="AB358" i="4"/>
  <c r="AD358" i="4"/>
  <c r="AS349" i="4"/>
  <c r="AB347" i="4"/>
  <c r="AD347" i="4"/>
  <c r="AW253" i="4"/>
  <c r="AU253" i="4" s="1"/>
  <c r="BH253" i="4"/>
  <c r="AF196" i="4"/>
  <c r="AB196" i="4"/>
  <c r="AD196" i="4"/>
  <c r="AE472" i="4"/>
  <c r="AA472" i="4"/>
  <c r="AF467" i="4"/>
  <c r="AD467" i="4"/>
  <c r="AS453" i="4"/>
  <c r="AG459" i="4"/>
  <c r="Y459" i="4"/>
  <c r="AT453" i="4"/>
  <c r="AG432" i="4"/>
  <c r="Y432" i="4"/>
  <c r="AR420" i="4"/>
  <c r="Y418" i="4"/>
  <c r="AG418" i="4"/>
  <c r="Y415" i="4"/>
  <c r="AG415" i="4"/>
  <c r="AW413" i="4"/>
  <c r="AU413" i="4" s="1"/>
  <c r="BH413" i="4"/>
  <c r="AW406" i="4"/>
  <c r="BB406" i="4" s="1"/>
  <c r="BH406" i="4"/>
  <c r="Y405" i="4"/>
  <c r="AG405" i="4"/>
  <c r="AT404" i="4"/>
  <c r="BB398" i="4"/>
  <c r="AU398" i="4"/>
  <c r="BE398" i="4"/>
  <c r="AU396" i="4"/>
  <c r="AA373" i="4"/>
  <c r="AE373" i="4"/>
  <c r="AF353" i="4"/>
  <c r="AB353" i="4"/>
  <c r="AD353" i="4"/>
  <c r="BH330" i="4"/>
  <c r="AW330" i="4"/>
  <c r="BB330" i="4" s="1"/>
  <c r="AF322" i="4"/>
  <c r="AB322" i="4"/>
  <c r="AD322" i="4"/>
  <c r="AK319" i="4"/>
  <c r="AT318" i="4" s="1"/>
  <c r="I318" i="4"/>
  <c r="AJ319" i="4"/>
  <c r="AS318" i="4" s="1"/>
  <c r="AB266" i="4"/>
  <c r="AD266" i="4"/>
  <c r="AF266" i="4"/>
  <c r="AJ242" i="4"/>
  <c r="AI242" i="4"/>
  <c r="AK242" i="4"/>
  <c r="AG234" i="4"/>
  <c r="Y234" i="4"/>
  <c r="AB574" i="4"/>
  <c r="BE519" i="4"/>
  <c r="AI503" i="4"/>
  <c r="AR502" i="4" s="1"/>
  <c r="AI499" i="4"/>
  <c r="AJ499" i="4"/>
  <c r="AK499" i="4"/>
  <c r="AI497" i="4"/>
  <c r="AJ497" i="4"/>
  <c r="AK497" i="4"/>
  <c r="AI495" i="4"/>
  <c r="AJ495" i="4"/>
  <c r="AK495" i="4"/>
  <c r="AI493" i="4"/>
  <c r="I492" i="4"/>
  <c r="AJ493" i="4"/>
  <c r="AK493" i="4"/>
  <c r="AU479" i="4"/>
  <c r="AD471" i="4"/>
  <c r="AD469" i="4"/>
  <c r="BH459" i="4"/>
  <c r="AA457" i="4"/>
  <c r="AC457" i="4"/>
  <c r="Y452" i="4"/>
  <c r="AG424" i="4"/>
  <c r="Y424" i="4"/>
  <c r="AF415" i="4"/>
  <c r="AB415" i="4"/>
  <c r="AD415" i="4"/>
  <c r="BB413" i="4"/>
  <c r="Y412" i="4"/>
  <c r="AG412" i="4"/>
  <c r="AJ378" i="4"/>
  <c r="AK378" i="4"/>
  <c r="AG373" i="4"/>
  <c r="Y373" i="4"/>
  <c r="BE358" i="4"/>
  <c r="AE305" i="4"/>
  <c r="AA305" i="4"/>
  <c r="AC305" i="4"/>
  <c r="AU303" i="4"/>
  <c r="BB303" i="4"/>
  <c r="AA254" i="4"/>
  <c r="AE254" i="4"/>
  <c r="AC254" i="4"/>
  <c r="AU555" i="4"/>
  <c r="BB555" i="4"/>
  <c r="BE547" i="4"/>
  <c r="AU537" i="4"/>
  <c r="AS518" i="4"/>
  <c r="BB516" i="4"/>
  <c r="AU512" i="4"/>
  <c r="AE482" i="4"/>
  <c r="AA482" i="4"/>
  <c r="AC472" i="4"/>
  <c r="AF462" i="4"/>
  <c r="AD462" i="4"/>
  <c r="AR453" i="4"/>
  <c r="BH452" i="4"/>
  <c r="Y445" i="4"/>
  <c r="AF408" i="4"/>
  <c r="AB408" i="4"/>
  <c r="AD408" i="4"/>
  <c r="AI399" i="4"/>
  <c r="AK399" i="4"/>
  <c r="AJ399" i="4"/>
  <c r="AS397" i="4" s="1"/>
  <c r="I397" i="4"/>
  <c r="AW394" i="4"/>
  <c r="BB394" i="4" s="1"/>
  <c r="BH394" i="4"/>
  <c r="AC373" i="4"/>
  <c r="AU344" i="4"/>
  <c r="BB344" i="4"/>
  <c r="AB343" i="4"/>
  <c r="AD343" i="4"/>
  <c r="AU341" i="4"/>
  <c r="BB341" i="4"/>
  <c r="AF337" i="4"/>
  <c r="AD337" i="4"/>
  <c r="AB337" i="4"/>
  <c r="AW319" i="4"/>
  <c r="AU319" i="4" s="1"/>
  <c r="BH319" i="4"/>
  <c r="AV298" i="4"/>
  <c r="BG298" i="4"/>
  <c r="AE552" i="4"/>
  <c r="AE547" i="4"/>
  <c r="AK544" i="4"/>
  <c r="AK541" i="4"/>
  <c r="AF527" i="4"/>
  <c r="AF525" i="4"/>
  <c r="AF524" i="4"/>
  <c r="AF523" i="4"/>
  <c r="AF521" i="4"/>
  <c r="AF519" i="4"/>
  <c r="AE512" i="4"/>
  <c r="AK510" i="4"/>
  <c r="AK509" i="4"/>
  <c r="AK507" i="4"/>
  <c r="AK506" i="4"/>
  <c r="AW465" i="4"/>
  <c r="AE465" i="4"/>
  <c r="BB457" i="4"/>
  <c r="AB433" i="4"/>
  <c r="AB426" i="4"/>
  <c r="AD417" i="4"/>
  <c r="AD410" i="4"/>
  <c r="AG408" i="4"/>
  <c r="BB399" i="4"/>
  <c r="AU399" i="4"/>
  <c r="AI398" i="4"/>
  <c r="AK398" i="4"/>
  <c r="AC380" i="4"/>
  <c r="AJ374" i="4"/>
  <c r="AK374" i="4"/>
  <c r="AC372" i="4"/>
  <c r="Y369" i="4"/>
  <c r="BB367" i="4"/>
  <c r="AE367" i="4"/>
  <c r="AD355" i="4"/>
  <c r="BG344" i="4"/>
  <c r="BG343" i="4"/>
  <c r="BG341" i="4"/>
  <c r="BG337" i="4"/>
  <c r="AV329" i="4"/>
  <c r="BG329" i="4"/>
  <c r="AS321" i="4"/>
  <c r="AF317" i="4"/>
  <c r="AJ303" i="4"/>
  <c r="AI303" i="4"/>
  <c r="AU290" i="4"/>
  <c r="BB290" i="4"/>
  <c r="BB272" i="4"/>
  <c r="AU272" i="4"/>
  <c r="AA246" i="4"/>
  <c r="AC246" i="4"/>
  <c r="AE246" i="4"/>
  <c r="AV216" i="4"/>
  <c r="BG216" i="4"/>
  <c r="AF193" i="4"/>
  <c r="AB193" i="4"/>
  <c r="AD193" i="4"/>
  <c r="AW147" i="4"/>
  <c r="BH147" i="4"/>
  <c r="AE538" i="4"/>
  <c r="AE537" i="4"/>
  <c r="AE536" i="4"/>
  <c r="AE535" i="4"/>
  <c r="AE530" i="4"/>
  <c r="AF514" i="4"/>
  <c r="AE503" i="4"/>
  <c r="AC465" i="4"/>
  <c r="AD457" i="4"/>
  <c r="AB435" i="4"/>
  <c r="AB428" i="4"/>
  <c r="AB421" i="4"/>
  <c r="AR404" i="4"/>
  <c r="AI400" i="4"/>
  <c r="AK400" i="4"/>
  <c r="AI396" i="4"/>
  <c r="AK396" i="4"/>
  <c r="AI394" i="4"/>
  <c r="AK394" i="4"/>
  <c r="AI390" i="4"/>
  <c r="AK390" i="4"/>
  <c r="AJ373" i="4"/>
  <c r="AK373" i="4"/>
  <c r="AR361" i="4"/>
  <c r="AB359" i="4"/>
  <c r="AU355" i="4"/>
  <c r="BB347" i="4"/>
  <c r="AU347" i="4"/>
  <c r="BE347" i="4"/>
  <c r="AF326" i="4"/>
  <c r="AB326" i="4"/>
  <c r="AD326" i="4"/>
  <c r="AE324" i="4"/>
  <c r="AA324" i="4"/>
  <c r="AC324" i="4"/>
  <c r="AE304" i="4"/>
  <c r="AA304" i="4"/>
  <c r="AC304" i="4"/>
  <c r="AV295" i="4"/>
  <c r="BG295" i="4"/>
  <c r="AR292" i="4"/>
  <c r="AG290" i="4"/>
  <c r="Y290" i="4"/>
  <c r="BB276" i="4"/>
  <c r="AU276" i="4"/>
  <c r="AW263" i="4"/>
  <c r="BH263" i="4"/>
  <c r="AW232" i="4"/>
  <c r="BH232" i="4"/>
  <c r="AV219" i="4"/>
  <c r="BG219" i="4"/>
  <c r="AF173" i="4"/>
  <c r="AB173" i="4"/>
  <c r="AD173" i="4"/>
  <c r="BG460" i="4"/>
  <c r="AB449" i="4"/>
  <c r="AB441" i="4"/>
  <c r="AD437" i="4"/>
  <c r="AD430" i="4"/>
  <c r="AD422" i="4"/>
  <c r="BB417" i="4"/>
  <c r="BB410" i="4"/>
  <c r="AJ396" i="4"/>
  <c r="AJ394" i="4"/>
  <c r="AJ390" i="4"/>
  <c r="AI373" i="4"/>
  <c r="AR371" i="4" s="1"/>
  <c r="Y367" i="4"/>
  <c r="AI347" i="4"/>
  <c r="AR346" i="4" s="1"/>
  <c r="AK347" i="4"/>
  <c r="AT346" i="4" s="1"/>
  <c r="AF329" i="4"/>
  <c r="AB329" i="4"/>
  <c r="AD329" i="4"/>
  <c r="AE327" i="4"/>
  <c r="AA327" i="4"/>
  <c r="AC327" i="4"/>
  <c r="AE303" i="4"/>
  <c r="AA303" i="4"/>
  <c r="AC303" i="4"/>
  <c r="AG298" i="4"/>
  <c r="AF290" i="4"/>
  <c r="AB290" i="4"/>
  <c r="AD290" i="4"/>
  <c r="AD270" i="4"/>
  <c r="AB270" i="4"/>
  <c r="Y270" i="4"/>
  <c r="AJ253" i="4"/>
  <c r="AK253" i="4"/>
  <c r="AW248" i="4"/>
  <c r="AU248" i="4" s="1"/>
  <c r="BH248" i="4"/>
  <c r="AU242" i="4"/>
  <c r="AV205" i="4"/>
  <c r="BG205" i="4"/>
  <c r="AV171" i="4"/>
  <c r="BG171" i="4"/>
  <c r="AG162" i="4"/>
  <c r="Y162" i="4"/>
  <c r="AB457" i="4"/>
  <c r="AS420" i="4"/>
  <c r="AB437" i="4"/>
  <c r="AB430" i="4"/>
  <c r="AB422" i="4"/>
  <c r="AJ380" i="4"/>
  <c r="AK380" i="4"/>
  <c r="Y378" i="4"/>
  <c r="I371" i="4"/>
  <c r="AJ372" i="4"/>
  <c r="AK372" i="4"/>
  <c r="BB359" i="4"/>
  <c r="AU353" i="4"/>
  <c r="AE330" i="4"/>
  <c r="AA330" i="4"/>
  <c r="AC330" i="4"/>
  <c r="Y319" i="4"/>
  <c r="Y284" i="4"/>
  <c r="AG284" i="4"/>
  <c r="BB265" i="4"/>
  <c r="AU265" i="4"/>
  <c r="AW256" i="4"/>
  <c r="BH256" i="4"/>
  <c r="AG255" i="4"/>
  <c r="Y255" i="4"/>
  <c r="AG251" i="4"/>
  <c r="Y251" i="4"/>
  <c r="AG219" i="4"/>
  <c r="Y219" i="4"/>
  <c r="AT164" i="4"/>
  <c r="AA185" i="4"/>
  <c r="AC185" i="4"/>
  <c r="AE185" i="4"/>
  <c r="AV182" i="4"/>
  <c r="BG182" i="4"/>
  <c r="BB408" i="4"/>
  <c r="AU402" i="4"/>
  <c r="AI344" i="4"/>
  <c r="AK344" i="4"/>
  <c r="AI343" i="4"/>
  <c r="AK343" i="4"/>
  <c r="AI341" i="4"/>
  <c r="AR332" i="4" s="1"/>
  <c r="I332" i="4"/>
  <c r="AK341" i="4"/>
  <c r="BH324" i="4"/>
  <c r="AW324" i="4"/>
  <c r="BB324" i="4" s="1"/>
  <c r="AE309" i="4"/>
  <c r="AA309" i="4"/>
  <c r="AV307" i="4"/>
  <c r="BG307" i="4"/>
  <c r="AF272" i="4"/>
  <c r="AB272" i="4"/>
  <c r="BB402" i="4"/>
  <c r="AE400" i="4"/>
  <c r="AE399" i="4"/>
  <c r="AE398" i="4"/>
  <c r="AF365" i="4"/>
  <c r="AF362" i="4"/>
  <c r="BB355" i="4"/>
  <c r="BB353" i="4"/>
  <c r="AE347" i="4"/>
  <c r="BE319" i="4"/>
  <c r="AS279" i="4"/>
  <c r="AB265" i="4"/>
  <c r="AJ260" i="4"/>
  <c r="AK260" i="4"/>
  <c r="AA258" i="4"/>
  <c r="AC258" i="4"/>
  <c r="AV256" i="4"/>
  <c r="BG256" i="4"/>
  <c r="AA253" i="4"/>
  <c r="AC253" i="4"/>
  <c r="AE253" i="4"/>
  <c r="AA251" i="4"/>
  <c r="AE251" i="4"/>
  <c r="AJ243" i="4"/>
  <c r="AI243" i="4"/>
  <c r="AB234" i="4"/>
  <c r="AD234" i="4"/>
  <c r="AB231" i="4"/>
  <c r="AD231" i="4"/>
  <c r="AF231" i="4"/>
  <c r="AJ229" i="4"/>
  <c r="AK229" i="4"/>
  <c r="AI229" i="4"/>
  <c r="AG216" i="4"/>
  <c r="Y216" i="4"/>
  <c r="AW191" i="4"/>
  <c r="BH191" i="4"/>
  <c r="AG190" i="4"/>
  <c r="Y190" i="4"/>
  <c r="AU162" i="4"/>
  <c r="BB162" i="4"/>
  <c r="AK153" i="4"/>
  <c r="AJ153" i="4"/>
  <c r="AU330" i="4"/>
  <c r="BB317" i="4"/>
  <c r="AV313" i="4"/>
  <c r="AV309" i="4"/>
  <c r="BG297" i="4"/>
  <c r="BE293" i="4"/>
  <c r="BB274" i="4"/>
  <c r="AU274" i="4"/>
  <c r="AJ266" i="4"/>
  <c r="AK266" i="4"/>
  <c r="AA265" i="4"/>
  <c r="AC265" i="4"/>
  <c r="AV263" i="4"/>
  <c r="BG263" i="4"/>
  <c r="BG260" i="4"/>
  <c r="AV260" i="4"/>
  <c r="AG256" i="4"/>
  <c r="Y256" i="4"/>
  <c r="AW254" i="4"/>
  <c r="AU254" i="4" s="1"/>
  <c r="BH254" i="4"/>
  <c r="AA248" i="4"/>
  <c r="AC248" i="4"/>
  <c r="AE248" i="4"/>
  <c r="AB242" i="4"/>
  <c r="AF242" i="4"/>
  <c r="AJ234" i="4"/>
  <c r="AK234" i="4"/>
  <c r="AI234" i="4"/>
  <c r="AW229" i="4"/>
  <c r="AU229" i="4" s="1"/>
  <c r="BH229" i="4"/>
  <c r="AF205" i="4"/>
  <c r="AB205" i="4"/>
  <c r="AD205" i="4"/>
  <c r="AV196" i="4"/>
  <c r="BG196" i="4"/>
  <c r="AI153" i="4"/>
  <c r="AB151" i="4"/>
  <c r="AF151" i="4"/>
  <c r="AD151" i="4"/>
  <c r="BH121" i="4"/>
  <c r="AW121" i="4"/>
  <c r="AE402" i="4"/>
  <c r="AF369" i="4"/>
  <c r="AF367" i="4"/>
  <c r="AE355" i="4"/>
  <c r="AE353" i="4"/>
  <c r="AE350" i="4"/>
  <c r="AB336" i="4"/>
  <c r="AU317" i="4"/>
  <c r="AI311" i="4"/>
  <c r="AI276" i="4"/>
  <c r="AJ276" i="4"/>
  <c r="AI270" i="4"/>
  <c r="AK270" i="4"/>
  <c r="AC261" i="4"/>
  <c r="AE261" i="4"/>
  <c r="AK261" i="4"/>
  <c r="AI260" i="4"/>
  <c r="BB254" i="4"/>
  <c r="AG253" i="4"/>
  <c r="Y253" i="4"/>
  <c r="AJ246" i="4"/>
  <c r="AI246" i="4"/>
  <c r="AD242" i="4"/>
  <c r="AU239" i="4"/>
  <c r="BB239" i="4"/>
  <c r="AB236" i="4"/>
  <c r="AD236" i="4"/>
  <c r="AF236" i="4"/>
  <c r="AG232" i="4"/>
  <c r="Y232" i="4"/>
  <c r="AA225" i="4"/>
  <c r="AC225" i="4"/>
  <c r="AE225" i="4"/>
  <c r="AW190" i="4"/>
  <c r="BH190" i="4"/>
  <c r="AV121" i="4"/>
  <c r="BG121" i="4"/>
  <c r="AE300" i="4"/>
  <c r="AA300" i="4"/>
  <c r="AT299" i="4"/>
  <c r="I299" i="4"/>
  <c r="AJ300" i="4"/>
  <c r="AS299" i="4" s="1"/>
  <c r="AI274" i="4"/>
  <c r="AJ274" i="4"/>
  <c r="AA272" i="4"/>
  <c r="AC272" i="4"/>
  <c r="AV270" i="4"/>
  <c r="BG270" i="4"/>
  <c r="BG266" i="4"/>
  <c r="AV266" i="4"/>
  <c r="AF260" i="4"/>
  <c r="AJ255" i="4"/>
  <c r="AK255" i="4"/>
  <c r="AW251" i="4"/>
  <c r="BB251" i="4" s="1"/>
  <c r="BH251" i="4"/>
  <c r="AA214" i="4"/>
  <c r="AC214" i="4"/>
  <c r="AW209" i="4"/>
  <c r="BH209" i="4"/>
  <c r="AV190" i="4"/>
  <c r="BG190" i="4"/>
  <c r="AW184" i="4"/>
  <c r="BH184" i="4"/>
  <c r="AG170" i="4"/>
  <c r="Y170" i="4"/>
  <c r="AR164" i="4"/>
  <c r="BE386" i="4"/>
  <c r="AJ362" i="4"/>
  <c r="AS361" i="4" s="1"/>
  <c r="AG317" i="4"/>
  <c r="Y317" i="4"/>
  <c r="AI317" i="4"/>
  <c r="AR316" i="4" s="1"/>
  <c r="AK317" i="4"/>
  <c r="AT316" i="4" s="1"/>
  <c r="AI300" i="4"/>
  <c r="AR299" i="4" s="1"/>
  <c r="AK274" i="4"/>
  <c r="AC268" i="4"/>
  <c r="AE268" i="4"/>
  <c r="AK268" i="4"/>
  <c r="AI266" i="4"/>
  <c r="AV258" i="4"/>
  <c r="AD258" i="4"/>
  <c r="AW255" i="4"/>
  <c r="BB255" i="4" s="1"/>
  <c r="BH255" i="4"/>
  <c r="AG254" i="4"/>
  <c r="Y254" i="4"/>
  <c r="AG248" i="4"/>
  <c r="Y248" i="4"/>
  <c r="AW246" i="4"/>
  <c r="BB246" i="4" s="1"/>
  <c r="BH246" i="4"/>
  <c r="AB243" i="4"/>
  <c r="AD243" i="4"/>
  <c r="AF243" i="4"/>
  <c r="AU231" i="4"/>
  <c r="AV209" i="4"/>
  <c r="BG209" i="4"/>
  <c r="AF204" i="4"/>
  <c r="AB204" i="4"/>
  <c r="AD204" i="4"/>
  <c r="AA191" i="4"/>
  <c r="AC191" i="4"/>
  <c r="AE191" i="4"/>
  <c r="AF185" i="4"/>
  <c r="AB185" i="4"/>
  <c r="AD185" i="4"/>
  <c r="AV184" i="4"/>
  <c r="BG184" i="4"/>
  <c r="AF170" i="4"/>
  <c r="AB170" i="4"/>
  <c r="AD170" i="4"/>
  <c r="AA134" i="4"/>
  <c r="AC134" i="4"/>
  <c r="AE134" i="4"/>
  <c r="AC124" i="4"/>
  <c r="AE124" i="4"/>
  <c r="AA124" i="4"/>
  <c r="AC290" i="4"/>
  <c r="AJ231" i="4"/>
  <c r="AK231" i="4"/>
  <c r="AG223" i="4"/>
  <c r="Y223" i="4"/>
  <c r="AF202" i="4"/>
  <c r="AB202" i="4"/>
  <c r="AU197" i="4"/>
  <c r="BB197" i="4"/>
  <c r="AW182" i="4"/>
  <c r="BH182" i="4"/>
  <c r="AA173" i="4"/>
  <c r="AC173" i="4"/>
  <c r="Y168" i="4"/>
  <c r="AW166" i="4"/>
  <c r="BH166" i="4"/>
  <c r="AB153" i="4"/>
  <c r="AD153" i="4"/>
  <c r="AF153" i="4"/>
  <c r="AK141" i="4"/>
  <c r="AI141" i="4"/>
  <c r="AR135" i="4" s="1"/>
  <c r="Y124" i="4"/>
  <c r="AG124" i="4"/>
  <c r="AD63" i="4"/>
  <c r="AF63" i="4"/>
  <c r="AB63" i="4"/>
  <c r="AF24" i="4"/>
  <c r="AB24" i="4"/>
  <c r="AD24" i="4"/>
  <c r="AD298" i="4"/>
  <c r="AD297" i="4"/>
  <c r="AD295" i="4"/>
  <c r="AD294" i="4"/>
  <c r="AD293" i="4"/>
  <c r="AF286" i="4"/>
  <c r="AF284" i="4"/>
  <c r="AF282" i="4"/>
  <c r="AF280" i="4"/>
  <c r="AC276" i="4"/>
  <c r="AC274" i="4"/>
  <c r="Y245" i="4"/>
  <c r="BB243" i="4"/>
  <c r="AJ240" i="4"/>
  <c r="AK240" i="4"/>
  <c r="Y237" i="4"/>
  <c r="BB236" i="4"/>
  <c r="AI231" i="4"/>
  <c r="I227" i="4"/>
  <c r="AJ228" i="4"/>
  <c r="AK228" i="4"/>
  <c r="BG223" i="4"/>
  <c r="AU214" i="4"/>
  <c r="AF207" i="4"/>
  <c r="AB207" i="4"/>
  <c r="AW200" i="4"/>
  <c r="BH200" i="4"/>
  <c r="AG184" i="4"/>
  <c r="Y184" i="4"/>
  <c r="AK149" i="4"/>
  <c r="AJ149" i="4"/>
  <c r="AI149" i="4"/>
  <c r="AJ141" i="4"/>
  <c r="AI131" i="4"/>
  <c r="AK131" i="4"/>
  <c r="AJ131" i="4"/>
  <c r="AS127" i="4" s="1"/>
  <c r="Y129" i="4"/>
  <c r="AA75" i="4"/>
  <c r="AC75" i="4"/>
  <c r="AE75" i="4"/>
  <c r="AJ239" i="4"/>
  <c r="AK239" i="4"/>
  <c r="AG221" i="4"/>
  <c r="Y221" i="4"/>
  <c r="AF210" i="4"/>
  <c r="AB210" i="4"/>
  <c r="AW194" i="4"/>
  <c r="BH194" i="4"/>
  <c r="AA175" i="4"/>
  <c r="AC175" i="4"/>
  <c r="AG171" i="4"/>
  <c r="Y171" i="4"/>
  <c r="AV170" i="4"/>
  <c r="BG170" i="4"/>
  <c r="Y151" i="4"/>
  <c r="AG147" i="4"/>
  <c r="Y147" i="4"/>
  <c r="AK146" i="4"/>
  <c r="AJ146" i="4"/>
  <c r="AB131" i="4"/>
  <c r="AD131" i="4"/>
  <c r="AF131" i="4"/>
  <c r="AA91" i="4"/>
  <c r="AC91" i="4"/>
  <c r="AK298" i="4"/>
  <c r="AK297" i="4"/>
  <c r="AK295" i="4"/>
  <c r="AK294" i="4"/>
  <c r="AK293" i="4"/>
  <c r="BH239" i="4"/>
  <c r="AJ237" i="4"/>
  <c r="AK237" i="4"/>
  <c r="AG214" i="4"/>
  <c r="Y214" i="4"/>
  <c r="AD207" i="4"/>
  <c r="BH197" i="4"/>
  <c r="AW188" i="4"/>
  <c r="BH188" i="4"/>
  <c r="Y182" i="4"/>
  <c r="AW181" i="4"/>
  <c r="BH181" i="4"/>
  <c r="AF171" i="4"/>
  <c r="AB171" i="4"/>
  <c r="AD171" i="4"/>
  <c r="AW168" i="4"/>
  <c r="BH168" i="4"/>
  <c r="AB149" i="4"/>
  <c r="AD149" i="4"/>
  <c r="AF149" i="4"/>
  <c r="AB146" i="4"/>
  <c r="AD146" i="4"/>
  <c r="AF146" i="4"/>
  <c r="AG144" i="4"/>
  <c r="Y144" i="4"/>
  <c r="AA131" i="4"/>
  <c r="AC131" i="4"/>
  <c r="AE131" i="4"/>
  <c r="AE91" i="4"/>
  <c r="AJ293" i="4"/>
  <c r="AS292" i="4" s="1"/>
  <c r="BH268" i="4"/>
  <c r="Y266" i="4"/>
  <c r="BH261" i="4"/>
  <c r="Y260" i="4"/>
  <c r="AI245" i="4"/>
  <c r="Y243" i="4"/>
  <c r="AF240" i="4"/>
  <c r="AI239" i="4"/>
  <c r="BH237" i="4"/>
  <c r="AJ236" i="4"/>
  <c r="AK236" i="4"/>
  <c r="AF228" i="4"/>
  <c r="AG225" i="4"/>
  <c r="Y225" i="4"/>
  <c r="BG221" i="4"/>
  <c r="AD210" i="4"/>
  <c r="Y205" i="4"/>
  <c r="AV202" i="4"/>
  <c r="BG202" i="4"/>
  <c r="AF199" i="4"/>
  <c r="AB199" i="4"/>
  <c r="AA197" i="4"/>
  <c r="AC197" i="4"/>
  <c r="AE197" i="4"/>
  <c r="AV168" i="4"/>
  <c r="BG168" i="4"/>
  <c r="AU151" i="4"/>
  <c r="BB151" i="4"/>
  <c r="AB144" i="4"/>
  <c r="AF144" i="4"/>
  <c r="AD144" i="4"/>
  <c r="BB132" i="4"/>
  <c r="AU132" i="4"/>
  <c r="AC245" i="4"/>
  <c r="AC243" i="4"/>
  <c r="AC242" i="4"/>
  <c r="AC240" i="4"/>
  <c r="AC239" i="4"/>
  <c r="AC237" i="4"/>
  <c r="AC236" i="4"/>
  <c r="AC234" i="4"/>
  <c r="AC232" i="4"/>
  <c r="AC231" i="4"/>
  <c r="AC229" i="4"/>
  <c r="AC228" i="4"/>
  <c r="BB175" i="4"/>
  <c r="Y160" i="4"/>
  <c r="AB141" i="4"/>
  <c r="AD141" i="4"/>
  <c r="AF141" i="4"/>
  <c r="BH129" i="4"/>
  <c r="AD113" i="4"/>
  <c r="AF113" i="4"/>
  <c r="AB113" i="4"/>
  <c r="AE77" i="4"/>
  <c r="AA77" i="4"/>
  <c r="AC77" i="4"/>
  <c r="AV59" i="4"/>
  <c r="BG59" i="4"/>
  <c r="BB185" i="4"/>
  <c r="Y175" i="4"/>
  <c r="BB173" i="4"/>
  <c r="I164" i="4"/>
  <c r="Y155" i="4"/>
  <c r="BB134" i="4"/>
  <c r="AU134" i="4"/>
  <c r="AB132" i="4"/>
  <c r="AD132" i="4"/>
  <c r="AE113" i="4"/>
  <c r="AC113" i="4"/>
  <c r="AA113" i="4"/>
  <c r="BG200" i="4"/>
  <c r="BG194" i="4"/>
  <c r="BG188" i="4"/>
  <c r="BG181" i="4"/>
  <c r="BH179" i="4"/>
  <c r="BG166" i="4"/>
  <c r="BH165" i="4"/>
  <c r="BE136" i="4"/>
  <c r="AA132" i="4"/>
  <c r="AC132" i="4"/>
  <c r="BB131" i="4"/>
  <c r="AU131" i="4"/>
  <c r="BE121" i="4"/>
  <c r="AU116" i="4"/>
  <c r="BB116" i="4"/>
  <c r="AA67" i="4"/>
  <c r="AC67" i="4"/>
  <c r="AE67" i="4"/>
  <c r="AT60" i="4"/>
  <c r="AF178" i="4"/>
  <c r="AB178" i="4"/>
  <c r="Y158" i="4"/>
  <c r="AU139" i="4"/>
  <c r="BB139" i="4"/>
  <c r="AB137" i="4"/>
  <c r="AD137" i="4"/>
  <c r="BH124" i="4"/>
  <c r="AW124" i="4"/>
  <c r="AW88" i="4"/>
  <c r="BB88" i="4" s="1"/>
  <c r="BH88" i="4"/>
  <c r="Y59" i="4"/>
  <c r="AG59" i="4"/>
  <c r="AB48" i="4"/>
  <c r="AD48" i="4"/>
  <c r="AF48" i="4"/>
  <c r="AW37" i="4"/>
  <c r="BH37" i="4"/>
  <c r="AB35" i="4"/>
  <c r="AF35" i="4"/>
  <c r="AD35" i="4"/>
  <c r="BG210" i="4"/>
  <c r="BG207" i="4"/>
  <c r="BG204" i="4"/>
  <c r="BG199" i="4"/>
  <c r="BG193" i="4"/>
  <c r="BG187" i="4"/>
  <c r="AE179" i="4"/>
  <c r="BG178" i="4"/>
  <c r="BH175" i="4"/>
  <c r="AE165" i="4"/>
  <c r="AU146" i="4"/>
  <c r="AB139" i="4"/>
  <c r="AF139" i="4"/>
  <c r="AK137" i="4"/>
  <c r="AT135" i="4" s="1"/>
  <c r="AJ137" i="4"/>
  <c r="I135" i="4"/>
  <c r="AG131" i="4"/>
  <c r="Y131" i="4"/>
  <c r="AV129" i="4"/>
  <c r="BG129" i="4"/>
  <c r="AJ108" i="4"/>
  <c r="BH105" i="4"/>
  <c r="AU46" i="4"/>
  <c r="BB46" i="4"/>
  <c r="AU143" i="4"/>
  <c r="AD143" i="4"/>
  <c r="AW137" i="4"/>
  <c r="BB137" i="4" s="1"/>
  <c r="AG128" i="4"/>
  <c r="Y128" i="4"/>
  <c r="Y121" i="4"/>
  <c r="AG121" i="4"/>
  <c r="AT120" i="4"/>
  <c r="AK91" i="4"/>
  <c r="AT90" i="4" s="1"/>
  <c r="AI91" i="4"/>
  <c r="AR90" i="4" s="1"/>
  <c r="I90" i="4"/>
  <c r="AU88" i="4"/>
  <c r="AU77" i="4"/>
  <c r="BB51" i="4"/>
  <c r="AV37" i="4"/>
  <c r="BG37" i="4"/>
  <c r="AF30" i="4"/>
  <c r="AB30" i="4"/>
  <c r="AF27" i="4"/>
  <c r="AB27" i="4"/>
  <c r="AD27" i="4"/>
  <c r="AF26" i="4"/>
  <c r="AB26" i="4"/>
  <c r="AD26" i="4"/>
  <c r="F29" i="2"/>
  <c r="AJ165" i="4"/>
  <c r="AS164" i="4" s="1"/>
  <c r="AF162" i="4"/>
  <c r="AF160" i="4"/>
  <c r="AF158" i="4"/>
  <c r="AF156" i="4"/>
  <c r="AF155" i="4"/>
  <c r="AJ139" i="4"/>
  <c r="AU137" i="4"/>
  <c r="BH128" i="4"/>
  <c r="AE116" i="4"/>
  <c r="AA116" i="4"/>
  <c r="AJ89" i="4"/>
  <c r="AK89" i="4"/>
  <c r="AT87" i="4" s="1"/>
  <c r="Y77" i="4"/>
  <c r="Y68" i="4"/>
  <c r="Y66" i="4"/>
  <c r="BB61" i="4"/>
  <c r="AW17" i="4"/>
  <c r="BB17" i="4" s="1"/>
  <c r="BH17" i="4"/>
  <c r="I98" i="4"/>
  <c r="AE89" i="4"/>
  <c r="AA89" i="4"/>
  <c r="AS87" i="4"/>
  <c r="AV68" i="4"/>
  <c r="BG68" i="4"/>
  <c r="AV66" i="4"/>
  <c r="BG66" i="4"/>
  <c r="AI48" i="4"/>
  <c r="AJ48" i="4"/>
  <c r="AI40" i="4"/>
  <c r="I39" i="4"/>
  <c r="I721" i="4" s="1"/>
  <c r="AJ40" i="4"/>
  <c r="BB32" i="4"/>
  <c r="AD30" i="4"/>
  <c r="AW22" i="4"/>
  <c r="BB22" i="4" s="1"/>
  <c r="BH22" i="4"/>
  <c r="AJ143" i="4"/>
  <c r="AU141" i="4"/>
  <c r="AG134" i="4"/>
  <c r="Y134" i="4"/>
  <c r="AI134" i="4"/>
  <c r="AK134" i="4"/>
  <c r="BB124" i="4"/>
  <c r="AU113" i="4"/>
  <c r="BB113" i="4"/>
  <c r="AB99" i="4"/>
  <c r="AD99" i="4"/>
  <c r="AF99" i="4"/>
  <c r="AK99" i="4"/>
  <c r="AT98" i="4" s="1"/>
  <c r="AR87" i="4"/>
  <c r="AS65" i="4"/>
  <c r="AT65" i="4"/>
  <c r="AJ63" i="4"/>
  <c r="AI63" i="4"/>
  <c r="AV35" i="4"/>
  <c r="BG35" i="4"/>
  <c r="AU136" i="4"/>
  <c r="BH134" i="4"/>
  <c r="AG132" i="4"/>
  <c r="Y132" i="4"/>
  <c r="AI132" i="4"/>
  <c r="AK132" i="4"/>
  <c r="AU124" i="4"/>
  <c r="AB108" i="4"/>
  <c r="AD108" i="4"/>
  <c r="AU105" i="4"/>
  <c r="BB105" i="4"/>
  <c r="AJ99" i="4"/>
  <c r="AS98" i="4" s="1"/>
  <c r="AB91" i="4"/>
  <c r="AD91" i="4"/>
  <c r="AE88" i="4"/>
  <c r="AC88" i="4"/>
  <c r="AR65" i="4"/>
  <c r="AJ51" i="4"/>
  <c r="AI51" i="4"/>
  <c r="AK51" i="4"/>
  <c r="AB40" i="4"/>
  <c r="AD40" i="4"/>
  <c r="AT39" i="4"/>
  <c r="AU108" i="4"/>
  <c r="BB91" i="4"/>
  <c r="BE66" i="4"/>
  <c r="Y61" i="4"/>
  <c r="BB54" i="4"/>
  <c r="AU40" i="4"/>
  <c r="BB40" i="4"/>
  <c r="AT13" i="4"/>
  <c r="F22" i="1"/>
  <c r="AU99" i="4"/>
  <c r="BH89" i="4"/>
  <c r="I60" i="4"/>
  <c r="AJ61" i="4"/>
  <c r="AS60" i="4" s="1"/>
  <c r="AI46" i="4"/>
  <c r="AJ46" i="4"/>
  <c r="AU27" i="4"/>
  <c r="AF16" i="4"/>
  <c r="AB16" i="4"/>
  <c r="AS13" i="4"/>
  <c r="BE91" i="4"/>
  <c r="AI61" i="4"/>
  <c r="AR60" i="4" s="1"/>
  <c r="BG54" i="4"/>
  <c r="AS53" i="4"/>
  <c r="AU48" i="4"/>
  <c r="BB48" i="4"/>
  <c r="BE35" i="4"/>
  <c r="AU26" i="4"/>
  <c r="AF15" i="4"/>
  <c r="AB15" i="4"/>
  <c r="AF14" i="4"/>
  <c r="AB14" i="4"/>
  <c r="I22" i="1"/>
  <c r="AU24" i="4"/>
  <c r="AC108" i="4"/>
  <c r="AC105" i="4"/>
  <c r="AC99" i="4"/>
  <c r="AD59" i="4"/>
  <c r="AD54" i="4"/>
  <c r="AA40" i="4"/>
  <c r="AC32" i="4"/>
  <c r="AC30" i="4"/>
  <c r="AC27" i="4"/>
  <c r="AC26" i="4"/>
  <c r="AC24" i="4"/>
  <c r="AC22" i="4"/>
  <c r="AC17" i="4"/>
  <c r="AC16" i="4"/>
  <c r="AC15" i="4"/>
  <c r="AC14" i="4"/>
  <c r="AR13" i="4"/>
  <c r="AC63" i="4"/>
  <c r="AC61" i="4"/>
  <c r="AI134" i="7" l="1"/>
  <c r="AJ134" i="7"/>
  <c r="AD116" i="10"/>
  <c r="AF116" i="10"/>
  <c r="AB116" i="10"/>
  <c r="AA200" i="7"/>
  <c r="AE200" i="7"/>
  <c r="AC200" i="7"/>
  <c r="AA119" i="10"/>
  <c r="AC119" i="10"/>
  <c r="AE119" i="10"/>
  <c r="AD99" i="13"/>
  <c r="AB99" i="13"/>
  <c r="AF99" i="13"/>
  <c r="AA27" i="16"/>
  <c r="AC27" i="16"/>
  <c r="AA19" i="16"/>
  <c r="AC19" i="16"/>
  <c r="AE19" i="16"/>
  <c r="AF167" i="10"/>
  <c r="AD167" i="10"/>
  <c r="AB167" i="10"/>
  <c r="AU57" i="16"/>
  <c r="BB57" i="16"/>
  <c r="AB131" i="10"/>
  <c r="AD131" i="10"/>
  <c r="AF131" i="10"/>
  <c r="AR127" i="4"/>
  <c r="I528" i="4"/>
  <c r="K14" i="3" s="1"/>
  <c r="AS637" i="4"/>
  <c r="AW184" i="7"/>
  <c r="AV229" i="7"/>
  <c r="AW274" i="7"/>
  <c r="AE22" i="4"/>
  <c r="AA22" i="4"/>
  <c r="AB274" i="4"/>
  <c r="AF274" i="4"/>
  <c r="AD274" i="4"/>
  <c r="AC410" i="4"/>
  <c r="AA410" i="4"/>
  <c r="AE410" i="4"/>
  <c r="AD378" i="4"/>
  <c r="AB378" i="4"/>
  <c r="AF378" i="4"/>
  <c r="AC358" i="4"/>
  <c r="AA358" i="4"/>
  <c r="AE358" i="4"/>
  <c r="AC417" i="4"/>
  <c r="AA417" i="4"/>
  <c r="AE417" i="4"/>
  <c r="AC430" i="4"/>
  <c r="AA430" i="4"/>
  <c r="AE430" i="4"/>
  <c r="AE665" i="4"/>
  <c r="AC665" i="4"/>
  <c r="BB651" i="4"/>
  <c r="AU651" i="4"/>
  <c r="AD525" i="4"/>
  <c r="AB525" i="4"/>
  <c r="AD623" i="4"/>
  <c r="AB623" i="4"/>
  <c r="AF623" i="4"/>
  <c r="AU31" i="13"/>
  <c r="AF109" i="10"/>
  <c r="AW39" i="16"/>
  <c r="AC57" i="16"/>
  <c r="BG100" i="13"/>
  <c r="Z18" i="19"/>
  <c r="AI14" i="16"/>
  <c r="AF102" i="10"/>
  <c r="AB113" i="13"/>
  <c r="AA65" i="16"/>
  <c r="AB53" i="16"/>
  <c r="AE96" i="13"/>
  <c r="AJ25" i="10"/>
  <c r="BG31" i="13"/>
  <c r="AE31" i="13" s="1"/>
  <c r="BH36" i="13"/>
  <c r="AB36" i="13" s="1"/>
  <c r="AD66" i="4"/>
  <c r="AB66" i="4"/>
  <c r="AF66" i="4"/>
  <c r="AE30" i="4"/>
  <c r="AA30" i="4"/>
  <c r="AD75" i="4"/>
  <c r="AB75" i="4"/>
  <c r="AF75" i="4"/>
  <c r="BB282" i="4"/>
  <c r="AU282" i="4"/>
  <c r="AC412" i="4"/>
  <c r="AA412" i="4"/>
  <c r="AE412" i="4"/>
  <c r="AU199" i="4"/>
  <c r="BB199" i="4"/>
  <c r="AB297" i="4"/>
  <c r="AF297" i="4"/>
  <c r="BB261" i="4"/>
  <c r="AU261" i="4"/>
  <c r="AC516" i="4"/>
  <c r="AA516" i="4"/>
  <c r="AE516" i="4"/>
  <c r="AC538" i="4"/>
  <c r="AA538" i="4"/>
  <c r="AA604" i="4"/>
  <c r="AC604" i="4"/>
  <c r="AC576" i="4"/>
  <c r="AA576" i="4"/>
  <c r="AE576" i="4"/>
  <c r="AC562" i="4"/>
  <c r="AA562" i="4"/>
  <c r="AE562" i="4"/>
  <c r="AC652" i="4"/>
  <c r="AE652" i="4"/>
  <c r="AA652" i="4"/>
  <c r="AC694" i="4"/>
  <c r="AA694" i="4"/>
  <c r="AE694" i="4"/>
  <c r="AG169" i="10"/>
  <c r="Y169" i="10"/>
  <c r="AW99" i="13"/>
  <c r="AU99" i="13" s="1"/>
  <c r="AE14" i="13"/>
  <c r="AA14" i="13"/>
  <c r="AT397" i="4"/>
  <c r="AS135" i="4"/>
  <c r="C21" i="1"/>
  <c r="AU406" i="4"/>
  <c r="BB510" i="4"/>
  <c r="AR637" i="4"/>
  <c r="AW196" i="7"/>
  <c r="AV295" i="7"/>
  <c r="AF113" i="10"/>
  <c r="AV53" i="10"/>
  <c r="BB53" i="10" s="1"/>
  <c r="AK309" i="7"/>
  <c r="AC126" i="13"/>
  <c r="AJ136" i="10"/>
  <c r="AV130" i="10"/>
  <c r="BG22" i="13"/>
  <c r="BB119" i="13"/>
  <c r="AK196" i="7"/>
  <c r="AB25" i="13"/>
  <c r="AW36" i="10"/>
  <c r="AU44" i="13"/>
  <c r="AS32" i="16"/>
  <c r="AD53" i="16"/>
  <c r="AJ184" i="7"/>
  <c r="AE32" i="4"/>
  <c r="AA32" i="4"/>
  <c r="AA63" i="4"/>
  <c r="AE63" i="4"/>
  <c r="AD372" i="4"/>
  <c r="AF372" i="4"/>
  <c r="AB372" i="4"/>
  <c r="AD282" i="4"/>
  <c r="AB282" i="4"/>
  <c r="AA367" i="4"/>
  <c r="AC367" i="4"/>
  <c r="AB212" i="4"/>
  <c r="AD212" i="4"/>
  <c r="AF212" i="4"/>
  <c r="AF424" i="4"/>
  <c r="AB424" i="4"/>
  <c r="AC355" i="4"/>
  <c r="AA355" i="4"/>
  <c r="AE394" i="4"/>
  <c r="AC394" i="4"/>
  <c r="AA394" i="4"/>
  <c r="AU421" i="4"/>
  <c r="AA333" i="4"/>
  <c r="AC333" i="4"/>
  <c r="AE333" i="4"/>
  <c r="AE390" i="4"/>
  <c r="AA390" i="4"/>
  <c r="AC390" i="4"/>
  <c r="AB544" i="4"/>
  <c r="AD544" i="4"/>
  <c r="AF544" i="4"/>
  <c r="AD611" i="4"/>
  <c r="AB611" i="4"/>
  <c r="AF611" i="4"/>
  <c r="AU304" i="4"/>
  <c r="BB304" i="4"/>
  <c r="AC535" i="4"/>
  <c r="AA535" i="4"/>
  <c r="AF405" i="4"/>
  <c r="AD405" i="4"/>
  <c r="AB405" i="4"/>
  <c r="AF651" i="4"/>
  <c r="AD651" i="4"/>
  <c r="AK231" i="7"/>
  <c r="AI231" i="7"/>
  <c r="AF455" i="4"/>
  <c r="AD455" i="4"/>
  <c r="AB660" i="4"/>
  <c r="AF660" i="4"/>
  <c r="AD660" i="4"/>
  <c r="AD612" i="4"/>
  <c r="AF612" i="4"/>
  <c r="AB612" i="4"/>
  <c r="AG239" i="7"/>
  <c r="Y239" i="7"/>
  <c r="AE15" i="19"/>
  <c r="AC15" i="19"/>
  <c r="AU658" i="4"/>
  <c r="BB658" i="4"/>
  <c r="BH223" i="7"/>
  <c r="BH53" i="10"/>
  <c r="BB319" i="4"/>
  <c r="BB248" i="4"/>
  <c r="BB562" i="4"/>
  <c r="BB482" i="4"/>
  <c r="BG114" i="10"/>
  <c r="BH27" i="16"/>
  <c r="AD304" i="4"/>
  <c r="AB304" i="4"/>
  <c r="AF304" i="4"/>
  <c r="AD380" i="4"/>
  <c r="AF380" i="4"/>
  <c r="AB380" i="4"/>
  <c r="AB228" i="4"/>
  <c r="AD228" i="4"/>
  <c r="AC524" i="4"/>
  <c r="AE524" i="4"/>
  <c r="AA524" i="4"/>
  <c r="AC422" i="4"/>
  <c r="AA422" i="4"/>
  <c r="AE422" i="4"/>
  <c r="AC530" i="4"/>
  <c r="AA530" i="4"/>
  <c r="AB400" i="4"/>
  <c r="AD400" i="4"/>
  <c r="AF400" i="4"/>
  <c r="AA463" i="4"/>
  <c r="AC463" i="4"/>
  <c r="AE463" i="4"/>
  <c r="AU333" i="4"/>
  <c r="AC658" i="4"/>
  <c r="AA658" i="4"/>
  <c r="AE658" i="4"/>
  <c r="AH22" i="19"/>
  <c r="Z22" i="19"/>
  <c r="AU324" i="4"/>
  <c r="AT389" i="4"/>
  <c r="AU687" i="4"/>
  <c r="AR618" i="4"/>
  <c r="BH91" i="7"/>
  <c r="AB144" i="7"/>
  <c r="AW266" i="7"/>
  <c r="BG18" i="10"/>
  <c r="AA295" i="7"/>
  <c r="I13" i="13"/>
  <c r="BG52" i="13"/>
  <c r="Y39" i="16"/>
  <c r="AB111" i="10"/>
  <c r="AA54" i="16"/>
  <c r="AW19" i="19"/>
  <c r="AJ75" i="13"/>
  <c r="AS74" i="13" s="1"/>
  <c r="AA57" i="16"/>
  <c r="AU157" i="10"/>
  <c r="AW60" i="16"/>
  <c r="C20" i="17"/>
  <c r="BH38" i="16"/>
  <c r="AC34" i="10"/>
  <c r="AD68" i="4"/>
  <c r="AB68" i="4"/>
  <c r="AF68" i="4"/>
  <c r="AU305" i="4"/>
  <c r="BB305" i="4"/>
  <c r="AA232" i="4"/>
  <c r="AE232" i="4"/>
  <c r="AC525" i="4"/>
  <c r="AA525" i="4"/>
  <c r="AE525" i="4"/>
  <c r="BB284" i="4"/>
  <c r="AF426" i="4"/>
  <c r="AD426" i="4"/>
  <c r="AD503" i="4"/>
  <c r="AB503" i="4"/>
  <c r="AF503" i="4"/>
  <c r="AD538" i="4"/>
  <c r="AF538" i="4"/>
  <c r="AB538" i="4"/>
  <c r="AU530" i="4"/>
  <c r="BB530" i="4"/>
  <c r="AA293" i="4"/>
  <c r="AC293" i="4"/>
  <c r="AE293" i="4"/>
  <c r="AC413" i="4"/>
  <c r="AA413" i="4"/>
  <c r="AE413" i="4"/>
  <c r="AU701" i="4"/>
  <c r="Y171" i="10"/>
  <c r="AG171" i="10"/>
  <c r="AD46" i="16"/>
  <c r="AF46" i="16"/>
  <c r="AG258" i="7"/>
  <c r="Y258" i="7"/>
  <c r="AD715" i="4"/>
  <c r="AB715" i="4"/>
  <c r="AF715" i="4"/>
  <c r="AD303" i="4"/>
  <c r="AB303" i="4"/>
  <c r="AF303" i="4"/>
  <c r="AU574" i="4"/>
  <c r="BH22" i="19"/>
  <c r="AD297" i="7"/>
  <c r="AB297" i="7"/>
  <c r="C20" i="1"/>
  <c r="AR227" i="4"/>
  <c r="AU327" i="4"/>
  <c r="AT332" i="4"/>
  <c r="AT505" i="4"/>
  <c r="BH228" i="7"/>
  <c r="AD113" i="10"/>
  <c r="AF54" i="10"/>
  <c r="AW178" i="10"/>
  <c r="AK79" i="10"/>
  <c r="AT78" i="10" s="1"/>
  <c r="AV19" i="16"/>
  <c r="AF111" i="10"/>
  <c r="AI75" i="13"/>
  <c r="AR74" i="13" s="1"/>
  <c r="AB19" i="19"/>
  <c r="AD115" i="13"/>
  <c r="BG245" i="7"/>
  <c r="AE245" i="7" s="1"/>
  <c r="AK116" i="7"/>
  <c r="AF205" i="10"/>
  <c r="AK57" i="16"/>
  <c r="AU149" i="4"/>
  <c r="AB293" i="4"/>
  <c r="AF293" i="4"/>
  <c r="AD245" i="4"/>
  <c r="AB245" i="4"/>
  <c r="AF245" i="4"/>
  <c r="AF428" i="4"/>
  <c r="AD428" i="4"/>
  <c r="AC426" i="4"/>
  <c r="AE426" i="4"/>
  <c r="AA426" i="4"/>
  <c r="AT349" i="4"/>
  <c r="AC424" i="4"/>
  <c r="AA424" i="4"/>
  <c r="AE424" i="4"/>
  <c r="AA239" i="4"/>
  <c r="AE239" i="4"/>
  <c r="AD309" i="4"/>
  <c r="AB309" i="4"/>
  <c r="AF309" i="4"/>
  <c r="AU462" i="4"/>
  <c r="BB462" i="4"/>
  <c r="AF433" i="4"/>
  <c r="AD433" i="4"/>
  <c r="AD524" i="4"/>
  <c r="AB524" i="4"/>
  <c r="AD598" i="4"/>
  <c r="AB598" i="4"/>
  <c r="AF598" i="4"/>
  <c r="AU293" i="4"/>
  <c r="BB293" i="4"/>
  <c r="Y62" i="16"/>
  <c r="AG62" i="16"/>
  <c r="AD265" i="7"/>
  <c r="AF265" i="7"/>
  <c r="BB698" i="4"/>
  <c r="AU691" i="4"/>
  <c r="BB99" i="13"/>
  <c r="BG17" i="16"/>
  <c r="AA17" i="16" s="1"/>
  <c r="AV88" i="13"/>
  <c r="BB22" i="13"/>
  <c r="AC88" i="13"/>
  <c r="AF19" i="19"/>
  <c r="AB115" i="13"/>
  <c r="AB307" i="7"/>
  <c r="AB205" i="10"/>
  <c r="AF59" i="4"/>
  <c r="AB59" i="4"/>
  <c r="AU228" i="4"/>
  <c r="BB228" i="4"/>
  <c r="AF265" i="4"/>
  <c r="AD265" i="4"/>
  <c r="BB245" i="4"/>
  <c r="AU245" i="4"/>
  <c r="AC450" i="4"/>
  <c r="AA450" i="4"/>
  <c r="AE450" i="4"/>
  <c r="AC432" i="4"/>
  <c r="AA432" i="4"/>
  <c r="AE432" i="4"/>
  <c r="AS404" i="4"/>
  <c r="AS566" i="4"/>
  <c r="BB433" i="4"/>
  <c r="AU433" i="4"/>
  <c r="AD527" i="4"/>
  <c r="AB527" i="4"/>
  <c r="AR587" i="4"/>
  <c r="AC435" i="4"/>
  <c r="AA435" i="4"/>
  <c r="AE435" i="4"/>
  <c r="AC523" i="4"/>
  <c r="AA523" i="4"/>
  <c r="AE523" i="4"/>
  <c r="AC428" i="4"/>
  <c r="AA428" i="4"/>
  <c r="AE428" i="4"/>
  <c r="AG40" i="16"/>
  <c r="Y40" i="16"/>
  <c r="AX15" i="19"/>
  <c r="AV15" i="19" s="1"/>
  <c r="Y60" i="13"/>
  <c r="AG60" i="13"/>
  <c r="C28" i="1"/>
  <c r="F28" i="1" s="1"/>
  <c r="AT127" i="4"/>
  <c r="AU255" i="4"/>
  <c r="AS618" i="4"/>
  <c r="BG304" i="7"/>
  <c r="AC54" i="16"/>
  <c r="AA73" i="13"/>
  <c r="AU26" i="7"/>
  <c r="BB232" i="7"/>
  <c r="BG309" i="7"/>
  <c r="AE309" i="7" s="1"/>
  <c r="BB126" i="13"/>
  <c r="BB132" i="13"/>
  <c r="AC137" i="4"/>
  <c r="AA137" i="4"/>
  <c r="AE137" i="4"/>
  <c r="AF438" i="4"/>
  <c r="AD438" i="4"/>
  <c r="AB438" i="4"/>
  <c r="AA228" i="4"/>
  <c r="AE228" i="4"/>
  <c r="AD305" i="4"/>
  <c r="AB305" i="4"/>
  <c r="AF305" i="4"/>
  <c r="AC418" i="4"/>
  <c r="AE418" i="4"/>
  <c r="AA418" i="4"/>
  <c r="AC162" i="4"/>
  <c r="AE162" i="4"/>
  <c r="AA162" i="4"/>
  <c r="AC284" i="4"/>
  <c r="AA284" i="4"/>
  <c r="AE284" i="4"/>
  <c r="AT321" i="4"/>
  <c r="AR505" i="4"/>
  <c r="AU300" i="4"/>
  <c r="BB300" i="4"/>
  <c r="AC359" i="4"/>
  <c r="AE359" i="4"/>
  <c r="AA359" i="4"/>
  <c r="AD373" i="4"/>
  <c r="AB373" i="4"/>
  <c r="AF373" i="4"/>
  <c r="AD626" i="4"/>
  <c r="AB626" i="4"/>
  <c r="AF626" i="4"/>
  <c r="AD644" i="4"/>
  <c r="AF644" i="4"/>
  <c r="AB644" i="4"/>
  <c r="BB523" i="4"/>
  <c r="AU523" i="4"/>
  <c r="AF417" i="4"/>
  <c r="AB417" i="4"/>
  <c r="AC650" i="4"/>
  <c r="AA650" i="4"/>
  <c r="AE650" i="4"/>
  <c r="AA691" i="4"/>
  <c r="AC691" i="4"/>
  <c r="AE691" i="4"/>
  <c r="AC651" i="4"/>
  <c r="AE651" i="4"/>
  <c r="AA651" i="4"/>
  <c r="AD691" i="4"/>
  <c r="AB691" i="4"/>
  <c r="AF691" i="4"/>
  <c r="AG245" i="7"/>
  <c r="Y245" i="7"/>
  <c r="AB671" i="4"/>
  <c r="AD671" i="4"/>
  <c r="AI111" i="10"/>
  <c r="AJ111" i="10"/>
  <c r="AK111" i="10"/>
  <c r="AW17" i="19"/>
  <c r="BH17" i="19"/>
  <c r="AA53" i="16"/>
  <c r="AC53" i="16"/>
  <c r="AE53" i="16"/>
  <c r="AE67" i="16"/>
  <c r="AG29" i="16"/>
  <c r="Y29" i="16"/>
  <c r="AA67" i="16"/>
  <c r="AB57" i="16"/>
  <c r="AF57" i="16"/>
  <c r="BG29" i="16"/>
  <c r="AV29" i="16"/>
  <c r="AU29" i="16" s="1"/>
  <c r="AV38" i="16"/>
  <c r="AC62" i="16"/>
  <c r="AW43" i="16"/>
  <c r="AE27" i="16"/>
  <c r="BH22" i="16"/>
  <c r="AD22" i="16" s="1"/>
  <c r="AE62" i="16"/>
  <c r="AD40" i="16"/>
  <c r="AB40" i="16"/>
  <c r="AF40" i="16"/>
  <c r="Y27" i="16"/>
  <c r="Y35" i="16"/>
  <c r="AE60" i="16"/>
  <c r="AG60" i="16"/>
  <c r="Y60" i="16"/>
  <c r="AG54" i="16"/>
  <c r="Y54" i="16"/>
  <c r="I45" i="16"/>
  <c r="AI46" i="16"/>
  <c r="AR45" i="16" s="1"/>
  <c r="AJ46" i="16"/>
  <c r="AS45" i="16" s="1"/>
  <c r="AK46" i="16"/>
  <c r="AT45" i="16" s="1"/>
  <c r="AV54" i="16"/>
  <c r="AU54" i="16" s="1"/>
  <c r="AF65" i="16"/>
  <c r="AA60" i="16"/>
  <c r="AE53" i="13"/>
  <c r="AC53" i="13"/>
  <c r="AA53" i="13"/>
  <c r="BB51" i="13"/>
  <c r="AU51" i="13"/>
  <c r="AD132" i="13"/>
  <c r="AB132" i="13"/>
  <c r="AF132" i="13"/>
  <c r="BH110" i="13"/>
  <c r="AV136" i="13"/>
  <c r="AU136" i="13" s="1"/>
  <c r="AF46" i="13"/>
  <c r="AW66" i="13"/>
  <c r="AA31" i="13"/>
  <c r="AD126" i="13"/>
  <c r="AB126" i="13"/>
  <c r="AF126" i="13"/>
  <c r="AG28" i="13"/>
  <c r="Y28" i="13"/>
  <c r="AD36" i="13"/>
  <c r="AE132" i="13"/>
  <c r="AW53" i="13"/>
  <c r="AB44" i="13"/>
  <c r="AF44" i="13"/>
  <c r="AV106" i="13"/>
  <c r="BB106" i="13" s="1"/>
  <c r="BG106" i="13"/>
  <c r="AW19" i="13"/>
  <c r="AU19" i="13" s="1"/>
  <c r="Y109" i="13"/>
  <c r="AG109" i="13"/>
  <c r="BH128" i="13"/>
  <c r="AD46" i="13"/>
  <c r="Y119" i="13"/>
  <c r="AV73" i="13"/>
  <c r="BB73" i="13" s="1"/>
  <c r="AV53" i="13"/>
  <c r="BB60" i="13"/>
  <c r="AB51" i="13"/>
  <c r="AF51" i="13"/>
  <c r="Y99" i="13"/>
  <c r="AG99" i="13"/>
  <c r="AG132" i="13"/>
  <c r="Y132" i="13"/>
  <c r="AF36" i="13"/>
  <c r="AC31" i="13"/>
  <c r="AE73" i="13"/>
  <c r="AF52" i="13"/>
  <c r="AW107" i="13"/>
  <c r="BH107" i="13"/>
  <c r="AE28" i="13"/>
  <c r="AA110" i="13"/>
  <c r="AE110" i="13"/>
  <c r="AU150" i="10"/>
  <c r="BB150" i="10"/>
  <c r="AD163" i="10"/>
  <c r="AB163" i="10"/>
  <c r="AF163" i="10"/>
  <c r="AB86" i="10"/>
  <c r="AD86" i="10"/>
  <c r="AF86" i="10"/>
  <c r="AB140" i="10"/>
  <c r="AD140" i="10"/>
  <c r="AF140" i="10"/>
  <c r="AE105" i="10"/>
  <c r="AW61" i="10"/>
  <c r="AK128" i="10"/>
  <c r="AG162" i="10"/>
  <c r="Y162" i="10"/>
  <c r="Y150" i="10"/>
  <c r="AG150" i="10"/>
  <c r="AD180" i="10"/>
  <c r="AF180" i="10"/>
  <c r="AV96" i="10"/>
  <c r="AG157" i="10"/>
  <c r="Y157" i="10"/>
  <c r="AK14" i="10"/>
  <c r="AI14" i="10"/>
  <c r="AJ14" i="10"/>
  <c r="AI124" i="10"/>
  <c r="AJ124" i="10"/>
  <c r="AK124" i="10"/>
  <c r="AF202" i="10"/>
  <c r="AG87" i="10"/>
  <c r="Y87" i="10"/>
  <c r="AF40" i="10"/>
  <c r="AD40" i="10"/>
  <c r="AG141" i="10"/>
  <c r="Y141" i="10"/>
  <c r="BB163" i="10"/>
  <c r="AC205" i="10"/>
  <c r="AA205" i="10"/>
  <c r="BG89" i="10"/>
  <c r="AB202" i="10"/>
  <c r="BB204" i="10"/>
  <c r="AF75" i="10"/>
  <c r="AD75" i="10"/>
  <c r="BG71" i="10"/>
  <c r="AI188" i="10"/>
  <c r="AK188" i="10"/>
  <c r="AJ188" i="10"/>
  <c r="AA103" i="10"/>
  <c r="AC140" i="10"/>
  <c r="Y89" i="10"/>
  <c r="AG89" i="10"/>
  <c r="AI205" i="10"/>
  <c r="AJ205" i="10"/>
  <c r="AK205" i="10"/>
  <c r="Y136" i="10"/>
  <c r="AG136" i="10"/>
  <c r="AW75" i="10"/>
  <c r="AU14" i="10"/>
  <c r="AW148" i="10"/>
  <c r="AE162" i="10"/>
  <c r="AV140" i="10"/>
  <c r="AU140" i="10" s="1"/>
  <c r="BG178" i="10"/>
  <c r="AE116" i="10"/>
  <c r="AA140" i="10"/>
  <c r="Y14" i="10"/>
  <c r="AG14" i="10"/>
  <c r="AA75" i="10"/>
  <c r="AE75" i="10"/>
  <c r="AW126" i="10"/>
  <c r="AU126" i="10" s="1"/>
  <c r="BG83" i="10"/>
  <c r="AI180" i="10"/>
  <c r="AK180" i="10"/>
  <c r="AJ180" i="10"/>
  <c r="AD188" i="10"/>
  <c r="AF188" i="10"/>
  <c r="BH195" i="10"/>
  <c r="AC162" i="10"/>
  <c r="AV116" i="10"/>
  <c r="AA184" i="10"/>
  <c r="BG54" i="10"/>
  <c r="AC54" i="10" s="1"/>
  <c r="BB80" i="10"/>
  <c r="AG135" i="10"/>
  <c r="Y135" i="10"/>
  <c r="AI118" i="10"/>
  <c r="AJ118" i="10"/>
  <c r="AK118" i="10"/>
  <c r="AJ80" i="10"/>
  <c r="AS78" i="10" s="1"/>
  <c r="AI80" i="10"/>
  <c r="AR78" i="10" s="1"/>
  <c r="AG148" i="10"/>
  <c r="Y148" i="10"/>
  <c r="AD171" i="10"/>
  <c r="AB171" i="10"/>
  <c r="AF171" i="10"/>
  <c r="AC103" i="10"/>
  <c r="AW187" i="10"/>
  <c r="AE184" i="10"/>
  <c r="BG204" i="10"/>
  <c r="BG150" i="10"/>
  <c r="AG94" i="10"/>
  <c r="Y94" i="10"/>
  <c r="AD193" i="10"/>
  <c r="AB193" i="10"/>
  <c r="AF193" i="10"/>
  <c r="Y96" i="10"/>
  <c r="AG96" i="10"/>
  <c r="AA175" i="7"/>
  <c r="AE175" i="7"/>
  <c r="AC175" i="7"/>
  <c r="AB131" i="7"/>
  <c r="AD131" i="7"/>
  <c r="AF131" i="7"/>
  <c r="AB124" i="7"/>
  <c r="AD124" i="7"/>
  <c r="AF124" i="7"/>
  <c r="BB37" i="7"/>
  <c r="AU37" i="7"/>
  <c r="AA139" i="7"/>
  <c r="AC139" i="7"/>
  <c r="AE139" i="7"/>
  <c r="AW240" i="7"/>
  <c r="BB240" i="7" s="1"/>
  <c r="AW254" i="7"/>
  <c r="Y253" i="7"/>
  <c r="AG253" i="7"/>
  <c r="Y17" i="7"/>
  <c r="AG17" i="7"/>
  <c r="AG129" i="7"/>
  <c r="Y129" i="7"/>
  <c r="BB26" i="7"/>
  <c r="AC327" i="7"/>
  <c r="AA327" i="7"/>
  <c r="BH105" i="7"/>
  <c r="BH303" i="7"/>
  <c r="AW303" i="7"/>
  <c r="AC237" i="7"/>
  <c r="AA237" i="7"/>
  <c r="AD263" i="7"/>
  <c r="AB263" i="7"/>
  <c r="AV24" i="7"/>
  <c r="I321" i="7"/>
  <c r="AD270" i="7"/>
  <c r="AB270" i="7"/>
  <c r="AV146" i="7"/>
  <c r="BB146" i="7" s="1"/>
  <c r="BG146" i="7"/>
  <c r="BH179" i="7"/>
  <c r="AW179" i="7"/>
  <c r="AG309" i="7"/>
  <c r="Y309" i="7"/>
  <c r="AC239" i="7"/>
  <c r="AA239" i="7"/>
  <c r="AD99" i="7"/>
  <c r="AF99" i="7"/>
  <c r="AB99" i="7"/>
  <c r="AB324" i="7"/>
  <c r="AF324" i="7"/>
  <c r="Y116" i="7"/>
  <c r="AG116" i="7"/>
  <c r="AD239" i="7"/>
  <c r="AB239" i="7"/>
  <c r="AF239" i="7"/>
  <c r="BB129" i="7"/>
  <c r="AD51" i="7"/>
  <c r="AB51" i="7"/>
  <c r="AF51" i="7"/>
  <c r="AD231" i="7"/>
  <c r="AB231" i="7"/>
  <c r="Y124" i="7"/>
  <c r="AG124" i="7"/>
  <c r="AD327" i="7"/>
  <c r="AB327" i="7"/>
  <c r="AG284" i="7"/>
  <c r="Y284" i="7"/>
  <c r="AG99" i="7"/>
  <c r="Y99" i="7"/>
  <c r="AK15" i="7"/>
  <c r="AI15" i="7"/>
  <c r="AJ15" i="7"/>
  <c r="AD272" i="7"/>
  <c r="AB272" i="7"/>
  <c r="AF272" i="7"/>
  <c r="AD284" i="7"/>
  <c r="AB284" i="7"/>
  <c r="AW175" i="7"/>
  <c r="BH175" i="7"/>
  <c r="Y32" i="7"/>
  <c r="AG32" i="7"/>
  <c r="AG136" i="7"/>
  <c r="Y136" i="7"/>
  <c r="AC243" i="7"/>
  <c r="AA243" i="7"/>
  <c r="Y327" i="7"/>
  <c r="AG327" i="7"/>
  <c r="AC272" i="7"/>
  <c r="AA272" i="7"/>
  <c r="AV272" i="7"/>
  <c r="AW246" i="7"/>
  <c r="AC231" i="7"/>
  <c r="AA231" i="7"/>
  <c r="AU245" i="7"/>
  <c r="AD136" i="7"/>
  <c r="AB136" i="7"/>
  <c r="AF136" i="7"/>
  <c r="AC245" i="7"/>
  <c r="AA245" i="7"/>
  <c r="Y272" i="7"/>
  <c r="AG272" i="7"/>
  <c r="AD245" i="7"/>
  <c r="AB245" i="7"/>
  <c r="AF245" i="7"/>
  <c r="AD290" i="7"/>
  <c r="AB290" i="7"/>
  <c r="AF290" i="7"/>
  <c r="AC253" i="7"/>
  <c r="AA253" i="7"/>
  <c r="AU131" i="7"/>
  <c r="AD300" i="7"/>
  <c r="AB300" i="7"/>
  <c r="AD88" i="7"/>
  <c r="AB88" i="7"/>
  <c r="AF88" i="7"/>
  <c r="AB121" i="7"/>
  <c r="AF121" i="7"/>
  <c r="AG24" i="7"/>
  <c r="Y24" i="7"/>
  <c r="AJ212" i="7"/>
  <c r="AK212" i="7"/>
  <c r="AI212" i="7"/>
  <c r="AD298" i="7"/>
  <c r="AB298" i="7"/>
  <c r="AC303" i="7"/>
  <c r="AA303" i="7"/>
  <c r="AU253" i="7"/>
  <c r="BB253" i="7"/>
  <c r="AG307" i="7"/>
  <c r="Y307" i="7"/>
  <c r="AD282" i="7"/>
  <c r="AB282" i="7"/>
  <c r="AC251" i="7"/>
  <c r="AA251" i="7"/>
  <c r="AG143" i="7"/>
  <c r="Y143" i="7"/>
  <c r="BB88" i="7"/>
  <c r="AU88" i="7"/>
  <c r="AG77" i="7"/>
  <c r="Y77" i="7"/>
  <c r="AW143" i="7"/>
  <c r="BH143" i="7"/>
  <c r="BH253" i="7"/>
  <c r="AC263" i="7"/>
  <c r="AA263" i="7"/>
  <c r="AE225" i="7"/>
  <c r="AA225" i="7"/>
  <c r="AG265" i="7"/>
  <c r="Y265" i="7"/>
  <c r="AC258" i="7"/>
  <c r="AA258" i="7"/>
  <c r="BB309" i="7"/>
  <c r="AC309" i="7"/>
  <c r="AA309" i="7"/>
  <c r="BB147" i="7"/>
  <c r="AU147" i="7"/>
  <c r="AF39" i="16"/>
  <c r="AB39" i="16"/>
  <c r="AD39" i="16"/>
  <c r="AA118" i="13"/>
  <c r="AC118" i="13"/>
  <c r="AE118" i="13"/>
  <c r="AA324" i="7"/>
  <c r="AC324" i="7"/>
  <c r="AE324" i="7"/>
  <c r="AB81" i="10"/>
  <c r="AD81" i="10"/>
  <c r="AF81" i="10"/>
  <c r="AB31" i="16"/>
  <c r="AD31" i="16"/>
  <c r="AF31" i="16"/>
  <c r="AU207" i="7"/>
  <c r="BB207" i="7"/>
  <c r="AU178" i="10"/>
  <c r="BB178" i="10"/>
  <c r="AB304" i="7"/>
  <c r="AD304" i="7"/>
  <c r="AF304" i="7"/>
  <c r="AU153" i="7"/>
  <c r="BB153" i="7"/>
  <c r="AA187" i="10"/>
  <c r="AC187" i="10"/>
  <c r="AE187" i="10"/>
  <c r="AA214" i="7"/>
  <c r="AC214" i="7"/>
  <c r="AE214" i="7"/>
  <c r="AA31" i="16"/>
  <c r="AC31" i="16"/>
  <c r="AE31" i="16"/>
  <c r="AF14" i="19"/>
  <c r="AB14" i="19"/>
  <c r="AD14" i="19"/>
  <c r="AA311" i="7"/>
  <c r="AC311" i="7"/>
  <c r="AE311" i="7"/>
  <c r="AA130" i="10"/>
  <c r="AC130" i="10"/>
  <c r="AE130" i="10"/>
  <c r="N15" i="3"/>
  <c r="P15" i="3"/>
  <c r="AF61" i="10"/>
  <c r="AB61" i="10"/>
  <c r="AD61" i="10"/>
  <c r="AF18" i="19"/>
  <c r="AB18" i="19"/>
  <c r="AD18" i="19"/>
  <c r="P14" i="3"/>
  <c r="N14" i="3"/>
  <c r="AA61" i="10"/>
  <c r="AC61" i="10"/>
  <c r="AE61" i="10"/>
  <c r="AB124" i="4"/>
  <c r="AD124" i="4"/>
  <c r="AF124" i="4"/>
  <c r="AU166" i="4"/>
  <c r="BB166" i="4"/>
  <c r="AA184" i="4"/>
  <c r="AC184" i="4"/>
  <c r="AE184" i="4"/>
  <c r="BB295" i="4"/>
  <c r="AU295" i="4"/>
  <c r="AF350" i="4"/>
  <c r="AB350" i="4"/>
  <c r="AD350" i="4"/>
  <c r="AB89" i="7"/>
  <c r="AF89" i="7"/>
  <c r="AD89" i="7"/>
  <c r="Y48" i="7"/>
  <c r="AG48" i="7"/>
  <c r="AG158" i="7"/>
  <c r="Y158" i="7"/>
  <c r="AK34" i="10"/>
  <c r="AI34" i="10"/>
  <c r="AJ34" i="10"/>
  <c r="AA246" i="7"/>
  <c r="AC246" i="7"/>
  <c r="AE246" i="7"/>
  <c r="AG246" i="7"/>
  <c r="Y246" i="7"/>
  <c r="AE188" i="10"/>
  <c r="AA188" i="10"/>
  <c r="AC188" i="10"/>
  <c r="AU46" i="13"/>
  <c r="BB46" i="13"/>
  <c r="AK128" i="13"/>
  <c r="AT127" i="13" s="1"/>
  <c r="I127" i="13"/>
  <c r="AI128" i="13"/>
  <c r="AR127" i="13" s="1"/>
  <c r="AJ128" i="13"/>
  <c r="AS127" i="13" s="1"/>
  <c r="AI104" i="13"/>
  <c r="AJ104" i="13"/>
  <c r="AK104" i="13"/>
  <c r="BH33" i="16"/>
  <c r="AW33" i="16"/>
  <c r="AX17" i="19"/>
  <c r="BI17" i="19"/>
  <c r="AB38" i="16"/>
  <c r="AD38" i="16"/>
  <c r="AF38" i="16"/>
  <c r="AE35" i="4"/>
  <c r="AA35" i="4"/>
  <c r="AC35" i="4"/>
  <c r="AS39" i="4"/>
  <c r="BB68" i="4"/>
  <c r="AU68" i="4"/>
  <c r="AU22" i="4"/>
  <c r="AE37" i="4"/>
  <c r="AA37" i="4"/>
  <c r="AC37" i="4"/>
  <c r="BB129" i="4"/>
  <c r="AU129" i="4"/>
  <c r="AA199" i="4"/>
  <c r="AC199" i="4"/>
  <c r="AE199" i="4"/>
  <c r="AA166" i="4"/>
  <c r="AE166" i="4"/>
  <c r="AC166" i="4"/>
  <c r="AU181" i="4"/>
  <c r="BB181" i="4"/>
  <c r="BB200" i="4"/>
  <c r="AU200" i="4"/>
  <c r="AF166" i="4"/>
  <c r="AB166" i="4"/>
  <c r="AD166" i="4"/>
  <c r="AF209" i="4"/>
  <c r="AB209" i="4"/>
  <c r="AD209" i="4"/>
  <c r="AE121" i="4"/>
  <c r="AC121" i="4"/>
  <c r="AA121" i="4"/>
  <c r="AB229" i="4"/>
  <c r="AF229" i="4"/>
  <c r="AD229" i="4"/>
  <c r="AE263" i="4"/>
  <c r="AA263" i="4"/>
  <c r="AC263" i="4"/>
  <c r="BB232" i="4"/>
  <c r="AU232" i="4"/>
  <c r="AA295" i="4"/>
  <c r="AE295" i="4"/>
  <c r="AC295" i="4"/>
  <c r="AE344" i="4"/>
  <c r="AA344" i="4"/>
  <c r="AC344" i="4"/>
  <c r="AT540" i="4"/>
  <c r="AF459" i="4"/>
  <c r="AD459" i="4"/>
  <c r="AB459" i="4"/>
  <c r="AB390" i="4"/>
  <c r="AD390" i="4"/>
  <c r="AF390" i="4"/>
  <c r="AU394" i="4"/>
  <c r="AU311" i="4"/>
  <c r="BB311" i="4"/>
  <c r="BB582" i="4"/>
  <c r="AU582" i="4"/>
  <c r="AB399" i="4"/>
  <c r="AF399" i="4"/>
  <c r="AD399" i="4"/>
  <c r="BB463" i="4"/>
  <c r="AU463" i="4"/>
  <c r="AT618" i="4"/>
  <c r="BB652" i="4"/>
  <c r="AR710" i="4"/>
  <c r="AI17" i="7"/>
  <c r="AK17" i="7"/>
  <c r="AJ17" i="7"/>
  <c r="AR561" i="4"/>
  <c r="AA37" i="7"/>
  <c r="AC37" i="7"/>
  <c r="AE37" i="7"/>
  <c r="AD652" i="4"/>
  <c r="AF652" i="4"/>
  <c r="AB652" i="4"/>
  <c r="AB37" i="7"/>
  <c r="AD37" i="7"/>
  <c r="AF37" i="7"/>
  <c r="BH134" i="7"/>
  <c r="AW134" i="7"/>
  <c r="AF450" i="4"/>
  <c r="AD450" i="4"/>
  <c r="AB450" i="4"/>
  <c r="AF560" i="4"/>
  <c r="AB560" i="4"/>
  <c r="AD560" i="4"/>
  <c r="BG128" i="7"/>
  <c r="AV128" i="7"/>
  <c r="BB541" i="4"/>
  <c r="AU541" i="4"/>
  <c r="AU54" i="7"/>
  <c r="BB54" i="7"/>
  <c r="BH40" i="7"/>
  <c r="AW40" i="7"/>
  <c r="AU40" i="7" s="1"/>
  <c r="AB641" i="4"/>
  <c r="AD641" i="4"/>
  <c r="AF641" i="4"/>
  <c r="AU59" i="7"/>
  <c r="BB59" i="7"/>
  <c r="AC91" i="7"/>
  <c r="AA91" i="7"/>
  <c r="AE91" i="7"/>
  <c r="BB124" i="7"/>
  <c r="Y75" i="7"/>
  <c r="AG75" i="7"/>
  <c r="AU149" i="7"/>
  <c r="BB149" i="7"/>
  <c r="Y165" i="7"/>
  <c r="AG165" i="7"/>
  <c r="BH193" i="7"/>
  <c r="AW193" i="7"/>
  <c r="BG147" i="7"/>
  <c r="AF460" i="4"/>
  <c r="AB460" i="4"/>
  <c r="AD460" i="4"/>
  <c r="AD35" i="7"/>
  <c r="AF35" i="7"/>
  <c r="AB35" i="7"/>
  <c r="AI147" i="7"/>
  <c r="AK147" i="7"/>
  <c r="AJ147" i="7"/>
  <c r="AU155" i="7"/>
  <c r="BB155" i="7"/>
  <c r="AI158" i="7"/>
  <c r="AJ158" i="7"/>
  <c r="AK158" i="7"/>
  <c r="AU182" i="7"/>
  <c r="BB182" i="7"/>
  <c r="AB151" i="7"/>
  <c r="AD151" i="7"/>
  <c r="AF151" i="7"/>
  <c r="AD190" i="7"/>
  <c r="AF190" i="7"/>
  <c r="AB190" i="7"/>
  <c r="AU231" i="7"/>
  <c r="BB231" i="7"/>
  <c r="AJ270" i="7"/>
  <c r="AK270" i="7"/>
  <c r="AI270" i="7"/>
  <c r="AF113" i="7"/>
  <c r="AD113" i="7"/>
  <c r="AB113" i="7"/>
  <c r="AU121" i="7"/>
  <c r="BB121" i="7"/>
  <c r="AG179" i="7"/>
  <c r="Y179" i="7"/>
  <c r="AU204" i="7"/>
  <c r="BB204" i="7"/>
  <c r="AD225" i="7"/>
  <c r="AF225" i="7"/>
  <c r="AB225" i="7"/>
  <c r="AK298" i="7"/>
  <c r="AI298" i="7"/>
  <c r="AJ298" i="7"/>
  <c r="Y185" i="7"/>
  <c r="AG185" i="7"/>
  <c r="AJ210" i="7"/>
  <c r="AK210" i="7"/>
  <c r="AI210" i="7"/>
  <c r="Y219" i="7"/>
  <c r="AG219" i="7"/>
  <c r="AG322" i="7"/>
  <c r="Y322" i="7"/>
  <c r="BB48" i="10"/>
  <c r="AU48" i="10"/>
  <c r="AD169" i="10"/>
  <c r="AF169" i="10"/>
  <c r="AB169" i="10"/>
  <c r="AB153" i="7"/>
  <c r="AD153" i="7"/>
  <c r="AF153" i="7"/>
  <c r="BG170" i="7"/>
  <c r="AV170" i="7"/>
  <c r="BG202" i="7"/>
  <c r="AV202" i="7"/>
  <c r="AG66" i="7"/>
  <c r="Y66" i="7"/>
  <c r="BG319" i="7"/>
  <c r="AC28" i="10"/>
  <c r="AE28" i="10"/>
  <c r="AA28" i="10"/>
  <c r="BH96" i="10"/>
  <c r="AW96" i="10"/>
  <c r="Y126" i="10"/>
  <c r="AG126" i="10"/>
  <c r="AU148" i="10"/>
  <c r="BB148" i="10"/>
  <c r="AU168" i="7"/>
  <c r="BB168" i="7"/>
  <c r="AJ223" i="7"/>
  <c r="AK223" i="7"/>
  <c r="AI223" i="7"/>
  <c r="BG322" i="7"/>
  <c r="AV322" i="7"/>
  <c r="AB59" i="10"/>
  <c r="AD59" i="10"/>
  <c r="AF59" i="10"/>
  <c r="AD196" i="7"/>
  <c r="AB196" i="7"/>
  <c r="AF196" i="7"/>
  <c r="BB246" i="7"/>
  <c r="AU246" i="7"/>
  <c r="AG268" i="7"/>
  <c r="Y268" i="7"/>
  <c r="BE53" i="10"/>
  <c r="AG160" i="10"/>
  <c r="Y160" i="10"/>
  <c r="AJ194" i="7"/>
  <c r="AK194" i="7"/>
  <c r="AI194" i="7"/>
  <c r="AI304" i="7"/>
  <c r="AJ304" i="7"/>
  <c r="AK304" i="7"/>
  <c r="BB330" i="7"/>
  <c r="AU330" i="7"/>
  <c r="AI18" i="10"/>
  <c r="AK18" i="10"/>
  <c r="AJ18" i="10"/>
  <c r="BB260" i="7"/>
  <c r="AU260" i="7"/>
  <c r="AA138" i="10"/>
  <c r="AC138" i="10"/>
  <c r="AE138" i="10"/>
  <c r="AD28" i="13"/>
  <c r="AF28" i="13"/>
  <c r="AB28" i="13"/>
  <c r="BG207" i="7"/>
  <c r="AU326" i="7"/>
  <c r="BB326" i="7"/>
  <c r="BB109" i="10"/>
  <c r="AU109" i="10"/>
  <c r="AG240" i="7"/>
  <c r="Y240" i="7"/>
  <c r="AI294" i="7"/>
  <c r="AJ294" i="7"/>
  <c r="AK294" i="7"/>
  <c r="AI116" i="10"/>
  <c r="AJ116" i="10"/>
  <c r="AK116" i="10"/>
  <c r="AG197" i="10"/>
  <c r="Y197" i="10"/>
  <c r="AJ28" i="13"/>
  <c r="AI28" i="13"/>
  <c r="AK28" i="13"/>
  <c r="I129" i="13"/>
  <c r="AI130" i="13"/>
  <c r="AJ130" i="13"/>
  <c r="AK130" i="13"/>
  <c r="AG236" i="7"/>
  <c r="Y236" i="7"/>
  <c r="AF248" i="7"/>
  <c r="AB248" i="7"/>
  <c r="AD248" i="7"/>
  <c r="AV317" i="7"/>
  <c r="BG317" i="7"/>
  <c r="AU50" i="10"/>
  <c r="BB50" i="10"/>
  <c r="Y55" i="10"/>
  <c r="AG55" i="10"/>
  <c r="AI99" i="10"/>
  <c r="AJ99" i="10"/>
  <c r="AK99" i="10"/>
  <c r="AI122" i="10"/>
  <c r="AJ122" i="10"/>
  <c r="AK122" i="10"/>
  <c r="AG144" i="10"/>
  <c r="Y144" i="10"/>
  <c r="AE180" i="10"/>
  <c r="AA180" i="10"/>
  <c r="AC180" i="10"/>
  <c r="AF21" i="13"/>
  <c r="AB21" i="13"/>
  <c r="AD21" i="13"/>
  <c r="AA52" i="13"/>
  <c r="AC52" i="13"/>
  <c r="AE52" i="13"/>
  <c r="AB100" i="13"/>
  <c r="AF100" i="13"/>
  <c r="AD100" i="13"/>
  <c r="AS13" i="16"/>
  <c r="AI31" i="16"/>
  <c r="AJ31" i="16"/>
  <c r="AK31" i="16"/>
  <c r="AW14" i="19"/>
  <c r="Y187" i="7"/>
  <c r="AG187" i="7"/>
  <c r="AB190" i="10"/>
  <c r="AF190" i="10"/>
  <c r="AD190" i="10"/>
  <c r="AB165" i="10"/>
  <c r="AD165" i="10"/>
  <c r="AF165" i="10"/>
  <c r="AU96" i="13"/>
  <c r="BB96" i="13"/>
  <c r="BB104" i="13"/>
  <c r="AU104" i="13"/>
  <c r="AI115" i="13"/>
  <c r="AJ115" i="13"/>
  <c r="AK115" i="13"/>
  <c r="AI43" i="16"/>
  <c r="AJ43" i="16"/>
  <c r="AK43" i="16"/>
  <c r="I42" i="16"/>
  <c r="BB54" i="10"/>
  <c r="AU54" i="10"/>
  <c r="AA66" i="13"/>
  <c r="AC66" i="13"/>
  <c r="AE66" i="13"/>
  <c r="AD119" i="13"/>
  <c r="AF119" i="13"/>
  <c r="AB119" i="13"/>
  <c r="AB22" i="16"/>
  <c r="AI44" i="16"/>
  <c r="AJ44" i="16"/>
  <c r="AK44" i="16"/>
  <c r="AB67" i="16"/>
  <c r="AD67" i="16"/>
  <c r="AF67" i="16"/>
  <c r="Y31" i="16"/>
  <c r="AG31" i="16"/>
  <c r="AG261" i="7"/>
  <c r="Y261" i="7"/>
  <c r="I13" i="10"/>
  <c r="AE118" i="10"/>
  <c r="AA118" i="10"/>
  <c r="AC118" i="10"/>
  <c r="AI176" i="10"/>
  <c r="AJ176" i="10"/>
  <c r="AK176" i="10"/>
  <c r="BG208" i="10"/>
  <c r="AV208" i="10"/>
  <c r="AU53" i="13"/>
  <c r="BB53" i="13"/>
  <c r="AT13" i="16"/>
  <c r="AW31" i="16"/>
  <c r="BH44" i="16"/>
  <c r="AW44" i="16"/>
  <c r="AA313" i="7"/>
  <c r="AC313" i="7"/>
  <c r="AE313" i="7"/>
  <c r="BB71" i="10"/>
  <c r="AA75" i="13"/>
  <c r="AC75" i="13"/>
  <c r="AE75" i="13"/>
  <c r="AG19" i="16"/>
  <c r="Y19" i="16"/>
  <c r="AC30" i="16"/>
  <c r="AE30" i="16"/>
  <c r="AA30" i="16"/>
  <c r="BC16" i="19"/>
  <c r="BE43" i="10"/>
  <c r="AI135" i="13"/>
  <c r="AJ135" i="13"/>
  <c r="AK135" i="13"/>
  <c r="AE160" i="10"/>
  <c r="AA160" i="10"/>
  <c r="AC160" i="10"/>
  <c r="AG134" i="13"/>
  <c r="Y134" i="13"/>
  <c r="AW67" i="16"/>
  <c r="AE22" i="19"/>
  <c r="AC22" i="19"/>
  <c r="AG22" i="19"/>
  <c r="AB16" i="19"/>
  <c r="AD16" i="19"/>
  <c r="AF16" i="19"/>
  <c r="AE484" i="4"/>
  <c r="AA484" i="4"/>
  <c r="AC484" i="4"/>
  <c r="AU15" i="7"/>
  <c r="BB15" i="7"/>
  <c r="BB27" i="7"/>
  <c r="AU27" i="7"/>
  <c r="AG108" i="7"/>
  <c r="Y108" i="7"/>
  <c r="AB63" i="7"/>
  <c r="AF63" i="7"/>
  <c r="AD63" i="7"/>
  <c r="BB139" i="7"/>
  <c r="AU139" i="7"/>
  <c r="AC48" i="7"/>
  <c r="AE48" i="7"/>
  <c r="AA48" i="7"/>
  <c r="AJ182" i="7"/>
  <c r="AK182" i="7"/>
  <c r="AI182" i="7"/>
  <c r="AJ237" i="7"/>
  <c r="AK237" i="7"/>
  <c r="AI237" i="7"/>
  <c r="BH181" i="7"/>
  <c r="AW181" i="7"/>
  <c r="AK284" i="7"/>
  <c r="AI284" i="7"/>
  <c r="AJ284" i="7"/>
  <c r="BH87" i="10"/>
  <c r="AW87" i="10"/>
  <c r="AU87" i="10" s="1"/>
  <c r="AD202" i="7"/>
  <c r="AB202" i="7"/>
  <c r="AF202" i="7"/>
  <c r="AJ155" i="10"/>
  <c r="AK155" i="10"/>
  <c r="AI155" i="10"/>
  <c r="AJ168" i="7"/>
  <c r="AK168" i="7"/>
  <c r="AI168" i="7"/>
  <c r="AA274" i="7"/>
  <c r="AC274" i="7"/>
  <c r="AE274" i="7"/>
  <c r="AU105" i="10"/>
  <c r="BB105" i="10"/>
  <c r="AI330" i="7"/>
  <c r="AJ330" i="7"/>
  <c r="AK330" i="7"/>
  <c r="AA18" i="10"/>
  <c r="AC18" i="10"/>
  <c r="AE18" i="10"/>
  <c r="BH294" i="7"/>
  <c r="AW294" i="7"/>
  <c r="AK55" i="10"/>
  <c r="AI55" i="10"/>
  <c r="AJ55" i="10"/>
  <c r="AU39" i="16"/>
  <c r="BB39" i="16"/>
  <c r="AI21" i="13"/>
  <c r="AJ21" i="13"/>
  <c r="AK21" i="13"/>
  <c r="BG33" i="16"/>
  <c r="AV33" i="16"/>
  <c r="AB43" i="10"/>
  <c r="AD43" i="10"/>
  <c r="AF43" i="10"/>
  <c r="AG110" i="13"/>
  <c r="Y110" i="13"/>
  <c r="C29" i="1"/>
  <c r="F29" i="1" s="1"/>
  <c r="AR39" i="4"/>
  <c r="AA207" i="4"/>
  <c r="AC207" i="4"/>
  <c r="AE207" i="4"/>
  <c r="AA181" i="4"/>
  <c r="AE181" i="4"/>
  <c r="AC181" i="4"/>
  <c r="AE59" i="4"/>
  <c r="AA59" i="4"/>
  <c r="AC59" i="4"/>
  <c r="AB129" i="4"/>
  <c r="AD129" i="4"/>
  <c r="AF129" i="4"/>
  <c r="AA202" i="4"/>
  <c r="AC202" i="4"/>
  <c r="AE202" i="4"/>
  <c r="AB261" i="4"/>
  <c r="AF261" i="4"/>
  <c r="AD261" i="4"/>
  <c r="AF168" i="4"/>
  <c r="AB168" i="4"/>
  <c r="AD168" i="4"/>
  <c r="AF188" i="4"/>
  <c r="AB188" i="4"/>
  <c r="AD188" i="4"/>
  <c r="AF194" i="4"/>
  <c r="AB194" i="4"/>
  <c r="AD194" i="4"/>
  <c r="AU184" i="4"/>
  <c r="BB184" i="4"/>
  <c r="AD246" i="4"/>
  <c r="AF246" i="4"/>
  <c r="AB246" i="4"/>
  <c r="AF190" i="4"/>
  <c r="AB190" i="4"/>
  <c r="AD190" i="4"/>
  <c r="AD254" i="4"/>
  <c r="AB254" i="4"/>
  <c r="AF254" i="4"/>
  <c r="AA297" i="4"/>
  <c r="AC297" i="4"/>
  <c r="AE297" i="4"/>
  <c r="AU191" i="4"/>
  <c r="BB191" i="4"/>
  <c r="AA171" i="4"/>
  <c r="AC171" i="4"/>
  <c r="AE171" i="4"/>
  <c r="BB147" i="4"/>
  <c r="AU147" i="4"/>
  <c r="AR397" i="4"/>
  <c r="AB394" i="4"/>
  <c r="AD394" i="4"/>
  <c r="AF394" i="4"/>
  <c r="AF476" i="4"/>
  <c r="AB476" i="4"/>
  <c r="AD476" i="4"/>
  <c r="AE555" i="4"/>
  <c r="AA555" i="4"/>
  <c r="AC555" i="4"/>
  <c r="AF486" i="4"/>
  <c r="AD486" i="4"/>
  <c r="AB486" i="4"/>
  <c r="AB516" i="4"/>
  <c r="AD516" i="4"/>
  <c r="AF516" i="4"/>
  <c r="AA685" i="4"/>
  <c r="AC685" i="4"/>
  <c r="AE685" i="4"/>
  <c r="AA369" i="4"/>
  <c r="AE369" i="4"/>
  <c r="AC369" i="4"/>
  <c r="AF472" i="4"/>
  <c r="AD472" i="4"/>
  <c r="AB472" i="4"/>
  <c r="AU484" i="4"/>
  <c r="BB484" i="4"/>
  <c r="AC212" i="4"/>
  <c r="AE212" i="4"/>
  <c r="AA212" i="4"/>
  <c r="AU471" i="4"/>
  <c r="BB471" i="4"/>
  <c r="AF432" i="4"/>
  <c r="AB432" i="4"/>
  <c r="AD432" i="4"/>
  <c r="AU589" i="4"/>
  <c r="BB589" i="4"/>
  <c r="AF576" i="4"/>
  <c r="AD576" i="4"/>
  <c r="AB576" i="4"/>
  <c r="BB24" i="7"/>
  <c r="AU24" i="7"/>
  <c r="BB588" i="4"/>
  <c r="AU588" i="4"/>
  <c r="AU635" i="4"/>
  <c r="BB635" i="4"/>
  <c r="BG61" i="7"/>
  <c r="AV61" i="7"/>
  <c r="BB655" i="4"/>
  <c r="AU655" i="4"/>
  <c r="AI27" i="7"/>
  <c r="AK27" i="7"/>
  <c r="AJ27" i="7"/>
  <c r="AF48" i="7"/>
  <c r="AB48" i="7"/>
  <c r="AD48" i="7"/>
  <c r="AB68" i="7"/>
  <c r="AD68" i="7"/>
  <c r="AF68" i="7"/>
  <c r="BB46" i="7"/>
  <c r="AU46" i="7"/>
  <c r="AA622" i="4"/>
  <c r="AC622" i="4"/>
  <c r="AE622" i="4"/>
  <c r="AI59" i="7"/>
  <c r="AJ59" i="7"/>
  <c r="AK59" i="7"/>
  <c r="Y149" i="7"/>
  <c r="AG149" i="7"/>
  <c r="AF146" i="7"/>
  <c r="AD146" i="7"/>
  <c r="AB146" i="7"/>
  <c r="AW202" i="7"/>
  <c r="AB137" i="7"/>
  <c r="AF137" i="7"/>
  <c r="AD137" i="7"/>
  <c r="AB75" i="7"/>
  <c r="AD75" i="7"/>
  <c r="AF75" i="7"/>
  <c r="BG166" i="7"/>
  <c r="AV166" i="7"/>
  <c r="I34" i="7"/>
  <c r="AJ35" i="7"/>
  <c r="AS34" i="7" s="1"/>
  <c r="AK35" i="7"/>
  <c r="AT34" i="7" s="1"/>
  <c r="AI35" i="7"/>
  <c r="AR34" i="7" s="1"/>
  <c r="AJ155" i="7"/>
  <c r="AI155" i="7"/>
  <c r="AK155" i="7"/>
  <c r="AU171" i="7"/>
  <c r="BB171" i="7"/>
  <c r="AU197" i="7"/>
  <c r="BB197" i="7"/>
  <c r="AU141" i="7"/>
  <c r="BB141" i="7"/>
  <c r="AC151" i="7"/>
  <c r="AA151" i="7"/>
  <c r="AE151" i="7"/>
  <c r="BH212" i="7"/>
  <c r="AW212" i="7"/>
  <c r="AJ256" i="7"/>
  <c r="AK256" i="7"/>
  <c r="AI256" i="7"/>
  <c r="AU270" i="7"/>
  <c r="BB270" i="7"/>
  <c r="I299" i="7"/>
  <c r="AI300" i="7"/>
  <c r="AJ300" i="7"/>
  <c r="AK300" i="7"/>
  <c r="AU634" i="4"/>
  <c r="BB634" i="4"/>
  <c r="BB137" i="7"/>
  <c r="AU137" i="7"/>
  <c r="BG181" i="7"/>
  <c r="AV181" i="7"/>
  <c r="AG204" i="7"/>
  <c r="Y204" i="7"/>
  <c r="BG228" i="7"/>
  <c r="AV228" i="7"/>
  <c r="AU298" i="7"/>
  <c r="BB298" i="7"/>
  <c r="AU327" i="7"/>
  <c r="BB327" i="7"/>
  <c r="AB185" i="7"/>
  <c r="AF185" i="7"/>
  <c r="AD185" i="7"/>
  <c r="AI229" i="7"/>
  <c r="AJ229" i="7"/>
  <c r="AK229" i="7"/>
  <c r="I227" i="7"/>
  <c r="AI75" i="10"/>
  <c r="AJ75" i="10"/>
  <c r="AK75" i="10"/>
  <c r="AA229" i="7"/>
  <c r="AC229" i="7"/>
  <c r="AE229" i="7"/>
  <c r="AU305" i="7"/>
  <c r="BB305" i="7"/>
  <c r="BG329" i="7"/>
  <c r="AV329" i="7"/>
  <c r="AD94" i="10"/>
  <c r="AF94" i="10"/>
  <c r="AB94" i="10"/>
  <c r="BE48" i="10"/>
  <c r="AF66" i="7"/>
  <c r="AD66" i="7"/>
  <c r="AB66" i="7"/>
  <c r="AF160" i="7"/>
  <c r="AB160" i="7"/>
  <c r="AD160" i="7"/>
  <c r="BB209" i="7"/>
  <c r="AV324" i="7"/>
  <c r="Y105" i="10"/>
  <c r="AG105" i="10"/>
  <c r="Y133" i="10"/>
  <c r="AG133" i="10"/>
  <c r="AW234" i="7"/>
  <c r="AA39" i="10"/>
  <c r="AC39" i="10"/>
  <c r="AE39" i="10"/>
  <c r="AI77" i="10"/>
  <c r="AJ77" i="10"/>
  <c r="AK77" i="10"/>
  <c r="BE135" i="10"/>
  <c r="AW169" i="10"/>
  <c r="AF268" i="7"/>
  <c r="AB268" i="7"/>
  <c r="AD268" i="7"/>
  <c r="AB39" i="10"/>
  <c r="AD39" i="10"/>
  <c r="AF39" i="10"/>
  <c r="AI53" i="10"/>
  <c r="AK53" i="10"/>
  <c r="I52" i="10"/>
  <c r="AJ53" i="10"/>
  <c r="AW81" i="10"/>
  <c r="AU81" i="10" s="1"/>
  <c r="AF194" i="7"/>
  <c r="AB194" i="7"/>
  <c r="AD194" i="7"/>
  <c r="AI205" i="7"/>
  <c r="AJ205" i="7"/>
  <c r="AK205" i="7"/>
  <c r="AE276" i="7"/>
  <c r="AA276" i="7"/>
  <c r="AC276" i="7"/>
  <c r="AW304" i="7"/>
  <c r="AU304" i="7" s="1"/>
  <c r="AV311" i="7"/>
  <c r="AA114" i="10"/>
  <c r="AC114" i="10"/>
  <c r="AE114" i="10"/>
  <c r="AU202" i="10"/>
  <c r="BB202" i="10"/>
  <c r="AG178" i="7"/>
  <c r="Y178" i="7"/>
  <c r="BH114" i="10"/>
  <c r="AW114" i="10"/>
  <c r="AV187" i="10"/>
  <c r="AD58" i="13"/>
  <c r="AF58" i="13"/>
  <c r="AB58" i="13"/>
  <c r="AG326" i="7"/>
  <c r="Y326" i="7"/>
  <c r="AE124" i="10"/>
  <c r="AA124" i="10"/>
  <c r="AC124" i="10"/>
  <c r="Y214" i="7"/>
  <c r="AG214" i="7"/>
  <c r="AB274" i="7"/>
  <c r="AF274" i="7"/>
  <c r="AD274" i="7"/>
  <c r="BG294" i="7"/>
  <c r="AV294" i="7"/>
  <c r="AI93" i="10"/>
  <c r="AJ93" i="10"/>
  <c r="AK93" i="10"/>
  <c r="AU136" i="10"/>
  <c r="AI204" i="10"/>
  <c r="AJ204" i="10"/>
  <c r="AK204" i="10"/>
  <c r="Y36" i="13"/>
  <c r="AG36" i="13"/>
  <c r="AI97" i="13"/>
  <c r="AJ97" i="13"/>
  <c r="AK97" i="13"/>
  <c r="AI136" i="13"/>
  <c r="AJ136" i="13"/>
  <c r="AK136" i="13"/>
  <c r="AF236" i="7"/>
  <c r="AB236" i="7"/>
  <c r="AD236" i="7"/>
  <c r="AE242" i="7"/>
  <c r="AA242" i="7"/>
  <c r="AC242" i="7"/>
  <c r="AE50" i="10"/>
  <c r="AA50" i="10"/>
  <c r="AC50" i="10"/>
  <c r="BH55" i="10"/>
  <c r="AW55" i="10"/>
  <c r="BB103" i="10"/>
  <c r="AI140" i="10"/>
  <c r="AJ140" i="10"/>
  <c r="AK140" i="10"/>
  <c r="AK107" i="13"/>
  <c r="AI107" i="13"/>
  <c r="AJ107" i="13"/>
  <c r="BB205" i="10"/>
  <c r="BE52" i="13"/>
  <c r="Y103" i="13"/>
  <c r="AG103" i="13"/>
  <c r="I21" i="16"/>
  <c r="AI22" i="16"/>
  <c r="AK22" i="16"/>
  <c r="AJ22" i="16"/>
  <c r="AI38" i="16"/>
  <c r="AJ38" i="16"/>
  <c r="AK38" i="16"/>
  <c r="I37" i="16"/>
  <c r="BB118" i="13"/>
  <c r="AU118" i="13"/>
  <c r="BH187" i="7"/>
  <c r="AW187" i="7"/>
  <c r="AJ39" i="16"/>
  <c r="AI39" i="16"/>
  <c r="AK39" i="16"/>
  <c r="AV77" i="10"/>
  <c r="BG77" i="10"/>
  <c r="AU153" i="10"/>
  <c r="BB153" i="10"/>
  <c r="Y20" i="13"/>
  <c r="AG20" i="13"/>
  <c r="BB52" i="13"/>
  <c r="AU52" i="13"/>
  <c r="AI73" i="13"/>
  <c r="AJ73" i="13"/>
  <c r="AK73" i="13"/>
  <c r="AG96" i="13"/>
  <c r="Y96" i="13"/>
  <c r="BH109" i="13"/>
  <c r="AW109" i="13"/>
  <c r="AC14" i="16"/>
  <c r="AE14" i="16"/>
  <c r="AA14" i="16"/>
  <c r="Y191" i="10"/>
  <c r="AG191" i="10"/>
  <c r="Y61" i="10"/>
  <c r="AG61" i="10"/>
  <c r="AG208" i="10"/>
  <c r="Y208" i="10"/>
  <c r="AL19" i="19"/>
  <c r="AJ19" i="19"/>
  <c r="C25" i="17" s="1"/>
  <c r="AK19" i="19"/>
  <c r="AC58" i="13"/>
  <c r="AE58" i="13"/>
  <c r="AA58" i="13"/>
  <c r="BG113" i="13"/>
  <c r="Y38" i="16"/>
  <c r="AG38" i="16"/>
  <c r="BH72" i="13"/>
  <c r="AW72" i="13"/>
  <c r="AF261" i="7"/>
  <c r="AB261" i="7"/>
  <c r="AD261" i="7"/>
  <c r="AA24" i="10"/>
  <c r="AC24" i="10"/>
  <c r="AE24" i="10"/>
  <c r="BH130" i="10"/>
  <c r="BG176" i="10"/>
  <c r="AV176" i="10"/>
  <c r="AG53" i="13"/>
  <c r="Y53" i="13"/>
  <c r="AI36" i="10"/>
  <c r="AK36" i="10"/>
  <c r="AJ36" i="10"/>
  <c r="BB157" i="10"/>
  <c r="BG48" i="13"/>
  <c r="AV48" i="13"/>
  <c r="BE75" i="13"/>
  <c r="AI24" i="16"/>
  <c r="AJ24" i="16"/>
  <c r="AK24" i="16"/>
  <c r="AU60" i="16"/>
  <c r="BB60" i="16"/>
  <c r="AX23" i="19"/>
  <c r="BI23" i="19"/>
  <c r="AI43" i="10"/>
  <c r="AK43" i="10"/>
  <c r="AJ43" i="10"/>
  <c r="I42" i="10"/>
  <c r="AA38" i="16"/>
  <c r="AC38" i="16"/>
  <c r="AE38" i="16"/>
  <c r="AU255" i="7"/>
  <c r="BB255" i="7"/>
  <c r="AV67" i="10"/>
  <c r="BE25" i="13"/>
  <c r="AG88" i="13"/>
  <c r="Y88" i="13"/>
  <c r="AE119" i="13"/>
  <c r="AA119" i="13"/>
  <c r="AC119" i="13"/>
  <c r="AG156" i="7"/>
  <c r="Y156" i="7"/>
  <c r="BB35" i="4"/>
  <c r="AU35" i="4"/>
  <c r="AF179" i="4"/>
  <c r="AB179" i="4"/>
  <c r="AD179" i="4"/>
  <c r="AD263" i="4"/>
  <c r="AF263" i="4"/>
  <c r="AB263" i="4"/>
  <c r="AE311" i="4"/>
  <c r="AA311" i="4"/>
  <c r="AC311" i="4"/>
  <c r="AE471" i="4"/>
  <c r="AA471" i="4"/>
  <c r="AC471" i="4"/>
  <c r="AF482" i="4"/>
  <c r="AB482" i="4"/>
  <c r="AD482" i="4"/>
  <c r="AC46" i="7"/>
  <c r="AE46" i="7"/>
  <c r="AA46" i="7"/>
  <c r="BH59" i="7"/>
  <c r="AB204" i="7"/>
  <c r="AF204" i="7"/>
  <c r="AD204" i="7"/>
  <c r="AU251" i="7"/>
  <c r="BB251" i="7"/>
  <c r="BB75" i="10"/>
  <c r="AU75" i="10"/>
  <c r="BB66" i="7"/>
  <c r="AU66" i="7"/>
  <c r="AE59" i="10"/>
  <c r="AA59" i="10"/>
  <c r="AC59" i="10"/>
  <c r="AU119" i="10"/>
  <c r="BB119" i="10"/>
  <c r="BB234" i="7"/>
  <c r="AU234" i="7"/>
  <c r="AD39" i="13"/>
  <c r="AF39" i="13"/>
  <c r="AB39" i="13"/>
  <c r="AI326" i="7"/>
  <c r="AJ326" i="7"/>
  <c r="AS321" i="7" s="1"/>
  <c r="AK326" i="7"/>
  <c r="AI109" i="10"/>
  <c r="AJ109" i="10"/>
  <c r="AK109" i="10"/>
  <c r="BB152" i="10"/>
  <c r="AU152" i="10"/>
  <c r="AV18" i="19"/>
  <c r="BC18" i="19"/>
  <c r="AU30" i="16"/>
  <c r="BB30" i="16"/>
  <c r="AU118" i="10"/>
  <c r="BB118" i="10"/>
  <c r="I66" i="10"/>
  <c r="AJ67" i="10"/>
  <c r="AS66" i="10" s="1"/>
  <c r="AI67" i="10"/>
  <c r="AR66" i="10" s="1"/>
  <c r="AK67" i="10"/>
  <c r="AT66" i="10" s="1"/>
  <c r="C27" i="1"/>
  <c r="AB89" i="4"/>
  <c r="AF89" i="4"/>
  <c r="AD89" i="4"/>
  <c r="AF175" i="4"/>
  <c r="AB175" i="4"/>
  <c r="AD175" i="4"/>
  <c r="AA210" i="4"/>
  <c r="AC210" i="4"/>
  <c r="AE210" i="4"/>
  <c r="AA188" i="4"/>
  <c r="AE188" i="4"/>
  <c r="AC188" i="4"/>
  <c r="BB59" i="4"/>
  <c r="AU59" i="4"/>
  <c r="AA168" i="4"/>
  <c r="AC168" i="4"/>
  <c r="AE168" i="4"/>
  <c r="AU202" i="4"/>
  <c r="BB202" i="4"/>
  <c r="AU188" i="4"/>
  <c r="BB188" i="4"/>
  <c r="AB239" i="4"/>
  <c r="AD239" i="4"/>
  <c r="AF239" i="4"/>
  <c r="AU194" i="4"/>
  <c r="BB194" i="4"/>
  <c r="AU266" i="4"/>
  <c r="BB266" i="4"/>
  <c r="AA196" i="4"/>
  <c r="AC196" i="4"/>
  <c r="AE196" i="4"/>
  <c r="AU309" i="4"/>
  <c r="BB309" i="4"/>
  <c r="I331" i="4"/>
  <c r="K13" i="3" s="1"/>
  <c r="AA182" i="4"/>
  <c r="AC182" i="4"/>
  <c r="AE182" i="4"/>
  <c r="AU246" i="4"/>
  <c r="AU171" i="4"/>
  <c r="BB171" i="4"/>
  <c r="AE329" i="4"/>
  <c r="AC329" i="4"/>
  <c r="AA329" i="4"/>
  <c r="AB253" i="4"/>
  <c r="AD253" i="4"/>
  <c r="AF253" i="4"/>
  <c r="AE477" i="4"/>
  <c r="AA477" i="4"/>
  <c r="AC477" i="4"/>
  <c r="BB253" i="4"/>
  <c r="AE514" i="4"/>
  <c r="AA514" i="4"/>
  <c r="AC514" i="4"/>
  <c r="AR610" i="4"/>
  <c r="BB369" i="4"/>
  <c r="AU369" i="4"/>
  <c r="BB212" i="4"/>
  <c r="AU212" i="4"/>
  <c r="AA509" i="4"/>
  <c r="AC509" i="4"/>
  <c r="AE509" i="4"/>
  <c r="BB432" i="4"/>
  <c r="AU432" i="4"/>
  <c r="AV32" i="7"/>
  <c r="AI16" i="7"/>
  <c r="AK16" i="7"/>
  <c r="AJ16" i="7"/>
  <c r="AD687" i="4"/>
  <c r="AF687" i="4"/>
  <c r="AB687" i="4"/>
  <c r="BB680" i="4"/>
  <c r="BB63" i="7"/>
  <c r="AU63" i="7"/>
  <c r="AC655" i="4"/>
  <c r="AE655" i="4"/>
  <c r="AA655" i="4"/>
  <c r="AI46" i="7"/>
  <c r="AJ46" i="7"/>
  <c r="AK46" i="7"/>
  <c r="AE474" i="4"/>
  <c r="AA474" i="4"/>
  <c r="AC474" i="4"/>
  <c r="AU89" i="7"/>
  <c r="BB89" i="7"/>
  <c r="AI68" i="7"/>
  <c r="AJ68" i="7"/>
  <c r="AK68" i="7"/>
  <c r="BH116" i="7"/>
  <c r="AW116" i="7"/>
  <c r="BB622" i="4"/>
  <c r="AU622" i="4"/>
  <c r="AF510" i="4"/>
  <c r="AB510" i="4"/>
  <c r="AD510" i="4"/>
  <c r="AU91" i="7"/>
  <c r="BB91" i="7"/>
  <c r="AK105" i="7"/>
  <c r="AI105" i="7"/>
  <c r="AJ105" i="7"/>
  <c r="AC137" i="7"/>
  <c r="AA137" i="7"/>
  <c r="AE137" i="7"/>
  <c r="AB197" i="7"/>
  <c r="AF197" i="7"/>
  <c r="AD197" i="7"/>
  <c r="Y30" i="7"/>
  <c r="AG30" i="7"/>
  <c r="AG155" i="7"/>
  <c r="Y155" i="7"/>
  <c r="AK171" i="7"/>
  <c r="AJ171" i="7"/>
  <c r="AI171" i="7"/>
  <c r="AK197" i="7"/>
  <c r="AJ197" i="7"/>
  <c r="AI197" i="7"/>
  <c r="AC674" i="4"/>
  <c r="AA674" i="4"/>
  <c r="AE674" i="4"/>
  <c r="AA67" i="7"/>
  <c r="AE67" i="7"/>
  <c r="AC67" i="7"/>
  <c r="AK141" i="7"/>
  <c r="AI141" i="7"/>
  <c r="AJ141" i="7"/>
  <c r="BG212" i="7"/>
  <c r="AV212" i="7"/>
  <c r="AU237" i="7"/>
  <c r="BB237" i="7"/>
  <c r="AG14" i="7"/>
  <c r="Y14" i="7"/>
  <c r="AU113" i="7"/>
  <c r="BB113" i="7"/>
  <c r="AU143" i="7"/>
  <c r="BB143" i="7"/>
  <c r="AI209" i="7"/>
  <c r="AJ209" i="7"/>
  <c r="AK209" i="7"/>
  <c r="Y228" i="7"/>
  <c r="AG228" i="7"/>
  <c r="AU284" i="7"/>
  <c r="BB284" i="7"/>
  <c r="BE300" i="7"/>
  <c r="AC51" i="7"/>
  <c r="AE51" i="7"/>
  <c r="AA51" i="7"/>
  <c r="AE185" i="7"/>
  <c r="AA185" i="7"/>
  <c r="AC185" i="7"/>
  <c r="AF219" i="7"/>
  <c r="AB219" i="7"/>
  <c r="AD219" i="7"/>
  <c r="AI24" i="10"/>
  <c r="AJ24" i="10"/>
  <c r="AK24" i="10"/>
  <c r="AG80" i="10"/>
  <c r="Y80" i="10"/>
  <c r="AI305" i="7"/>
  <c r="AJ305" i="7"/>
  <c r="AK305" i="7"/>
  <c r="AD135" i="10"/>
  <c r="AF135" i="10"/>
  <c r="AB135" i="10"/>
  <c r="AG153" i="7"/>
  <c r="Y153" i="7"/>
  <c r="I65" i="7"/>
  <c r="AI66" i="7"/>
  <c r="AJ66" i="7"/>
  <c r="AK66" i="7"/>
  <c r="BB216" i="7"/>
  <c r="BE280" i="7"/>
  <c r="AU40" i="10"/>
  <c r="BB40" i="10"/>
  <c r="AI87" i="10"/>
  <c r="AJ87" i="10"/>
  <c r="AK87" i="10"/>
  <c r="I134" i="10"/>
  <c r="AI135" i="10"/>
  <c r="AJ135" i="10"/>
  <c r="AK135" i="10"/>
  <c r="AI162" i="10"/>
  <c r="AJ162" i="10"/>
  <c r="AK162" i="10"/>
  <c r="AF168" i="7"/>
  <c r="AB168" i="7"/>
  <c r="AD168" i="7"/>
  <c r="AK113" i="10"/>
  <c r="AI113" i="10"/>
  <c r="AJ113" i="10"/>
  <c r="AK126" i="10"/>
  <c r="AI126" i="10"/>
  <c r="AJ126" i="10"/>
  <c r="AW135" i="10"/>
  <c r="AU99" i="7"/>
  <c r="BB99" i="7"/>
  <c r="AE268" i="7"/>
  <c r="AA268" i="7"/>
  <c r="AC268" i="7"/>
  <c r="AU39" i="10"/>
  <c r="BB39" i="10"/>
  <c r="BG107" i="10"/>
  <c r="AU195" i="10"/>
  <c r="BB195" i="10"/>
  <c r="AA194" i="7"/>
  <c r="AE194" i="7"/>
  <c r="AC194" i="7"/>
  <c r="AI311" i="7"/>
  <c r="AJ311" i="7"/>
  <c r="AK311" i="7"/>
  <c r="BG40" i="10"/>
  <c r="BG91" i="10"/>
  <c r="BG165" i="10"/>
  <c r="AK202" i="10"/>
  <c r="AI202" i="10"/>
  <c r="AJ202" i="10"/>
  <c r="BE102" i="10"/>
  <c r="BB114" i="10"/>
  <c r="AU114" i="10"/>
  <c r="AC155" i="10"/>
  <c r="AE155" i="10"/>
  <c r="AA155" i="10"/>
  <c r="AJ178" i="10"/>
  <c r="AK178" i="10"/>
  <c r="AI178" i="10"/>
  <c r="I186" i="10"/>
  <c r="AJ187" i="10"/>
  <c r="AK187" i="10"/>
  <c r="AI187" i="10"/>
  <c r="AD97" i="13"/>
  <c r="AF97" i="13"/>
  <c r="AB97" i="13"/>
  <c r="Y207" i="7"/>
  <c r="AG207" i="7"/>
  <c r="BE86" i="10"/>
  <c r="BG128" i="10"/>
  <c r="BB274" i="7"/>
  <c r="AU274" i="7"/>
  <c r="AV31" i="10"/>
  <c r="BG31" i="10"/>
  <c r="AG93" i="10"/>
  <c r="Y93" i="10"/>
  <c r="Y121" i="10"/>
  <c r="AG121" i="10"/>
  <c r="AG138" i="10"/>
  <c r="Y138" i="10"/>
  <c r="AU167" i="10"/>
  <c r="BB167" i="10"/>
  <c r="I38" i="13"/>
  <c r="AI39" i="13"/>
  <c r="AR38" i="13" s="1"/>
  <c r="AJ39" i="13"/>
  <c r="AS38" i="13" s="1"/>
  <c r="AK39" i="13"/>
  <c r="AT38" i="13" s="1"/>
  <c r="AE236" i="7"/>
  <c r="AA236" i="7"/>
  <c r="AC236" i="7"/>
  <c r="AJ50" i="10"/>
  <c r="AK50" i="10"/>
  <c r="AI50" i="10"/>
  <c r="BB59" i="10"/>
  <c r="AU59" i="10"/>
  <c r="Y128" i="10"/>
  <c r="AG128" i="10"/>
  <c r="AG140" i="10"/>
  <c r="Y140" i="10"/>
  <c r="AA158" i="10"/>
  <c r="AC158" i="10"/>
  <c r="AE158" i="10"/>
  <c r="AU36" i="13"/>
  <c r="BB36" i="13"/>
  <c r="AU128" i="13"/>
  <c r="BB128" i="13"/>
  <c r="AG130" i="10"/>
  <c r="Y130" i="10"/>
  <c r="AB66" i="13"/>
  <c r="AF66" i="13"/>
  <c r="AD66" i="13"/>
  <c r="BB22" i="16"/>
  <c r="AU22" i="16"/>
  <c r="I117" i="13"/>
  <c r="AI118" i="13"/>
  <c r="AR117" i="13" s="1"/>
  <c r="AJ118" i="13"/>
  <c r="AS117" i="13" s="1"/>
  <c r="AK118" i="13"/>
  <c r="AT117" i="13" s="1"/>
  <c r="BG187" i="7"/>
  <c r="AV187" i="7"/>
  <c r="AU190" i="10"/>
  <c r="BB190" i="10"/>
  <c r="AU19" i="16"/>
  <c r="BB19" i="16"/>
  <c r="BH77" i="10"/>
  <c r="AW77" i="10"/>
  <c r="AI153" i="10"/>
  <c r="AJ153" i="10"/>
  <c r="AK153" i="10"/>
  <c r="AE22" i="13"/>
  <c r="AA22" i="13"/>
  <c r="AC22" i="13"/>
  <c r="BH82" i="13"/>
  <c r="AW82" i="13"/>
  <c r="BG109" i="13"/>
  <c r="AV109" i="13"/>
  <c r="BE122" i="13"/>
  <c r="AW14" i="16"/>
  <c r="AA35" i="16"/>
  <c r="AE35" i="16"/>
  <c r="AC35" i="16"/>
  <c r="Y57" i="16"/>
  <c r="AG57" i="16"/>
  <c r="AG18" i="19"/>
  <c r="AC18" i="19"/>
  <c r="AE18" i="19"/>
  <c r="AI191" i="10"/>
  <c r="AJ191" i="10"/>
  <c r="AK191" i="10"/>
  <c r="AE111" i="10"/>
  <c r="AA111" i="10"/>
  <c r="AC111" i="10"/>
  <c r="AC136" i="13"/>
  <c r="AE136" i="13"/>
  <c r="AA136" i="13"/>
  <c r="AD29" i="16"/>
  <c r="AB29" i="16"/>
  <c r="AF29" i="16"/>
  <c r="C21" i="17"/>
  <c r="AF46" i="10"/>
  <c r="AD46" i="10"/>
  <c r="AB46" i="10"/>
  <c r="BG72" i="13"/>
  <c r="AV72" i="13"/>
  <c r="AE261" i="7"/>
  <c r="AA261" i="7"/>
  <c r="AC261" i="7"/>
  <c r="BB66" i="13"/>
  <c r="AU66" i="13"/>
  <c r="BB88" i="13"/>
  <c r="AU88" i="13"/>
  <c r="BG134" i="13"/>
  <c r="BB313" i="7"/>
  <c r="AU313" i="7"/>
  <c r="AD14" i="13"/>
  <c r="AF14" i="13"/>
  <c r="AB14" i="13"/>
  <c r="Y24" i="16"/>
  <c r="AG24" i="16"/>
  <c r="C20" i="14" s="1"/>
  <c r="BH62" i="16"/>
  <c r="AW62" i="16"/>
  <c r="AA43" i="10"/>
  <c r="AC43" i="10"/>
  <c r="AE43" i="10"/>
  <c r="AI255" i="7"/>
  <c r="AJ255" i="7"/>
  <c r="AK255" i="7"/>
  <c r="AG67" i="10"/>
  <c r="Y67" i="10"/>
  <c r="AU25" i="13"/>
  <c r="BB25" i="13"/>
  <c r="AC97" i="13"/>
  <c r="AE97" i="13"/>
  <c r="AA97" i="13"/>
  <c r="AC125" i="13"/>
  <c r="AE125" i="13"/>
  <c r="AA125" i="13"/>
  <c r="AB30" i="16"/>
  <c r="AD30" i="16"/>
  <c r="AF30" i="16"/>
  <c r="AA25" i="10"/>
  <c r="AC25" i="10"/>
  <c r="AE25" i="10"/>
  <c r="BB37" i="4"/>
  <c r="AU37" i="4"/>
  <c r="AB255" i="4"/>
  <c r="AF255" i="4"/>
  <c r="AD255" i="4"/>
  <c r="AA589" i="4"/>
  <c r="AC589" i="4"/>
  <c r="AE589" i="4"/>
  <c r="AC155" i="7"/>
  <c r="AA155" i="7"/>
  <c r="AE155" i="7"/>
  <c r="AU297" i="7"/>
  <c r="BB297" i="7"/>
  <c r="Y210" i="7"/>
  <c r="AG210" i="7"/>
  <c r="AF229" i="7"/>
  <c r="AB229" i="7"/>
  <c r="AD229" i="7"/>
  <c r="AD170" i="7"/>
  <c r="AB170" i="7"/>
  <c r="AF170" i="7"/>
  <c r="AG34" i="10"/>
  <c r="Y34" i="10"/>
  <c r="BE187" i="10"/>
  <c r="AE248" i="7"/>
  <c r="AA248" i="7"/>
  <c r="AC248" i="7"/>
  <c r="AG317" i="7"/>
  <c r="Y317" i="7"/>
  <c r="AG99" i="10"/>
  <c r="Y99" i="10"/>
  <c r="AK19" i="13"/>
  <c r="AJ19" i="13"/>
  <c r="AI19" i="13"/>
  <c r="AR13" i="13" s="1"/>
  <c r="AI103" i="13"/>
  <c r="AJ103" i="13"/>
  <c r="AK103" i="13"/>
  <c r="I102" i="13"/>
  <c r="BE95" i="13"/>
  <c r="AU24" i="16"/>
  <c r="BB24" i="16"/>
  <c r="AB156" i="7"/>
  <c r="AF156" i="7"/>
  <c r="AD156" i="7"/>
  <c r="AF22" i="4"/>
  <c r="AB22" i="4"/>
  <c r="AD22" i="4"/>
  <c r="AF128" i="4"/>
  <c r="AB128" i="4"/>
  <c r="AD128" i="4"/>
  <c r="AA178" i="4"/>
  <c r="AE178" i="4"/>
  <c r="AC178" i="4"/>
  <c r="AA194" i="4"/>
  <c r="AE194" i="4"/>
  <c r="AC194" i="4"/>
  <c r="BB168" i="4"/>
  <c r="AU168" i="4"/>
  <c r="AB237" i="4"/>
  <c r="AF237" i="4"/>
  <c r="AD237" i="4"/>
  <c r="AB268" i="4"/>
  <c r="AD268" i="4"/>
  <c r="AF268" i="4"/>
  <c r="AF197" i="4"/>
  <c r="AB197" i="4"/>
  <c r="AD197" i="4"/>
  <c r="AA170" i="4"/>
  <c r="AC170" i="4"/>
  <c r="AE170" i="4"/>
  <c r="AE223" i="4"/>
  <c r="AA223" i="4"/>
  <c r="AC223" i="4"/>
  <c r="AC209" i="4"/>
  <c r="AE209" i="4"/>
  <c r="AA209" i="4"/>
  <c r="BB258" i="4"/>
  <c r="AU258" i="4"/>
  <c r="AF184" i="4"/>
  <c r="AB184" i="4"/>
  <c r="AD184" i="4"/>
  <c r="AD251" i="4"/>
  <c r="AB251" i="4"/>
  <c r="AF251" i="4"/>
  <c r="AA266" i="4"/>
  <c r="AC266" i="4"/>
  <c r="AE266" i="4"/>
  <c r="AU196" i="4"/>
  <c r="BB196" i="4"/>
  <c r="AU313" i="4"/>
  <c r="BB313" i="4"/>
  <c r="AE307" i="4"/>
  <c r="AA307" i="4"/>
  <c r="AC307" i="4"/>
  <c r="BB182" i="4"/>
  <c r="AU182" i="4"/>
  <c r="AC205" i="4"/>
  <c r="AE205" i="4"/>
  <c r="AA205" i="4"/>
  <c r="AU329" i="4"/>
  <c r="BB329" i="4"/>
  <c r="AU465" i="4"/>
  <c r="BB465" i="4"/>
  <c r="AA298" i="4"/>
  <c r="AC298" i="4"/>
  <c r="AE298" i="4"/>
  <c r="AF452" i="4"/>
  <c r="AB452" i="4"/>
  <c r="AD452" i="4"/>
  <c r="AU251" i="4"/>
  <c r="AT492" i="4"/>
  <c r="BB560" i="4"/>
  <c r="AB396" i="4"/>
  <c r="AD396" i="4"/>
  <c r="AF396" i="4"/>
  <c r="AE322" i="4"/>
  <c r="AA322" i="4"/>
  <c r="AC322" i="4"/>
  <c r="AC467" i="4"/>
  <c r="AE467" i="4"/>
  <c r="AA467" i="4"/>
  <c r="AU552" i="4"/>
  <c r="BB229" i="4"/>
  <c r="AA378" i="4"/>
  <c r="AC378" i="4"/>
  <c r="AE378" i="4"/>
  <c r="BB509" i="4"/>
  <c r="AU509" i="4"/>
  <c r="BB626" i="4"/>
  <c r="AU626" i="4"/>
  <c r="AV16" i="7"/>
  <c r="BG16" i="7"/>
  <c r="AC684" i="4"/>
  <c r="AA684" i="4"/>
  <c r="AE684" i="4"/>
  <c r="AK63" i="7"/>
  <c r="AI63" i="7"/>
  <c r="AJ63" i="7"/>
  <c r="AC336" i="4"/>
  <c r="AE336" i="4"/>
  <c r="AA336" i="4"/>
  <c r="AI51" i="7"/>
  <c r="AJ51" i="7"/>
  <c r="AK51" i="7"/>
  <c r="AA672" i="4"/>
  <c r="AE672" i="4"/>
  <c r="AC672" i="4"/>
  <c r="AU474" i="4"/>
  <c r="BB474" i="4"/>
  <c r="AK89" i="7"/>
  <c r="AJ89" i="7"/>
  <c r="AS87" i="7" s="1"/>
  <c r="AI89" i="7"/>
  <c r="AR87" i="7" s="1"/>
  <c r="AV48" i="7"/>
  <c r="AC68" i="7"/>
  <c r="AE68" i="7"/>
  <c r="AA68" i="7"/>
  <c r="AG131" i="7"/>
  <c r="Y131" i="7"/>
  <c r="BG116" i="7"/>
  <c r="AV116" i="7"/>
  <c r="I90" i="7"/>
  <c r="AI91" i="7"/>
  <c r="AR90" i="7" s="1"/>
  <c r="AK91" i="7"/>
  <c r="AT90" i="7" s="1"/>
  <c r="AJ91" i="7"/>
  <c r="AS90" i="7" s="1"/>
  <c r="AU132" i="7"/>
  <c r="BB132" i="7"/>
  <c r="AG146" i="7"/>
  <c r="Y146" i="7"/>
  <c r="AJ75" i="7"/>
  <c r="AK75" i="7"/>
  <c r="AI75" i="7"/>
  <c r="AB171" i="7"/>
  <c r="AF171" i="7"/>
  <c r="AD171" i="7"/>
  <c r="Y200" i="7"/>
  <c r="AG200" i="7"/>
  <c r="AV30" i="7"/>
  <c r="BG30" i="7"/>
  <c r="BE35" i="7"/>
  <c r="AG171" i="7"/>
  <c r="Y171" i="7"/>
  <c r="AG197" i="7"/>
  <c r="Y197" i="7"/>
  <c r="AI282" i="7"/>
  <c r="AJ282" i="7"/>
  <c r="AK282" i="7"/>
  <c r="BB674" i="4"/>
  <c r="AU674" i="4"/>
  <c r="BH221" i="7"/>
  <c r="AW221" i="7"/>
  <c r="AJ243" i="7"/>
  <c r="AK243" i="7"/>
  <c r="AI243" i="7"/>
  <c r="AU256" i="7"/>
  <c r="BB256" i="7"/>
  <c r="AU300" i="7"/>
  <c r="BB300" i="7"/>
  <c r="AV14" i="7"/>
  <c r="BG14" i="7"/>
  <c r="AK113" i="7"/>
  <c r="AI113" i="7"/>
  <c r="AJ113" i="7"/>
  <c r="AE143" i="7"/>
  <c r="AA143" i="7"/>
  <c r="AC143" i="7"/>
  <c r="AG188" i="7"/>
  <c r="Y188" i="7"/>
  <c r="AD209" i="7"/>
  <c r="AF209" i="7"/>
  <c r="AB209" i="7"/>
  <c r="BB51" i="7"/>
  <c r="AU51" i="7"/>
  <c r="AF210" i="7"/>
  <c r="AB210" i="7"/>
  <c r="AD210" i="7"/>
  <c r="AE219" i="7"/>
  <c r="AA219" i="7"/>
  <c r="AC219" i="7"/>
  <c r="BH24" i="10"/>
  <c r="AW24" i="10"/>
  <c r="AU24" i="10" s="1"/>
  <c r="AC80" i="10"/>
  <c r="AE80" i="10"/>
  <c r="AA80" i="10"/>
  <c r="AG305" i="7"/>
  <c r="Y305" i="7"/>
  <c r="AD141" i="10"/>
  <c r="AF141" i="10"/>
  <c r="AB141" i="10"/>
  <c r="AV22" i="7"/>
  <c r="BG22" i="7"/>
  <c r="BB280" i="7"/>
  <c r="AU280" i="7"/>
  <c r="BB22" i="10"/>
  <c r="AU22" i="10"/>
  <c r="AG40" i="10"/>
  <c r="Y40" i="10"/>
  <c r="AG113" i="10"/>
  <c r="Y113" i="10"/>
  <c r="AU135" i="10"/>
  <c r="BB135" i="10"/>
  <c r="AA168" i="7"/>
  <c r="AE168" i="7"/>
  <c r="AC168" i="7"/>
  <c r="AU223" i="7"/>
  <c r="BB223" i="7"/>
  <c r="BH286" i="7"/>
  <c r="AW286" i="7"/>
  <c r="BE317" i="7"/>
  <c r="I47" i="10"/>
  <c r="AJ48" i="10"/>
  <c r="AS47" i="10" s="1"/>
  <c r="AI48" i="10"/>
  <c r="AR47" i="10" s="1"/>
  <c r="AK48" i="10"/>
  <c r="BE79" i="10"/>
  <c r="AW94" i="10"/>
  <c r="BB94" i="10" s="1"/>
  <c r="AW155" i="10"/>
  <c r="BB155" i="10" s="1"/>
  <c r="AK174" i="10"/>
  <c r="I173" i="10"/>
  <c r="AI174" i="10"/>
  <c r="AJ174" i="10"/>
  <c r="AA223" i="7"/>
  <c r="AC223" i="7"/>
  <c r="AE223" i="7"/>
  <c r="AC99" i="7"/>
  <c r="AA99" i="7"/>
  <c r="AE99" i="7"/>
  <c r="AB240" i="7"/>
  <c r="AF240" i="7"/>
  <c r="AD240" i="7"/>
  <c r="Y81" i="10"/>
  <c r="AG81" i="10"/>
  <c r="AK195" i="10"/>
  <c r="AT194" i="10" s="1"/>
  <c r="AI195" i="10"/>
  <c r="AR194" i="10" s="1"/>
  <c r="AJ195" i="10"/>
  <c r="AS194" i="10" s="1"/>
  <c r="I194" i="10"/>
  <c r="BH205" i="7"/>
  <c r="AW205" i="7"/>
  <c r="AG202" i="10"/>
  <c r="Y202" i="10"/>
  <c r="AI178" i="7"/>
  <c r="AJ178" i="7"/>
  <c r="AK178" i="7"/>
  <c r="BB102" i="10"/>
  <c r="AU102" i="10"/>
  <c r="AF160" i="10"/>
  <c r="AB160" i="10"/>
  <c r="AD160" i="10"/>
  <c r="AF178" i="10"/>
  <c r="AB178" i="10"/>
  <c r="AD178" i="10"/>
  <c r="AF187" i="10"/>
  <c r="AB187" i="10"/>
  <c r="AD187" i="10"/>
  <c r="AD125" i="13"/>
  <c r="AF125" i="13"/>
  <c r="AB125" i="13"/>
  <c r="AB266" i="7"/>
  <c r="AF266" i="7"/>
  <c r="AD266" i="7"/>
  <c r="AF326" i="7"/>
  <c r="AB326" i="7"/>
  <c r="AD326" i="7"/>
  <c r="AU86" i="10"/>
  <c r="BB86" i="10"/>
  <c r="BB98" i="10"/>
  <c r="AU98" i="10"/>
  <c r="BB138" i="10"/>
  <c r="AU138" i="10"/>
  <c r="AB214" i="7"/>
  <c r="AD214" i="7"/>
  <c r="AF214" i="7"/>
  <c r="Y31" i="10"/>
  <c r="AG31" i="10"/>
  <c r="BB83" i="10"/>
  <c r="AG98" i="10"/>
  <c r="Y98" i="10"/>
  <c r="BH128" i="10"/>
  <c r="AW128" i="10"/>
  <c r="BB144" i="10"/>
  <c r="AU144" i="10"/>
  <c r="AI167" i="10"/>
  <c r="AJ167" i="10"/>
  <c r="AK167" i="10"/>
  <c r="BE197" i="10"/>
  <c r="AG107" i="13"/>
  <c r="Y107" i="13"/>
  <c r="AU248" i="7"/>
  <c r="BB248" i="7"/>
  <c r="AG109" i="10"/>
  <c r="Y109" i="10"/>
  <c r="AW158" i="10"/>
  <c r="AJ206" i="10"/>
  <c r="AK206" i="10"/>
  <c r="AI206" i="10"/>
  <c r="BE39" i="13"/>
  <c r="AW58" i="13"/>
  <c r="AU58" i="13" s="1"/>
  <c r="AU107" i="13"/>
  <c r="BB107" i="13"/>
  <c r="BE130" i="13"/>
  <c r="AI72" i="13"/>
  <c r="AR71" i="13" s="1"/>
  <c r="AJ72" i="13"/>
  <c r="AK72" i="13"/>
  <c r="I71" i="13"/>
  <c r="I112" i="13"/>
  <c r="AI113" i="13"/>
  <c r="AR112" i="13" s="1"/>
  <c r="AJ113" i="13"/>
  <c r="AS112" i="13" s="1"/>
  <c r="AK113" i="13"/>
  <c r="AT112" i="13" s="1"/>
  <c r="AK190" i="10"/>
  <c r="AI190" i="10"/>
  <c r="AJ190" i="10"/>
  <c r="AJ19" i="16"/>
  <c r="AK19" i="16"/>
  <c r="C27" i="14" s="1"/>
  <c r="F27" i="14" s="1"/>
  <c r="I16" i="16"/>
  <c r="AI19" i="16"/>
  <c r="AG153" i="10"/>
  <c r="Y153" i="10"/>
  <c r="BG82" i="13"/>
  <c r="AV82" i="13"/>
  <c r="AU122" i="13"/>
  <c r="BB122" i="13"/>
  <c r="BE14" i="16"/>
  <c r="BE38" i="16"/>
  <c r="AF122" i="10"/>
  <c r="AB122" i="10"/>
  <c r="AD122" i="10"/>
  <c r="BH191" i="10"/>
  <c r="AW191" i="10"/>
  <c r="AU111" i="10"/>
  <c r="BB111" i="10"/>
  <c r="AU146" i="10"/>
  <c r="BB146" i="10"/>
  <c r="AV31" i="16"/>
  <c r="AJ15" i="19"/>
  <c r="AL15" i="19"/>
  <c r="AK15" i="19"/>
  <c r="AV19" i="19"/>
  <c r="BC19" i="19"/>
  <c r="BE113" i="13"/>
  <c r="AI88" i="13"/>
  <c r="AJ88" i="13"/>
  <c r="AS81" i="13" s="1"/>
  <c r="AK88" i="13"/>
  <c r="AT81" i="13" s="1"/>
  <c r="I81" i="13"/>
  <c r="BE35" i="16"/>
  <c r="AB157" i="10"/>
  <c r="AD157" i="10"/>
  <c r="AF157" i="10"/>
  <c r="AI313" i="7"/>
  <c r="AJ313" i="7"/>
  <c r="AK313" i="7"/>
  <c r="BB36" i="10"/>
  <c r="AU36" i="10"/>
  <c r="BB180" i="10"/>
  <c r="AG100" i="13"/>
  <c r="Y100" i="13"/>
  <c r="F29" i="15"/>
  <c r="AF24" i="16"/>
  <c r="AB24" i="16"/>
  <c r="AD24" i="16"/>
  <c r="BE53" i="16"/>
  <c r="Y65" i="16"/>
  <c r="AG65" i="16"/>
  <c r="AC130" i="13"/>
  <c r="AE130" i="13"/>
  <c r="AA130" i="13"/>
  <c r="AD54" i="16"/>
  <c r="AB54" i="16"/>
  <c r="AF54" i="16"/>
  <c r="AG255" i="7"/>
  <c r="Y255" i="7"/>
  <c r="AW67" i="10"/>
  <c r="I24" i="13"/>
  <c r="AI25" i="13"/>
  <c r="AJ25" i="13"/>
  <c r="AS24" i="13" s="1"/>
  <c r="AK25" i="13"/>
  <c r="AT24" i="13" s="1"/>
  <c r="AA39" i="16"/>
  <c r="AC39" i="16"/>
  <c r="AE39" i="16"/>
  <c r="AJ65" i="16"/>
  <c r="AS64" i="16" s="1"/>
  <c r="AI65" i="16"/>
  <c r="AR64" i="16" s="1"/>
  <c r="AK65" i="16"/>
  <c r="AT64" i="16" s="1"/>
  <c r="I64" i="16"/>
  <c r="AU25" i="10"/>
  <c r="BB25" i="10"/>
  <c r="AU156" i="7"/>
  <c r="BB156" i="7"/>
  <c r="AU263" i="4"/>
  <c r="BB263" i="4"/>
  <c r="AA460" i="4"/>
  <c r="AC460" i="4"/>
  <c r="AE460" i="4"/>
  <c r="AD562" i="4"/>
  <c r="AB562" i="4"/>
  <c r="AF562" i="4"/>
  <c r="BG134" i="7"/>
  <c r="AV134" i="7"/>
  <c r="BH166" i="7"/>
  <c r="AW166" i="7"/>
  <c r="AU35" i="7"/>
  <c r="BB35" i="7"/>
  <c r="AG67" i="7"/>
  <c r="Y67" i="7"/>
  <c r="BH329" i="7"/>
  <c r="AW329" i="7"/>
  <c r="AW319" i="7"/>
  <c r="BB319" i="7" s="1"/>
  <c r="BH319" i="7"/>
  <c r="AA260" i="7"/>
  <c r="AC260" i="7"/>
  <c r="AE260" i="7"/>
  <c r="Y205" i="7"/>
  <c r="AG205" i="7"/>
  <c r="AK36" i="13"/>
  <c r="AT30" i="13" s="1"/>
  <c r="AI36" i="13"/>
  <c r="AR30" i="13" s="1"/>
  <c r="AJ36" i="13"/>
  <c r="AS30" i="13" s="1"/>
  <c r="AG115" i="13"/>
  <c r="Y115" i="13"/>
  <c r="AF146" i="10"/>
  <c r="AB146" i="10"/>
  <c r="AD146" i="10"/>
  <c r="AA36" i="10"/>
  <c r="AC36" i="10"/>
  <c r="AE36" i="10"/>
  <c r="BB134" i="13"/>
  <c r="AU134" i="13"/>
  <c r="AB134" i="4"/>
  <c r="AF134" i="4"/>
  <c r="AD134" i="4"/>
  <c r="AE66" i="4"/>
  <c r="AA66" i="4"/>
  <c r="AC66" i="4"/>
  <c r="AD105" i="4"/>
  <c r="AF105" i="4"/>
  <c r="AB105" i="4"/>
  <c r="AA200" i="4"/>
  <c r="AE200" i="4"/>
  <c r="AC200" i="4"/>
  <c r="AT292" i="4"/>
  <c r="AU170" i="4"/>
  <c r="BB170" i="4"/>
  <c r="AT227" i="4"/>
  <c r="AF182" i="4"/>
  <c r="AB182" i="4"/>
  <c r="AD182" i="4"/>
  <c r="AU209" i="4"/>
  <c r="BB209" i="4"/>
  <c r="AE270" i="4"/>
  <c r="AA270" i="4"/>
  <c r="AC270" i="4"/>
  <c r="AU307" i="4"/>
  <c r="BB307" i="4"/>
  <c r="AT371" i="4"/>
  <c r="AU205" i="4"/>
  <c r="BB205" i="4"/>
  <c r="AC219" i="4"/>
  <c r="AE219" i="4"/>
  <c r="AA219" i="4"/>
  <c r="AR389" i="4"/>
  <c r="AA337" i="4"/>
  <c r="AC337" i="4"/>
  <c r="AE337" i="4"/>
  <c r="AU298" i="4"/>
  <c r="BB298" i="4"/>
  <c r="AS492" i="4"/>
  <c r="AF406" i="4"/>
  <c r="AB406" i="4"/>
  <c r="AD406" i="4"/>
  <c r="AU322" i="4"/>
  <c r="BB322" i="4"/>
  <c r="AF490" i="4"/>
  <c r="AB490" i="4"/>
  <c r="AD490" i="4"/>
  <c r="AE386" i="4"/>
  <c r="AA386" i="4"/>
  <c r="AC386" i="4"/>
  <c r="AU467" i="4"/>
  <c r="BB467" i="4"/>
  <c r="AE326" i="4"/>
  <c r="AA326" i="4"/>
  <c r="AC326" i="4"/>
  <c r="AU378" i="4"/>
  <c r="BB378" i="4"/>
  <c r="AA455" i="4"/>
  <c r="AC455" i="4"/>
  <c r="AE455" i="4"/>
  <c r="BB390" i="4"/>
  <c r="AF443" i="4"/>
  <c r="AD443" i="4"/>
  <c r="AB443" i="4"/>
  <c r="AE469" i="4"/>
  <c r="AA469" i="4"/>
  <c r="AC469" i="4"/>
  <c r="AK40" i="7"/>
  <c r="AI40" i="7"/>
  <c r="I39" i="7"/>
  <c r="AJ40" i="7"/>
  <c r="AD680" i="4"/>
  <c r="AF680" i="4"/>
  <c r="AB680" i="4"/>
  <c r="AE488" i="4"/>
  <c r="AA488" i="4"/>
  <c r="AC488" i="4"/>
  <c r="AU684" i="4"/>
  <c r="BB684" i="4"/>
  <c r="BB77" i="7"/>
  <c r="AU77" i="7"/>
  <c r="AU336" i="4"/>
  <c r="BB336" i="4"/>
  <c r="AA670" i="4"/>
  <c r="AE670" i="4"/>
  <c r="AC670" i="4"/>
  <c r="AU672" i="4"/>
  <c r="BB672" i="4"/>
  <c r="AA703" i="4"/>
  <c r="AE703" i="4"/>
  <c r="AC703" i="4"/>
  <c r="AC32" i="7"/>
  <c r="AE32" i="7"/>
  <c r="AA32" i="7"/>
  <c r="AK48" i="7"/>
  <c r="AJ48" i="7"/>
  <c r="AI48" i="7"/>
  <c r="AC59" i="7"/>
  <c r="AA59" i="7"/>
  <c r="AE59" i="7"/>
  <c r="I23" i="1"/>
  <c r="AG91" i="7"/>
  <c r="Y91" i="7"/>
  <c r="AW170" i="7"/>
  <c r="AK132" i="7"/>
  <c r="AT127" i="7" s="1"/>
  <c r="AI132" i="7"/>
  <c r="AR127" i="7" s="1"/>
  <c r="AJ132" i="7"/>
  <c r="AE149" i="7"/>
  <c r="AC149" i="7"/>
  <c r="AA149" i="7"/>
  <c r="AU75" i="7"/>
  <c r="BB75" i="7"/>
  <c r="Y175" i="7"/>
  <c r="AG175" i="7"/>
  <c r="AU191" i="7"/>
  <c r="BB191" i="7"/>
  <c r="AU200" i="7"/>
  <c r="BB200" i="7"/>
  <c r="BG184" i="7"/>
  <c r="AV184" i="7"/>
  <c r="AG35" i="7"/>
  <c r="Y35" i="7"/>
  <c r="AB147" i="7"/>
  <c r="AD147" i="7"/>
  <c r="AF147" i="7"/>
  <c r="BH173" i="7"/>
  <c r="AW173" i="7"/>
  <c r="BH199" i="7"/>
  <c r="AW199" i="7"/>
  <c r="AJ67" i="7"/>
  <c r="AK67" i="7"/>
  <c r="AI67" i="7"/>
  <c r="I127" i="7"/>
  <c r="AV158" i="7"/>
  <c r="BG158" i="7"/>
  <c r="BG221" i="7"/>
  <c r="AV221" i="7"/>
  <c r="AJ263" i="7"/>
  <c r="AK263" i="7"/>
  <c r="AI263" i="7"/>
  <c r="AI307" i="7"/>
  <c r="AJ307" i="7"/>
  <c r="AK307" i="7"/>
  <c r="Y113" i="7"/>
  <c r="AG113" i="7"/>
  <c r="AU188" i="7"/>
  <c r="BB188" i="7"/>
  <c r="AI216" i="7"/>
  <c r="AJ216" i="7"/>
  <c r="AK216" i="7"/>
  <c r="AK293" i="7"/>
  <c r="I292" i="7"/>
  <c r="AI293" i="7"/>
  <c r="AJ293" i="7"/>
  <c r="AE210" i="7"/>
  <c r="AA210" i="7"/>
  <c r="AC210" i="7"/>
  <c r="AE14" i="10"/>
  <c r="AA14" i="10"/>
  <c r="AC14" i="10"/>
  <c r="AD148" i="10"/>
  <c r="AF148" i="10"/>
  <c r="AB148" i="10"/>
  <c r="BG153" i="7"/>
  <c r="AG202" i="7"/>
  <c r="Y202" i="7"/>
  <c r="Y22" i="7"/>
  <c r="AG22" i="7"/>
  <c r="BE66" i="7"/>
  <c r="BB160" i="7"/>
  <c r="AU160" i="7"/>
  <c r="I279" i="7"/>
  <c r="AI280" i="7"/>
  <c r="AJ280" i="7"/>
  <c r="AK280" i="7"/>
  <c r="AT279" i="7" s="1"/>
  <c r="AI22" i="10"/>
  <c r="AJ22" i="10"/>
  <c r="AS13" i="10" s="1"/>
  <c r="AK22" i="10"/>
  <c r="BB46" i="10"/>
  <c r="AU46" i="10"/>
  <c r="BH89" i="10"/>
  <c r="AW89" i="10"/>
  <c r="AI141" i="10"/>
  <c r="AJ141" i="10"/>
  <c r="AK141" i="10"/>
  <c r="AI169" i="10"/>
  <c r="AJ169" i="10"/>
  <c r="AK169" i="10"/>
  <c r="Y223" i="7"/>
  <c r="AG223" i="7"/>
  <c r="AA240" i="7"/>
  <c r="AC240" i="7"/>
  <c r="AE240" i="7"/>
  <c r="AA254" i="7"/>
  <c r="AC254" i="7"/>
  <c r="AE254" i="7"/>
  <c r="AA266" i="7"/>
  <c r="AC266" i="7"/>
  <c r="AE266" i="7"/>
  <c r="BG286" i="7"/>
  <c r="AV286" i="7"/>
  <c r="AD48" i="10"/>
  <c r="AF48" i="10"/>
  <c r="AB48" i="10"/>
  <c r="AG79" i="10"/>
  <c r="Y79" i="10"/>
  <c r="AU113" i="10"/>
  <c r="BB113" i="10"/>
  <c r="AE105" i="7"/>
  <c r="AA105" i="7"/>
  <c r="AC105" i="7"/>
  <c r="AB67" i="10"/>
  <c r="AD67" i="10"/>
  <c r="AF67" i="10"/>
  <c r="Y195" i="10"/>
  <c r="AG195" i="10"/>
  <c r="AU162" i="7"/>
  <c r="BB162" i="7"/>
  <c r="BG205" i="7"/>
  <c r="AV205" i="7"/>
  <c r="AU276" i="7"/>
  <c r="BB276" i="7"/>
  <c r="AG330" i="7"/>
  <c r="Y330" i="7"/>
  <c r="Y18" i="10"/>
  <c r="AG18" i="10"/>
  <c r="AA53" i="10"/>
  <c r="AC53" i="10"/>
  <c r="AE53" i="10"/>
  <c r="BB131" i="10"/>
  <c r="BG178" i="7"/>
  <c r="AV178" i="7"/>
  <c r="BB91" i="10"/>
  <c r="AU91" i="10"/>
  <c r="I101" i="10"/>
  <c r="AI102" i="10"/>
  <c r="AJ102" i="10"/>
  <c r="AK102" i="10"/>
  <c r="AA121" i="10"/>
  <c r="AC121" i="10"/>
  <c r="AE121" i="10"/>
  <c r="AU184" i="10"/>
  <c r="BB184" i="10"/>
  <c r="I199" i="10"/>
  <c r="AI200" i="10"/>
  <c r="AJ200" i="10"/>
  <c r="AK200" i="10"/>
  <c r="AD130" i="13"/>
  <c r="AF130" i="13"/>
  <c r="AB130" i="13"/>
  <c r="AB207" i="7"/>
  <c r="AD207" i="7"/>
  <c r="AF207" i="7"/>
  <c r="BB266" i="7"/>
  <c r="AU266" i="7"/>
  <c r="AE326" i="7"/>
  <c r="AA326" i="7"/>
  <c r="AC326" i="7"/>
  <c r="I85" i="10"/>
  <c r="AI86" i="10"/>
  <c r="AJ86" i="10"/>
  <c r="AK86" i="10"/>
  <c r="AJ214" i="7"/>
  <c r="AK214" i="7"/>
  <c r="AI214" i="7"/>
  <c r="BH31" i="10"/>
  <c r="AW31" i="10"/>
  <c r="BB128" i="10"/>
  <c r="AU128" i="10"/>
  <c r="AG167" i="10"/>
  <c r="Y167" i="10"/>
  <c r="BB197" i="10"/>
  <c r="AU197" i="10"/>
  <c r="Y46" i="13"/>
  <c r="AG46" i="13"/>
  <c r="AI125" i="13"/>
  <c r="AJ125" i="13"/>
  <c r="AK125" i="13"/>
  <c r="AU242" i="7"/>
  <c r="BB242" i="7"/>
  <c r="AI248" i="7"/>
  <c r="AJ248" i="7"/>
  <c r="AK248" i="7"/>
  <c r="AW39" i="13"/>
  <c r="AW130" i="13"/>
  <c r="AU130" i="13" s="1"/>
  <c r="BH20" i="13"/>
  <c r="AW20" i="13"/>
  <c r="AD31" i="13"/>
  <c r="AF31" i="13"/>
  <c r="AB31" i="13"/>
  <c r="Y72" i="13"/>
  <c r="AG72" i="13"/>
  <c r="AG113" i="13"/>
  <c r="Y113" i="13"/>
  <c r="BE27" i="16"/>
  <c r="AU50" i="16"/>
  <c r="BB50" i="16"/>
  <c r="Y190" i="10"/>
  <c r="AG190" i="10"/>
  <c r="AB91" i="10"/>
  <c r="AD91" i="10"/>
  <c r="AF91" i="10"/>
  <c r="AB158" i="10"/>
  <c r="AD158" i="10"/>
  <c r="AF158" i="10"/>
  <c r="I30" i="13"/>
  <c r="I121" i="13"/>
  <c r="AI122" i="13"/>
  <c r="AR121" i="13" s="1"/>
  <c r="AJ122" i="13"/>
  <c r="AK122" i="13"/>
  <c r="AB14" i="16"/>
  <c r="AD14" i="16"/>
  <c r="AF14" i="16"/>
  <c r="J13" i="19"/>
  <c r="J12" i="19" s="1"/>
  <c r="BF14" i="19"/>
  <c r="AA122" i="10"/>
  <c r="AE122" i="10"/>
  <c r="AC122" i="10"/>
  <c r="BG191" i="10"/>
  <c r="AV191" i="10"/>
  <c r="AV61" i="10"/>
  <c r="AI146" i="10"/>
  <c r="AJ146" i="10"/>
  <c r="AK146" i="10"/>
  <c r="AR81" i="13"/>
  <c r="BH17" i="16"/>
  <c r="AW17" i="16"/>
  <c r="Y33" i="16"/>
  <c r="AG33" i="16"/>
  <c r="AC22" i="16"/>
  <c r="AA22" i="16"/>
  <c r="AE22" i="16"/>
  <c r="BH103" i="13"/>
  <c r="AW103" i="13"/>
  <c r="BB110" i="13"/>
  <c r="AU110" i="13"/>
  <c r="AR16" i="16"/>
  <c r="Y36" i="10"/>
  <c r="AG36" i="10"/>
  <c r="AF118" i="13"/>
  <c r="AB118" i="13"/>
  <c r="AD118" i="13"/>
  <c r="BB53" i="16"/>
  <c r="AU53" i="16"/>
  <c r="AK67" i="16"/>
  <c r="AT66" i="16" s="1"/>
  <c r="AJ67" i="16"/>
  <c r="AS66" i="16" s="1"/>
  <c r="AI67" i="16"/>
  <c r="AR66" i="16" s="1"/>
  <c r="I66" i="16"/>
  <c r="BE67" i="10"/>
  <c r="AG25" i="13"/>
  <c r="Y25" i="13"/>
  <c r="AD106" i="13"/>
  <c r="AF106" i="13"/>
  <c r="AB106" i="13"/>
  <c r="AA204" i="4"/>
  <c r="AC204" i="4"/>
  <c r="AE204" i="4"/>
  <c r="AD256" i="4"/>
  <c r="AF256" i="4"/>
  <c r="AB256" i="4"/>
  <c r="AE635" i="4"/>
  <c r="AA635" i="4"/>
  <c r="AC635" i="4"/>
  <c r="AF488" i="4"/>
  <c r="AB488" i="4"/>
  <c r="AD488" i="4"/>
  <c r="AG54" i="7"/>
  <c r="Y54" i="7"/>
  <c r="AG105" i="7"/>
  <c r="Y105" i="7"/>
  <c r="BG193" i="7"/>
  <c r="AV193" i="7"/>
  <c r="AJ151" i="7"/>
  <c r="AI151" i="7"/>
  <c r="AK151" i="7"/>
  <c r="BE228" i="7"/>
  <c r="AU133" i="10"/>
  <c r="BB133" i="10"/>
  <c r="AU53" i="10"/>
  <c r="AA304" i="7"/>
  <c r="AC304" i="7"/>
  <c r="AE304" i="7"/>
  <c r="Y107" i="10"/>
  <c r="AG107" i="10"/>
  <c r="BE178" i="10"/>
  <c r="AU214" i="7"/>
  <c r="BB214" i="7"/>
  <c r="AU93" i="10"/>
  <c r="BB93" i="10"/>
  <c r="AB50" i="10"/>
  <c r="AF50" i="10"/>
  <c r="AD50" i="10"/>
  <c r="AA178" i="10"/>
  <c r="AC178" i="10"/>
  <c r="AE178" i="10"/>
  <c r="BE118" i="13"/>
  <c r="AI96" i="13"/>
  <c r="AJ96" i="13"/>
  <c r="AK96" i="13"/>
  <c r="AF135" i="13"/>
  <c r="AB135" i="13"/>
  <c r="AD135" i="13"/>
  <c r="AI53" i="13"/>
  <c r="AJ53" i="13"/>
  <c r="AK53" i="13"/>
  <c r="AR13" i="16"/>
  <c r="BG44" i="16"/>
  <c r="AV44" i="16"/>
  <c r="BH48" i="13"/>
  <c r="AW48" i="13"/>
  <c r="AG135" i="13"/>
  <c r="Y135" i="13"/>
  <c r="I12" i="4"/>
  <c r="K12" i="3" s="1"/>
  <c r="AA54" i="4"/>
  <c r="AC54" i="4"/>
  <c r="AE54" i="4"/>
  <c r="BB66" i="4"/>
  <c r="AU66" i="4"/>
  <c r="AF17" i="4"/>
  <c r="AB17" i="4"/>
  <c r="AD17" i="4"/>
  <c r="AA187" i="4"/>
  <c r="AC187" i="4"/>
  <c r="AE187" i="4"/>
  <c r="AD88" i="4"/>
  <c r="AF88" i="4"/>
  <c r="AB88" i="4"/>
  <c r="AA221" i="4"/>
  <c r="AE221" i="4"/>
  <c r="AC221" i="4"/>
  <c r="AS227" i="4"/>
  <c r="AA190" i="4"/>
  <c r="AC190" i="4"/>
  <c r="AE190" i="4"/>
  <c r="AU270" i="4"/>
  <c r="BB270" i="4"/>
  <c r="AD121" i="4"/>
  <c r="AB121" i="4"/>
  <c r="AF121" i="4"/>
  <c r="AU260" i="4"/>
  <c r="BB260" i="4"/>
  <c r="AA256" i="4"/>
  <c r="AE256" i="4"/>
  <c r="AC256" i="4"/>
  <c r="AS371" i="4"/>
  <c r="BB219" i="4"/>
  <c r="AU219" i="4"/>
  <c r="AC216" i="4"/>
  <c r="AE216" i="4"/>
  <c r="AA216" i="4"/>
  <c r="AE341" i="4"/>
  <c r="AA341" i="4"/>
  <c r="AC341" i="4"/>
  <c r="AB319" i="4"/>
  <c r="AD319" i="4"/>
  <c r="AF319" i="4"/>
  <c r="AF330" i="4"/>
  <c r="AD330" i="4"/>
  <c r="AB330" i="4"/>
  <c r="AA506" i="4"/>
  <c r="AC506" i="4"/>
  <c r="AE506" i="4"/>
  <c r="AU386" i="4"/>
  <c r="BB386" i="4"/>
  <c r="AA459" i="4"/>
  <c r="AE459" i="4"/>
  <c r="AC459" i="4"/>
  <c r="AS610" i="4"/>
  <c r="AB631" i="4"/>
  <c r="AD631" i="4"/>
  <c r="AF631" i="4"/>
  <c r="AF327" i="4"/>
  <c r="AB327" i="4"/>
  <c r="AD327" i="4"/>
  <c r="AU326" i="4"/>
  <c r="BB326" i="4"/>
  <c r="AF402" i="4"/>
  <c r="AB402" i="4"/>
  <c r="AD402" i="4"/>
  <c r="BB455" i="4"/>
  <c r="AU455" i="4"/>
  <c r="AF454" i="4"/>
  <c r="AD454" i="4"/>
  <c r="AB454" i="4"/>
  <c r="AU443" i="4"/>
  <c r="BB443" i="4"/>
  <c r="AB646" i="4"/>
  <c r="AD646" i="4"/>
  <c r="AF646" i="4"/>
  <c r="AS710" i="4"/>
  <c r="AU469" i="4"/>
  <c r="BB469" i="4"/>
  <c r="AI61" i="7"/>
  <c r="AR60" i="7" s="1"/>
  <c r="AJ61" i="7"/>
  <c r="AS60" i="7" s="1"/>
  <c r="I60" i="7"/>
  <c r="AK61" i="7"/>
  <c r="AT60" i="7" s="1"/>
  <c r="AE615" i="4"/>
  <c r="AA615" i="4"/>
  <c r="AC615" i="4"/>
  <c r="AU488" i="4"/>
  <c r="BB488" i="4"/>
  <c r="AS561" i="4"/>
  <c r="AF665" i="4"/>
  <c r="AB665" i="4"/>
  <c r="AD665" i="4"/>
  <c r="AA620" i="4"/>
  <c r="AC620" i="4"/>
  <c r="AE620" i="4"/>
  <c r="AE24" i="7"/>
  <c r="AA24" i="7"/>
  <c r="AC24" i="7"/>
  <c r="AI99" i="7"/>
  <c r="AJ99" i="7"/>
  <c r="AS98" i="7" s="1"/>
  <c r="I98" i="7"/>
  <c r="AK99" i="7"/>
  <c r="AU703" i="4"/>
  <c r="BB703" i="4"/>
  <c r="AG68" i="7"/>
  <c r="Y68" i="7"/>
  <c r="BH32" i="7"/>
  <c r="AW32" i="7"/>
  <c r="AE108" i="7"/>
  <c r="AA108" i="7"/>
  <c r="AC108" i="7"/>
  <c r="AJ54" i="7"/>
  <c r="AS53" i="7" s="1"/>
  <c r="AI54" i="7"/>
  <c r="AK54" i="7"/>
  <c r="AT53" i="7" s="1"/>
  <c r="I53" i="7"/>
  <c r="AE40" i="7"/>
  <c r="AC40" i="7"/>
  <c r="AA40" i="7"/>
  <c r="AF474" i="4"/>
  <c r="AB474" i="4"/>
  <c r="AD474" i="4"/>
  <c r="AB91" i="7"/>
  <c r="AF91" i="7"/>
  <c r="AD91" i="7"/>
  <c r="AI124" i="7"/>
  <c r="AR120" i="7" s="1"/>
  <c r="AK124" i="7"/>
  <c r="AT120" i="7" s="1"/>
  <c r="AJ124" i="7"/>
  <c r="AS120" i="7" s="1"/>
  <c r="Y132" i="7"/>
  <c r="AG132" i="7"/>
  <c r="AE75" i="7"/>
  <c r="AA75" i="7"/>
  <c r="AC75" i="7"/>
  <c r="AU165" i="7"/>
  <c r="BB165" i="7"/>
  <c r="AU175" i="7"/>
  <c r="BB175" i="7"/>
  <c r="AK191" i="7"/>
  <c r="AJ191" i="7"/>
  <c r="AI191" i="7"/>
  <c r="AJ200" i="7"/>
  <c r="AK200" i="7"/>
  <c r="AI200" i="7"/>
  <c r="AD139" i="7"/>
  <c r="AB139" i="7"/>
  <c r="AF139" i="7"/>
  <c r="AD184" i="7"/>
  <c r="AB184" i="7"/>
  <c r="AF184" i="7"/>
  <c r="AI30" i="7"/>
  <c r="AK30" i="7"/>
  <c r="AJ30" i="7"/>
  <c r="AC35" i="7"/>
  <c r="AE35" i="7"/>
  <c r="AA35" i="7"/>
  <c r="AD158" i="7"/>
  <c r="AB158" i="7"/>
  <c r="AF158" i="7"/>
  <c r="BG173" i="7"/>
  <c r="AV173" i="7"/>
  <c r="BG199" i="7"/>
  <c r="AV199" i="7"/>
  <c r="AU282" i="7"/>
  <c r="BB282" i="7"/>
  <c r="AU67" i="7"/>
  <c r="BB67" i="7"/>
  <c r="AC141" i="7"/>
  <c r="AE141" i="7"/>
  <c r="AA141" i="7"/>
  <c r="AF228" i="7"/>
  <c r="AB228" i="7"/>
  <c r="AD228" i="7"/>
  <c r="AU243" i="7"/>
  <c r="BB243" i="7"/>
  <c r="I13" i="7"/>
  <c r="AI14" i="7"/>
  <c r="AJ14" i="7"/>
  <c r="AK14" i="7"/>
  <c r="AU68" i="7"/>
  <c r="AC113" i="7"/>
  <c r="AE113" i="7"/>
  <c r="AA113" i="7"/>
  <c r="AU179" i="7"/>
  <c r="BB179" i="7"/>
  <c r="AJ188" i="7"/>
  <c r="AK188" i="7"/>
  <c r="AI188" i="7"/>
  <c r="AD216" i="7"/>
  <c r="AF216" i="7"/>
  <c r="AB216" i="7"/>
  <c r="AU185" i="7"/>
  <c r="BB185" i="7"/>
  <c r="AU219" i="7"/>
  <c r="BB219" i="7"/>
  <c r="AG229" i="7"/>
  <c r="Y229" i="7"/>
  <c r="AB317" i="7"/>
  <c r="AD317" i="7"/>
  <c r="AF317" i="7"/>
  <c r="BB295" i="7"/>
  <c r="AU295" i="7"/>
  <c r="AD155" i="10"/>
  <c r="AF155" i="10"/>
  <c r="AB155" i="10"/>
  <c r="AJ153" i="7"/>
  <c r="AI153" i="7"/>
  <c r="AK153" i="7"/>
  <c r="AB234" i="7"/>
  <c r="AF234" i="7"/>
  <c r="AD234" i="7"/>
  <c r="AI22" i="7"/>
  <c r="AJ22" i="7"/>
  <c r="AK22" i="7"/>
  <c r="AC66" i="7"/>
  <c r="AE66" i="7"/>
  <c r="AA66" i="7"/>
  <c r="AK160" i="7"/>
  <c r="AI160" i="7"/>
  <c r="AJ160" i="7"/>
  <c r="AG295" i="7"/>
  <c r="Y295" i="7"/>
  <c r="AI46" i="10"/>
  <c r="AJ46" i="10"/>
  <c r="AK46" i="10"/>
  <c r="AI94" i="10"/>
  <c r="AJ94" i="10"/>
  <c r="AK94" i="10"/>
  <c r="AG119" i="10"/>
  <c r="Y119" i="10"/>
  <c r="AU169" i="10"/>
  <c r="BB169" i="10"/>
  <c r="BE168" i="7"/>
  <c r="AW141" i="10"/>
  <c r="AU141" i="10" s="1"/>
  <c r="AU174" i="10"/>
  <c r="BB174" i="10"/>
  <c r="AG196" i="7"/>
  <c r="Y196" i="7"/>
  <c r="BB105" i="7"/>
  <c r="AU105" i="7"/>
  <c r="AU268" i="7"/>
  <c r="BB268" i="7"/>
  <c r="Y53" i="10"/>
  <c r="AG53" i="10"/>
  <c r="AA67" i="10"/>
  <c r="AC67" i="10"/>
  <c r="AE67" i="10"/>
  <c r="AA81" i="10"/>
  <c r="AC81" i="10"/>
  <c r="AE81" i="10"/>
  <c r="BB124" i="10"/>
  <c r="AU160" i="10"/>
  <c r="BB160" i="10"/>
  <c r="AA162" i="7"/>
  <c r="AE162" i="7"/>
  <c r="AC162" i="7"/>
  <c r="Y194" i="7"/>
  <c r="AG194" i="7"/>
  <c r="AB254" i="7"/>
  <c r="AF254" i="7"/>
  <c r="AD254" i="7"/>
  <c r="AI276" i="7"/>
  <c r="AJ276" i="7"/>
  <c r="AK276" i="7"/>
  <c r="Y311" i="7"/>
  <c r="AG311" i="7"/>
  <c r="AB330" i="7"/>
  <c r="AD330" i="7"/>
  <c r="AF330" i="7"/>
  <c r="AD178" i="7"/>
  <c r="AB178" i="7"/>
  <c r="AF178" i="7"/>
  <c r="BB165" i="10"/>
  <c r="AU165" i="10"/>
  <c r="AI184" i="10"/>
  <c r="AR183" i="10" s="1"/>
  <c r="AJ184" i="10"/>
  <c r="AS183" i="10" s="1"/>
  <c r="AK184" i="10"/>
  <c r="AT183" i="10" s="1"/>
  <c r="I183" i="10"/>
  <c r="AV200" i="10"/>
  <c r="BG200" i="10"/>
  <c r="AJ207" i="7"/>
  <c r="AK207" i="7"/>
  <c r="AI207" i="7"/>
  <c r="AG86" i="10"/>
  <c r="Y86" i="10"/>
  <c r="AA144" i="10"/>
  <c r="AC144" i="10"/>
  <c r="AE144" i="10"/>
  <c r="BB34" i="10"/>
  <c r="BG152" i="10"/>
  <c r="I196" i="10"/>
  <c r="AI197" i="10"/>
  <c r="AR196" i="10" s="1"/>
  <c r="AJ197" i="10"/>
  <c r="AS196" i="10" s="1"/>
  <c r="AK197" i="10"/>
  <c r="AT196" i="10" s="1"/>
  <c r="Y206" i="10"/>
  <c r="AG206" i="10"/>
  <c r="AU236" i="7"/>
  <c r="BB236" i="7"/>
  <c r="AI242" i="7"/>
  <c r="AJ242" i="7"/>
  <c r="AK242" i="7"/>
  <c r="AG248" i="7"/>
  <c r="Y248" i="7"/>
  <c r="AG50" i="10"/>
  <c r="Y50" i="10"/>
  <c r="AF80" i="10"/>
  <c r="AB80" i="10"/>
  <c r="AD80" i="10"/>
  <c r="AU206" i="10"/>
  <c r="BB206" i="10"/>
  <c r="AW28" i="13"/>
  <c r="AU28" i="13" s="1"/>
  <c r="BB130" i="10"/>
  <c r="AU130" i="10"/>
  <c r="BG20" i="13"/>
  <c r="AV20" i="13"/>
  <c r="I94" i="13"/>
  <c r="AI95" i="13"/>
  <c r="AJ95" i="13"/>
  <c r="AK95" i="13"/>
  <c r="AG118" i="13"/>
  <c r="Y118" i="13"/>
  <c r="AU27" i="16"/>
  <c r="BB27" i="16"/>
  <c r="AI50" i="16"/>
  <c r="AR49" i="16" s="1"/>
  <c r="AJ50" i="16"/>
  <c r="AS49" i="16" s="1"/>
  <c r="AK50" i="16"/>
  <c r="AT49" i="16" s="1"/>
  <c r="I49" i="16"/>
  <c r="AC190" i="10"/>
  <c r="AE190" i="10"/>
  <c r="AA190" i="10"/>
  <c r="AF153" i="10"/>
  <c r="AB153" i="10"/>
  <c r="AD153" i="10"/>
  <c r="BB158" i="10"/>
  <c r="AU158" i="10"/>
  <c r="AG122" i="13"/>
  <c r="Y122" i="13"/>
  <c r="AI61" i="10"/>
  <c r="AK61" i="10"/>
  <c r="AJ61" i="10"/>
  <c r="AG146" i="10"/>
  <c r="Y146" i="10"/>
  <c r="AW21" i="13"/>
  <c r="AU21" i="13" s="1"/>
  <c r="AI52" i="13"/>
  <c r="AJ52" i="13"/>
  <c r="AK52" i="13"/>
  <c r="I50" i="13"/>
  <c r="AA100" i="13"/>
  <c r="AC100" i="13"/>
  <c r="AE100" i="13"/>
  <c r="BB17" i="16"/>
  <c r="AU17" i="16"/>
  <c r="AB35" i="16"/>
  <c r="AD35" i="16"/>
  <c r="AF35" i="16"/>
  <c r="AB60" i="16"/>
  <c r="AD60" i="16"/>
  <c r="AF60" i="16"/>
  <c r="BG103" i="13"/>
  <c r="AV103" i="13"/>
  <c r="AU261" i="7"/>
  <c r="BB261" i="7"/>
  <c r="AI110" i="13"/>
  <c r="AJ110" i="13"/>
  <c r="AK110" i="13"/>
  <c r="AD136" i="13"/>
  <c r="AF136" i="13"/>
  <c r="AB136" i="13"/>
  <c r="AF19" i="16"/>
  <c r="AB19" i="16"/>
  <c r="AD19" i="16"/>
  <c r="AD22" i="13"/>
  <c r="AF22" i="13"/>
  <c r="AB22" i="13"/>
  <c r="AG313" i="7"/>
  <c r="Y313" i="7"/>
  <c r="BB188" i="10"/>
  <c r="I52" i="16"/>
  <c r="AJ53" i="16"/>
  <c r="AS52" i="16" s="1"/>
  <c r="AI53" i="16"/>
  <c r="AR52" i="16" s="1"/>
  <c r="AK53" i="16"/>
  <c r="AT52" i="16" s="1"/>
  <c r="BB67" i="16"/>
  <c r="AU67" i="16"/>
  <c r="BB43" i="10"/>
  <c r="AU43" i="10"/>
  <c r="AF255" i="7"/>
  <c r="AB255" i="7"/>
  <c r="AD255" i="7"/>
  <c r="AF53" i="13"/>
  <c r="AD53" i="13"/>
  <c r="AB53" i="13"/>
  <c r="AU46" i="16"/>
  <c r="BB46" i="16"/>
  <c r="AU65" i="16"/>
  <c r="BB65" i="16"/>
  <c r="AE156" i="7"/>
  <c r="AA156" i="7"/>
  <c r="AC156" i="7"/>
  <c r="BB121" i="4"/>
  <c r="AU121" i="4"/>
  <c r="AF191" i="4"/>
  <c r="AB191" i="4"/>
  <c r="AD191" i="4"/>
  <c r="AF324" i="4"/>
  <c r="AB324" i="4"/>
  <c r="AD324" i="4"/>
  <c r="AB147" i="4"/>
  <c r="AF147" i="4"/>
  <c r="AD147" i="4"/>
  <c r="AE481" i="4"/>
  <c r="AA481" i="4"/>
  <c r="AC481" i="4"/>
  <c r="AB658" i="4"/>
  <c r="AD658" i="4"/>
  <c r="AF658" i="4"/>
  <c r="AF588" i="4"/>
  <c r="AB588" i="4"/>
  <c r="AD588" i="4"/>
  <c r="AD54" i="7"/>
  <c r="AB54" i="7"/>
  <c r="AF54" i="7"/>
  <c r="AU450" i="4"/>
  <c r="BB450" i="4"/>
  <c r="AT87" i="7"/>
  <c r="AE634" i="4"/>
  <c r="AA634" i="4"/>
  <c r="AC634" i="4"/>
  <c r="AK204" i="7"/>
  <c r="AI204" i="7"/>
  <c r="AJ204" i="7"/>
  <c r="AF27" i="7"/>
  <c r="AB27" i="7"/>
  <c r="AD27" i="7"/>
  <c r="AG160" i="7"/>
  <c r="Y160" i="7"/>
  <c r="AA234" i="7"/>
  <c r="AC234" i="7"/>
  <c r="AE234" i="7"/>
  <c r="AF276" i="7"/>
  <c r="AB276" i="7"/>
  <c r="AD276" i="7"/>
  <c r="I30" i="10"/>
  <c r="AF242" i="7"/>
  <c r="AB242" i="7"/>
  <c r="AD242" i="7"/>
  <c r="Y43" i="16"/>
  <c r="AG43" i="16"/>
  <c r="AG44" i="16"/>
  <c r="Y44" i="16"/>
  <c r="BH176" i="10"/>
  <c r="AW176" i="10"/>
  <c r="I56" i="16"/>
  <c r="AK60" i="16"/>
  <c r="AT56" i="16" s="1"/>
  <c r="AI60" i="16"/>
  <c r="AR56" i="16" s="1"/>
  <c r="AJ60" i="16"/>
  <c r="AS56" i="16" s="1"/>
  <c r="AE68" i="4"/>
  <c r="AA68" i="4"/>
  <c r="AC68" i="4"/>
  <c r="AU17" i="4"/>
  <c r="AC129" i="4"/>
  <c r="AA129" i="4"/>
  <c r="AE129" i="4"/>
  <c r="AA193" i="4"/>
  <c r="AC193" i="4"/>
  <c r="AE193" i="4"/>
  <c r="AB37" i="4"/>
  <c r="AF37" i="4"/>
  <c r="AD37" i="4"/>
  <c r="AF165" i="4"/>
  <c r="AB165" i="4"/>
  <c r="AD165" i="4"/>
  <c r="AF181" i="4"/>
  <c r="AB181" i="4"/>
  <c r="AD181" i="4"/>
  <c r="AF200" i="4"/>
  <c r="AB200" i="4"/>
  <c r="AD200" i="4"/>
  <c r="AU190" i="4"/>
  <c r="BB190" i="4"/>
  <c r="AA260" i="4"/>
  <c r="AC260" i="4"/>
  <c r="AE260" i="4"/>
  <c r="AU256" i="4"/>
  <c r="BB256" i="4"/>
  <c r="AB248" i="4"/>
  <c r="AD248" i="4"/>
  <c r="AF248" i="4"/>
  <c r="AS389" i="4"/>
  <c r="AB232" i="4"/>
  <c r="AD232" i="4"/>
  <c r="AF232" i="4"/>
  <c r="BB216" i="4"/>
  <c r="AU216" i="4"/>
  <c r="AE343" i="4"/>
  <c r="AA343" i="4"/>
  <c r="AC343" i="4"/>
  <c r="AR492" i="4"/>
  <c r="AF413" i="4"/>
  <c r="AD413" i="4"/>
  <c r="AB413" i="4"/>
  <c r="AU447" i="4"/>
  <c r="BB447" i="4"/>
  <c r="AF507" i="4"/>
  <c r="AB507" i="4"/>
  <c r="AD507" i="4"/>
  <c r="BB459" i="4"/>
  <c r="AU459" i="4"/>
  <c r="AB512" i="4"/>
  <c r="AF512" i="4"/>
  <c r="AD512" i="4"/>
  <c r="AU612" i="4"/>
  <c r="BB612" i="4"/>
  <c r="P16" i="3"/>
  <c r="N16" i="3"/>
  <c r="BB17" i="7"/>
  <c r="AU17" i="7"/>
  <c r="AU615" i="4"/>
  <c r="BB615" i="4"/>
  <c r="BB665" i="4"/>
  <c r="AU665" i="4"/>
  <c r="AG37" i="7"/>
  <c r="Y37" i="7"/>
  <c r="AC77" i="7"/>
  <c r="AA77" i="7"/>
  <c r="AE77" i="7"/>
  <c r="BB620" i="4"/>
  <c r="AU620" i="4"/>
  <c r="AU108" i="7"/>
  <c r="BB108" i="7"/>
  <c r="BH128" i="7"/>
  <c r="AW128" i="7"/>
  <c r="AC541" i="4"/>
  <c r="AA541" i="4"/>
  <c r="AE541" i="4"/>
  <c r="AF663" i="4"/>
  <c r="AB663" i="4"/>
  <c r="AD663" i="4"/>
  <c r="AG40" i="7"/>
  <c r="Y40" i="7"/>
  <c r="AC144" i="7"/>
  <c r="AE144" i="7"/>
  <c r="AA144" i="7"/>
  <c r="Y27" i="7"/>
  <c r="AG27" i="7"/>
  <c r="AG59" i="7"/>
  <c r="Y59" i="7"/>
  <c r="BE91" i="7"/>
  <c r="I135" i="7"/>
  <c r="AC124" i="7"/>
  <c r="AE124" i="7"/>
  <c r="AA124" i="7"/>
  <c r="AC132" i="7"/>
  <c r="AE132" i="7"/>
  <c r="AA132" i="7"/>
  <c r="AK165" i="7"/>
  <c r="AJ165" i="7"/>
  <c r="I164" i="7"/>
  <c r="AI165" i="7"/>
  <c r="AJ175" i="7"/>
  <c r="AK175" i="7"/>
  <c r="AI175" i="7"/>
  <c r="Y191" i="7"/>
  <c r="AG191" i="7"/>
  <c r="BH30" i="7"/>
  <c r="AW30" i="7"/>
  <c r="AG147" i="7"/>
  <c r="Y147" i="7"/>
  <c r="AG182" i="7"/>
  <c r="Y182" i="7"/>
  <c r="AI297" i="7"/>
  <c r="AJ297" i="7"/>
  <c r="AK297" i="7"/>
  <c r="AB67" i="7"/>
  <c r="AF67" i="7"/>
  <c r="AD67" i="7"/>
  <c r="AF141" i="7"/>
  <c r="AB141" i="7"/>
  <c r="AD141" i="7"/>
  <c r="AU151" i="7"/>
  <c r="BB151" i="7"/>
  <c r="BG190" i="7"/>
  <c r="AV190" i="7"/>
  <c r="AJ251" i="7"/>
  <c r="AK251" i="7"/>
  <c r="AI251" i="7"/>
  <c r="AU263" i="7"/>
  <c r="BB263" i="7"/>
  <c r="AU307" i="7"/>
  <c r="BB307" i="7"/>
  <c r="BH14" i="7"/>
  <c r="AW14" i="7"/>
  <c r="AE121" i="7"/>
  <c r="AA121" i="7"/>
  <c r="AC121" i="7"/>
  <c r="AK179" i="7"/>
  <c r="AJ179" i="7"/>
  <c r="AI179" i="7"/>
  <c r="AI225" i="7"/>
  <c r="AJ225" i="7"/>
  <c r="AK225" i="7"/>
  <c r="AU293" i="7"/>
  <c r="BB293" i="7"/>
  <c r="AK185" i="7"/>
  <c r="AJ185" i="7"/>
  <c r="AI185" i="7"/>
  <c r="AU210" i="7"/>
  <c r="BB210" i="7"/>
  <c r="AJ219" i="7"/>
  <c r="AK219" i="7"/>
  <c r="AI219" i="7"/>
  <c r="AW229" i="7"/>
  <c r="AU229" i="7" s="1"/>
  <c r="Y319" i="7"/>
  <c r="AG319" i="7"/>
  <c r="BB225" i="7"/>
  <c r="AI295" i="7"/>
  <c r="AJ295" i="7"/>
  <c r="AK295" i="7"/>
  <c r="AD162" i="10"/>
  <c r="AF162" i="10"/>
  <c r="AB162" i="10"/>
  <c r="AG170" i="7"/>
  <c r="Y170" i="7"/>
  <c r="AI202" i="7"/>
  <c r="AJ202" i="7"/>
  <c r="AK202" i="7"/>
  <c r="BH22" i="7"/>
  <c r="AW22" i="7"/>
  <c r="AC160" i="7"/>
  <c r="AA160" i="7"/>
  <c r="AE160" i="7"/>
  <c r="AF305" i="7"/>
  <c r="AB305" i="7"/>
  <c r="AD305" i="7"/>
  <c r="AG28" i="10"/>
  <c r="Y28" i="10"/>
  <c r="AU94" i="10"/>
  <c r="AK148" i="10"/>
  <c r="AI148" i="10"/>
  <c r="AJ148" i="10"/>
  <c r="Y174" i="10"/>
  <c r="AG174" i="10"/>
  <c r="Y168" i="7"/>
  <c r="AG168" i="7"/>
  <c r="AB223" i="7"/>
  <c r="AD223" i="7"/>
  <c r="AF223" i="7"/>
  <c r="BH322" i="7"/>
  <c r="AW322" i="7"/>
  <c r="AI59" i="10"/>
  <c r="AK59" i="10"/>
  <c r="AJ59" i="10"/>
  <c r="AK105" i="10"/>
  <c r="AI105" i="10"/>
  <c r="AJ105" i="10"/>
  <c r="AK119" i="10"/>
  <c r="AI119" i="10"/>
  <c r="AJ119" i="10"/>
  <c r="AK133" i="10"/>
  <c r="AI133" i="10"/>
  <c r="AJ133" i="10"/>
  <c r="AW162" i="10"/>
  <c r="AU162" i="10" s="1"/>
  <c r="BG196" i="7"/>
  <c r="AV196" i="7"/>
  <c r="AB246" i="7"/>
  <c r="AF246" i="7"/>
  <c r="AD246" i="7"/>
  <c r="AI268" i="7"/>
  <c r="AJ268" i="7"/>
  <c r="AK268" i="7"/>
  <c r="AF53" i="10"/>
  <c r="AB53" i="10"/>
  <c r="AD53" i="10"/>
  <c r="AI160" i="10"/>
  <c r="AJ160" i="10"/>
  <c r="AK160" i="10"/>
  <c r="AU194" i="7"/>
  <c r="BB194" i="7"/>
  <c r="BB254" i="7"/>
  <c r="AU254" i="7"/>
  <c r="AG276" i="7"/>
  <c r="Y276" i="7"/>
  <c r="AG304" i="7"/>
  <c r="Y304" i="7"/>
  <c r="AB311" i="7"/>
  <c r="AD311" i="7"/>
  <c r="AF311" i="7"/>
  <c r="AA330" i="7"/>
  <c r="AC330" i="7"/>
  <c r="AE330" i="7"/>
  <c r="AB18" i="10"/>
  <c r="AD18" i="10"/>
  <c r="AF18" i="10"/>
  <c r="AB71" i="10"/>
  <c r="AD71" i="10"/>
  <c r="AF71" i="10"/>
  <c r="BH107" i="10"/>
  <c r="AW107" i="10"/>
  <c r="BB107" i="10" s="1"/>
  <c r="AB260" i="7"/>
  <c r="AF260" i="7"/>
  <c r="AD260" i="7"/>
  <c r="AA98" i="10"/>
  <c r="AC98" i="10"/>
  <c r="AE98" i="10"/>
  <c r="Y184" i="10"/>
  <c r="AG184" i="10"/>
  <c r="BH121" i="10"/>
  <c r="AW121" i="10"/>
  <c r="BB121" i="10" s="1"/>
  <c r="Y294" i="7"/>
  <c r="AG294" i="7"/>
  <c r="AA48" i="10"/>
  <c r="AE48" i="10"/>
  <c r="AC48" i="10"/>
  <c r="BB116" i="10"/>
  <c r="AU116" i="10"/>
  <c r="AE131" i="10"/>
  <c r="AA131" i="10"/>
  <c r="AC131" i="10"/>
  <c r="AC197" i="10"/>
  <c r="AE197" i="10"/>
  <c r="AA197" i="10"/>
  <c r="AG19" i="13"/>
  <c r="Y19" i="13"/>
  <c r="AI58" i="13"/>
  <c r="AJ58" i="13"/>
  <c r="AK58" i="13"/>
  <c r="Y128" i="13"/>
  <c r="AG128" i="13"/>
  <c r="AI236" i="7"/>
  <c r="AJ236" i="7"/>
  <c r="AK236" i="7"/>
  <c r="AG242" i="7"/>
  <c r="Y242" i="7"/>
  <c r="AG254" i="7"/>
  <c r="Y254" i="7"/>
  <c r="AR321" i="7"/>
  <c r="BG55" i="10"/>
  <c r="AV55" i="10"/>
  <c r="AU99" i="10"/>
  <c r="BB99" i="10"/>
  <c r="BB122" i="10"/>
  <c r="AU122" i="10"/>
  <c r="AI144" i="10"/>
  <c r="AJ144" i="10"/>
  <c r="AK144" i="10"/>
  <c r="AK46" i="13"/>
  <c r="AT45" i="13" s="1"/>
  <c r="I45" i="13"/>
  <c r="AI46" i="13"/>
  <c r="AR45" i="13" s="1"/>
  <c r="AJ46" i="13"/>
  <c r="AS45" i="13" s="1"/>
  <c r="AW97" i="13"/>
  <c r="AU97" i="13" s="1"/>
  <c r="AW125" i="13"/>
  <c r="AU125" i="13" s="1"/>
  <c r="AR38" i="10"/>
  <c r="AI130" i="10"/>
  <c r="AJ130" i="10"/>
  <c r="AK130" i="10"/>
  <c r="AG95" i="13"/>
  <c r="Y95" i="13"/>
  <c r="AE135" i="13"/>
  <c r="AA135" i="13"/>
  <c r="AC135" i="13"/>
  <c r="I26" i="16"/>
  <c r="AJ27" i="16"/>
  <c r="AS26" i="16" s="1"/>
  <c r="AK27" i="16"/>
  <c r="AT26" i="16" s="1"/>
  <c r="AI27" i="16"/>
  <c r="AR26" i="16" s="1"/>
  <c r="Y50" i="16"/>
  <c r="AG50" i="16"/>
  <c r="BB95" i="13"/>
  <c r="AU95" i="13"/>
  <c r="AI187" i="7"/>
  <c r="AJ187" i="7"/>
  <c r="AK187" i="7"/>
  <c r="BB113" i="13"/>
  <c r="AU113" i="13"/>
  <c r="AE153" i="10"/>
  <c r="AA153" i="10"/>
  <c r="AC153" i="10"/>
  <c r="AU115" i="13"/>
  <c r="BB115" i="13"/>
  <c r="AU43" i="16"/>
  <c r="BB43" i="16"/>
  <c r="AC39" i="13"/>
  <c r="AE39" i="13"/>
  <c r="AA39" i="13"/>
  <c r="AA54" i="10"/>
  <c r="AG52" i="13"/>
  <c r="Y52" i="13"/>
  <c r="AW100" i="13"/>
  <c r="BB100" i="13" s="1"/>
  <c r="BB38" i="16"/>
  <c r="AU38" i="16"/>
  <c r="BI16" i="19"/>
  <c r="AX16" i="19"/>
  <c r="AV16" i="19" s="1"/>
  <c r="AA95" i="13"/>
  <c r="AC95" i="13"/>
  <c r="AE95" i="13"/>
  <c r="BE22" i="16"/>
  <c r="AI261" i="7"/>
  <c r="AJ261" i="7"/>
  <c r="AK261" i="7"/>
  <c r="Y176" i="10"/>
  <c r="AG176" i="10"/>
  <c r="AW208" i="10"/>
  <c r="BH208" i="10"/>
  <c r="AF313" i="7"/>
  <c r="AD313" i="7"/>
  <c r="AB313" i="7"/>
  <c r="AG66" i="13"/>
  <c r="Y66" i="13"/>
  <c r="Y30" i="16"/>
  <c r="AG30" i="16"/>
  <c r="AG53" i="16"/>
  <c r="Y53" i="16"/>
  <c r="AL16" i="19"/>
  <c r="C27" i="17" s="1"/>
  <c r="F27" i="17" s="1"/>
  <c r="AK16" i="19"/>
  <c r="AT13" i="19" s="1"/>
  <c r="AJ16" i="19"/>
  <c r="Y43" i="10"/>
  <c r="AG43" i="10"/>
  <c r="AU135" i="13"/>
  <c r="BB135" i="13"/>
  <c r="AE255" i="7"/>
  <c r="AA255" i="7"/>
  <c r="AC255" i="7"/>
  <c r="AB36" i="10"/>
  <c r="AD36" i="10"/>
  <c r="AF36" i="10"/>
  <c r="AC204" i="10"/>
  <c r="AE204" i="10"/>
  <c r="AA204" i="10"/>
  <c r="BB75" i="13"/>
  <c r="AU75" i="13"/>
  <c r="AI134" i="13"/>
  <c r="AJ134" i="13"/>
  <c r="AK134" i="13"/>
  <c r="BE67" i="16"/>
  <c r="AK156" i="7"/>
  <c r="AI156" i="7"/>
  <c r="AJ156" i="7"/>
  <c r="I13" i="19"/>
  <c r="AS127" i="7" l="1"/>
  <c r="AF27" i="16"/>
  <c r="AB27" i="16"/>
  <c r="AD27" i="16"/>
  <c r="AE54" i="10"/>
  <c r="AT321" i="7"/>
  <c r="AR70" i="10"/>
  <c r="AS13" i="19"/>
  <c r="AU240" i="7"/>
  <c r="AT30" i="10"/>
  <c r="AS71" i="13"/>
  <c r="AT47" i="10"/>
  <c r="C19" i="1"/>
  <c r="AE17" i="16"/>
  <c r="C16" i="1"/>
  <c r="BB19" i="13"/>
  <c r="BB29" i="16"/>
  <c r="AD22" i="19"/>
  <c r="AB22" i="19"/>
  <c r="AF22" i="19"/>
  <c r="BC15" i="19"/>
  <c r="AR50" i="13"/>
  <c r="AC17" i="16"/>
  <c r="AR53" i="7"/>
  <c r="C21" i="11"/>
  <c r="BB136" i="13"/>
  <c r="AT70" i="10"/>
  <c r="AB17" i="19"/>
  <c r="AD17" i="19"/>
  <c r="AF17" i="19"/>
  <c r="C18" i="17" s="1"/>
  <c r="AU319" i="7"/>
  <c r="C15" i="1"/>
  <c r="AS121" i="13"/>
  <c r="AT173" i="10"/>
  <c r="BB130" i="13"/>
  <c r="C26" i="14"/>
  <c r="F26" i="14" s="1"/>
  <c r="AT42" i="16"/>
  <c r="AS37" i="16"/>
  <c r="AS42" i="16"/>
  <c r="C21" i="14"/>
  <c r="AR42" i="16"/>
  <c r="BB54" i="16"/>
  <c r="AS16" i="16"/>
  <c r="AT16" i="16"/>
  <c r="AF22" i="16"/>
  <c r="AE29" i="16"/>
  <c r="AA29" i="16"/>
  <c r="C14" i="14" s="1"/>
  <c r="AC29" i="16"/>
  <c r="I68" i="16"/>
  <c r="AR21" i="16"/>
  <c r="I12" i="13"/>
  <c r="AB107" i="13"/>
  <c r="AF107" i="13"/>
  <c r="AD107" i="13"/>
  <c r="AU100" i="13"/>
  <c r="AT71" i="13"/>
  <c r="I137" i="13"/>
  <c r="AT129" i="13"/>
  <c r="AB128" i="13"/>
  <c r="AD128" i="13"/>
  <c r="AF128" i="13"/>
  <c r="AU73" i="13"/>
  <c r="AS94" i="13"/>
  <c r="AU106" i="13"/>
  <c r="AT50" i="13"/>
  <c r="C25" i="11"/>
  <c r="AS50" i="13"/>
  <c r="AE106" i="13"/>
  <c r="AA106" i="13"/>
  <c r="AC106" i="13"/>
  <c r="AB110" i="13"/>
  <c r="AD110" i="13"/>
  <c r="AF110" i="13"/>
  <c r="AD195" i="10"/>
  <c r="AB195" i="10"/>
  <c r="AF195" i="10"/>
  <c r="AA83" i="10"/>
  <c r="AC83" i="10"/>
  <c r="AE83" i="10"/>
  <c r="AA89" i="10"/>
  <c r="AE89" i="10"/>
  <c r="AC89" i="10"/>
  <c r="BB140" i="10"/>
  <c r="AT13" i="10"/>
  <c r="BB87" i="10"/>
  <c r="AR13" i="10"/>
  <c r="AA150" i="10"/>
  <c r="AE150" i="10"/>
  <c r="AC150" i="10"/>
  <c r="C27" i="8"/>
  <c r="F27" i="8" s="1"/>
  <c r="BB141" i="10"/>
  <c r="AT199" i="10"/>
  <c r="AR30" i="10"/>
  <c r="AS199" i="10"/>
  <c r="BB126" i="10"/>
  <c r="AC71" i="10"/>
  <c r="AE71" i="10"/>
  <c r="AA71" i="10"/>
  <c r="AS70" i="10"/>
  <c r="AR135" i="7"/>
  <c r="BB304" i="7"/>
  <c r="AS135" i="7"/>
  <c r="BB229" i="7"/>
  <c r="AU146" i="7"/>
  <c r="AF179" i="7"/>
  <c r="AD179" i="7"/>
  <c r="AB179" i="7"/>
  <c r="AD253" i="7"/>
  <c r="AB253" i="7"/>
  <c r="AF253" i="7"/>
  <c r="AD175" i="7"/>
  <c r="AF175" i="7"/>
  <c r="AB175" i="7"/>
  <c r="AC146" i="7"/>
  <c r="AA146" i="7"/>
  <c r="AE146" i="7"/>
  <c r="AF143" i="7"/>
  <c r="AD143" i="7"/>
  <c r="AB143" i="7"/>
  <c r="BB303" i="7"/>
  <c r="AU303" i="7"/>
  <c r="AS227" i="7"/>
  <c r="AD303" i="7"/>
  <c r="AF303" i="7"/>
  <c r="AB303" i="7"/>
  <c r="AR227" i="7"/>
  <c r="AT135" i="7"/>
  <c r="AD105" i="7"/>
  <c r="AB105" i="7"/>
  <c r="AF105" i="7"/>
  <c r="AT227" i="7"/>
  <c r="AS39" i="7"/>
  <c r="AU272" i="7"/>
  <c r="BB272" i="7"/>
  <c r="BB199" i="7"/>
  <c r="AU199" i="7"/>
  <c r="AC44" i="16"/>
  <c r="AE44" i="16"/>
  <c r="AA44" i="16"/>
  <c r="AD31" i="10"/>
  <c r="AF31" i="10"/>
  <c r="AB31" i="10"/>
  <c r="AA286" i="7"/>
  <c r="AC286" i="7"/>
  <c r="AE286" i="7"/>
  <c r="AS292" i="7"/>
  <c r="BB82" i="13"/>
  <c r="AU82" i="13"/>
  <c r="C20" i="5"/>
  <c r="AA33" i="16"/>
  <c r="AE33" i="16"/>
  <c r="AC33" i="16"/>
  <c r="AB176" i="10"/>
  <c r="AD176" i="10"/>
  <c r="AF176" i="10"/>
  <c r="AC199" i="7"/>
  <c r="AA199" i="7"/>
  <c r="AE199" i="7"/>
  <c r="I28" i="1"/>
  <c r="I29" i="1" s="1"/>
  <c r="AR37" i="16"/>
  <c r="AU329" i="7"/>
  <c r="BB329" i="7"/>
  <c r="AA55" i="10"/>
  <c r="AC55" i="10"/>
  <c r="AE55" i="10"/>
  <c r="AB107" i="10"/>
  <c r="AD107" i="10"/>
  <c r="AF107" i="10"/>
  <c r="AA103" i="13"/>
  <c r="AC103" i="13"/>
  <c r="AE103" i="13"/>
  <c r="AR94" i="13"/>
  <c r="AA200" i="10"/>
  <c r="AC200" i="10"/>
  <c r="AE200" i="10"/>
  <c r="C27" i="5"/>
  <c r="F27" i="5" s="1"/>
  <c r="AT13" i="7"/>
  <c r="AB32" i="7"/>
  <c r="AD32" i="7"/>
  <c r="AF32" i="7"/>
  <c r="AR98" i="7"/>
  <c r="BB44" i="16"/>
  <c r="AU44" i="16"/>
  <c r="BB61" i="10"/>
  <c r="AU61" i="10"/>
  <c r="AC205" i="7"/>
  <c r="AA205" i="7"/>
  <c r="AE205" i="7"/>
  <c r="BB286" i="7"/>
  <c r="AU286" i="7"/>
  <c r="AD166" i="7"/>
  <c r="AB166" i="7"/>
  <c r="AF166" i="7"/>
  <c r="AR173" i="10"/>
  <c r="BB72" i="13"/>
  <c r="AU72" i="13"/>
  <c r="AA109" i="13"/>
  <c r="AC109" i="13"/>
  <c r="AE109" i="13"/>
  <c r="AC187" i="7"/>
  <c r="AA187" i="7"/>
  <c r="AE187" i="7"/>
  <c r="AS186" i="10"/>
  <c r="AA165" i="10"/>
  <c r="AC165" i="10"/>
  <c r="AE165" i="10"/>
  <c r="AS65" i="7"/>
  <c r="C21" i="5"/>
  <c r="N13" i="3"/>
  <c r="P13" i="3"/>
  <c r="AB59" i="7"/>
  <c r="AD59" i="7"/>
  <c r="AF59" i="7"/>
  <c r="AC23" i="19"/>
  <c r="AG23" i="19"/>
  <c r="AE23" i="19"/>
  <c r="I12" i="16"/>
  <c r="AA113" i="13"/>
  <c r="AC113" i="13"/>
  <c r="AE113" i="13"/>
  <c r="AT37" i="16"/>
  <c r="AU155" i="10"/>
  <c r="AA228" i="7"/>
  <c r="AE228" i="7"/>
  <c r="AC228" i="7"/>
  <c r="AA61" i="7"/>
  <c r="AC61" i="7"/>
  <c r="AE61" i="7"/>
  <c r="BB33" i="16"/>
  <c r="AU33" i="16"/>
  <c r="AD181" i="7"/>
  <c r="AB181" i="7"/>
  <c r="AF181" i="7"/>
  <c r="AD44" i="16"/>
  <c r="AF44" i="16"/>
  <c r="AB44" i="16"/>
  <c r="C26" i="8"/>
  <c r="F26" i="8" s="1"/>
  <c r="AC170" i="7"/>
  <c r="AE170" i="7"/>
  <c r="AA170" i="7"/>
  <c r="AA128" i="7"/>
  <c r="AC128" i="7"/>
  <c r="AE128" i="7"/>
  <c r="AD134" i="7"/>
  <c r="AB134" i="7"/>
  <c r="AF134" i="7"/>
  <c r="AS30" i="10"/>
  <c r="C14" i="17"/>
  <c r="BB196" i="7"/>
  <c r="AU196" i="7"/>
  <c r="BB200" i="10"/>
  <c r="AU200" i="10"/>
  <c r="AA16" i="7"/>
  <c r="AC16" i="7"/>
  <c r="AE16" i="7"/>
  <c r="BC23" i="19"/>
  <c r="AV23" i="19"/>
  <c r="AU322" i="7"/>
  <c r="BB322" i="7"/>
  <c r="C25" i="5"/>
  <c r="AR13" i="7"/>
  <c r="AA191" i="10"/>
  <c r="AC191" i="10"/>
  <c r="AE191" i="10"/>
  <c r="AD14" i="7"/>
  <c r="AF14" i="7"/>
  <c r="AB14" i="7"/>
  <c r="BB190" i="7"/>
  <c r="AU190" i="7"/>
  <c r="AA20" i="13"/>
  <c r="AC20" i="13"/>
  <c r="AE20" i="13"/>
  <c r="I12" i="7"/>
  <c r="I331" i="7"/>
  <c r="BB173" i="7"/>
  <c r="AU173" i="7"/>
  <c r="C17" i="1"/>
  <c r="P12" i="3"/>
  <c r="N12" i="3"/>
  <c r="C25" i="14"/>
  <c r="I26" i="14" s="1"/>
  <c r="I27" i="14" s="1"/>
  <c r="C26" i="17"/>
  <c r="F26" i="17" s="1"/>
  <c r="AD17" i="16"/>
  <c r="AF17" i="16"/>
  <c r="AB17" i="16"/>
  <c r="AT121" i="13"/>
  <c r="BB178" i="7"/>
  <c r="AU178" i="7"/>
  <c r="BB89" i="10"/>
  <c r="AU89" i="10"/>
  <c r="AS279" i="7"/>
  <c r="AC221" i="7"/>
  <c r="AE221" i="7"/>
  <c r="AA221" i="7"/>
  <c r="AD199" i="7"/>
  <c r="AF199" i="7"/>
  <c r="AB199" i="7"/>
  <c r="BB184" i="7"/>
  <c r="AU184" i="7"/>
  <c r="AU13" i="19"/>
  <c r="BB22" i="7"/>
  <c r="AU22" i="7"/>
  <c r="AA14" i="7"/>
  <c r="AE14" i="7"/>
  <c r="AC14" i="7"/>
  <c r="BB40" i="7"/>
  <c r="BB24" i="10"/>
  <c r="AU31" i="10"/>
  <c r="BB31" i="10"/>
  <c r="AT134" i="10"/>
  <c r="BB176" i="10"/>
  <c r="AU176" i="10"/>
  <c r="AS21" i="16"/>
  <c r="AS52" i="10"/>
  <c r="AA329" i="7"/>
  <c r="AC329" i="7"/>
  <c r="AE329" i="7"/>
  <c r="BB181" i="7"/>
  <c r="AU181" i="7"/>
  <c r="AR299" i="7"/>
  <c r="AD212" i="7"/>
  <c r="AB212" i="7"/>
  <c r="AF212" i="7"/>
  <c r="AB294" i="7"/>
  <c r="AD294" i="7"/>
  <c r="AF294" i="7"/>
  <c r="BB21" i="13"/>
  <c r="AA317" i="7"/>
  <c r="AE317" i="7"/>
  <c r="AC317" i="7"/>
  <c r="AS129" i="13"/>
  <c r="BC17" i="19"/>
  <c r="AV17" i="19"/>
  <c r="C26" i="5"/>
  <c r="F26" i="5" s="1"/>
  <c r="AS13" i="7"/>
  <c r="BB193" i="7"/>
  <c r="AU193" i="7"/>
  <c r="AA30" i="7"/>
  <c r="AE30" i="7"/>
  <c r="AC30" i="7"/>
  <c r="AA72" i="13"/>
  <c r="AC72" i="13"/>
  <c r="AE72" i="13"/>
  <c r="AR65" i="7"/>
  <c r="AC196" i="7"/>
  <c r="AE196" i="7"/>
  <c r="AA196" i="7"/>
  <c r="AC193" i="7"/>
  <c r="AA193" i="7"/>
  <c r="AE193" i="7"/>
  <c r="AR24" i="13"/>
  <c r="AA22" i="7"/>
  <c r="AE22" i="7"/>
  <c r="AC22" i="7"/>
  <c r="AB82" i="13"/>
  <c r="AD82" i="13"/>
  <c r="AF82" i="13"/>
  <c r="AA40" i="10"/>
  <c r="AC40" i="10"/>
  <c r="AE40" i="10"/>
  <c r="AD116" i="7"/>
  <c r="AB116" i="7"/>
  <c r="AF116" i="7"/>
  <c r="AC190" i="7"/>
  <c r="AA190" i="7"/>
  <c r="AE190" i="7"/>
  <c r="AR164" i="7"/>
  <c r="AC173" i="7"/>
  <c r="AE173" i="7"/>
  <c r="AA173" i="7"/>
  <c r="AB103" i="13"/>
  <c r="AD103" i="13"/>
  <c r="AF103" i="13"/>
  <c r="AB20" i="13"/>
  <c r="AD20" i="13"/>
  <c r="AF20" i="13"/>
  <c r="AC178" i="7"/>
  <c r="AA178" i="7"/>
  <c r="AE178" i="7"/>
  <c r="AB89" i="10"/>
  <c r="AD89" i="10"/>
  <c r="AF89" i="10"/>
  <c r="AR279" i="7"/>
  <c r="AT292" i="7"/>
  <c r="AC158" i="7"/>
  <c r="AE158" i="7"/>
  <c r="AA158" i="7"/>
  <c r="AC184" i="7"/>
  <c r="AA184" i="7"/>
  <c r="AE184" i="7"/>
  <c r="BB162" i="10"/>
  <c r="BB14" i="7"/>
  <c r="AU14" i="7"/>
  <c r="AU48" i="7"/>
  <c r="BB48" i="7"/>
  <c r="BB28" i="13"/>
  <c r="AU14" i="16"/>
  <c r="BB14" i="16"/>
  <c r="BB97" i="13"/>
  <c r="AA107" i="10"/>
  <c r="AC107" i="10"/>
  <c r="AE107" i="10"/>
  <c r="AS134" i="10"/>
  <c r="BB212" i="7"/>
  <c r="AU212" i="7"/>
  <c r="AA176" i="10"/>
  <c r="AC176" i="10"/>
  <c r="AE176" i="10"/>
  <c r="AD187" i="7"/>
  <c r="AB187" i="7"/>
  <c r="AF187" i="7"/>
  <c r="AT21" i="16"/>
  <c r="AB55" i="10"/>
  <c r="AD55" i="10"/>
  <c r="AF55" i="10"/>
  <c r="AC181" i="7"/>
  <c r="AE181" i="7"/>
  <c r="AA181" i="7"/>
  <c r="BB166" i="7"/>
  <c r="AU166" i="7"/>
  <c r="BB317" i="7"/>
  <c r="AU317" i="7"/>
  <c r="AR129" i="13"/>
  <c r="AA207" i="7"/>
  <c r="AC207" i="7"/>
  <c r="AE207" i="7"/>
  <c r="AD128" i="7"/>
  <c r="AB128" i="7"/>
  <c r="AF128" i="7"/>
  <c r="C20" i="8"/>
  <c r="BB48" i="13"/>
  <c r="AU48" i="13"/>
  <c r="AA319" i="7"/>
  <c r="AC319" i="7"/>
  <c r="AE319" i="7"/>
  <c r="AC16" i="19"/>
  <c r="AE16" i="19"/>
  <c r="AG16" i="19"/>
  <c r="BB125" i="13"/>
  <c r="AA152" i="10"/>
  <c r="AC152" i="10"/>
  <c r="AE152" i="10"/>
  <c r="AT98" i="7"/>
  <c r="AT85" i="10"/>
  <c r="AT101" i="10"/>
  <c r="AU158" i="7"/>
  <c r="BB158" i="7"/>
  <c r="AD173" i="7"/>
  <c r="AF173" i="7"/>
  <c r="AB173" i="7"/>
  <c r="AD221" i="7"/>
  <c r="AB221" i="7"/>
  <c r="AF221" i="7"/>
  <c r="BB116" i="7"/>
  <c r="AU116" i="7"/>
  <c r="AT102" i="13"/>
  <c r="BB62" i="16"/>
  <c r="AU62" i="16"/>
  <c r="BB81" i="10"/>
  <c r="AR134" i="10"/>
  <c r="AC212" i="7"/>
  <c r="AE212" i="7"/>
  <c r="AA212" i="7"/>
  <c r="AS42" i="10"/>
  <c r="AF130" i="10"/>
  <c r="AB130" i="10"/>
  <c r="AD130" i="10"/>
  <c r="AB72" i="13"/>
  <c r="AD72" i="13"/>
  <c r="AF72" i="13"/>
  <c r="AU187" i="10"/>
  <c r="BB187" i="10"/>
  <c r="AT52" i="10"/>
  <c r="BB324" i="7"/>
  <c r="AU324" i="7"/>
  <c r="AC166" i="7"/>
  <c r="AA166" i="7"/>
  <c r="AE166" i="7"/>
  <c r="AU121" i="10"/>
  <c r="BB96" i="10"/>
  <c r="AU96" i="10"/>
  <c r="BB202" i="7"/>
  <c r="AU202" i="7"/>
  <c r="AA147" i="7"/>
  <c r="AE147" i="7"/>
  <c r="AC147" i="7"/>
  <c r="C14" i="1"/>
  <c r="AB33" i="16"/>
  <c r="AD33" i="16"/>
  <c r="AF33" i="16"/>
  <c r="AB322" i="7"/>
  <c r="AD322" i="7"/>
  <c r="AF322" i="7"/>
  <c r="BB134" i="7"/>
  <c r="AU134" i="7"/>
  <c r="AS13" i="13"/>
  <c r="C26" i="11"/>
  <c r="F26" i="11" s="1"/>
  <c r="AA91" i="10"/>
  <c r="AC91" i="10"/>
  <c r="AE91" i="10"/>
  <c r="AT299" i="7"/>
  <c r="AD87" i="10"/>
  <c r="AF87" i="10"/>
  <c r="AB87" i="10"/>
  <c r="AA134" i="7"/>
  <c r="AC134" i="7"/>
  <c r="AE134" i="7"/>
  <c r="AA82" i="13"/>
  <c r="AC82" i="13"/>
  <c r="AE82" i="13"/>
  <c r="BB30" i="7"/>
  <c r="AU30" i="7"/>
  <c r="BB16" i="7"/>
  <c r="AU16" i="7"/>
  <c r="AD77" i="10"/>
  <c r="AF77" i="10"/>
  <c r="AB77" i="10"/>
  <c r="AA31" i="10"/>
  <c r="AC31" i="10"/>
  <c r="AE31" i="10"/>
  <c r="AA48" i="13"/>
  <c r="AC48" i="13"/>
  <c r="AE48" i="13"/>
  <c r="AB109" i="13"/>
  <c r="AD109" i="13"/>
  <c r="AF109" i="13"/>
  <c r="AS299" i="7"/>
  <c r="AV14" i="19"/>
  <c r="BC14" i="19"/>
  <c r="C25" i="8"/>
  <c r="AB40" i="7"/>
  <c r="AD40" i="7"/>
  <c r="AF40" i="7"/>
  <c r="AG17" i="19"/>
  <c r="AC17" i="19"/>
  <c r="AE17" i="19"/>
  <c r="AB121" i="10"/>
  <c r="AD121" i="10"/>
  <c r="AF121" i="10"/>
  <c r="AD30" i="7"/>
  <c r="AF30" i="7"/>
  <c r="AB30" i="7"/>
  <c r="AS164" i="7"/>
  <c r="AT94" i="13"/>
  <c r="BB39" i="13"/>
  <c r="AU39" i="13"/>
  <c r="AS85" i="10"/>
  <c r="AR199" i="10"/>
  <c r="AS101" i="10"/>
  <c r="AA153" i="7"/>
  <c r="AC153" i="7"/>
  <c r="AE153" i="7"/>
  <c r="AR39" i="7"/>
  <c r="BB31" i="16"/>
  <c r="AU31" i="16"/>
  <c r="AB128" i="10"/>
  <c r="AD128" i="10"/>
  <c r="AF128" i="10"/>
  <c r="AB286" i="7"/>
  <c r="AD286" i="7"/>
  <c r="AF286" i="7"/>
  <c r="AD24" i="10"/>
  <c r="AF24" i="10"/>
  <c r="AB24" i="10"/>
  <c r="AA116" i="7"/>
  <c r="AC116" i="7"/>
  <c r="AE116" i="7"/>
  <c r="AS102" i="13"/>
  <c r="AF62" i="16"/>
  <c r="AB62" i="16"/>
  <c r="AD62" i="16"/>
  <c r="AA134" i="13"/>
  <c r="AC134" i="13"/>
  <c r="AE134" i="13"/>
  <c r="AA128" i="10"/>
  <c r="AC128" i="10"/>
  <c r="AE128" i="10"/>
  <c r="AR186" i="10"/>
  <c r="AU67" i="10"/>
  <c r="BB67" i="10"/>
  <c r="AT42" i="10"/>
  <c r="AA77" i="10"/>
  <c r="AC77" i="10"/>
  <c r="AE77" i="10"/>
  <c r="BB294" i="7"/>
  <c r="AU294" i="7"/>
  <c r="AR52" i="10"/>
  <c r="BB208" i="10"/>
  <c r="AU208" i="10"/>
  <c r="I12" i="10"/>
  <c r="I209" i="10"/>
  <c r="BB58" i="13"/>
  <c r="AU107" i="10"/>
  <c r="AB96" i="10"/>
  <c r="AD96" i="10"/>
  <c r="AF96" i="10"/>
  <c r="AC202" i="7"/>
  <c r="AA202" i="7"/>
  <c r="AE202" i="7"/>
  <c r="C18" i="1"/>
  <c r="BB191" i="10"/>
  <c r="AU191" i="10"/>
  <c r="BB20" i="13"/>
  <c r="AU20" i="13"/>
  <c r="C21" i="8"/>
  <c r="AR292" i="7"/>
  <c r="BB221" i="7"/>
  <c r="AU221" i="7"/>
  <c r="AB329" i="7"/>
  <c r="AD329" i="7"/>
  <c r="AF329" i="7"/>
  <c r="AT13" i="13"/>
  <c r="C27" i="11"/>
  <c r="F27" i="11" s="1"/>
  <c r="AU32" i="7"/>
  <c r="BB32" i="7"/>
  <c r="AA322" i="7"/>
  <c r="AC322" i="7"/>
  <c r="AE322" i="7"/>
  <c r="I24" i="19"/>
  <c r="I12" i="19"/>
  <c r="AB208" i="10"/>
  <c r="AD208" i="10"/>
  <c r="AF208" i="10"/>
  <c r="AU55" i="10"/>
  <c r="BB55" i="10"/>
  <c r="C20" i="11"/>
  <c r="AD22" i="7"/>
  <c r="AF22" i="7"/>
  <c r="AB22" i="7"/>
  <c r="AT164" i="7"/>
  <c r="BB103" i="13"/>
  <c r="AU103" i="13"/>
  <c r="AB48" i="13"/>
  <c r="AD48" i="13"/>
  <c r="AF48" i="13"/>
  <c r="AR85" i="10"/>
  <c r="AR101" i="10"/>
  <c r="BB205" i="7"/>
  <c r="AU205" i="7"/>
  <c r="AT39" i="7"/>
  <c r="AB319" i="7"/>
  <c r="AF319" i="7"/>
  <c r="AD319" i="7"/>
  <c r="AD191" i="10"/>
  <c r="AB191" i="10"/>
  <c r="AF191" i="10"/>
  <c r="AD205" i="7"/>
  <c r="AB205" i="7"/>
  <c r="AF205" i="7"/>
  <c r="AS173" i="10"/>
  <c r="AR102" i="13"/>
  <c r="BB109" i="13"/>
  <c r="AU109" i="13"/>
  <c r="BB187" i="7"/>
  <c r="AU187" i="7"/>
  <c r="AT186" i="10"/>
  <c r="AT65" i="7"/>
  <c r="AR42" i="10"/>
  <c r="AU77" i="10"/>
  <c r="BB77" i="10"/>
  <c r="AA294" i="7"/>
  <c r="AC294" i="7"/>
  <c r="AE294" i="7"/>
  <c r="AB114" i="10"/>
  <c r="AD114" i="10"/>
  <c r="AF114" i="10"/>
  <c r="BB311" i="7"/>
  <c r="AU311" i="7"/>
  <c r="BB228" i="7"/>
  <c r="AU228" i="7"/>
  <c r="BB61" i="7"/>
  <c r="AU61" i="7"/>
  <c r="AA208" i="10"/>
  <c r="AC208" i="10"/>
  <c r="AE208" i="10"/>
  <c r="BB170" i="7"/>
  <c r="AU170" i="7"/>
  <c r="AD193" i="7"/>
  <c r="AB193" i="7"/>
  <c r="AF193" i="7"/>
  <c r="BB128" i="7"/>
  <c r="AU128" i="7"/>
  <c r="C16" i="17"/>
  <c r="C16" i="14" l="1"/>
  <c r="C22" i="1"/>
  <c r="C17" i="11"/>
  <c r="C15" i="8"/>
  <c r="C17" i="14"/>
  <c r="C18" i="14"/>
  <c r="C15" i="14"/>
  <c r="C19" i="14"/>
  <c r="I26" i="11"/>
  <c r="I27" i="11" s="1"/>
  <c r="C15" i="11"/>
  <c r="C19" i="11"/>
  <c r="C18" i="8"/>
  <c r="C14" i="8"/>
  <c r="C19" i="8"/>
  <c r="C17" i="8"/>
  <c r="C22" i="8" s="1"/>
  <c r="C16" i="8"/>
  <c r="C18" i="5"/>
  <c r="C18" i="11"/>
  <c r="C14" i="5"/>
  <c r="C16" i="11"/>
  <c r="K17" i="3"/>
  <c r="C17" i="17"/>
  <c r="I26" i="17"/>
  <c r="I27" i="17" s="1"/>
  <c r="I26" i="5"/>
  <c r="I27" i="5" s="1"/>
  <c r="C14" i="11"/>
  <c r="C19" i="17"/>
  <c r="C15" i="17"/>
  <c r="C22" i="17" s="1"/>
  <c r="C15" i="5"/>
  <c r="I26" i="8"/>
  <c r="I27" i="8" s="1"/>
  <c r="C19" i="5"/>
  <c r="C16" i="5"/>
  <c r="C17" i="5"/>
  <c r="C22" i="14" l="1"/>
  <c r="C22" i="5"/>
  <c r="C22" i="11"/>
</calcChain>
</file>

<file path=xl/sharedStrings.xml><?xml version="1.0" encoding="utf-8"?>
<sst xmlns="http://schemas.openxmlformats.org/spreadsheetml/2006/main" count="11327" uniqueCount="1256">
  <si>
    <t>s dodáním štěrkopísku frakce 0 - 22 mm</t>
  </si>
  <si>
    <t>92</t>
  </si>
  <si>
    <t>0,9*1,9*2</t>
  </si>
  <si>
    <t>899731114R00</t>
  </si>
  <si>
    <t>Založení trávníku parkového, rovina, dodání osiva</t>
  </si>
  <si>
    <t>165</t>
  </si>
  <si>
    <t>Doba výstavby:</t>
  </si>
  <si>
    <t>Hloubené vykopávky</t>
  </si>
  <si>
    <t>198</t>
  </si>
  <si>
    <t>297</t>
  </si>
  <si>
    <t>261</t>
  </si>
  <si>
    <t>1,0*1,7*(1,9-0,432-0,45)+1,0*4,61*(1,9-0,432-0,1)</t>
  </si>
  <si>
    <t>162701105R00</t>
  </si>
  <si>
    <t>323</t>
  </si>
  <si>
    <t>356+84</t>
  </si>
  <si>
    <t>Nákružek lemový PE 100 d  110 mm s otočnou přírubou</t>
  </si>
  <si>
    <t>Projektant</t>
  </si>
  <si>
    <t>Výřez PVC potrubí DN 150</t>
  </si>
  <si>
    <t>67</t>
  </si>
  <si>
    <t>Nákružek lemový PE 100 d 225 mm s otočnou přírubou</t>
  </si>
  <si>
    <t>55119012</t>
  </si>
  <si>
    <t>Mosazná spojka pro bezzávitové spojení plastového potrubí d 50 s ocelovým potrubím 6/4"</t>
  </si>
  <si>
    <t>Ostatní rozpočtové náklady (VORN)</t>
  </si>
  <si>
    <t>209</t>
  </si>
  <si>
    <t>272</t>
  </si>
  <si>
    <t>422947218R</t>
  </si>
  <si>
    <t>226</t>
  </si>
  <si>
    <t>M22</t>
  </si>
  <si>
    <t>283</t>
  </si>
  <si>
    <t>Vedlejší a ostatní rozpočtové náklady (SO 04 - Nová vodovodní přípojka VP 26)</t>
  </si>
  <si>
    <t>Základ 15%</t>
  </si>
  <si>
    <t>Plastová fixační aretační podložka pod šoupátkové poklopy</t>
  </si>
  <si>
    <t>183</t>
  </si>
  <si>
    <t>cílová jáma</t>
  </si>
  <si>
    <t>jámy</t>
  </si>
  <si>
    <t>42227208</t>
  </si>
  <si>
    <t>Vedlejší a ostatní rozpočtové náklady VORN</t>
  </si>
  <si>
    <t>Poklop litinový - ventilový</t>
  </si>
  <si>
    <t>103</t>
  </si>
  <si>
    <t>Obsyp potrubí bez prohození sypaniny</t>
  </si>
  <si>
    <t>080100102</t>
  </si>
  <si>
    <t>ID dle D.2.06 - T.02</t>
  </si>
  <si>
    <t>4,9*1,0*0,325</t>
  </si>
  <si>
    <t>306,0*1,1*0,525</t>
  </si>
  <si>
    <t>ID dle D.1.06 - TV.13</t>
  </si>
  <si>
    <t>Montáž elektrotvarovek na potrubí z plastických hmot v otevřeném výkopu - PE 90</t>
  </si>
  <si>
    <t>166</t>
  </si>
  <si>
    <t>Předklášteří</t>
  </si>
  <si>
    <t>Rozepření stěn pažení - příložné -  hl. do 4 m</t>
  </si>
  <si>
    <t>29,583-9,589</t>
  </si>
  <si>
    <t>42227205</t>
  </si>
  <si>
    <t>552702102</t>
  </si>
  <si>
    <t>228</t>
  </si>
  <si>
    <t>Poplatek za uložení suti - beton, skupina odpadu 170101</t>
  </si>
  <si>
    <t>91</t>
  </si>
  <si>
    <t>87</t>
  </si>
  <si>
    <t>ID dle D.1.06 - PVP.05</t>
  </si>
  <si>
    <t>Vsuvka podpůrná ISIFLO typ T-180, d 50 mm</t>
  </si>
  <si>
    <t>Šoupátko přírubové F4, DN 100</t>
  </si>
  <si>
    <t>Základ 21%</t>
  </si>
  <si>
    <t>Betonová prefabrikovaná šachta pojížděná</t>
  </si>
  <si>
    <t>20</t>
  </si>
  <si>
    <t>03VRN</t>
  </si>
  <si>
    <t>ID dle D.2.06 - T.04</t>
  </si>
  <si>
    <t>237</t>
  </si>
  <si>
    <t>564851111RT4</t>
  </si>
  <si>
    <t>Montáž vodovodních šoupátek ve výkopu DN 150</t>
  </si>
  <si>
    <t>NUS celkem z obj.</t>
  </si>
  <si>
    <t>42294108</t>
  </si>
  <si>
    <t>877272203</t>
  </si>
  <si>
    <t>Šoupátko přípojkové přímé, DN 40, 2" závitem a ISO hrdlem pro PE potrubí d 50</t>
  </si>
  <si>
    <t>2,3*1,21</t>
  </si>
  <si>
    <t>167</t>
  </si>
  <si>
    <t>Montáž trubek polyetylenových ve výkopu d 160 mm</t>
  </si>
  <si>
    <t>Montáž vodovodních šoupátek ve výkopu DN 80</t>
  </si>
  <si>
    <t>Poklop litinový - šoupátkový</t>
  </si>
  <si>
    <t>Příplatek za ztížení vykopávky v blízkosti vedení</t>
  </si>
  <si>
    <t>87_</t>
  </si>
  <si>
    <t>Slepý stavební rozpočet (SO 04 - Nová vodovodní přípojka VP 26)</t>
  </si>
  <si>
    <t>Zkouška únosnosti</t>
  </si>
  <si>
    <t>VP16</t>
  </si>
  <si>
    <t>171</t>
  </si>
  <si>
    <t>v zeleni</t>
  </si>
  <si>
    <t>147</t>
  </si>
  <si>
    <t>ID dle D.1.06 - OM.13</t>
  </si>
  <si>
    <t>891269191RA1</t>
  </si>
  <si>
    <t>Název stavby:</t>
  </si>
  <si>
    <t>Ostatní materiál</t>
  </si>
  <si>
    <t>48</t>
  </si>
  <si>
    <t>29</t>
  </si>
  <si>
    <t>Potrubí z trub plastických, skleněných a čedičových</t>
  </si>
  <si>
    <t>Potrubí PE 100 RC SDR 11 s ochranným pláštěm 160x14,6 mm</t>
  </si>
  <si>
    <t>VON_0_</t>
  </si>
  <si>
    <t>Č</t>
  </si>
  <si>
    <t>9,009+0,16</t>
  </si>
  <si>
    <t>89_</t>
  </si>
  <si>
    <t>Slepý stavební rozpočet - Jen objekty celkem</t>
  </si>
  <si>
    <t>Přípl.za lepivost,hloubení rýh 200cm,hor.3,STROJNĚ</t>
  </si>
  <si>
    <t>58344199</t>
  </si>
  <si>
    <t>Osazení stojat. obrub.bet. s opěrou,lože z C 12/15</t>
  </si>
  <si>
    <t>ID dle D.1.06 - PVP.03</t>
  </si>
  <si>
    <t>Poznámka:</t>
  </si>
  <si>
    <t>1,5*1,0*0,1</t>
  </si>
  <si>
    <t>28653158.A</t>
  </si>
  <si>
    <t>Lokalita:</t>
  </si>
  <si>
    <t>79</t>
  </si>
  <si>
    <t>71</t>
  </si>
  <si>
    <t>16</t>
  </si>
  <si>
    <t>odpočet ornice</t>
  </si>
  <si>
    <t>552700808</t>
  </si>
  <si>
    <t>PSV</t>
  </si>
  <si>
    <t>189</t>
  </si>
  <si>
    <t>24</t>
  </si>
  <si>
    <t>Bez pevné podl.</t>
  </si>
  <si>
    <t>Celkem</t>
  </si>
  <si>
    <t>96,8</t>
  </si>
  <si>
    <t>zámková dlažba</t>
  </si>
  <si>
    <t>Hloubení rýh š.do 200 cm hor.3 do 50 m3,STROJNĚ</t>
  </si>
  <si>
    <t>Zařízení staveniště</t>
  </si>
  <si>
    <t>1,0*2,6*0,332+1,0*2,4*0,332</t>
  </si>
  <si>
    <t>ID dle D.2.06 - OM.11</t>
  </si>
  <si>
    <t>899731999</t>
  </si>
  <si>
    <t>(1230+39,11)-(619,09+25,39)</t>
  </si>
  <si>
    <t>28653148.</t>
  </si>
  <si>
    <t>11_</t>
  </si>
  <si>
    <t>Orientační tabulka na vodovodních řadech</t>
  </si>
  <si>
    <t>hrdlové, pružný spoj, ve výkopu</t>
  </si>
  <si>
    <t>4</t>
  </si>
  <si>
    <t>97</t>
  </si>
  <si>
    <t>ID dle D.1.06 - A.04</t>
  </si>
  <si>
    <t>121</t>
  </si>
  <si>
    <t>94</t>
  </si>
  <si>
    <t>145</t>
  </si>
  <si>
    <t>Šoupátko přírubové měkcetěsnicí, F4, DN 80</t>
  </si>
  <si>
    <t>Rozprostření ornice, svah, tl. 10-15 cm, do 500 m2</t>
  </si>
  <si>
    <t>60</t>
  </si>
  <si>
    <t>1,5*1,0*1,35*2</t>
  </si>
  <si>
    <t>Základní rozpočtové náklady</t>
  </si>
  <si>
    <t>979054441R00</t>
  </si>
  <si>
    <t>ID dle D.1.06 - VP.06</t>
  </si>
  <si>
    <t>235</t>
  </si>
  <si>
    <t>857354121R00</t>
  </si>
  <si>
    <t>26</t>
  </si>
  <si>
    <t>Osazení poklopů litinových šoupátkových</t>
  </si>
  <si>
    <t>Dlažba betonová plošná 30/30/5 II natural</t>
  </si>
  <si>
    <t>105</t>
  </si>
  <si>
    <t>4,9*1,0*(1,9-0,432-0,45)</t>
  </si>
  <si>
    <t>Přírubový adaptér univerzální PN 16 DN 100</t>
  </si>
  <si>
    <t>135</t>
  </si>
  <si>
    <t>Demontáž ocelového potrubí DN 80</t>
  </si>
  <si>
    <t>Konstrukce ze zemin</t>
  </si>
  <si>
    <t>Osazení stojatého obrubníku betonového, s boční opěrou, do lože z betonu C 25/30</t>
  </si>
  <si>
    <t>Odbočka přírub. T kus DN 150x80</t>
  </si>
  <si>
    <t>4,0*1,5*0,525</t>
  </si>
  <si>
    <t>253</t>
  </si>
  <si>
    <t>ID dle D.1.06 - OM.08</t>
  </si>
  <si>
    <t>Celkem bez DPH</t>
  </si>
  <si>
    <t>20*0,1</t>
  </si>
  <si>
    <t>122</t>
  </si>
  <si>
    <t>VP14</t>
  </si>
  <si>
    <t>VON_ _</t>
  </si>
  <si>
    <t>Vedlejší a ostatní rozpočtové náklady</t>
  </si>
  <si>
    <t>268</t>
  </si>
  <si>
    <t>291</t>
  </si>
  <si>
    <t>SO 04_1_</t>
  </si>
  <si>
    <t>138</t>
  </si>
  <si>
    <t>ID dle D.1.06 - OM.09</t>
  </si>
  <si>
    <t>Montáž trubek polyetylenových ve výkopu d 225 mm</t>
  </si>
  <si>
    <t>172</t>
  </si>
  <si>
    <t>Hmotnost (t)</t>
  </si>
  <si>
    <t>ID dle D.2.06 - VP.10</t>
  </si>
  <si>
    <t>Odstranění rozepření stěn - příložné - hl. do 4 m</t>
  </si>
  <si>
    <t>42294204</t>
  </si>
  <si>
    <t>242</t>
  </si>
  <si>
    <t>223</t>
  </si>
  <si>
    <t>Slepý stavební rozpočet (SO 03 - Přepojení vodovodních přípojek VP11, 13, 14, 16)</t>
  </si>
  <si>
    <t>ID dle D.2.06 - TV.11</t>
  </si>
  <si>
    <t>6</t>
  </si>
  <si>
    <t>Rozpočtové náklady v Kč</t>
  </si>
  <si>
    <t>Montáž elektrotvarovek na potrubí z plastických hmot v otevřeném výkopu - PE 110 mm</t>
  </si>
  <si>
    <t>-3,14159*0,113*0,113*4,0</t>
  </si>
  <si>
    <t>68</t>
  </si>
  <si>
    <t>307</t>
  </si>
  <si>
    <t>ID dle D.1.06 - OM.07</t>
  </si>
  <si>
    <t>Potrubí PE 100 RC SDR 11 s ochranným pláštěm 110x10 mm PN16</t>
  </si>
  <si>
    <t>81</t>
  </si>
  <si>
    <t>28613109.M</t>
  </si>
  <si>
    <t>216</t>
  </si>
  <si>
    <t>vč. zatažení trubky</t>
  </si>
  <si>
    <t>871240002R</t>
  </si>
  <si>
    <t>ID dle D.1.06 - OM.05</t>
  </si>
  <si>
    <t>2,0*1,5*1,9</t>
  </si>
  <si>
    <t>B</t>
  </si>
  <si>
    <t>119</t>
  </si>
  <si>
    <t>160</t>
  </si>
  <si>
    <t>Náklady na umístění stavby (NUS)</t>
  </si>
  <si>
    <t>42</t>
  </si>
  <si>
    <t>ID dle D.2.06 - OM.01</t>
  </si>
  <si>
    <t>ID dle D.1.06 - OB.03</t>
  </si>
  <si>
    <t>231</t>
  </si>
  <si>
    <t>82</t>
  </si>
  <si>
    <t>Montáž</t>
  </si>
  <si>
    <t>899721112R00</t>
  </si>
  <si>
    <t>ID dle D.1.06 - T.02</t>
  </si>
  <si>
    <t>ID dle D.1.06 - TV.02</t>
  </si>
  <si>
    <t>5,7*0,5</t>
  </si>
  <si>
    <t>229</t>
  </si>
  <si>
    <t>Datum, razítko a podpis</t>
  </si>
  <si>
    <t>ZRN celkem</t>
  </si>
  <si>
    <t>(3,0*1,5+1,0*1,2)*0,1</t>
  </si>
  <si>
    <t>10001005</t>
  </si>
  <si>
    <t>rozšíření pro vyvedení přípojek</t>
  </si>
  <si>
    <t>979093111R00</t>
  </si>
  <si>
    <t>42294203</t>
  </si>
  <si>
    <t>286538120</t>
  </si>
  <si>
    <t>Odstranění podkladu nad 50 m2,kam.drcené tl.35 cm</t>
  </si>
  <si>
    <t>štěrkodrť ŠDa frakce 0-32 mm</t>
  </si>
  <si>
    <t>25,39</t>
  </si>
  <si>
    <t>3*1,1*1,0*1,0</t>
  </si>
  <si>
    <t>565141111RT3</t>
  </si>
  <si>
    <t>SO 03_4_</t>
  </si>
  <si>
    <t>1,5*1,0*0,1*2</t>
  </si>
  <si>
    <t>ID dle D.1.06 - TV.19</t>
  </si>
  <si>
    <t>17_</t>
  </si>
  <si>
    <t>ID dle D.1.06 - TV.04</t>
  </si>
  <si>
    <t>891351899</t>
  </si>
  <si>
    <t>979990103R00</t>
  </si>
  <si>
    <t>69</t>
  </si>
  <si>
    <t>304</t>
  </si>
  <si>
    <t>141</t>
  </si>
  <si>
    <t>Montáž vodovodních šoupátek ve výkopu DN 100</t>
  </si>
  <si>
    <t>Dlažba skladebná 200 x 100 x 60 mm přírodní</t>
  </si>
  <si>
    <t>33</t>
  </si>
  <si>
    <t>270</t>
  </si>
  <si>
    <t>258</t>
  </si>
  <si>
    <t>263</t>
  </si>
  <si>
    <t>Vytýčení inženýrských sítí</t>
  </si>
  <si>
    <t>286134118R</t>
  </si>
  <si>
    <t>(224,235+8,1+5,4+2,025+4,988)*2,025</t>
  </si>
  <si>
    <t>DPH 15%</t>
  </si>
  <si>
    <t>3,0*1,5+1,0*1,2</t>
  </si>
  <si>
    <t>SO 04_72_</t>
  </si>
  <si>
    <t>871181121R00</t>
  </si>
  <si>
    <t>3,0*1,5*0,39+1,0*1,2*0,39</t>
  </si>
  <si>
    <t>78</t>
  </si>
  <si>
    <t>ID dle D.1.06 - PV.01</t>
  </si>
  <si>
    <t>SO 01_8_</t>
  </si>
  <si>
    <t>Pažení a rozepření stěn rýh - příložné - hl.do 2 m</t>
  </si>
  <si>
    <t>Krycí list slepého rozpočtu</t>
  </si>
  <si>
    <t>120</t>
  </si>
  <si>
    <t>63</t>
  </si>
  <si>
    <t>Vedlejší a ostatní rozpočtové náklady (VON - Vedlejší a ostatní náklady)</t>
  </si>
  <si>
    <t>891261111R00</t>
  </si>
  <si>
    <t>230</t>
  </si>
  <si>
    <t>0,459</t>
  </si>
  <si>
    <t>03VRN_</t>
  </si>
  <si>
    <t>Řízené protlačení a vtažení PE d 90 mm, hor.1 - 4</t>
  </si>
  <si>
    <t>42228310</t>
  </si>
  <si>
    <t>ID dle D.1.06 - NVP.05</t>
  </si>
  <si>
    <t>28653085.</t>
  </si>
  <si>
    <t>322</t>
  </si>
  <si>
    <t>154</t>
  </si>
  <si>
    <t>SO 02</t>
  </si>
  <si>
    <t>192</t>
  </si>
  <si>
    <t>132201210R00</t>
  </si>
  <si>
    <t>Geodetické vytýčení stavby</t>
  </si>
  <si>
    <t>NN</t>
  </si>
  <si>
    <t>137</t>
  </si>
  <si>
    <t>324</t>
  </si>
  <si>
    <t>196,753+283,861+0,55</t>
  </si>
  <si>
    <t>178</t>
  </si>
  <si>
    <t>286134704R</t>
  </si>
  <si>
    <t>Základna</t>
  </si>
  <si>
    <t>25</t>
  </si>
  <si>
    <t>195</t>
  </si>
  <si>
    <t>kus</t>
  </si>
  <si>
    <t>Odkopávky a prokopávky</t>
  </si>
  <si>
    <t>286531592.AR</t>
  </si>
  <si>
    <t>SO 04_4_</t>
  </si>
  <si>
    <t>1,0*6,5*0,332</t>
  </si>
  <si>
    <t>Dodávky</t>
  </si>
  <si>
    <t>219</t>
  </si>
  <si>
    <t>soustava</t>
  </si>
  <si>
    <t>Rozebrání dlažeb z velkých kostek v kam. těženém</t>
  </si>
  <si>
    <t>Sejmutí ornice, pl. do 400 m2, přemístění do 50 m</t>
  </si>
  <si>
    <t>ID dle D.1.06 - PVP.04</t>
  </si>
  <si>
    <t>ID dle D.1.06 - VP.08</t>
  </si>
  <si>
    <t>1,0*1,7*0,1+1,0*1,7*0,1</t>
  </si>
  <si>
    <t>Ostatní mat.</t>
  </si>
  <si>
    <t>292</t>
  </si>
  <si>
    <t>1,0*1,7*0,332+1,0*1,7*0,332</t>
  </si>
  <si>
    <t>ID dle D.1.06 - TV.05</t>
  </si>
  <si>
    <t>Ostatní náklady</t>
  </si>
  <si>
    <t>vč. odvozu a likvidace</t>
  </si>
  <si>
    <t>286134701R</t>
  </si>
  <si>
    <t>Oblouk 11° PE100 RC SDR17 typ L  225 x 13,4 mm</t>
  </si>
  <si>
    <t>Beton asfalt. ACL 16+ ložný, š. do 3 m, tl. 6 cm</t>
  </si>
  <si>
    <t>2,3*0,39</t>
  </si>
  <si>
    <t>130</t>
  </si>
  <si>
    <t>Kladení dlaždic kom.pro pěší, lože z kameniva těž.</t>
  </si>
  <si>
    <t>306,0*1,9*2</t>
  </si>
  <si>
    <t>Podklad ze štěrkodrti po zhutnění tloušťky 20 cm</t>
  </si>
  <si>
    <t>Cenová</t>
  </si>
  <si>
    <t>1,0*0,9*0,332</t>
  </si>
  <si>
    <t>kraj Jihomoravský</t>
  </si>
  <si>
    <t>Montáž podpůrných vsuvek pro potrubí d225</t>
  </si>
  <si>
    <t>281</t>
  </si>
  <si>
    <t>12*1,0*1,0*(1,9-0,625-0,6)</t>
  </si>
  <si>
    <t>STL DN 32</t>
  </si>
  <si>
    <t>310</t>
  </si>
  <si>
    <t>891351898</t>
  </si>
  <si>
    <t>133</t>
  </si>
  <si>
    <t>22,0*(1,8-0,45)</t>
  </si>
  <si>
    <t>254</t>
  </si>
  <si>
    <t>1,0*2,6</t>
  </si>
  <si>
    <t>39,11</t>
  </si>
  <si>
    <t>422915501</t>
  </si>
  <si>
    <t>175</t>
  </si>
  <si>
    <t>170</t>
  </si>
  <si>
    <t>HSV prac</t>
  </si>
  <si>
    <t>139</t>
  </si>
  <si>
    <t>včetně pohotovosti čerpací soupravy</t>
  </si>
  <si>
    <t>4,0*1,1*(1,9-0,625-0,1)</t>
  </si>
  <si>
    <t>129</t>
  </si>
  <si>
    <t>ID dle D.2.06 - TV.07</t>
  </si>
  <si>
    <t>ID dle D.1.06 - VP.10</t>
  </si>
  <si>
    <t>151</t>
  </si>
  <si>
    <t>113107635R00</t>
  </si>
  <si>
    <t>871311121R00</t>
  </si>
  <si>
    <t>ID dle D.1.06 - TV.08</t>
  </si>
  <si>
    <t>9,169*19</t>
  </si>
  <si>
    <t>10001003</t>
  </si>
  <si>
    <t>Čerpání vody na výšku 10 m, do 500 l</t>
  </si>
  <si>
    <t>13</t>
  </si>
  <si>
    <t>ID dle D.1.06 - PV.06</t>
  </si>
  <si>
    <t>Lože pod potrubí z kameniva těženého 0 - 4 mm</t>
  </si>
  <si>
    <t>289</t>
  </si>
  <si>
    <t>325</t>
  </si>
  <si>
    <t>232</t>
  </si>
  <si>
    <t>-302,0*1,1*0,45</t>
  </si>
  <si>
    <t>"M"</t>
  </si>
  <si>
    <t>-3,14159*0,113*0,113*1,1*2</t>
  </si>
  <si>
    <t>pod kačírkem</t>
  </si>
  <si>
    <t>VORN celkem z obj.</t>
  </si>
  <si>
    <t>Montáž elektrotvarovek na potrubí z plastických hmot v otevřeném výkopu - PE 225 mm</t>
  </si>
  <si>
    <t>H27_</t>
  </si>
  <si>
    <t>DN 200, mříž litina 500x500 EUROPA 40 t, hl.1,64 m</t>
  </si>
  <si>
    <t>140</t>
  </si>
  <si>
    <t>97_</t>
  </si>
  <si>
    <t>včetně odvozu, likvidace</t>
  </si>
  <si>
    <t>Dvoupřírubový FF kus DN 80, L= 200 mm</t>
  </si>
  <si>
    <t>Hloubení rýh š.do 200 cm hor.3 do 1000m3,STROJNĚ</t>
  </si>
  <si>
    <t>151101301R00</t>
  </si>
  <si>
    <t>vn. rozměr 1,2x0,9, hl. 1,86 m, poklop</t>
  </si>
  <si>
    <t>Dokumentace skutečného provedení stavby</t>
  </si>
  <si>
    <t>180</t>
  </si>
  <si>
    <t>171201201R00</t>
  </si>
  <si>
    <t>Cena/MJ</t>
  </si>
  <si>
    <t>1,0*2,6*(1,9-0,432-0,45)+1,0*2,4*(1,9-0,432-0,1)</t>
  </si>
  <si>
    <t>Konec výstavby:</t>
  </si>
  <si>
    <t>28600126R</t>
  </si>
  <si>
    <t>ID dle 2.06 - T.03</t>
  </si>
  <si>
    <t>ID dle D.1.06 - OB.01</t>
  </si>
  <si>
    <t>979990112R00</t>
  </si>
  <si>
    <t>1,0*1,7*(1,9-0,432-0,45)</t>
  </si>
  <si>
    <t>127</t>
  </si>
  <si>
    <t>2,0*1,8*2</t>
  </si>
  <si>
    <t>286539907</t>
  </si>
  <si>
    <t>Kód</t>
  </si>
  <si>
    <t>S</t>
  </si>
  <si>
    <t>43</t>
  </si>
  <si>
    <t>200</t>
  </si>
  <si>
    <t>Očištění vybour. dlaždic s výplní kamen. těženým</t>
  </si>
  <si>
    <t>113107535R00</t>
  </si>
  <si>
    <t>3*1,0*1,0*1,0</t>
  </si>
  <si>
    <t>Montáž elektrotvarovek na potrubí z plastických hmot v otevřeném výkopu - PE 160</t>
  </si>
  <si>
    <t>PE 100 RC SDR 11 s OP d 90</t>
  </si>
  <si>
    <t>Vedlejší a ostatní rozpočtové náklady (SO 02 - Řad V2 - ul. Krátká)</t>
  </si>
  <si>
    <t>Fréz.živič.krytu pl.nad 500 m2,pruh do 75 cm,tl.4cm</t>
  </si>
  <si>
    <t>40,322*10</t>
  </si>
  <si>
    <t>Deska podkladová pod ventilkové poklopy plastová, fixační</t>
  </si>
  <si>
    <t>276</t>
  </si>
  <si>
    <t>1,1</t>
  </si>
  <si>
    <t>120001101R00</t>
  </si>
  <si>
    <t>33,61*0,5</t>
  </si>
  <si>
    <t>080100103</t>
  </si>
  <si>
    <t>221</t>
  </si>
  <si>
    <t>979024441R00</t>
  </si>
  <si>
    <t>Krycí list slepého rozpočtu (SO 02 - Řad V2 - ul. Krátká)</t>
  </si>
  <si>
    <t>891351812</t>
  </si>
  <si>
    <t>Vybourání stávající uliční vpusti</t>
  </si>
  <si>
    <t>MJ</t>
  </si>
  <si>
    <t>2*3,0*2,2+2*2,5*1,8</t>
  </si>
  <si>
    <t>45</t>
  </si>
  <si>
    <t>40</t>
  </si>
  <si>
    <t>SO 03_8_</t>
  </si>
  <si>
    <t>141700102R00</t>
  </si>
  <si>
    <t>Osazení poklopů litinových hydrantových</t>
  </si>
  <si>
    <t>ID dle D.2.06 - OB.01</t>
  </si>
  <si>
    <t>319</t>
  </si>
  <si>
    <t>(18,92+5,187)*2,025</t>
  </si>
  <si>
    <t>42294206</t>
  </si>
  <si>
    <t>1,0*2,6*0,1+1,0*2,4*0,1</t>
  </si>
  <si>
    <t>Doplňující konstrukce a práce na pozemních komunikacích a zpevněných plochách</t>
  </si>
  <si>
    <t>SO 03_1_</t>
  </si>
  <si>
    <t>877272202</t>
  </si>
  <si>
    <t>Doplňkové náklady</t>
  </si>
  <si>
    <t>224</t>
  </si>
  <si>
    <t>356</t>
  </si>
  <si>
    <t>ID dle D.1.06 - TV.12</t>
  </si>
  <si>
    <t>132</t>
  </si>
  <si>
    <t>1,5*1,0*(1,9-0,625-0,6)*2</t>
  </si>
  <si>
    <t>náhrada poškozených - odhad</t>
  </si>
  <si>
    <t>220</t>
  </si>
  <si>
    <t>306,0*1,1*1,9</t>
  </si>
  <si>
    <t>PSV prac</t>
  </si>
  <si>
    <t>STL DN 40</t>
  </si>
  <si>
    <t>HSV</t>
  </si>
  <si>
    <t>33,888*19</t>
  </si>
  <si>
    <t>Vedlejší rozpočtové náklady VRN</t>
  </si>
  <si>
    <t>Postřik spojovací z KAE, množství zbytkového asfaltu 0,3 kg/m2</t>
  </si>
  <si>
    <t>892353111R00</t>
  </si>
  <si>
    <t>RTS I / 2022</t>
  </si>
  <si>
    <t>9</t>
  </si>
  <si>
    <t>výkop pod asfaltem</t>
  </si>
  <si>
    <t>VP13</t>
  </si>
  <si>
    <t>42291405</t>
  </si>
  <si>
    <t>22,0</t>
  </si>
  <si>
    <t>320</t>
  </si>
  <si>
    <t>Elektrotvarovka - koleno 30°  d90</t>
  </si>
  <si>
    <t>895941411RA1</t>
  </si>
  <si>
    <t>ID dle D.1.06 - VP.07</t>
  </si>
  <si>
    <t>Odstranění pažení stěn - příložné - hl. do 4 m</t>
  </si>
  <si>
    <t>ID dle D.2.06 - A.02</t>
  </si>
  <si>
    <t>143</t>
  </si>
  <si>
    <t>104</t>
  </si>
  <si>
    <t>286539902</t>
  </si>
  <si>
    <t>Řad V1 - Ul. Komenského</t>
  </si>
  <si>
    <t>VON</t>
  </si>
  <si>
    <t>SO 04</t>
  </si>
  <si>
    <t>1,0*0,9*(1,9-0,45)</t>
  </si>
  <si>
    <t>552599960</t>
  </si>
  <si>
    <t>15</t>
  </si>
  <si>
    <t>Montáž hydrantů podzemních DN 80</t>
  </si>
  <si>
    <t>ID dle D.1.06 - TV.09</t>
  </si>
  <si>
    <t>95</t>
  </si>
  <si>
    <t>odvoz do 20 km</t>
  </si>
  <si>
    <t>596215021R00</t>
  </si>
  <si>
    <t>Krycí list slepého rozpočtu (SO 01 - Řad V1 - Ul. Komenského)</t>
  </si>
  <si>
    <t>ISWORK</t>
  </si>
  <si>
    <t>57_</t>
  </si>
  <si>
    <t>Trubka tlaková RC2 PE100 90x8,2 mm PN16</t>
  </si>
  <si>
    <t>Celkem včetně DPH</t>
  </si>
  <si>
    <t>Celkem NUS</t>
  </si>
  <si>
    <t>142</t>
  </si>
  <si>
    <t>42294208</t>
  </si>
  <si>
    <t>286134311R</t>
  </si>
  <si>
    <t>Základ 0%</t>
  </si>
  <si>
    <t>252</t>
  </si>
  <si>
    <t>156</t>
  </si>
  <si>
    <t>Spojka jištěná hrdlová, DN 160</t>
  </si>
  <si>
    <t>(385,6-76,5)*0,1</t>
  </si>
  <si>
    <t>Montáž elektrotvarovek na potrubí z plastických hmot v otevřeném výkopu - PE 90 mm</t>
  </si>
  <si>
    <t>199</t>
  </si>
  <si>
    <t>150</t>
  </si>
  <si>
    <t>S_</t>
  </si>
  <si>
    <t>Elektrospojka d 225 mm SDR 11 PE 100</t>
  </si>
  <si>
    <t>260</t>
  </si>
  <si>
    <t>Vedlejší a ostatní náklady</t>
  </si>
  <si>
    <t>Dvoupřírubový kus FF DN 80, L = 1000 mm</t>
  </si>
  <si>
    <t>ID dle D.2.06 - OM.04</t>
  </si>
  <si>
    <t>286531591.AR</t>
  </si>
  <si>
    <t>52</t>
  </si>
  <si>
    <t>ID dle D.1.06 - TV.10</t>
  </si>
  <si>
    <t>118</t>
  </si>
  <si>
    <t>271</t>
  </si>
  <si>
    <t>Elektrospojka d  110 mm PE 100</t>
  </si>
  <si>
    <t>979082213R00</t>
  </si>
  <si>
    <t>SO 02_</t>
  </si>
  <si>
    <t>Sanace vodovodního potrubí berstlining PE 100 SDR11 potrubím DN 225</t>
  </si>
  <si>
    <t>Rozebrání dlažeb ze zámkové dlažby v kamenivu</t>
  </si>
  <si>
    <t>51</t>
  </si>
  <si>
    <t>ID dle D.1.06 - OM.04</t>
  </si>
  <si>
    <t>ID dle D.2.06 - TV.02</t>
  </si>
  <si>
    <t>227</t>
  </si>
  <si>
    <t>Přesuny sutí</t>
  </si>
  <si>
    <t>269</t>
  </si>
  <si>
    <t>Mont prac</t>
  </si>
  <si>
    <t>20,05*0,5</t>
  </si>
  <si>
    <t>Rozebrání dlažeb z betonových dlaždic na sucho</t>
  </si>
  <si>
    <t>894411020RBG</t>
  </si>
  <si>
    <t>44</t>
  </si>
  <si>
    <t>Demontáž podzemního hydrantu</t>
  </si>
  <si>
    <t>871241121R00</t>
  </si>
  <si>
    <t>h</t>
  </si>
  <si>
    <t>SO 03_9_</t>
  </si>
  <si>
    <t>899731115RA1</t>
  </si>
  <si>
    <t>F</t>
  </si>
  <si>
    <t>722265901RA1</t>
  </si>
  <si>
    <t>Geodetické zaměření skutečného provedení</t>
  </si>
  <si>
    <t>23</t>
  </si>
  <si>
    <t>RTS II / 2023</t>
  </si>
  <si>
    <t>ID dle D.2.06 - OB.03</t>
  </si>
  <si>
    <t>ID dle D.1.06 - PV.04</t>
  </si>
  <si>
    <t>262</t>
  </si>
  <si>
    <t>ID dle D.2.06 - OM.08</t>
  </si>
  <si>
    <t>Vsuvka podpůrná pro PE 100 SDR 11 d 225</t>
  </si>
  <si>
    <t>Tvarovka přírubová s přírubovou odbočkou T DN 200/80</t>
  </si>
  <si>
    <t>128</t>
  </si>
  <si>
    <t>Potrubí z trub litinových</t>
  </si>
  <si>
    <t>ID dle D.1.06 - OM.06</t>
  </si>
  <si>
    <t>115201412RA2</t>
  </si>
  <si>
    <t>59</t>
  </si>
  <si>
    <t>250</t>
  </si>
  <si>
    <t>115201411RA1</t>
  </si>
  <si>
    <t>282</t>
  </si>
  <si>
    <t>109</t>
  </si>
  <si>
    <t>t</t>
  </si>
  <si>
    <t>117</t>
  </si>
  <si>
    <t>SO 02_4_</t>
  </si>
  <si>
    <t>1230</t>
  </si>
  <si>
    <t>162701109R00</t>
  </si>
  <si>
    <t>53</t>
  </si>
  <si>
    <t>246</t>
  </si>
  <si>
    <t>Souprava zemní telesk.přípojková, 1"-2", 1,2-1,8 m</t>
  </si>
  <si>
    <t>295</t>
  </si>
  <si>
    <t>pod dlaždice</t>
  </si>
  <si>
    <t>857242121R00</t>
  </si>
  <si>
    <t>99</t>
  </si>
  <si>
    <t>161</t>
  </si>
  <si>
    <t>422736067</t>
  </si>
  <si>
    <t>Průzkumy, geodetické a projektové práce</t>
  </si>
  <si>
    <t>vč. instalačního a spojovacího materiálu suchovodu</t>
  </si>
  <si>
    <t>107</t>
  </si>
  <si>
    <t>28613148.M</t>
  </si>
  <si>
    <t>243</t>
  </si>
  <si>
    <t>zásyp v komunikaci</t>
  </si>
  <si>
    <t>ID dle D.1.06 - OM.03</t>
  </si>
  <si>
    <t>22,0*0,86</t>
  </si>
  <si>
    <t>Potrubí PE 100 RC SDR 11 s ochranným pláštěm  225x20,5 mm PN16</t>
  </si>
  <si>
    <t>125</t>
  </si>
  <si>
    <t>Demontáž ocelového potrubí DN 200</t>
  </si>
  <si>
    <t>ID dle D.2.06 - A.01</t>
  </si>
  <si>
    <t>28613108.M</t>
  </si>
  <si>
    <t>979082219R00</t>
  </si>
  <si>
    <t>42293250</t>
  </si>
  <si>
    <t>JKSO:</t>
  </si>
  <si>
    <t>45_</t>
  </si>
  <si>
    <t>ID dle D.2.06 - VP.01</t>
  </si>
  <si>
    <t>286539905</t>
  </si>
  <si>
    <t>Zábory veřejného prostranství</t>
  </si>
  <si>
    <t>Montáž tvarovek pro přepojení vodovodních přípojek</t>
  </si>
  <si>
    <t>85</t>
  </si>
  <si>
    <t>ID dle D.1.06 - PV.03</t>
  </si>
  <si>
    <t>42291452</t>
  </si>
  <si>
    <t>564851111RT2</t>
  </si>
  <si>
    <t>64</t>
  </si>
  <si>
    <t>18_</t>
  </si>
  <si>
    <t>ID dle D.1.06 - VP.05</t>
  </si>
  <si>
    <t>514,826*0,5</t>
  </si>
  <si>
    <t>s mosazným přípojkovým šoupátkem a kncovkou pro připojení  potrubí PE 32 mm, s jištěním proti posunu</t>
  </si>
  <si>
    <t>255</t>
  </si>
  <si>
    <t>Vodoměrná sestava dle požadavků provozovatele</t>
  </si>
  <si>
    <t>197</t>
  </si>
  <si>
    <t>6,31*1,9*2</t>
  </si>
  <si>
    <t>979071111R00</t>
  </si>
  <si>
    <t>Montáž tvarovek litin. odboč. přír. výkop DN 200</t>
  </si>
  <si>
    <t>Odstranění asfaltové vrstvy pl.nad 50 m2, tl.10 cm</t>
  </si>
  <si>
    <t>422913332</t>
  </si>
  <si>
    <t>12_</t>
  </si>
  <si>
    <t>4,9*1,1*(1,9-0,45)</t>
  </si>
  <si>
    <t>Kryty pozemních komunikací, letišť a ploch z kameniva nebo živičné</t>
  </si>
  <si>
    <t>pro vodoměrnou šachtu</t>
  </si>
  <si>
    <t>181301102R00</t>
  </si>
  <si>
    <t>Nová vodovodní přípojka VP 26</t>
  </si>
  <si>
    <t>77</t>
  </si>
  <si>
    <t>233</t>
  </si>
  <si>
    <t>4,0*2,0*2</t>
  </si>
  <si>
    <t>Varianta:</t>
  </si>
  <si>
    <t>SO 04_9_</t>
  </si>
  <si>
    <t>DN celkem</t>
  </si>
  <si>
    <t>506,21</t>
  </si>
  <si>
    <t>Montáž trubek polyetylenových ve výkopu d 50 mm</t>
  </si>
  <si>
    <t>286539901</t>
  </si>
  <si>
    <t>286</t>
  </si>
  <si>
    <t>ID dle D.1.06 - VP.11</t>
  </si>
  <si>
    <t>894VD_</t>
  </si>
  <si>
    <t>Zásyp jam, rýh, šachet se zhutněním</t>
  </si>
  <si>
    <t>116</t>
  </si>
  <si>
    <t>GROUPCODE</t>
  </si>
  <si>
    <t>146</t>
  </si>
  <si>
    <t>577151123RT2</t>
  </si>
  <si>
    <t>0</t>
  </si>
  <si>
    <t>Montáže sdělovací a zabezpečovací techniky</t>
  </si>
  <si>
    <t>182</t>
  </si>
  <si>
    <t>Provozní vlivy</t>
  </si>
  <si>
    <t>5</t>
  </si>
  <si>
    <t>ID dle D.1.06 - TV.06</t>
  </si>
  <si>
    <t>ID dle D.1.06 - OM.12</t>
  </si>
  <si>
    <t>203</t>
  </si>
  <si>
    <t>113151113R01</t>
  </si>
  <si>
    <t>pod asfaltem</t>
  </si>
  <si>
    <t>Příplatek k vod. přemístění hor.1-4 za další 1 km</t>
  </si>
  <si>
    <t>1,0*4,9*0,1</t>
  </si>
  <si>
    <t>štěrkodrť frakce 0-32 mm</t>
  </si>
  <si>
    <t>248</t>
  </si>
  <si>
    <t>Vedení trubní dálková a přípojná</t>
  </si>
  <si>
    <t>573231123R00</t>
  </si>
  <si>
    <t>144</t>
  </si>
  <si>
    <t>264</t>
  </si>
  <si>
    <t>Druh stavby:</t>
  </si>
  <si>
    <t>Přípravné a přidružené práce</t>
  </si>
  <si>
    <t>Demontáž vodovodních šoupátek otevřený výkop DN 200</t>
  </si>
  <si>
    <t>0,7</t>
  </si>
  <si>
    <t>Slepý stavební rozpočet (SO 02 - Řad V2 - ul. Krátká)</t>
  </si>
  <si>
    <t>Štěrkodrtě frakce 0-63 C</t>
  </si>
  <si>
    <t>rýha</t>
  </si>
  <si>
    <t>162</t>
  </si>
  <si>
    <t>0,35</t>
  </si>
  <si>
    <t>Pasportizace okolí stavby</t>
  </si>
  <si>
    <t>238</t>
  </si>
  <si>
    <t>96</t>
  </si>
  <si>
    <t>316</t>
  </si>
  <si>
    <t>Osazení poklopů litinových ventilových</t>
  </si>
  <si>
    <t>Zpracováno dne:</t>
  </si>
  <si>
    <t>302</t>
  </si>
  <si>
    <t>ID dle 2.06 - T.01</t>
  </si>
  <si>
    <t>299</t>
  </si>
  <si>
    <t>H27</t>
  </si>
  <si>
    <t>Podklad z kameniva zpev.cementem SC C8/10 tl.20 cm</t>
  </si>
  <si>
    <t>Montáž tvarovek litin. jednoos. přír. výkop DN 150</t>
  </si>
  <si>
    <t>Montáž tvarovek litin. jednoos.přír. výkop DN 80</t>
  </si>
  <si>
    <t>202</t>
  </si>
  <si>
    <t>SO 02_9_</t>
  </si>
  <si>
    <t>194</t>
  </si>
  <si>
    <t>59691004R</t>
  </si>
  <si>
    <t>RTS II / 2021</t>
  </si>
  <si>
    <t>Ražení a hloubení tunelářské</t>
  </si>
  <si>
    <t>132201212R00</t>
  </si>
  <si>
    <t>Plastová fixační aretační podložka pod hydrantové poklopy</t>
  </si>
  <si>
    <t>10</t>
  </si>
  <si>
    <t>212</t>
  </si>
  <si>
    <t>149</t>
  </si>
  <si>
    <t>Beton asfalt. ACO 8,nebo ACO 11, do 3 m, tl. 4 cm</t>
  </si>
  <si>
    <t>58</t>
  </si>
  <si>
    <t>286134214</t>
  </si>
  <si>
    <t>284</t>
  </si>
  <si>
    <t>36</t>
  </si>
  <si>
    <t>Vsuvka podpůrná ISIFLO typ T-180 d 32 mm</t>
  </si>
  <si>
    <t>113108410R00</t>
  </si>
  <si>
    <t>ID dle D.1.06 - NVP.02</t>
  </si>
  <si>
    <t>1,0*2,6*(1,9-0,45)+1,0*2,4*(1,9-0,1)</t>
  </si>
  <si>
    <t>Poplatek za uložení suti - obal. kamenivo, asfalt, skupina odpadu 170302</t>
  </si>
  <si>
    <t>Příruba jištěná, DN 225</t>
  </si>
  <si>
    <t>14</t>
  </si>
  <si>
    <t>VORN - Vedlejší a ostatní rozpočtové náklady</t>
  </si>
  <si>
    <t>577131211RT3</t>
  </si>
  <si>
    <t>31</t>
  </si>
  <si>
    <t>Pažení stěn výkopu - příložné - hloubky do 4 m</t>
  </si>
  <si>
    <t>84</t>
  </si>
  <si>
    <t>NN, STL 150, STL 300</t>
  </si>
  <si>
    <t>305</t>
  </si>
  <si>
    <t>286536188</t>
  </si>
  <si>
    <t>ID dle D.1.06 - OM.10</t>
  </si>
  <si>
    <t>Zkouška funkčnosti signal. vodiče vodovodu</t>
  </si>
  <si>
    <t>Množství</t>
  </si>
  <si>
    <t>SO 02_1_</t>
  </si>
  <si>
    <t>Montáž tvarovek jednoosých, tvárná litina DN 225</t>
  </si>
  <si>
    <t>Šoupátko přírubové F4, DN 150</t>
  </si>
  <si>
    <t>38</t>
  </si>
  <si>
    <t>Všeobecné konstrukce a práce</t>
  </si>
  <si>
    <t>24,345*0,5</t>
  </si>
  <si>
    <t>VORN celkem</t>
  </si>
  <si>
    <t>917862114R00</t>
  </si>
  <si>
    <t>Řezání stávajícího živičného krytu tl. 5 - 10 cm</t>
  </si>
  <si>
    <t>Uložení suti na skládku bez zhutnění</t>
  </si>
  <si>
    <t>174</t>
  </si>
  <si>
    <t>Elektrovíčko d 110 mm PE 100, X kus</t>
  </si>
  <si>
    <t>Recyklát betonový 0/63</t>
  </si>
  <si>
    <t>375,0</t>
  </si>
  <si>
    <t>ID dle D.2.06 - OM.09</t>
  </si>
  <si>
    <t>Vedlejší a ostatní rozpočtové náklady (SO 03 - Přepojení vodovodních přípojek VP11, 13, 14, 16)</t>
  </si>
  <si>
    <t>Vnitřní vodovod</t>
  </si>
  <si>
    <t>Typ skupiny</t>
  </si>
  <si>
    <t>1,0*6,5*0,1</t>
  </si>
  <si>
    <t>73</t>
  </si>
  <si>
    <t>151101211R00</t>
  </si>
  <si>
    <t>141,7856+54,9674</t>
  </si>
  <si>
    <t>857312121R00</t>
  </si>
  <si>
    <t>3,5</t>
  </si>
  <si>
    <t>256</t>
  </si>
  <si>
    <t>891311111R00</t>
  </si>
  <si>
    <t>42227207</t>
  </si>
  <si>
    <t>12*1,0*1,0*(1,9-0,45)</t>
  </si>
  <si>
    <t>286134241</t>
  </si>
  <si>
    <t>ID dle 1.06 - TV.03</t>
  </si>
  <si>
    <t>59245110</t>
  </si>
  <si>
    <t>Dočasné zajištění kabelů - do počtu 3 kabelů</t>
  </si>
  <si>
    <t>188</t>
  </si>
  <si>
    <t>2,3*(1,8-0,1)</t>
  </si>
  <si>
    <t>56</t>
  </si>
  <si>
    <t>Montáž trubek polyetylenových ve výkopu d 110 mm</t>
  </si>
  <si>
    <t>722_</t>
  </si>
  <si>
    <t>6,5*1,9*2</t>
  </si>
  <si>
    <t>552702111</t>
  </si>
  <si>
    <t>892271111R00</t>
  </si>
  <si>
    <t>19</t>
  </si>
  <si>
    <t>ID dle D.1.06 - NVP.04</t>
  </si>
  <si>
    <t>ID dle D.2.06 - OB.02</t>
  </si>
  <si>
    <t>Cetin</t>
  </si>
  <si>
    <t>C</t>
  </si>
  <si>
    <t>vytlačená zemina</t>
  </si>
  <si>
    <t>Náklady (Kč)</t>
  </si>
  <si>
    <t>Postřik infiltrační, množství zbytkového asfaltového pojiva 0,80 kg/m2</t>
  </si>
  <si>
    <t>110</t>
  </si>
  <si>
    <t>VP11</t>
  </si>
  <si>
    <t>39</t>
  </si>
  <si>
    <t>30</t>
  </si>
  <si>
    <t>241</t>
  </si>
  <si>
    <t>Ostatní konstrukce a práce na trubním vedení</t>
  </si>
  <si>
    <t>151101311R00</t>
  </si>
  <si>
    <t>IČO/DIČ:</t>
  </si>
  <si>
    <t>Ostatní</t>
  </si>
  <si>
    <t>ID dle D.2.06 - OM.06</t>
  </si>
  <si>
    <t>86</t>
  </si>
  <si>
    <t>278</t>
  </si>
  <si>
    <t>222</t>
  </si>
  <si>
    <t>-3,14159*0,113*0,113*306,0</t>
  </si>
  <si>
    <t>Kladení zámkové dlažby tl. 6 cm do drtě tl. 4 cm</t>
  </si>
  <si>
    <t>55</t>
  </si>
  <si>
    <t>030001VRN</t>
  </si>
  <si>
    <t>871251121R00</t>
  </si>
  <si>
    <t>1,0*6,5*(1,9-0,45)</t>
  </si>
  <si>
    <t>Zpracoval:</t>
  </si>
  <si>
    <t>ID dle D.1.06 - TV.07</t>
  </si>
  <si>
    <t>ID dle D.1.06 - NVP.03</t>
  </si>
  <si>
    <t>76</t>
  </si>
  <si>
    <t>286134606R</t>
  </si>
  <si>
    <t>SO 01_1_</t>
  </si>
  <si>
    <t>Podkladní vrstvy komunikací, letišť a ploch</t>
  </si>
  <si>
    <t>290</t>
  </si>
  <si>
    <t>Tvarovka přírubová s přírubovou odbočkou T DN 200/150</t>
  </si>
  <si>
    <t>5924798460</t>
  </si>
  <si>
    <t>315</t>
  </si>
  <si>
    <t>D+M Celolitinový navrtávací pas s tělem z tvárné litiny s TPKO, d90</t>
  </si>
  <si>
    <t>Trubní vedení</t>
  </si>
  <si>
    <t>151101201R00</t>
  </si>
  <si>
    <t>115100001RAA</t>
  </si>
  <si>
    <t>151101111R00</t>
  </si>
  <si>
    <t>871240003R</t>
  </si>
  <si>
    <t>Kladení dlažby velké kostky,lože z kamen.tl. 5 cm</t>
  </si>
  <si>
    <t>ID dle D.1.06 - T.04</t>
  </si>
  <si>
    <t>VP12</t>
  </si>
  <si>
    <t>207</t>
  </si>
  <si>
    <t>Přesun hmot, trubní vedení plastová, otevř. výkop</t>
  </si>
  <si>
    <t>Zhotovitel</t>
  </si>
  <si>
    <t>199000002R00</t>
  </si>
  <si>
    <t>ID dle D.1.06 - OM.02</t>
  </si>
  <si>
    <t>Trubka vodovodní PE 100 SDR 17 32x3,0 mm</t>
  </si>
  <si>
    <t>190</t>
  </si>
  <si>
    <t>Vedlejší a ostatní rozpočtové náklady (SO 01 - Řad V1 - Ul. Komenského)</t>
  </si>
  <si>
    <t>596811111R00</t>
  </si>
  <si>
    <t>894VD</t>
  </si>
  <si>
    <t>Přepojení vodovodních přípojek VP11, 13, 14, 16</t>
  </si>
  <si>
    <t>21,329+12,1+0,459</t>
  </si>
  <si>
    <t>SO 02_5_</t>
  </si>
  <si>
    <t>2</t>
  </si>
  <si>
    <t>Projektant:</t>
  </si>
  <si>
    <t>Zkrácený popis / Varianta</t>
  </si>
  <si>
    <t/>
  </si>
  <si>
    <t>309</t>
  </si>
  <si>
    <t>Příruba jištěná, DN 100</t>
  </si>
  <si>
    <t>42294106R</t>
  </si>
  <si>
    <t>152</t>
  </si>
  <si>
    <t>17</t>
  </si>
  <si>
    <t>1,0*0,9*0,1</t>
  </si>
  <si>
    <t>pod kostky</t>
  </si>
  <si>
    <t>startovací jáma - konec řadu</t>
  </si>
  <si>
    <t>ks</t>
  </si>
  <si>
    <t>vč. veškerého příslušenství</t>
  </si>
  <si>
    <t>Slepý stavební rozpočet (SO 01 - Řad V1 - Ul. Komenského)</t>
  </si>
  <si>
    <t>ID dle D.1.06 - TV.14</t>
  </si>
  <si>
    <t>98</t>
  </si>
  <si>
    <t>112</t>
  </si>
  <si>
    <t>15_</t>
  </si>
  <si>
    <t>899VD</t>
  </si>
  <si>
    <t>21</t>
  </si>
  <si>
    <t>1,0*0,9</t>
  </si>
  <si>
    <t>Poklop litinový - hydrantový</t>
  </si>
  <si>
    <t>891241111R00</t>
  </si>
  <si>
    <t>113202111R00</t>
  </si>
  <si>
    <t>Práce přesčas</t>
  </si>
  <si>
    <t>Řad V2 - ul. Krátká</t>
  </si>
  <si>
    <t>10001004</t>
  </si>
  <si>
    <t>891351811</t>
  </si>
  <si>
    <t>Montáž trubek polyetylenových ve výkopu d 32 mm</t>
  </si>
  <si>
    <t>1,0</t>
  </si>
  <si>
    <t>899401113R00</t>
  </si>
  <si>
    <t>ID dle D.1.06 - A.02</t>
  </si>
  <si>
    <t>D+M Celolitinový navrtávací pas s tělem z tvárné litiny s TPKO, d225</t>
  </si>
  <si>
    <t>61</t>
  </si>
  <si>
    <t>313</t>
  </si>
  <si>
    <t>132201219R00</t>
  </si>
  <si>
    <t>182301122R00</t>
  </si>
  <si>
    <t>119001421R00</t>
  </si>
  <si>
    <t>126</t>
  </si>
  <si>
    <t>Protlak neřízený z trub D 32 mm v hor.1 - 4</t>
  </si>
  <si>
    <t>124</t>
  </si>
  <si>
    <t>892351111R00</t>
  </si>
  <si>
    <t>ID dle D.2.06 - OM.07</t>
  </si>
  <si>
    <t>174101101R00</t>
  </si>
  <si>
    <t>Styčná spára napojení nového živičného povrchu na stávající za tepla š 15 mm hl 25 mm s prořezáním</t>
  </si>
  <si>
    <t>158</t>
  </si>
  <si>
    <t>Opěrný betonový blok pod přípojkové šoupátko</t>
  </si>
  <si>
    <t>15,0*1,8*2</t>
  </si>
  <si>
    <t>12</t>
  </si>
  <si>
    <t>ID dle D.2.06 - TV.05</t>
  </si>
  <si>
    <t>871200000R0A</t>
  </si>
  <si>
    <t>234</t>
  </si>
  <si>
    <t>Kulturní památka</t>
  </si>
  <si>
    <t>5,0*1,9*2</t>
  </si>
  <si>
    <t>Objekt</t>
  </si>
  <si>
    <t>168</t>
  </si>
  <si>
    <t>ID dle D.2.06 - OM.03</t>
  </si>
  <si>
    <t>306</t>
  </si>
  <si>
    <t>ID dle D.1.06 - PVP.01</t>
  </si>
  <si>
    <t>DPH 21%</t>
  </si>
  <si>
    <t>298</t>
  </si>
  <si>
    <t>184</t>
  </si>
  <si>
    <t>891200101RA1</t>
  </si>
  <si>
    <t>249</t>
  </si>
  <si>
    <t>ID dle D.1.06 - VP.02</t>
  </si>
  <si>
    <t>19,994*10</t>
  </si>
  <si>
    <t>134</t>
  </si>
  <si>
    <t>ID dle D.2.06 - VP.07</t>
  </si>
  <si>
    <t>Vodič signalizační CXKE-O 2x2,5 mm</t>
  </si>
  <si>
    <t>211</t>
  </si>
  <si>
    <t>ID dle D.2.06 - OM.10</t>
  </si>
  <si>
    <t>196</t>
  </si>
  <si>
    <t>ID dle D.2.06 - TV.09</t>
  </si>
  <si>
    <t>42227614R</t>
  </si>
  <si>
    <t>Dočasné dopravní značení</t>
  </si>
  <si>
    <t>564861111RT4</t>
  </si>
  <si>
    <t>42291353</t>
  </si>
  <si>
    <t>Podklad z obal kam.ACP 16+,ACP 22+,do 3 m,tl. 6 cm</t>
  </si>
  <si>
    <t>318</t>
  </si>
  <si>
    <t>(22,0+2,3)*0,1</t>
  </si>
  <si>
    <t>SO 01</t>
  </si>
  <si>
    <t>591111111R00</t>
  </si>
  <si>
    <t>919735112R00</t>
  </si>
  <si>
    <t>187</t>
  </si>
  <si>
    <t>Trubka taková PE100 32x3,0 mm s OP</t>
  </si>
  <si>
    <t>Celkem VORN</t>
  </si>
  <si>
    <t>kpl</t>
  </si>
  <si>
    <t>Krycí list slepého rozpočtu (SO 03 - Přepojení vodovodních přípojek VP11, 13, 14, 16)</t>
  </si>
  <si>
    <t>317</t>
  </si>
  <si>
    <t>SO 01_5_</t>
  </si>
  <si>
    <t>191</t>
  </si>
  <si>
    <t>Příruba jištěná, DN 80</t>
  </si>
  <si>
    <t>220110347R01</t>
  </si>
  <si>
    <t>Podkladní a vedlejší konstrukce (kromě vozovek a železničního svršku)</t>
  </si>
  <si>
    <t>ID dle D.2.06 - OM.02</t>
  </si>
  <si>
    <t>49</t>
  </si>
  <si>
    <t>72</t>
  </si>
  <si>
    <t>899401112R00</t>
  </si>
  <si>
    <t>275</t>
  </si>
  <si>
    <t>Přesuny</t>
  </si>
  <si>
    <t>MAT</t>
  </si>
  <si>
    <t>štěrkodrť ŠDb frakce 0-63 mm</t>
  </si>
  <si>
    <t>267</t>
  </si>
  <si>
    <t>001001140</t>
  </si>
  <si>
    <t>70</t>
  </si>
  <si>
    <t>Příplatek za lepivost - hloubení zapaž.jam v hor.3</t>
  </si>
  <si>
    <t>277</t>
  </si>
  <si>
    <t>8</t>
  </si>
  <si>
    <t>286134229</t>
  </si>
  <si>
    <t>Celkem:</t>
  </si>
  <si>
    <t>Doplňky trubního vedení</t>
  </si>
  <si>
    <t>Mimostav. doprava</t>
  </si>
  <si>
    <t>Teleskopická zemní souprava pro ovládání šoupátek, Rd 1,3-1,8 m</t>
  </si>
  <si>
    <t>266</t>
  </si>
  <si>
    <t>ul. Komenského</t>
  </si>
  <si>
    <t>18</t>
  </si>
  <si>
    <t>DN celkem z obj.</t>
  </si>
  <si>
    <t>42291510</t>
  </si>
  <si>
    <t>Odstranění podkladu pl. 50 m2,kam.drcené tl.35 cm</t>
  </si>
  <si>
    <t>46</t>
  </si>
  <si>
    <t>181</t>
  </si>
  <si>
    <t>214</t>
  </si>
  <si>
    <t>Krycí list slepého rozpočtu (VON - Vedlejší a ostatní náklady)</t>
  </si>
  <si>
    <t>ID dle D.2.06 - VP.09</t>
  </si>
  <si>
    <t>Desinfekce vodovodního potrubí DN 125</t>
  </si>
  <si>
    <t>176</t>
  </si>
  <si>
    <t>1,0*1,7</t>
  </si>
  <si>
    <t>100</t>
  </si>
  <si>
    <t>ID dle D.1.06 - NVP.01</t>
  </si>
  <si>
    <t>108</t>
  </si>
  <si>
    <t>2,0</t>
  </si>
  <si>
    <t>50</t>
  </si>
  <si>
    <t>552599957</t>
  </si>
  <si>
    <t>ID dle D.2.06 - VP.05</t>
  </si>
  <si>
    <t>340</t>
  </si>
  <si>
    <t>119001411R00</t>
  </si>
  <si>
    <t>1,0*1,0*0,1*12</t>
  </si>
  <si>
    <t>Rozprostření ornice, rovina, tl. 10-15 cm,do 500m2</t>
  </si>
  <si>
    <t>ID dle D.1.06 - A.03</t>
  </si>
  <si>
    <t>ID dle D.1.06 - T.06</t>
  </si>
  <si>
    <t>2,052*10</t>
  </si>
  <si>
    <t>314</t>
  </si>
  <si>
    <t>m</t>
  </si>
  <si>
    <t>Inženýrské činnosti</t>
  </si>
  <si>
    <t>28653086</t>
  </si>
  <si>
    <t>217</t>
  </si>
  <si>
    <t>Montáž tvarovek litin. jednoos. přír. výkop DN 100</t>
  </si>
  <si>
    <t>131201201R00</t>
  </si>
  <si>
    <t>225</t>
  </si>
  <si>
    <t>Přemístění výkopku</t>
  </si>
  <si>
    <t>11</t>
  </si>
  <si>
    <t>42291515</t>
  </si>
  <si>
    <t>Vodorovné přemístění výkopku z hor.1-4 do 10000 m</t>
  </si>
  <si>
    <t>240</t>
  </si>
  <si>
    <t>Dočasné zajištění beton.a plast. potrubí do DN 200</t>
  </si>
  <si>
    <t>32</t>
  </si>
  <si>
    <t>1,2*0,9*1,9</t>
  </si>
  <si>
    <t>Objednatel:</t>
  </si>
  <si>
    <t>204</t>
  </si>
  <si>
    <t>SO 01_4_</t>
  </si>
  <si>
    <t>Vpusť uliční z dílců DN 450,s kal.košem,s výtokem</t>
  </si>
  <si>
    <t>výkop pod kačírkem</t>
  </si>
  <si>
    <t>(2,0*2+1,5)*1,9</t>
  </si>
  <si>
    <t>štěrkodrť frakce 0-63 mm</t>
  </si>
  <si>
    <t>Montáž vodovodních šoupátek ve výkopu DN 40</t>
  </si>
  <si>
    <t>1,0*0,9*(1,9-0,432-0,45)</t>
  </si>
  <si>
    <t>Montáž potrubí polyetylenového ve výkopu d 90 mm</t>
  </si>
  <si>
    <t>ID dle D.1.06 - T.03</t>
  </si>
  <si>
    <t>Elektrovíčko d 160 mm PE 100, X kus</t>
  </si>
  <si>
    <t>Příruba jištěná, DN 150</t>
  </si>
  <si>
    <t>Desinfekce vodovodního potrubí DN 200</t>
  </si>
  <si>
    <t>Krycí list slepého rozpočtu (SO 04 - Nová vodovodní přípojka VP 26)</t>
  </si>
  <si>
    <t>PSV mat</t>
  </si>
  <si>
    <t>300</t>
  </si>
  <si>
    <t>Opěrný betonový blok pro patkové koleno</t>
  </si>
  <si>
    <t>280</t>
  </si>
  <si>
    <t>871240001R</t>
  </si>
  <si>
    <t>857314121R00</t>
  </si>
  <si>
    <t>Poplatek za uložení, zemina a kamení, (skup.170504)</t>
  </si>
  <si>
    <t>28653148</t>
  </si>
  <si>
    <t>273</t>
  </si>
  <si>
    <t>JSL13 Předklášteří - obnova vodovodního řadu ul. Komenského, ul. Krátká</t>
  </si>
  <si>
    <t>rozšíření pro jámy pro protlak</t>
  </si>
  <si>
    <t>ID dle D.1.06 - OM.11</t>
  </si>
  <si>
    <t>Příprava staveniště</t>
  </si>
  <si>
    <t>3</t>
  </si>
  <si>
    <t>Plastové potrubí z PE 100 SDR 11 RC s ochranným pláštěm 50x4,6 mm PN16</t>
  </si>
  <si>
    <t>5526009702</t>
  </si>
  <si>
    <t>877272201</t>
  </si>
  <si>
    <t>Potrubí PE 100 RC SDR 11 s ochranným pláštěm, tyče 6 m,  90x8,2 mm</t>
  </si>
  <si>
    <t>Roubení</t>
  </si>
  <si>
    <t>85_</t>
  </si>
  <si>
    <t>12*1,0*1,0*0,525</t>
  </si>
  <si>
    <t>Montáž vodovodních šoupátek ve výkopu DN 200</t>
  </si>
  <si>
    <t>308</t>
  </si>
  <si>
    <t>998276101R00</t>
  </si>
  <si>
    <t>102</t>
  </si>
  <si>
    <t>ID dle D.1.06 - TV.01</t>
  </si>
  <si>
    <t>481,164*19</t>
  </si>
  <si>
    <t>v komunikaci</t>
  </si>
  <si>
    <t>Zhotovitel:</t>
  </si>
  <si>
    <t>-4,0*1,1*0,1</t>
  </si>
  <si>
    <t>175101101RT2</t>
  </si>
  <si>
    <t>Montáž elektrotvarovek na potrubí z plastických hmot v otevřeném výkopu - PE 160 mm</t>
  </si>
  <si>
    <t>894800100</t>
  </si>
  <si>
    <t>%</t>
  </si>
  <si>
    <t>3,0*1,5*0,91+1,0*1,2*0,91</t>
  </si>
  <si>
    <t>ID dle D.1.06 - PV.05</t>
  </si>
  <si>
    <t>0_</t>
  </si>
  <si>
    <t>ID dle D.2.06 - TR.01</t>
  </si>
  <si>
    <t>877272204</t>
  </si>
  <si>
    <t>113106121R00</t>
  </si>
  <si>
    <t>296</t>
  </si>
  <si>
    <t>113106211R00</t>
  </si>
  <si>
    <t>Hloubení zapažených jam v hor.3 do 100 m3</t>
  </si>
  <si>
    <t>35</t>
  </si>
  <si>
    <t>1,0*2,6*(1,9-0,432-0,45)</t>
  </si>
  <si>
    <t>ID dle D.2.06 - TV.08</t>
  </si>
  <si>
    <t>odpočet asfaltu</t>
  </si>
  <si>
    <t>Začátek výstavby:</t>
  </si>
  <si>
    <t>ID dle D.1.06 - TR.01</t>
  </si>
  <si>
    <t>vč. odvozu, likvidace</t>
  </si>
  <si>
    <t>pod zámkovou dlažbu</t>
  </si>
  <si>
    <t>894373121R0C</t>
  </si>
  <si>
    <t>Spojka jištěná, DN 225</t>
  </si>
  <si>
    <t>Opěrný betonový blok pro šoupátko DN80-250</t>
  </si>
  <si>
    <t>A</t>
  </si>
  <si>
    <t>(0,916+2,647+6,617+1,731)*2,025</t>
  </si>
  <si>
    <t>894373121R0</t>
  </si>
  <si>
    <t>287</t>
  </si>
  <si>
    <t>208</t>
  </si>
  <si>
    <t>Mont mat</t>
  </si>
  <si>
    <t>163</t>
  </si>
  <si>
    <t>SO 01_</t>
  </si>
  <si>
    <t>13_</t>
  </si>
  <si>
    <t>302,0*1,1*(1,9-0,625-0,6)</t>
  </si>
  <si>
    <t>722</t>
  </si>
  <si>
    <t>121101100R00</t>
  </si>
  <si>
    <t>ul. Palackého</t>
  </si>
  <si>
    <t>274</t>
  </si>
  <si>
    <t>Slepý stavební rozpočet</t>
  </si>
  <si>
    <t>93</t>
  </si>
  <si>
    <t>4,0*1,9*2</t>
  </si>
  <si>
    <t>3,0*1,5*(2,2-0,45)+1,0*1,2*(1,8-0,45)</t>
  </si>
  <si>
    <t>285</t>
  </si>
  <si>
    <t>279</t>
  </si>
  <si>
    <t>871161121R00</t>
  </si>
  <si>
    <t>28613147.M</t>
  </si>
  <si>
    <t>173</t>
  </si>
  <si>
    <t>63_</t>
  </si>
  <si>
    <t>157</t>
  </si>
  <si>
    <t>311</t>
  </si>
  <si>
    <t>101</t>
  </si>
  <si>
    <t>Předzahrádka s kačírkovým povrchem</t>
  </si>
  <si>
    <t>75</t>
  </si>
  <si>
    <t>ID dle D.1.06 - T.05</t>
  </si>
  <si>
    <t>54</t>
  </si>
  <si>
    <t>ID dle D.2.06 - TV.04</t>
  </si>
  <si>
    <t>917862111R00</t>
  </si>
  <si>
    <t>205</t>
  </si>
  <si>
    <t xml:space="preserve"> </t>
  </si>
  <si>
    <t>16_</t>
  </si>
  <si>
    <t>877355121RA1</t>
  </si>
  <si>
    <t>ID dle D.1.06 - VP.01</t>
  </si>
  <si>
    <t>136</t>
  </si>
  <si>
    <t>0,3</t>
  </si>
  <si>
    <t>rozšíření pro přípojky</t>
  </si>
  <si>
    <t>153</t>
  </si>
  <si>
    <t>29,7+9,495+3,91-2,783</t>
  </si>
  <si>
    <t>Očištění vybour. kostek velkých s výplní kam. těž.</t>
  </si>
  <si>
    <t>(514,826+20,05)-5,17</t>
  </si>
  <si>
    <t>899VD_</t>
  </si>
  <si>
    <t>451572111RK1</t>
  </si>
  <si>
    <t>Vytrhání obrub obrubníků silničních</t>
  </si>
  <si>
    <t>ID dle D.1.06 - VP.03</t>
  </si>
  <si>
    <t>619,09</t>
  </si>
  <si>
    <t>ID dle D.1.06 - OM.01</t>
  </si>
  <si>
    <t>ID dle D.2.06 - OM.12</t>
  </si>
  <si>
    <t>123</t>
  </si>
  <si>
    <t>159</t>
  </si>
  <si>
    <t>Kryty pozemních komunikací, letišť a ploch dlážděných (předlažby)</t>
  </si>
  <si>
    <t>Marker modrý 145,7 kHz pro určení trasy D+M</t>
  </si>
  <si>
    <t>891247111R00</t>
  </si>
  <si>
    <t>Montáž podpůrných vsuvek</t>
  </si>
  <si>
    <t>10001006</t>
  </si>
  <si>
    <t>Příplatek za dopravu suti po suchu za další 1 km</t>
  </si>
  <si>
    <t>Vlastní VORN</t>
  </si>
  <si>
    <t>Hydrant podzemní dvoučinný, krytí 1,25m</t>
  </si>
  <si>
    <t>Oblouk 22° PE100 RC SDR11 typ L  90 x 8,2 mm</t>
  </si>
  <si>
    <t>891351111R00</t>
  </si>
  <si>
    <t>Objednatel</t>
  </si>
  <si>
    <t>57</t>
  </si>
  <si>
    <t>257</t>
  </si>
  <si>
    <t>16*0,1</t>
  </si>
  <si>
    <t>(Kč)</t>
  </si>
  <si>
    <t>141721101RA1</t>
  </si>
  <si>
    <t>Podklad ze štěrkodrti po zhutnění tloušťky 15 cm</t>
  </si>
  <si>
    <t>28.09.2023</t>
  </si>
  <si>
    <t>22</t>
  </si>
  <si>
    <t>ID dle D.1.06 - TV.15</t>
  </si>
  <si>
    <t>ID dle D.2.06 - TV.10</t>
  </si>
  <si>
    <t>Trubka vodovodní PE 100 SDR 17 63x5,8 mm</t>
  </si>
  <si>
    <t>1,0*6,5</t>
  </si>
  <si>
    <t>619,09+25,39</t>
  </si>
  <si>
    <t>115</t>
  </si>
  <si>
    <t>567132115R00</t>
  </si>
  <si>
    <t>ID dle D.2.06 - OM.05</t>
  </si>
  <si>
    <t>Finanční náklady</t>
  </si>
  <si>
    <t>116+83</t>
  </si>
  <si>
    <t>Územní vlivy</t>
  </si>
  <si>
    <t>ID dle D.2.06 - TV.06</t>
  </si>
  <si>
    <t>ID dle D.1.06 - TV.11</t>
  </si>
  <si>
    <t>m3</t>
  </si>
  <si>
    <t>Odstranění pažení stěn rýh - příložné - hl. do 2 m</t>
  </si>
  <si>
    <t>265</t>
  </si>
  <si>
    <t>STL DN 150</t>
  </si>
  <si>
    <t>259</t>
  </si>
  <si>
    <t>Datum:</t>
  </si>
  <si>
    <t>91_</t>
  </si>
  <si>
    <t>Obrubník silniční 250 x 150 x 1000 mm přírodní</t>
  </si>
  <si>
    <t>Tlaková zkouška vodovodního potrubí DN 125</t>
  </si>
  <si>
    <t>VON_</t>
  </si>
  <si>
    <t>Uložení sypaniny na skl.-sypanina na výšku přes 2m</t>
  </si>
  <si>
    <t>215</t>
  </si>
  <si>
    <t>27</t>
  </si>
  <si>
    <t>jámy v ul. Palackého</t>
  </si>
  <si>
    <t>37</t>
  </si>
  <si>
    <t>80</t>
  </si>
  <si>
    <t>m2</t>
  </si>
  <si>
    <t>41</t>
  </si>
  <si>
    <t>SO 03_5_</t>
  </si>
  <si>
    <t>Tlaková zkouška vodovodního potrubí DN 200</t>
  </si>
  <si>
    <t>ID dle D.1.06 - OB.02</t>
  </si>
  <si>
    <t>59_</t>
  </si>
  <si>
    <t>Montáž tvarovek litin. odboč. přír. výkop DN 150</t>
  </si>
  <si>
    <t>180400020RA0</t>
  </si>
  <si>
    <t>186</t>
  </si>
  <si>
    <t>Přesun hmot a sutí</t>
  </si>
  <si>
    <t>NUS z rozpočtu</t>
  </si>
  <si>
    <t>251</t>
  </si>
  <si>
    <t>Demontáž vodovodních šoupátek otevřený výkop DN 100</t>
  </si>
  <si>
    <t>891269111RA1</t>
  </si>
  <si>
    <t>1</t>
  </si>
  <si>
    <t>(2,9*1,5+1,9*2,0)*0,1</t>
  </si>
  <si>
    <t>Tvarovka přírubová s přírubovou odbočkou T DN 200/100</t>
  </si>
  <si>
    <t>206</t>
  </si>
  <si>
    <t>306,0*1,1</t>
  </si>
  <si>
    <t>7</t>
  </si>
  <si>
    <t>979999973R00</t>
  </si>
  <si>
    <t>ID dle D.1.06 - TV.18</t>
  </si>
  <si>
    <t>236</t>
  </si>
  <si>
    <t>Rozměry</t>
  </si>
  <si>
    <t>321</t>
  </si>
  <si>
    <t>899401111R00</t>
  </si>
  <si>
    <t>74</t>
  </si>
  <si>
    <t>Položek:</t>
  </si>
  <si>
    <t>ID dle D.2.06 - VP.11</t>
  </si>
  <si>
    <t>NUS celkem</t>
  </si>
  <si>
    <t>Podlahy a podlahové konstrukce</t>
  </si>
  <si>
    <t>WORK</t>
  </si>
  <si>
    <t>Povrchové úpravy terénu</t>
  </si>
  <si>
    <t>164</t>
  </si>
  <si>
    <t>891181111R00</t>
  </si>
  <si>
    <t>131</t>
  </si>
  <si>
    <t>83</t>
  </si>
  <si>
    <t>VP17, VP18</t>
  </si>
  <si>
    <t>59217488</t>
  </si>
  <si>
    <t>Nákružek lemový PE 100 d 160 mm s otočnou přírubou</t>
  </si>
  <si>
    <t>213</t>
  </si>
  <si>
    <t>12*1,0*1,0*0,1</t>
  </si>
  <si>
    <t>7,0</t>
  </si>
  <si>
    <t>114</t>
  </si>
  <si>
    <t>47</t>
  </si>
  <si>
    <t>plyn</t>
  </si>
  <si>
    <t>plochy 201-1000 m2</t>
  </si>
  <si>
    <t>2*1,1*1,0*1,0+1*1,5*1,0*1,0</t>
  </si>
  <si>
    <t>HSV mat</t>
  </si>
  <si>
    <t>Kč</t>
  </si>
  <si>
    <t>294</t>
  </si>
  <si>
    <t>SO 04_8_</t>
  </si>
  <si>
    <t>286536171</t>
  </si>
  <si>
    <t>Mosazná spojka pro bezzávitové spojení plastového potrubí d 32 s ocelovým potrubím 1"</t>
  </si>
  <si>
    <t>639571215RA1</t>
  </si>
  <si>
    <t>177</t>
  </si>
  <si>
    <t>66</t>
  </si>
  <si>
    <t>56_</t>
  </si>
  <si>
    <t>Celkem VRN</t>
  </si>
  <si>
    <t>573111123R00</t>
  </si>
  <si>
    <t>ID dle D.2.06 - TV.03</t>
  </si>
  <si>
    <t>Vsuvka podpůrná pro PE 100 SDR 11 d 90 mm</t>
  </si>
  <si>
    <t>899000101RAX</t>
  </si>
  <si>
    <t>113106231R00</t>
  </si>
  <si>
    <t>288</t>
  </si>
  <si>
    <t>ID dle D.1.06 - NVP.06</t>
  </si>
  <si>
    <t>Očištění vybour. obrubníků všech loží a výplní</t>
  </si>
  <si>
    <t>14_</t>
  </si>
  <si>
    <t>201</t>
  </si>
  <si>
    <t>Vodorovná doprava suti po suchu do 1 km</t>
  </si>
  <si>
    <t>4*1,0*1,0*1,0</t>
  </si>
  <si>
    <t>286134217</t>
  </si>
  <si>
    <t>155</t>
  </si>
  <si>
    <t>247</t>
  </si>
  <si>
    <t>90</t>
  </si>
  <si>
    <t>210</t>
  </si>
  <si>
    <t>89</t>
  </si>
  <si>
    <t>22,0*0,39</t>
  </si>
  <si>
    <t>Elektrospojka d 160 mm PE 100</t>
  </si>
  <si>
    <t>Plastové potrubí z PE 100 SDR 11 RC s ochranným pláštěm d 32</t>
  </si>
  <si>
    <t>Koleno přír.s patkou litin N DN 80, prodloužená patka</t>
  </si>
  <si>
    <t>245</t>
  </si>
  <si>
    <t>SO 02_8_</t>
  </si>
  <si>
    <t>Fólie výstražná z PVC bílá, šířka 30 cm</t>
  </si>
  <si>
    <t>Demontáž navrtávacího pasu</t>
  </si>
  <si>
    <t>ID dle D.2.06 - TV.01</t>
  </si>
  <si>
    <t>4,0*2,0*(2,0-0,725-0,6)</t>
  </si>
  <si>
    <t>179</t>
  </si>
  <si>
    <t>892273111R00</t>
  </si>
  <si>
    <t>Celkem DN</t>
  </si>
  <si>
    <t>obrubníky</t>
  </si>
  <si>
    <t>1+1</t>
  </si>
  <si>
    <t>898150107</t>
  </si>
  <si>
    <t>185</t>
  </si>
  <si>
    <t>1,0*6,5*(1,9-0,432-0,45)</t>
  </si>
  <si>
    <t>88</t>
  </si>
  <si>
    <t>001001360</t>
  </si>
  <si>
    <t>Poplatek za skládku horniny 1- 4, č. dle katal. odpadů 17 05 04</t>
  </si>
  <si>
    <t>SO 03_</t>
  </si>
  <si>
    <t>SO 01_9_</t>
  </si>
  <si>
    <t>148</t>
  </si>
  <si>
    <t>Montáž zemní soupravy pro šoupátka</t>
  </si>
  <si>
    <t>326</t>
  </si>
  <si>
    <t>303</t>
  </si>
  <si>
    <t>Zkrácený popis</t>
  </si>
  <si>
    <t>919732211R</t>
  </si>
  <si>
    <t>28</t>
  </si>
  <si>
    <t>111</t>
  </si>
  <si>
    <t>ID dle D.1.06 - VP.09</t>
  </si>
  <si>
    <t>1,0*1,7*(1,9-0,45)+1,0*4,61*(1,9-0,1)</t>
  </si>
  <si>
    <t>Slepý stavební rozpočet (VON - Vedlejší a ostatní náklady)</t>
  </si>
  <si>
    <t>312</t>
  </si>
  <si>
    <t>239</t>
  </si>
  <si>
    <t>857601102RTX</t>
  </si>
  <si>
    <t>CELK</t>
  </si>
  <si>
    <t>894373121R0G</t>
  </si>
  <si>
    <t>Elektrospojka d  90 mm PE 100</t>
  </si>
  <si>
    <t>SO 03</t>
  </si>
  <si>
    <t>871371121R01</t>
  </si>
  <si>
    <t>113</t>
  </si>
  <si>
    <t>106</t>
  </si>
  <si>
    <t>1,5*1,0*0,525*2</t>
  </si>
  <si>
    <t>M22_</t>
  </si>
  <si>
    <t>151101101R00</t>
  </si>
  <si>
    <t>SO 02_6_</t>
  </si>
  <si>
    <t>891269192RA1</t>
  </si>
  <si>
    <t>rošíření pro vysazení odboček</t>
  </si>
  <si>
    <t>Vodič signalizační CYY 6 mm2</t>
  </si>
  <si>
    <t>65</t>
  </si>
  <si>
    <t>VATTAX</t>
  </si>
  <si>
    <t>Prorážení otvorů a ostatní bourací práce</t>
  </si>
  <si>
    <t>244</t>
  </si>
  <si>
    <t>301</t>
  </si>
  <si>
    <t>169</t>
  </si>
  <si>
    <t>34</t>
  </si>
  <si>
    <t>529,706*10</t>
  </si>
  <si>
    <t>62</t>
  </si>
  <si>
    <t>193</t>
  </si>
  <si>
    <t>Doplňkové náklady DN</t>
  </si>
  <si>
    <t>Šoupátko přírubové F4, DN 200</t>
  </si>
  <si>
    <t>131201209R00</t>
  </si>
  <si>
    <t>SO 04_</t>
  </si>
  <si>
    <t>857262121R00</t>
  </si>
  <si>
    <t>16,17</t>
  </si>
  <si>
    <t>ID dle D.1.06 - A.01</t>
  </si>
  <si>
    <t>218</t>
  </si>
  <si>
    <t>12*1,0*1,0</t>
  </si>
  <si>
    <t>21,5</t>
  </si>
  <si>
    <t>Zřízení povrchového vodovodu</t>
  </si>
  <si>
    <t>Náklady na pracovníky</t>
  </si>
  <si>
    <t>ID dle D.1.06 - TV.16</t>
  </si>
  <si>
    <t>ID dle D.1.06 - TV.17</t>
  </si>
  <si>
    <t>Nákružek lemový PE 100 d  90 mm s otočnou přírubou</t>
  </si>
  <si>
    <t>4,9*1,9*2</t>
  </si>
  <si>
    <t>odstranění, zpětná obnova do původního stavu</t>
  </si>
  <si>
    <t>odpočet potrubí</t>
  </si>
  <si>
    <t>ID dle D.1.06 - T.01</t>
  </si>
  <si>
    <t>Osazení stojatého obrubníku betonového, s boční opěrou, do lože z betonu C 12/15</t>
  </si>
  <si>
    <t>dlaždice 30x30</t>
  </si>
  <si>
    <t>552599958</t>
  </si>
  <si>
    <t>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</si>
</sst>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8"/>
      <color rgb="FF000000"/>
      <name val="Arial"/>
      <family val="2"/>
      <charset val="238"/>
    </font>
    <font>
      <i/>
      <sz val="10"/>
      <color rgb="FF80008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color rgb="FF008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9"/>
      </patternFill>
    </fill>
  </fills>
  <borders count="38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2"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" fontId="6" fillId="2" borderId="3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/>
    <xf numFmtId="4" fontId="5" fillId="0" borderId="3" xfId="0" applyNumberFormat="1" applyFont="1" applyFill="1" applyBorder="1" applyAlignment="1" applyProtection="1">
      <alignment horizontal="right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4" fontId="9" fillId="0" borderId="0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1" fillId="0" borderId="12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right" vertical="center"/>
    </xf>
    <xf numFmtId="0" fontId="5" fillId="2" borderId="9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4" fillId="0" borderId="17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4" fontId="5" fillId="0" borderId="17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" fontId="4" fillId="0" borderId="17" xfId="0" applyNumberFormat="1" applyFont="1" applyFill="1" applyBorder="1" applyAlignment="1" applyProtection="1">
      <alignment horizontal="right" vertical="center"/>
    </xf>
    <xf numFmtId="0" fontId="5" fillId="0" borderId="1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4" fontId="4" fillId="0" borderId="26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2" fillId="2" borderId="17" xfId="0" applyNumberFormat="1" applyFont="1" applyFill="1" applyBorder="1" applyAlignment="1" applyProtection="1">
      <alignment horizontal="right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7" fillId="0" borderId="17" xfId="0" applyNumberFormat="1" applyFont="1" applyFill="1" applyBorder="1" applyAlignment="1" applyProtection="1">
      <alignment horizontal="right" vertical="center"/>
    </xf>
    <xf numFmtId="0" fontId="1" fillId="0" borderId="17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3" fillId="2" borderId="26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/>
    <xf numFmtId="0" fontId="5" fillId="0" borderId="17" xfId="0" applyNumberFormat="1" applyFont="1" applyFill="1" applyBorder="1" applyAlignment="1" applyProtection="1">
      <alignment horizontal="righ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31" xfId="0" applyNumberFormat="1" applyFont="1" applyFill="1" applyBorder="1" applyAlignment="1" applyProtection="1">
      <alignment horizontal="lef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6" fillId="0" borderId="32" xfId="0" applyNumberFormat="1" applyFont="1" applyFill="1" applyBorder="1" applyAlignment="1" applyProtection="1">
      <alignment horizontal="left" vertical="center"/>
    </xf>
    <xf numFmtId="4" fontId="6" fillId="2" borderId="26" xfId="0" applyNumberFormat="1" applyFont="1" applyFill="1" applyBorder="1" applyAlignment="1" applyProtection="1">
      <alignment horizontal="righ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5" fillId="0" borderId="37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2" fillId="0" borderId="19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0" borderId="33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8" xfId="0" applyNumberFormat="1" applyFont="1" applyFill="1" applyBorder="1" applyAlignment="1" applyProtection="1">
      <alignment horizontal="left" vertical="center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27" xfId="0" applyNumberFormat="1" applyFont="1" applyFill="1" applyBorder="1" applyAlignment="1" applyProtection="1">
      <alignment horizontal="left" vertical="center"/>
    </xf>
    <xf numFmtId="0" fontId="4" fillId="0" borderId="29" xfId="0" applyNumberFormat="1" applyFont="1" applyFill="1" applyBorder="1" applyAlignment="1" applyProtection="1">
      <alignment horizontal="left" vertical="center"/>
    </xf>
    <xf numFmtId="0" fontId="4" fillId="0" borderId="22" xfId="0" applyNumberFormat="1" applyFont="1" applyFill="1" applyBorder="1" applyAlignment="1" applyProtection="1">
      <alignment horizontal="left" vertical="center"/>
    </xf>
    <xf numFmtId="0" fontId="6" fillId="2" borderId="15" xfId="0" applyNumberFormat="1" applyFont="1" applyFill="1" applyBorder="1" applyAlignment="1" applyProtection="1">
      <alignment horizontal="left" vertical="center"/>
    </xf>
    <xf numFmtId="0" fontId="6" fillId="2" borderId="21" xfId="0" applyNumberFormat="1" applyFont="1" applyFill="1" applyBorder="1" applyAlignment="1" applyProtection="1">
      <alignment horizontal="left" vertical="center"/>
    </xf>
    <xf numFmtId="0" fontId="6" fillId="2" borderId="23" xfId="0" applyNumberFormat="1" applyFont="1" applyFill="1" applyBorder="1" applyAlignment="1" applyProtection="1">
      <alignment horizontal="left" vertical="center"/>
    </xf>
    <xf numFmtId="0" fontId="6" fillId="2" borderId="12" xfId="0" applyNumberFormat="1" applyFont="1" applyFill="1" applyBorder="1" applyAlignment="1" applyProtection="1">
      <alignment horizontal="left" vertical="center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17" xfId="0" applyNumberFormat="1" applyFont="1" applyFill="1" applyBorder="1" applyAlignment="1" applyProtection="1">
      <alignment horizontal="left" vertical="center"/>
    </xf>
    <xf numFmtId="0" fontId="6" fillId="0" borderId="21" xfId="0" applyNumberFormat="1" applyFont="1" applyFill="1" applyBorder="1" applyAlignment="1" applyProtection="1">
      <alignment horizontal="left" vertical="center"/>
    </xf>
    <xf numFmtId="0" fontId="6" fillId="0" borderId="26" xfId="0" applyNumberFormat="1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23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0" fillId="0" borderId="26" xfId="0" applyNumberFormat="1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15" xfId="0" applyNumberFormat="1" applyFont="1" applyFill="1" applyBorder="1" applyAlignment="1" applyProtection="1">
      <alignment horizontal="left" vertical="center"/>
    </xf>
    <xf numFmtId="0" fontId="5" fillId="0" borderId="28" xfId="0" applyNumberFormat="1" applyFont="1" applyFill="1" applyBorder="1" applyAlignment="1" applyProtection="1">
      <alignment horizontal="left" vertical="center"/>
    </xf>
    <xf numFmtId="0" fontId="5" fillId="0" borderId="17" xfId="0" applyNumberFormat="1" applyFont="1" applyFill="1" applyBorder="1" applyAlignment="1" applyProtection="1">
      <alignment horizontal="left" vertical="center"/>
    </xf>
    <xf numFmtId="1" fontId="5" fillId="0" borderId="17" xfId="0" applyNumberFormat="1" applyFont="1" applyFill="1" applyBorder="1" applyAlignment="1" applyProtection="1">
      <alignment horizontal="left" vertical="center"/>
    </xf>
    <xf numFmtId="0" fontId="5" fillId="0" borderId="17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left" vertical="center" wrapText="1"/>
    </xf>
    <xf numFmtId="0" fontId="5" fillId="0" borderId="16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23" xfId="0" applyNumberFormat="1" applyFont="1" applyFill="1" applyBorder="1" applyAlignment="1" applyProtection="1">
      <alignment horizontal="left" vertical="center"/>
    </xf>
    <xf numFmtId="0" fontId="2" fillId="0" borderId="34" xfId="0" applyNumberFormat="1" applyFont="1" applyFill="1" applyBorder="1" applyAlignment="1" applyProtection="1">
      <alignment horizontal="left" vertical="center"/>
    </xf>
    <xf numFmtId="0" fontId="2" fillId="0" borderId="20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4" fontId="6" fillId="0" borderId="20" xfId="0" applyNumberFormat="1" applyFont="1" applyFill="1" applyBorder="1" applyAlignment="1" applyProtection="1">
      <alignment horizontal="right" vertical="center"/>
    </xf>
    <xf numFmtId="0" fontId="6" fillId="0" borderId="20" xfId="0" applyNumberFormat="1" applyFont="1" applyFill="1" applyBorder="1" applyAlignment="1" applyProtection="1">
      <alignment horizontal="right" vertical="center"/>
    </xf>
    <xf numFmtId="0" fontId="6" fillId="0" borderId="5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" fillId="0" borderId="35" xfId="0" applyNumberFormat="1" applyFont="1" applyFill="1" applyBorder="1" applyAlignment="1" applyProtection="1">
      <alignment horizontal="left" vertical="center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1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4BE8AB4B-9E5F-7272-D6B3-2DC81283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400050</xdr:colOff>
      <xdr:row>0</xdr:row>
      <xdr:rowOff>666750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6A6C12C3-4C10-1B80-C2A7-5CF406F8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856E6E7C-4415-6FA3-A984-FAD3E081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CBFBC358-E177-48AB-5D8D-88E56089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400050</xdr:colOff>
      <xdr:row>0</xdr:row>
      <xdr:rowOff>666750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8B198BC8-F2F5-10B2-0925-79FB8EA2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1FF4242B-509F-61D9-6BF0-96E402DD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8CF9056E-75F1-C7EF-0055-97889CBC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400050</xdr:colOff>
      <xdr:row>0</xdr:row>
      <xdr:rowOff>666750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id="{F83CD3C9-EF6B-8C8B-487B-BBC8178E7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id="{D766D1B5-B565-A03F-AB37-F56CED005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EFDF6611-B296-CB32-2712-9CE4BEB7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400050</xdr:colOff>
      <xdr:row>0</xdr:row>
      <xdr:rowOff>666750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id="{08373780-527E-9A63-2A3F-2C38E801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84935994-9EBB-BAA1-0D9E-7B9839438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161925</xdr:colOff>
      <xdr:row>0</xdr:row>
      <xdr:rowOff>666750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DF007C9A-F055-E0B1-0EC6-D15292C2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400050</xdr:colOff>
      <xdr:row>0</xdr:row>
      <xdr:rowOff>666750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F09C6E68-4DF7-EB93-F850-6EA5BB35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B8698A2D-D000-2BF9-7202-82598849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DB88704F-EB6E-4111-0371-76921EF7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400050</xdr:colOff>
      <xdr:row>0</xdr:row>
      <xdr:rowOff>666750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C6B3E7F9-D65D-16D4-46FC-CD54CF38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DB69396C-3B08-E472-0BDB-A8447DE5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AD819304-D9C5-24F4-719F-E88E0DDF3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37"/>
  <sheetViews>
    <sheetView showOutlineSymbols="0" workbookViewId="0">
      <selection activeCell="K22" sqref="K22"/>
    </sheetView>
  </sheetViews>
  <sheetFormatPr defaultColWidth="14.1640625" defaultRowHeight="15" customHeight="1" x14ac:dyDescent="0.25"/>
  <cols>
    <col min="1" max="1" width="10.6640625"/>
    <col min="2" max="2" width="15"/>
    <col min="3" max="3" width="31.6640625"/>
    <col min="4" max="4" width="11.6640625"/>
    <col min="5" max="5" width="16.33203125"/>
    <col min="6" max="6" width="31.6640625"/>
    <col min="7" max="7" width="10.6640625"/>
    <col min="8" max="8" width="15"/>
    <col min="9" max="9" width="31.6640625"/>
  </cols>
  <sheetData>
    <row r="1" spans="1:9" ht="54.75" customHeight="1" x14ac:dyDescent="0.25">
      <c r="A1" s="110" t="s">
        <v>248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/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/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/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/>
      <c r="G8" s="77"/>
      <c r="H8" s="77" t="s">
        <v>1122</v>
      </c>
      <c r="I8" s="100">
        <v>326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/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2" spans="1:9" ht="22.5" customHeight="1" x14ac:dyDescent="0.25">
      <c r="A12" s="103" t="s">
        <v>178</v>
      </c>
      <c r="B12" s="103"/>
      <c r="C12" s="103"/>
      <c r="D12" s="103"/>
      <c r="E12" s="103"/>
      <c r="F12" s="103"/>
      <c r="G12" s="103"/>
      <c r="H12" s="103"/>
      <c r="I12" s="103"/>
    </row>
    <row r="13" spans="1:9" ht="26.25" customHeight="1" x14ac:dyDescent="0.25">
      <c r="A13" s="2" t="s">
        <v>993</v>
      </c>
      <c r="B13" s="93" t="s">
        <v>137</v>
      </c>
      <c r="C13" s="94"/>
      <c r="D13" s="51" t="s">
        <v>192</v>
      </c>
      <c r="E13" s="93" t="s">
        <v>406</v>
      </c>
      <c r="F13" s="94"/>
      <c r="G13" s="51" t="s">
        <v>710</v>
      </c>
      <c r="H13" s="93" t="s">
        <v>195</v>
      </c>
      <c r="I13" s="94"/>
    </row>
    <row r="14" spans="1:9" ht="15" customHeight="1" x14ac:dyDescent="0.25">
      <c r="A14" s="61" t="s">
        <v>417</v>
      </c>
      <c r="B14" s="3" t="s">
        <v>280</v>
      </c>
      <c r="C14" s="60">
        <f>SUM('Stavební rozpočet'!AA12:AA720)</f>
        <v>0</v>
      </c>
      <c r="D14" s="85" t="s">
        <v>791</v>
      </c>
      <c r="E14" s="86"/>
      <c r="F14" s="60">
        <f>VORN!I15</f>
        <v>0</v>
      </c>
      <c r="G14" s="85" t="s">
        <v>118</v>
      </c>
      <c r="H14" s="86"/>
      <c r="I14" s="36">
        <f>VORN!I21</f>
        <v>0</v>
      </c>
    </row>
    <row r="15" spans="1:9" ht="15" customHeight="1" x14ac:dyDescent="0.25">
      <c r="A15" s="59" t="s">
        <v>769</v>
      </c>
      <c r="B15" s="3" t="s">
        <v>201</v>
      </c>
      <c r="C15" s="60">
        <f>SUM('Stavební rozpočet'!AB12:AB720)</f>
        <v>0</v>
      </c>
      <c r="D15" s="85" t="s">
        <v>113</v>
      </c>
      <c r="E15" s="86"/>
      <c r="F15" s="60">
        <f>VORN!I16</f>
        <v>0</v>
      </c>
      <c r="G15" s="85" t="s">
        <v>878</v>
      </c>
      <c r="H15" s="86"/>
      <c r="I15" s="36">
        <f>VORN!I22</f>
        <v>0</v>
      </c>
    </row>
    <row r="16" spans="1:9" ht="15" customHeight="1" x14ac:dyDescent="0.25">
      <c r="A16" s="61" t="s">
        <v>110</v>
      </c>
      <c r="B16" s="3" t="s">
        <v>280</v>
      </c>
      <c r="C16" s="60">
        <f>SUM('Stavební rozpočet'!AC12:AC720)</f>
        <v>0</v>
      </c>
      <c r="D16" s="85" t="s">
        <v>819</v>
      </c>
      <c r="E16" s="86"/>
      <c r="F16" s="60">
        <f>VORN!I17</f>
        <v>0</v>
      </c>
      <c r="G16" s="85" t="s">
        <v>1076</v>
      </c>
      <c r="H16" s="86"/>
      <c r="I16" s="36">
        <f>VORN!I23</f>
        <v>0</v>
      </c>
    </row>
    <row r="17" spans="1:9" ht="15" customHeight="1" x14ac:dyDescent="0.25">
      <c r="A17" s="59" t="s">
        <v>769</v>
      </c>
      <c r="B17" s="3" t="s">
        <v>201</v>
      </c>
      <c r="C17" s="60">
        <f>SUM('Stavební rozpočet'!AD12:AD720)</f>
        <v>0</v>
      </c>
      <c r="D17" s="85" t="s">
        <v>769</v>
      </c>
      <c r="E17" s="86"/>
      <c r="F17" s="36" t="s">
        <v>769</v>
      </c>
      <c r="G17" s="85" t="s">
        <v>595</v>
      </c>
      <c r="H17" s="86"/>
      <c r="I17" s="36">
        <f>VORN!I24</f>
        <v>0</v>
      </c>
    </row>
    <row r="18" spans="1:9" ht="15" customHeight="1" x14ac:dyDescent="0.25">
      <c r="A18" s="61" t="s">
        <v>340</v>
      </c>
      <c r="B18" s="3" t="s">
        <v>280</v>
      </c>
      <c r="C18" s="60">
        <f>SUM('Stavební rozpočet'!AE12:AE720)</f>
        <v>0</v>
      </c>
      <c r="D18" s="85" t="s">
        <v>769</v>
      </c>
      <c r="E18" s="86"/>
      <c r="F18" s="36" t="s">
        <v>769</v>
      </c>
      <c r="G18" s="85" t="s">
        <v>722</v>
      </c>
      <c r="H18" s="86"/>
      <c r="I18" s="36">
        <f>VORN!I25</f>
        <v>0</v>
      </c>
    </row>
    <row r="19" spans="1:9" ht="15" customHeight="1" x14ac:dyDescent="0.25">
      <c r="A19" s="59" t="s">
        <v>769</v>
      </c>
      <c r="B19" s="3" t="s">
        <v>201</v>
      </c>
      <c r="C19" s="60">
        <f>SUM('Stavební rozpočet'!AF12:AF720)</f>
        <v>0</v>
      </c>
      <c r="D19" s="85" t="s">
        <v>769</v>
      </c>
      <c r="E19" s="86"/>
      <c r="F19" s="36" t="s">
        <v>769</v>
      </c>
      <c r="G19" s="85" t="s">
        <v>1105</v>
      </c>
      <c r="H19" s="86"/>
      <c r="I19" s="36">
        <f>VORN!I26</f>
        <v>0</v>
      </c>
    </row>
    <row r="20" spans="1:9" ht="15" customHeight="1" x14ac:dyDescent="0.25">
      <c r="A20" s="92" t="s">
        <v>87</v>
      </c>
      <c r="B20" s="91"/>
      <c r="C20" s="60">
        <f>SUM('Stavební rozpočet'!AG12:AG720)</f>
        <v>0</v>
      </c>
      <c r="D20" s="85" t="s">
        <v>769</v>
      </c>
      <c r="E20" s="86"/>
      <c r="F20" s="36" t="s">
        <v>769</v>
      </c>
      <c r="G20" s="85" t="s">
        <v>769</v>
      </c>
      <c r="H20" s="86"/>
      <c r="I20" s="36" t="s">
        <v>769</v>
      </c>
    </row>
    <row r="21" spans="1:9" ht="15" customHeight="1" x14ac:dyDescent="0.25">
      <c r="A21" s="95" t="s">
        <v>1104</v>
      </c>
      <c r="B21" s="96"/>
      <c r="C21" s="38">
        <f>SUM('Stavební rozpočet'!Y12:Y720)</f>
        <v>0</v>
      </c>
      <c r="D21" s="72" t="s">
        <v>769</v>
      </c>
      <c r="E21" s="87"/>
      <c r="F21" s="29" t="s">
        <v>769</v>
      </c>
      <c r="G21" s="72" t="s">
        <v>769</v>
      </c>
      <c r="H21" s="87"/>
      <c r="I21" s="29" t="s">
        <v>769</v>
      </c>
    </row>
    <row r="22" spans="1:9" ht="16.5" customHeight="1" x14ac:dyDescent="0.25">
      <c r="A22" s="97" t="s">
        <v>208</v>
      </c>
      <c r="B22" s="89"/>
      <c r="C22" s="42">
        <f>ROUND(SUM(C14:C21),1)</f>
        <v>0</v>
      </c>
      <c r="D22" s="88" t="s">
        <v>580</v>
      </c>
      <c r="E22" s="89"/>
      <c r="F22" s="42">
        <f>SUM(F14:F21)</f>
        <v>0</v>
      </c>
      <c r="G22" s="88" t="s">
        <v>1124</v>
      </c>
      <c r="H22" s="89"/>
      <c r="I22" s="42">
        <f>SUM(I14:I21)</f>
        <v>0</v>
      </c>
    </row>
    <row r="23" spans="1:9" ht="15" customHeight="1" x14ac:dyDescent="0.25">
      <c r="D23" s="92" t="s">
        <v>883</v>
      </c>
      <c r="E23" s="91"/>
      <c r="F23" s="60">
        <f>'Krycí list rozpočtu (SO 01)'!F22+'Krycí list rozpočtu (SO 02)'!F22+'Krycí list rozpočtu (SO 03)'!F22+'Krycí list rozpočtu (SO 04)'!F22+'Krycí list rozpočtu (VON)'!F22</f>
        <v>0</v>
      </c>
      <c r="G23" s="90" t="s">
        <v>67</v>
      </c>
      <c r="H23" s="91"/>
      <c r="I23" s="60">
        <f>'Krycí list rozpočtu (SO 01)'!I22+'Krycí list rozpočtu (SO 02)'!I22+'Krycí list rozpočtu (SO 03)'!I22+'Krycí list rozpočtu (SO 04)'!I22+'Krycí list rozpočtu (VON)'!I22</f>
        <v>0</v>
      </c>
    </row>
    <row r="24" spans="1:9" ht="15" customHeight="1" x14ac:dyDescent="0.25">
      <c r="G24" s="92" t="s">
        <v>672</v>
      </c>
      <c r="H24" s="91"/>
      <c r="I24" s="38">
        <f>vorn_sum</f>
        <v>0</v>
      </c>
    </row>
    <row r="25" spans="1:9" ht="15" customHeight="1" x14ac:dyDescent="0.25">
      <c r="G25" s="92" t="s">
        <v>343</v>
      </c>
      <c r="H25" s="91"/>
      <c r="I25" s="42">
        <f>'Krycí list rozpočtu (SO 01)'!I23+'Krycí list rozpočtu (SO 02)'!I23+'Krycí list rozpočtu (SO 03)'!I23+'Krycí list rozpočtu (SO 04)'!I23+'Krycí list rozpočtu (VON)'!I23</f>
        <v>0</v>
      </c>
    </row>
    <row r="27" spans="1:9" ht="15" customHeight="1" x14ac:dyDescent="0.25">
      <c r="A27" s="81" t="s">
        <v>457</v>
      </c>
      <c r="B27" s="82"/>
      <c r="C27" s="62">
        <f>ROUND(SUM('Stavební rozpočet'!AI12:AI720),1)</f>
        <v>0</v>
      </c>
    </row>
    <row r="28" spans="1:9" ht="15" customHeight="1" x14ac:dyDescent="0.25">
      <c r="A28" s="83" t="s">
        <v>30</v>
      </c>
      <c r="B28" s="84"/>
      <c r="C28" s="6">
        <f>ROUND(SUM('Stavební rozpočet'!AJ12:AJ720),1)</f>
        <v>0</v>
      </c>
      <c r="D28" s="82" t="s">
        <v>239</v>
      </c>
      <c r="E28" s="82"/>
      <c r="F28" s="62">
        <f>ROUND(C28*(15/100),2)</f>
        <v>0</v>
      </c>
      <c r="G28" s="82" t="s">
        <v>156</v>
      </c>
      <c r="H28" s="82"/>
      <c r="I28" s="62">
        <f>ROUND(SUM(C27:C29),1)</f>
        <v>0</v>
      </c>
    </row>
    <row r="29" spans="1:9" ht="15" customHeight="1" x14ac:dyDescent="0.25">
      <c r="A29" s="83" t="s">
        <v>59</v>
      </c>
      <c r="B29" s="84"/>
      <c r="C29" s="6">
        <f>ROUND(SUM('Stavební rozpočet'!AK12:AK720),1)</f>
        <v>0</v>
      </c>
      <c r="D29" s="84" t="s">
        <v>826</v>
      </c>
      <c r="E29" s="84"/>
      <c r="F29" s="6">
        <f>ROUND(C29*(21/100),2)</f>
        <v>0</v>
      </c>
      <c r="G29" s="84" t="s">
        <v>452</v>
      </c>
      <c r="H29" s="84"/>
      <c r="I29" s="6">
        <f>ROUND(SUM(F28:F29)+I28,1)</f>
        <v>0</v>
      </c>
    </row>
    <row r="31" spans="1:9" ht="15" customHeight="1" x14ac:dyDescent="0.25">
      <c r="A31" s="78" t="s">
        <v>16</v>
      </c>
      <c r="B31" s="70"/>
      <c r="C31" s="71"/>
      <c r="D31" s="70" t="s">
        <v>1057</v>
      </c>
      <c r="E31" s="70"/>
      <c r="F31" s="71"/>
      <c r="G31" s="70" t="s">
        <v>755</v>
      </c>
      <c r="H31" s="70"/>
      <c r="I31" s="71"/>
    </row>
    <row r="32" spans="1:9" ht="15" customHeight="1" x14ac:dyDescent="0.25">
      <c r="A32" s="79" t="s">
        <v>769</v>
      </c>
      <c r="B32" s="72"/>
      <c r="C32" s="73"/>
      <c r="D32" s="72" t="s">
        <v>769</v>
      </c>
      <c r="E32" s="72"/>
      <c r="F32" s="73"/>
      <c r="G32" s="72" t="s">
        <v>769</v>
      </c>
      <c r="H32" s="72"/>
      <c r="I32" s="73"/>
    </row>
    <row r="33" spans="1:9" ht="15" customHeight="1" x14ac:dyDescent="0.25">
      <c r="A33" s="79" t="s">
        <v>769</v>
      </c>
      <c r="B33" s="72"/>
      <c r="C33" s="73"/>
      <c r="D33" s="72" t="s">
        <v>769</v>
      </c>
      <c r="E33" s="72"/>
      <c r="F33" s="73"/>
      <c r="G33" s="72" t="s">
        <v>769</v>
      </c>
      <c r="H33" s="72"/>
      <c r="I33" s="73"/>
    </row>
    <row r="34" spans="1:9" ht="15" customHeight="1" x14ac:dyDescent="0.25">
      <c r="A34" s="79" t="s">
        <v>769</v>
      </c>
      <c r="B34" s="72"/>
      <c r="C34" s="73"/>
      <c r="D34" s="72" t="s">
        <v>769</v>
      </c>
      <c r="E34" s="72"/>
      <c r="F34" s="73"/>
      <c r="G34" s="72" t="s">
        <v>769</v>
      </c>
      <c r="H34" s="72"/>
      <c r="I34" s="73"/>
    </row>
    <row r="35" spans="1:9" ht="15" customHeight="1" x14ac:dyDescent="0.25">
      <c r="A35" s="80" t="s">
        <v>207</v>
      </c>
      <c r="B35" s="74"/>
      <c r="C35" s="75"/>
      <c r="D35" s="74" t="s">
        <v>207</v>
      </c>
      <c r="E35" s="74"/>
      <c r="F35" s="75"/>
      <c r="G35" s="74" t="s">
        <v>207</v>
      </c>
      <c r="H35" s="74"/>
      <c r="I35" s="75"/>
    </row>
    <row r="36" spans="1:9" ht="15" customHeight="1" x14ac:dyDescent="0.25">
      <c r="A36" s="46" t="s">
        <v>101</v>
      </c>
    </row>
    <row r="37" spans="1:9" ht="12.75" customHeight="1" x14ac:dyDescent="0.25">
      <c r="A37" s="76" t="s">
        <v>769</v>
      </c>
      <c r="B37" s="77"/>
      <c r="C37" s="77"/>
      <c r="D37" s="77"/>
      <c r="E37" s="77"/>
      <c r="F37" s="77"/>
      <c r="G37" s="77"/>
      <c r="H37" s="77"/>
      <c r="I37" s="77"/>
    </row>
  </sheetData>
  <mergeCells count="83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I2:I3"/>
    <mergeCell ref="I4:I5"/>
    <mergeCell ref="I6:I7"/>
    <mergeCell ref="I8:I9"/>
    <mergeCell ref="I10:I11"/>
    <mergeCell ref="D22:E22"/>
    <mergeCell ref="D23:E23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G19:H19"/>
    <mergeCell ref="D18:E18"/>
    <mergeCell ref="D19:E19"/>
    <mergeCell ref="D20:E20"/>
    <mergeCell ref="D21:E21"/>
    <mergeCell ref="G14:H14"/>
    <mergeCell ref="G15:H15"/>
    <mergeCell ref="G16:H16"/>
    <mergeCell ref="G17:H17"/>
    <mergeCell ref="G18:H18"/>
    <mergeCell ref="G28:H28"/>
    <mergeCell ref="G29:H2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A37:I37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BV211"/>
  <sheetViews>
    <sheetView showOutlineSymbols="0" workbookViewId="0">
      <pane ySplit="11" topLeftCell="A12" activePane="bottomLeft" state="frozenSplit"/>
      <selection activeCell="A211" sqref="A211:K211"/>
      <selection pane="bottomLeft" activeCell="M32" sqref="M32"/>
    </sheetView>
  </sheetViews>
  <sheetFormatPr defaultColWidth="14.1640625" defaultRowHeight="15" customHeight="1" x14ac:dyDescent="0.25"/>
  <cols>
    <col min="1" max="1" width="4.6640625"/>
    <col min="2" max="2" width="8.83203125"/>
    <col min="3" max="3" width="20.83203125"/>
    <col min="4" max="4" width="50"/>
    <col min="5" max="5" width="41.6640625"/>
    <col min="6" max="6" width="5"/>
    <col min="7" max="7" width="15"/>
    <col min="8" max="8" width="14"/>
    <col min="9" max="9" width="26.5" customWidth="1"/>
    <col min="10" max="10" width="15.6640625"/>
    <col min="24" max="74" width="14.1640625" hidden="1"/>
  </cols>
  <sheetData>
    <row r="1" spans="1:74" ht="54.75" customHeight="1" x14ac:dyDescent="0.25">
      <c r="A1" s="111" t="s">
        <v>614</v>
      </c>
      <c r="B1" s="111"/>
      <c r="C1" s="111"/>
      <c r="D1" s="111"/>
      <c r="E1" s="111"/>
      <c r="F1" s="111"/>
      <c r="G1" s="111"/>
      <c r="H1" s="111"/>
      <c r="I1" s="111"/>
      <c r="J1" s="111"/>
      <c r="AR1" s="14">
        <f>SUM(AI1:AI2)</f>
        <v>0</v>
      </c>
      <c r="AS1" s="14">
        <f>SUM(AJ1:AJ2)</f>
        <v>0</v>
      </c>
      <c r="AT1" s="14">
        <f>SUM(AK1:AK2)</f>
        <v>0</v>
      </c>
    </row>
    <row r="2" spans="1:74" ht="15" customHeight="1" x14ac:dyDescent="0.25">
      <c r="A2" s="112" t="s">
        <v>86</v>
      </c>
      <c r="B2" s="105"/>
      <c r="C2" s="105"/>
      <c r="D2" s="107" t="str">
        <f>'Stavební rozpočet'!D2</f>
        <v>JSL13 Předklášteří - obnova vodovodního řadu ul. Komenského, ul. Krátká</v>
      </c>
      <c r="E2" s="108"/>
      <c r="F2" s="105" t="s">
        <v>6</v>
      </c>
      <c r="G2" s="105"/>
      <c r="H2" s="104" t="str">
        <f>'Stavební rozpočet'!H2</f>
        <v xml:space="preserve"> </v>
      </c>
      <c r="I2" s="104" t="s">
        <v>924</v>
      </c>
      <c r="J2" s="98"/>
    </row>
    <row r="3" spans="1:74" ht="15" customHeight="1" x14ac:dyDescent="0.25">
      <c r="A3" s="113"/>
      <c r="B3" s="77"/>
      <c r="C3" s="77"/>
      <c r="D3" s="109"/>
      <c r="E3" s="109"/>
      <c r="F3" s="77"/>
      <c r="G3" s="77"/>
      <c r="H3" s="77"/>
      <c r="I3" s="77"/>
      <c r="J3" s="99"/>
    </row>
    <row r="4" spans="1:74" ht="15" customHeight="1" x14ac:dyDescent="0.25">
      <c r="A4" s="114" t="s">
        <v>610</v>
      </c>
      <c r="B4" s="77"/>
      <c r="C4" s="77"/>
      <c r="D4" s="76" t="str">
        <f>'Stavební rozpočet'!D4</f>
        <v xml:space="preserve"> </v>
      </c>
      <c r="E4" s="77"/>
      <c r="F4" s="77" t="s">
        <v>986</v>
      </c>
      <c r="G4" s="77"/>
      <c r="H4" s="76" t="str">
        <f>'Stavební rozpočet'!H4</f>
        <v>28.09.2023</v>
      </c>
      <c r="I4" s="76" t="s">
        <v>767</v>
      </c>
      <c r="J4" s="99"/>
    </row>
    <row r="5" spans="1:74" ht="15" customHeight="1" x14ac:dyDescent="0.25">
      <c r="A5" s="113"/>
      <c r="B5" s="77"/>
      <c r="C5" s="77"/>
      <c r="D5" s="77"/>
      <c r="E5" s="77"/>
      <c r="F5" s="77"/>
      <c r="G5" s="77"/>
      <c r="H5" s="77"/>
      <c r="I5" s="77"/>
      <c r="J5" s="99"/>
    </row>
    <row r="6" spans="1:74" ht="15" customHeight="1" x14ac:dyDescent="0.25">
      <c r="A6" s="114" t="s">
        <v>104</v>
      </c>
      <c r="B6" s="77"/>
      <c r="C6" s="77"/>
      <c r="D6" s="76" t="str">
        <f>'Stavební rozpočet'!D6</f>
        <v>Předklášteří</v>
      </c>
      <c r="E6" s="77"/>
      <c r="F6" s="77" t="s">
        <v>359</v>
      </c>
      <c r="G6" s="77"/>
      <c r="H6" s="76" t="str">
        <f>'Stavební rozpočet'!H6</f>
        <v xml:space="preserve"> </v>
      </c>
      <c r="I6" s="76" t="s">
        <v>967</v>
      </c>
      <c r="J6" s="99"/>
    </row>
    <row r="7" spans="1:74" ht="15" customHeight="1" x14ac:dyDescent="0.25">
      <c r="A7" s="113"/>
      <c r="B7" s="77"/>
      <c r="C7" s="77"/>
      <c r="D7" s="77"/>
      <c r="E7" s="77"/>
      <c r="F7" s="77"/>
      <c r="G7" s="77"/>
      <c r="H7" s="77"/>
      <c r="I7" s="77"/>
      <c r="J7" s="99"/>
    </row>
    <row r="8" spans="1:74" ht="15" customHeight="1" x14ac:dyDescent="0.25">
      <c r="A8" s="114" t="s">
        <v>546</v>
      </c>
      <c r="B8" s="77"/>
      <c r="C8" s="77"/>
      <c r="D8" s="76" t="str">
        <f>'Stavební rozpočet'!D8</f>
        <v xml:space="preserve"> </v>
      </c>
      <c r="E8" s="77"/>
      <c r="F8" s="77" t="s">
        <v>624</v>
      </c>
      <c r="G8" s="77"/>
      <c r="H8" s="76" t="str">
        <f>'Stavební rozpočet'!H8</f>
        <v>28.09.2023</v>
      </c>
      <c r="I8" s="76" t="s">
        <v>733</v>
      </c>
      <c r="J8" s="99"/>
    </row>
    <row r="9" spans="1:74" ht="15" customHeight="1" x14ac:dyDescent="0.25">
      <c r="A9" s="113"/>
      <c r="B9" s="77"/>
      <c r="C9" s="77"/>
      <c r="D9" s="77"/>
      <c r="E9" s="77"/>
      <c r="F9" s="77"/>
      <c r="G9" s="77"/>
      <c r="H9" s="77"/>
      <c r="I9" s="77"/>
      <c r="J9" s="99"/>
    </row>
    <row r="10" spans="1:74" ht="15" customHeight="1" x14ac:dyDescent="0.25">
      <c r="A10" s="4" t="s">
        <v>93</v>
      </c>
      <c r="B10" s="13" t="s">
        <v>821</v>
      </c>
      <c r="C10" s="13" t="s">
        <v>368</v>
      </c>
      <c r="D10" s="140" t="s">
        <v>768</v>
      </c>
      <c r="E10" s="141"/>
      <c r="F10" s="13" t="s">
        <v>391</v>
      </c>
      <c r="G10" s="1" t="s">
        <v>665</v>
      </c>
      <c r="H10" s="49" t="s">
        <v>357</v>
      </c>
      <c r="I10" s="8" t="s">
        <v>712</v>
      </c>
      <c r="J10" s="7" t="s">
        <v>302</v>
      </c>
      <c r="BJ10" s="30" t="s">
        <v>449</v>
      </c>
      <c r="BK10" s="40" t="s">
        <v>589</v>
      </c>
      <c r="BV10" s="40" t="s">
        <v>1224</v>
      </c>
    </row>
    <row r="11" spans="1:74" ht="15" customHeight="1" x14ac:dyDescent="0.25">
      <c r="A11" s="65" t="s">
        <v>1027</v>
      </c>
      <c r="B11" s="39" t="s">
        <v>1027</v>
      </c>
      <c r="C11" s="39" t="s">
        <v>1027</v>
      </c>
      <c r="D11" s="130" t="s">
        <v>1118</v>
      </c>
      <c r="E11" s="131"/>
      <c r="F11" s="39" t="s">
        <v>1027</v>
      </c>
      <c r="G11" s="39" t="s">
        <v>1027</v>
      </c>
      <c r="H11" s="69" t="s">
        <v>1061</v>
      </c>
      <c r="I11" s="17" t="s">
        <v>114</v>
      </c>
      <c r="J11" s="11" t="s">
        <v>282</v>
      </c>
      <c r="Y11" s="30" t="s">
        <v>866</v>
      </c>
      <c r="Z11" s="30" t="s">
        <v>683</v>
      </c>
      <c r="AA11" s="30" t="s">
        <v>1143</v>
      </c>
      <c r="AB11" s="30" t="s">
        <v>319</v>
      </c>
      <c r="AC11" s="30" t="s">
        <v>939</v>
      </c>
      <c r="AD11" s="30" t="s">
        <v>415</v>
      </c>
      <c r="AE11" s="30" t="s">
        <v>998</v>
      </c>
      <c r="AF11" s="30" t="s">
        <v>487</v>
      </c>
      <c r="AG11" s="30" t="s">
        <v>288</v>
      </c>
      <c r="BG11" s="30" t="s">
        <v>867</v>
      </c>
      <c r="BH11" s="30" t="s">
        <v>1126</v>
      </c>
      <c r="BI11" s="30" t="s">
        <v>1209</v>
      </c>
    </row>
    <row r="12" spans="1:74" ht="15" customHeight="1" x14ac:dyDescent="0.25">
      <c r="A12" s="27" t="s">
        <v>769</v>
      </c>
      <c r="B12" s="28" t="s">
        <v>262</v>
      </c>
      <c r="C12" s="28" t="s">
        <v>769</v>
      </c>
      <c r="D12" s="132" t="s">
        <v>792</v>
      </c>
      <c r="E12" s="133"/>
      <c r="F12" s="23" t="s">
        <v>1027</v>
      </c>
      <c r="G12" s="23" t="s">
        <v>1027</v>
      </c>
      <c r="H12" s="23" t="s">
        <v>1027</v>
      </c>
      <c r="I12" s="14">
        <f>I13+I27+I30+I38+I42+I47+I52+I66+I70+I78+I82+I85+I101+I134+I173+I183+I186+I192+I194+I196+I199</f>
        <v>0</v>
      </c>
      <c r="J12" s="44" t="s">
        <v>769</v>
      </c>
    </row>
    <row r="13" spans="1:74" ht="15" customHeight="1" x14ac:dyDescent="0.25">
      <c r="A13" s="27" t="s">
        <v>769</v>
      </c>
      <c r="B13" s="28" t="s">
        <v>262</v>
      </c>
      <c r="C13" s="28" t="s">
        <v>917</v>
      </c>
      <c r="D13" s="132" t="s">
        <v>611</v>
      </c>
      <c r="E13" s="133"/>
      <c r="F13" s="23" t="s">
        <v>1027</v>
      </c>
      <c r="G13" s="23" t="s">
        <v>1027</v>
      </c>
      <c r="H13" s="23" t="s">
        <v>1027</v>
      </c>
      <c r="I13" s="14">
        <f>SUM(I14:I25)</f>
        <v>0</v>
      </c>
      <c r="J13" s="44" t="s">
        <v>769</v>
      </c>
      <c r="AH13" s="30" t="s">
        <v>262</v>
      </c>
      <c r="AR13" s="14">
        <f>SUM(AI14:AI25)</f>
        <v>0</v>
      </c>
      <c r="AS13" s="14">
        <f>SUM(AJ14:AJ25)</f>
        <v>0</v>
      </c>
      <c r="AT13" s="14">
        <f>SUM(AK14:AK25)</f>
        <v>0</v>
      </c>
    </row>
    <row r="14" spans="1:74" ht="13.5" customHeight="1" x14ac:dyDescent="0.25">
      <c r="A14" s="10" t="s">
        <v>1109</v>
      </c>
      <c r="B14" s="9" t="s">
        <v>262</v>
      </c>
      <c r="C14" s="9" t="s">
        <v>373</v>
      </c>
      <c r="D14" s="76" t="s">
        <v>885</v>
      </c>
      <c r="E14" s="77"/>
      <c r="F14" s="9" t="s">
        <v>1095</v>
      </c>
      <c r="G14" s="56">
        <f>'Stavební rozpočet'!G333</f>
        <v>27.7</v>
      </c>
      <c r="H14" s="56">
        <f>'Stavební rozpočet'!H333</f>
        <v>0</v>
      </c>
      <c r="I14" s="56">
        <f>G14*H14</f>
        <v>0</v>
      </c>
      <c r="J14" s="54" t="s">
        <v>501</v>
      </c>
      <c r="Y14" s="56">
        <f>IF(AP14="5",BI14,0)</f>
        <v>0</v>
      </c>
      <c r="AA14" s="56">
        <f>IF(AP14="1",BG14,0)</f>
        <v>0</v>
      </c>
      <c r="AB14" s="56">
        <f>IF(AP14="1",BH14,0)</f>
        <v>0</v>
      </c>
      <c r="AC14" s="56">
        <f>IF(AP14="7",BG14,0)</f>
        <v>0</v>
      </c>
      <c r="AD14" s="56">
        <f>IF(AP14="7",BH14,0)</f>
        <v>0</v>
      </c>
      <c r="AE14" s="56">
        <f>IF(AP14="2",BG14,0)</f>
        <v>0</v>
      </c>
      <c r="AF14" s="56">
        <f>IF(AP14="2",BH14,0)</f>
        <v>0</v>
      </c>
      <c r="AG14" s="56">
        <f>IF(AP14="0",BI14,0)</f>
        <v>0</v>
      </c>
      <c r="AH14" s="30" t="s">
        <v>262</v>
      </c>
      <c r="AI14" s="56">
        <f>IF(AM14=0,I14,0)</f>
        <v>0</v>
      </c>
      <c r="AJ14" s="56">
        <f>IF(AM14=15,I14,0)</f>
        <v>0</v>
      </c>
      <c r="AK14" s="56">
        <f>IF(AM14=21,I14,0)</f>
        <v>0</v>
      </c>
      <c r="AM14" s="56">
        <v>21</v>
      </c>
      <c r="AN14" s="56">
        <f>H14*0</f>
        <v>0</v>
      </c>
      <c r="AO14" s="56">
        <f>H14*(1-0)</f>
        <v>0</v>
      </c>
      <c r="AP14" s="41" t="s">
        <v>1109</v>
      </c>
      <c r="AU14" s="56">
        <f>AV14+AW14</f>
        <v>0</v>
      </c>
      <c r="AV14" s="56">
        <f>G14*AN14</f>
        <v>0</v>
      </c>
      <c r="AW14" s="56">
        <f>G14*AO14</f>
        <v>0</v>
      </c>
      <c r="AX14" s="41" t="s">
        <v>124</v>
      </c>
      <c r="AY14" s="41" t="s">
        <v>666</v>
      </c>
      <c r="AZ14" s="30" t="s">
        <v>478</v>
      </c>
      <c r="BB14" s="56">
        <f>AV14+AW14</f>
        <v>0</v>
      </c>
      <c r="BC14" s="56">
        <f>H14/(100-BD14)*100</f>
        <v>0</v>
      </c>
      <c r="BD14" s="56">
        <v>0</v>
      </c>
      <c r="BE14" s="56" t="e">
        <f>#REF!</f>
        <v>#REF!</v>
      </c>
      <c r="BG14" s="56">
        <f>G14*AN14</f>
        <v>0</v>
      </c>
      <c r="BH14" s="56">
        <f>G14*AO14</f>
        <v>0</v>
      </c>
      <c r="BI14" s="56">
        <f>G14*H14</f>
        <v>0</v>
      </c>
      <c r="BJ14" s="56"/>
      <c r="BK14" s="56">
        <v>11</v>
      </c>
      <c r="BV14" s="56">
        <v>21</v>
      </c>
    </row>
    <row r="15" spans="1:74" ht="15" customHeight="1" x14ac:dyDescent="0.25">
      <c r="A15" s="53"/>
      <c r="D15" s="52" t="s">
        <v>240</v>
      </c>
      <c r="E15" s="37" t="s">
        <v>33</v>
      </c>
      <c r="G15" s="21">
        <v>5.7</v>
      </c>
      <c r="J15" s="48"/>
    </row>
    <row r="16" spans="1:74" ht="15" customHeight="1" x14ac:dyDescent="0.25">
      <c r="A16" s="53"/>
      <c r="D16" s="52" t="s">
        <v>427</v>
      </c>
      <c r="E16" s="37" t="s">
        <v>777</v>
      </c>
      <c r="G16" s="21">
        <v>22.000000000000004</v>
      </c>
      <c r="J16" s="48"/>
    </row>
    <row r="17" spans="1:74" ht="13.5" customHeight="1" x14ac:dyDescent="0.25">
      <c r="A17" s="10" t="s">
        <v>766</v>
      </c>
      <c r="B17" s="9" t="s">
        <v>262</v>
      </c>
      <c r="C17" s="9" t="s">
        <v>649</v>
      </c>
      <c r="D17" s="76" t="s">
        <v>567</v>
      </c>
      <c r="E17" s="77"/>
      <c r="F17" s="9" t="s">
        <v>1095</v>
      </c>
      <c r="G17" s="56">
        <f>'Stavební rozpočet'!G336</f>
        <v>55</v>
      </c>
      <c r="H17" s="56">
        <f>'Stavební rozpočet'!H336</f>
        <v>0</v>
      </c>
      <c r="I17" s="56">
        <f>G17*H17</f>
        <v>0</v>
      </c>
      <c r="J17" s="54" t="s">
        <v>501</v>
      </c>
      <c r="Y17" s="56">
        <f>IF(AP17="5",BI17,0)</f>
        <v>0</v>
      </c>
      <c r="AA17" s="56">
        <f>IF(AP17="1",BG17,0)</f>
        <v>0</v>
      </c>
      <c r="AB17" s="56">
        <f>IF(AP17="1",BH17,0)</f>
        <v>0</v>
      </c>
      <c r="AC17" s="56">
        <f>IF(AP17="7",BG17,0)</f>
        <v>0</v>
      </c>
      <c r="AD17" s="56">
        <f>IF(AP17="7",BH17,0)</f>
        <v>0</v>
      </c>
      <c r="AE17" s="56">
        <f>IF(AP17="2",BG17,0)</f>
        <v>0</v>
      </c>
      <c r="AF17" s="56">
        <f>IF(AP17="2",BH17,0)</f>
        <v>0</v>
      </c>
      <c r="AG17" s="56">
        <f>IF(AP17="0",BI17,0)</f>
        <v>0</v>
      </c>
      <c r="AH17" s="30" t="s">
        <v>262</v>
      </c>
      <c r="AI17" s="56">
        <f>IF(AM17=0,I17,0)</f>
        <v>0</v>
      </c>
      <c r="AJ17" s="56">
        <f>IF(AM17=15,I17,0)</f>
        <v>0</v>
      </c>
      <c r="AK17" s="56">
        <f>IF(AM17=21,I17,0)</f>
        <v>0</v>
      </c>
      <c r="AM17" s="56">
        <v>21</v>
      </c>
      <c r="AN17" s="56">
        <f>H17*0</f>
        <v>0</v>
      </c>
      <c r="AO17" s="56">
        <f>H17*(1-0)</f>
        <v>0</v>
      </c>
      <c r="AP17" s="41" t="s">
        <v>1109</v>
      </c>
      <c r="AU17" s="56">
        <f>AV17+AW17</f>
        <v>0</v>
      </c>
      <c r="AV17" s="56">
        <f>G17*AN17</f>
        <v>0</v>
      </c>
      <c r="AW17" s="56">
        <f>G17*AO17</f>
        <v>0</v>
      </c>
      <c r="AX17" s="41" t="s">
        <v>124</v>
      </c>
      <c r="AY17" s="41" t="s">
        <v>666</v>
      </c>
      <c r="AZ17" s="30" t="s">
        <v>478</v>
      </c>
      <c r="BB17" s="56">
        <f>AV17+AW17</f>
        <v>0</v>
      </c>
      <c r="BC17" s="56">
        <f>H17/(100-BD17)*100</f>
        <v>0</v>
      </c>
      <c r="BD17" s="56">
        <v>0</v>
      </c>
      <c r="BE17" s="56" t="e">
        <f>#REF!</f>
        <v>#REF!</v>
      </c>
      <c r="BG17" s="56">
        <f>G17*AN17</f>
        <v>0</v>
      </c>
      <c r="BH17" s="56">
        <f>G17*AO17</f>
        <v>0</v>
      </c>
      <c r="BI17" s="56">
        <f>G17*H17</f>
        <v>0</v>
      </c>
      <c r="BJ17" s="56"/>
      <c r="BK17" s="56">
        <v>11</v>
      </c>
      <c r="BV17" s="56">
        <v>21</v>
      </c>
    </row>
    <row r="18" spans="1:74" ht="13.5" customHeight="1" x14ac:dyDescent="0.25">
      <c r="A18" s="10" t="s">
        <v>952</v>
      </c>
      <c r="B18" s="9" t="s">
        <v>262</v>
      </c>
      <c r="C18" s="9" t="s">
        <v>902</v>
      </c>
      <c r="D18" s="76" t="s">
        <v>921</v>
      </c>
      <c r="E18" s="77"/>
      <c r="F18" s="9" t="s">
        <v>909</v>
      </c>
      <c r="G18" s="56">
        <f>'Stavební rozpočet'!G337</f>
        <v>3.3</v>
      </c>
      <c r="H18" s="56">
        <f>'Stavební rozpočet'!H337</f>
        <v>0</v>
      </c>
      <c r="I18" s="56">
        <f>G18*H18</f>
        <v>0</v>
      </c>
      <c r="J18" s="54" t="s">
        <v>501</v>
      </c>
      <c r="Y18" s="56">
        <f>IF(AP18="5",BI18,0)</f>
        <v>0</v>
      </c>
      <c r="AA18" s="56">
        <f>IF(AP18="1",BG18,0)</f>
        <v>0</v>
      </c>
      <c r="AB18" s="56">
        <f>IF(AP18="1",BH18,0)</f>
        <v>0</v>
      </c>
      <c r="AC18" s="56">
        <f>IF(AP18="7",BG18,0)</f>
        <v>0</v>
      </c>
      <c r="AD18" s="56">
        <f>IF(AP18="7",BH18,0)</f>
        <v>0</v>
      </c>
      <c r="AE18" s="56">
        <f>IF(AP18="2",BG18,0)</f>
        <v>0</v>
      </c>
      <c r="AF18" s="56">
        <f>IF(AP18="2",BH18,0)</f>
        <v>0</v>
      </c>
      <c r="AG18" s="56">
        <f>IF(AP18="0",BI18,0)</f>
        <v>0</v>
      </c>
      <c r="AH18" s="30" t="s">
        <v>262</v>
      </c>
      <c r="AI18" s="56">
        <f>IF(AM18=0,I18,0)</f>
        <v>0</v>
      </c>
      <c r="AJ18" s="56">
        <f>IF(AM18=15,I18,0)</f>
        <v>0</v>
      </c>
      <c r="AK18" s="56">
        <f>IF(AM18=21,I18,0)</f>
        <v>0</v>
      </c>
      <c r="AM18" s="56">
        <v>21</v>
      </c>
      <c r="AN18" s="56">
        <f>H18*0.315450160771704</f>
        <v>0</v>
      </c>
      <c r="AO18" s="56">
        <f>H18*(1-0.315450160771704)</f>
        <v>0</v>
      </c>
      <c r="AP18" s="41" t="s">
        <v>1109</v>
      </c>
      <c r="AU18" s="56">
        <f>AV18+AW18</f>
        <v>0</v>
      </c>
      <c r="AV18" s="56">
        <f>G18*AN18</f>
        <v>0</v>
      </c>
      <c r="AW18" s="56">
        <f>G18*AO18</f>
        <v>0</v>
      </c>
      <c r="AX18" s="41" t="s">
        <v>124</v>
      </c>
      <c r="AY18" s="41" t="s">
        <v>666</v>
      </c>
      <c r="AZ18" s="30" t="s">
        <v>478</v>
      </c>
      <c r="BB18" s="56">
        <f>AV18+AW18</f>
        <v>0</v>
      </c>
      <c r="BC18" s="56">
        <f>H18/(100-BD18)*100</f>
        <v>0</v>
      </c>
      <c r="BD18" s="56">
        <v>0</v>
      </c>
      <c r="BE18" s="56" t="e">
        <f>#REF!</f>
        <v>#REF!</v>
      </c>
      <c r="BG18" s="56">
        <f>G18*AN18</f>
        <v>0</v>
      </c>
      <c r="BH18" s="56">
        <f>G18*AO18</f>
        <v>0</v>
      </c>
      <c r="BI18" s="56">
        <f>G18*H18</f>
        <v>0</v>
      </c>
      <c r="BJ18" s="56"/>
      <c r="BK18" s="56">
        <v>11</v>
      </c>
      <c r="BV18" s="56">
        <v>21</v>
      </c>
    </row>
    <row r="19" spans="1:74" ht="15" customHeight="1" x14ac:dyDescent="0.25">
      <c r="A19" s="53"/>
      <c r="D19" s="52" t="s">
        <v>382</v>
      </c>
      <c r="E19" s="37" t="s">
        <v>1082</v>
      </c>
      <c r="G19" s="21">
        <v>1.1000000000000001</v>
      </c>
      <c r="J19" s="48"/>
    </row>
    <row r="20" spans="1:74" ht="15" customHeight="1" x14ac:dyDescent="0.25">
      <c r="A20" s="53"/>
      <c r="D20" s="52" t="s">
        <v>382</v>
      </c>
      <c r="E20" s="37" t="s">
        <v>308</v>
      </c>
      <c r="G20" s="21">
        <v>1.1000000000000001</v>
      </c>
      <c r="J20" s="48"/>
    </row>
    <row r="21" spans="1:74" ht="15" customHeight="1" x14ac:dyDescent="0.25">
      <c r="A21" s="53"/>
      <c r="D21" s="52" t="s">
        <v>382</v>
      </c>
      <c r="E21" s="37" t="s">
        <v>416</v>
      </c>
      <c r="G21" s="21">
        <v>1.1000000000000001</v>
      </c>
      <c r="J21" s="48"/>
    </row>
    <row r="22" spans="1:74" ht="13.5" customHeight="1" x14ac:dyDescent="0.25">
      <c r="A22" s="10" t="s">
        <v>127</v>
      </c>
      <c r="B22" s="9" t="s">
        <v>262</v>
      </c>
      <c r="C22" s="9" t="s">
        <v>514</v>
      </c>
      <c r="D22" s="76" t="s">
        <v>149</v>
      </c>
      <c r="E22" s="77"/>
      <c r="F22" s="9" t="s">
        <v>909</v>
      </c>
      <c r="G22" s="56">
        <f>'Stavební rozpočet'!G341</f>
        <v>15</v>
      </c>
      <c r="H22" s="56">
        <f>'Stavební rozpočet'!H341</f>
        <v>0</v>
      </c>
      <c r="I22" s="56">
        <f>G22*H22</f>
        <v>0</v>
      </c>
      <c r="J22" s="54" t="s">
        <v>501</v>
      </c>
      <c r="Y22" s="56">
        <f>IF(AP22="5",BI22,0)</f>
        <v>0</v>
      </c>
      <c r="AA22" s="56">
        <f>IF(AP22="1",BG22,0)</f>
        <v>0</v>
      </c>
      <c r="AB22" s="56">
        <f>IF(AP22="1",BH22,0)</f>
        <v>0</v>
      </c>
      <c r="AC22" s="56">
        <f>IF(AP22="7",BG22,0)</f>
        <v>0</v>
      </c>
      <c r="AD22" s="56">
        <f>IF(AP22="7",BH22,0)</f>
        <v>0</v>
      </c>
      <c r="AE22" s="56">
        <f>IF(AP22="2",BG22,0)</f>
        <v>0</v>
      </c>
      <c r="AF22" s="56">
        <f>IF(AP22="2",BH22,0)</f>
        <v>0</v>
      </c>
      <c r="AG22" s="56">
        <f>IF(AP22="0",BI22,0)</f>
        <v>0</v>
      </c>
      <c r="AH22" s="30" t="s">
        <v>262</v>
      </c>
      <c r="AI22" s="56">
        <f>IF(AM22=0,I22,0)</f>
        <v>0</v>
      </c>
      <c r="AJ22" s="56">
        <f>IF(AM22=15,I22,0)</f>
        <v>0</v>
      </c>
      <c r="AK22" s="56">
        <f>IF(AM22=21,I22,0)</f>
        <v>0</v>
      </c>
      <c r="AM22" s="56">
        <v>21</v>
      </c>
      <c r="AN22" s="56">
        <f>H22*0</f>
        <v>0</v>
      </c>
      <c r="AO22" s="56">
        <f>H22*(1-0)</f>
        <v>0</v>
      </c>
      <c r="AP22" s="41" t="s">
        <v>1109</v>
      </c>
      <c r="AU22" s="56">
        <f>AV22+AW22</f>
        <v>0</v>
      </c>
      <c r="AV22" s="56">
        <f>G22*AN22</f>
        <v>0</v>
      </c>
      <c r="AW22" s="56">
        <f>G22*AO22</f>
        <v>0</v>
      </c>
      <c r="AX22" s="41" t="s">
        <v>124</v>
      </c>
      <c r="AY22" s="41" t="s">
        <v>666</v>
      </c>
      <c r="AZ22" s="30" t="s">
        <v>478</v>
      </c>
      <c r="BB22" s="56">
        <f>AV22+AW22</f>
        <v>0</v>
      </c>
      <c r="BC22" s="56">
        <f>H22/(100-BD22)*100</f>
        <v>0</v>
      </c>
      <c r="BD22" s="56">
        <v>0</v>
      </c>
      <c r="BE22" s="56" t="e">
        <f>#REF!</f>
        <v>#REF!</v>
      </c>
      <c r="BG22" s="56">
        <f>G22*AN22</f>
        <v>0</v>
      </c>
      <c r="BH22" s="56">
        <f>G22*AO22</f>
        <v>0</v>
      </c>
      <c r="BI22" s="56">
        <f>G22*H22</f>
        <v>0</v>
      </c>
      <c r="BJ22" s="56"/>
      <c r="BK22" s="56">
        <v>11</v>
      </c>
      <c r="BV22" s="56">
        <v>21</v>
      </c>
    </row>
    <row r="23" spans="1:74" ht="15" customHeight="1" x14ac:dyDescent="0.25">
      <c r="A23" s="53"/>
      <c r="D23" s="52" t="s">
        <v>442</v>
      </c>
      <c r="E23" s="37" t="s">
        <v>976</v>
      </c>
      <c r="G23" s="21">
        <v>15.000000000000002</v>
      </c>
      <c r="J23" s="48"/>
    </row>
    <row r="24" spans="1:74" ht="13.5" customHeight="1" x14ac:dyDescent="0.25">
      <c r="A24" s="10" t="s">
        <v>596</v>
      </c>
      <c r="B24" s="9" t="s">
        <v>262</v>
      </c>
      <c r="C24" s="9" t="s">
        <v>790</v>
      </c>
      <c r="D24" s="76" t="s">
        <v>1040</v>
      </c>
      <c r="E24" s="77"/>
      <c r="F24" s="9" t="s">
        <v>909</v>
      </c>
      <c r="G24" s="56">
        <f>'Stavební rozpočet'!G343</f>
        <v>17</v>
      </c>
      <c r="H24" s="56">
        <f>'Stavební rozpočet'!H343</f>
        <v>0</v>
      </c>
      <c r="I24" s="56">
        <f>G24*H24</f>
        <v>0</v>
      </c>
      <c r="J24" s="54" t="s">
        <v>501</v>
      </c>
      <c r="Y24" s="56">
        <f>IF(AP24="5",BI24,0)</f>
        <v>0</v>
      </c>
      <c r="AA24" s="56">
        <f>IF(AP24="1",BG24,0)</f>
        <v>0</v>
      </c>
      <c r="AB24" s="56">
        <f>IF(AP24="1",BH24,0)</f>
        <v>0</v>
      </c>
      <c r="AC24" s="56">
        <f>IF(AP24="7",BG24,0)</f>
        <v>0</v>
      </c>
      <c r="AD24" s="56">
        <f>IF(AP24="7",BH24,0)</f>
        <v>0</v>
      </c>
      <c r="AE24" s="56">
        <f>IF(AP24="2",BG24,0)</f>
        <v>0</v>
      </c>
      <c r="AF24" s="56">
        <f>IF(AP24="2",BH24,0)</f>
        <v>0</v>
      </c>
      <c r="AG24" s="56">
        <f>IF(AP24="0",BI24,0)</f>
        <v>0</v>
      </c>
      <c r="AH24" s="30" t="s">
        <v>262</v>
      </c>
      <c r="AI24" s="56">
        <f>IF(AM24=0,I24,0)</f>
        <v>0</v>
      </c>
      <c r="AJ24" s="56">
        <f>IF(AM24=15,I24,0)</f>
        <v>0</v>
      </c>
      <c r="AK24" s="56">
        <f>IF(AM24=21,I24,0)</f>
        <v>0</v>
      </c>
      <c r="AM24" s="56">
        <v>21</v>
      </c>
      <c r="AN24" s="56">
        <f>H24*0</f>
        <v>0</v>
      </c>
      <c r="AO24" s="56">
        <f>H24*(1-0)</f>
        <v>0</v>
      </c>
      <c r="AP24" s="41" t="s">
        <v>1109</v>
      </c>
      <c r="AU24" s="56">
        <f>AV24+AW24</f>
        <v>0</v>
      </c>
      <c r="AV24" s="56">
        <f>G24*AN24</f>
        <v>0</v>
      </c>
      <c r="AW24" s="56">
        <f>G24*AO24</f>
        <v>0</v>
      </c>
      <c r="AX24" s="41" t="s">
        <v>124</v>
      </c>
      <c r="AY24" s="41" t="s">
        <v>666</v>
      </c>
      <c r="AZ24" s="30" t="s">
        <v>478</v>
      </c>
      <c r="BB24" s="56">
        <f>AV24+AW24</f>
        <v>0</v>
      </c>
      <c r="BC24" s="56">
        <f>H24/(100-BD24)*100</f>
        <v>0</v>
      </c>
      <c r="BD24" s="56">
        <v>0</v>
      </c>
      <c r="BE24" s="56" t="e">
        <f>#REF!</f>
        <v>#REF!</v>
      </c>
      <c r="BG24" s="56">
        <f>G24*AN24</f>
        <v>0</v>
      </c>
      <c r="BH24" s="56">
        <f>G24*AO24</f>
        <v>0</v>
      </c>
      <c r="BI24" s="56">
        <f>G24*H24</f>
        <v>0</v>
      </c>
      <c r="BJ24" s="56"/>
      <c r="BK24" s="56">
        <v>11</v>
      </c>
      <c r="BV24" s="56">
        <v>21</v>
      </c>
    </row>
    <row r="25" spans="1:74" ht="13.5" customHeight="1" x14ac:dyDescent="0.25">
      <c r="A25" s="10" t="s">
        <v>177</v>
      </c>
      <c r="B25" s="9" t="s">
        <v>262</v>
      </c>
      <c r="C25" s="9" t="s">
        <v>747</v>
      </c>
      <c r="D25" s="76" t="s">
        <v>332</v>
      </c>
      <c r="E25" s="77"/>
      <c r="F25" s="9" t="s">
        <v>494</v>
      </c>
      <c r="G25" s="56">
        <f>'Stavební rozpočet'!G344</f>
        <v>60</v>
      </c>
      <c r="H25" s="56">
        <f>'Stavební rozpočet'!H344</f>
        <v>0</v>
      </c>
      <c r="I25" s="56">
        <f>G25*H25</f>
        <v>0</v>
      </c>
      <c r="J25" s="54" t="s">
        <v>501</v>
      </c>
      <c r="Y25" s="56">
        <f>IF(AP25="5",BI25,0)</f>
        <v>0</v>
      </c>
      <c r="AA25" s="56">
        <f>IF(AP25="1",BG25,0)</f>
        <v>0</v>
      </c>
      <c r="AB25" s="56">
        <f>IF(AP25="1",BH25,0)</f>
        <v>0</v>
      </c>
      <c r="AC25" s="56">
        <f>IF(AP25="7",BG25,0)</f>
        <v>0</v>
      </c>
      <c r="AD25" s="56">
        <f>IF(AP25="7",BH25,0)</f>
        <v>0</v>
      </c>
      <c r="AE25" s="56">
        <f>IF(AP25="2",BG25,0)</f>
        <v>0</v>
      </c>
      <c r="AF25" s="56">
        <f>IF(AP25="2",BH25,0)</f>
        <v>0</v>
      </c>
      <c r="AG25" s="56">
        <f>IF(AP25="0",BI25,0)</f>
        <v>0</v>
      </c>
      <c r="AH25" s="30" t="s">
        <v>262</v>
      </c>
      <c r="AI25" s="56">
        <f>IF(AM25=0,I25,0)</f>
        <v>0</v>
      </c>
      <c r="AJ25" s="56">
        <f>IF(AM25=15,I25,0)</f>
        <v>0</v>
      </c>
      <c r="AK25" s="56">
        <f>IF(AM25=21,I25,0)</f>
        <v>0</v>
      </c>
      <c r="AM25" s="56">
        <v>21</v>
      </c>
      <c r="AN25" s="56">
        <f>H25*0</f>
        <v>0</v>
      </c>
      <c r="AO25" s="56">
        <f>H25*(1-0)</f>
        <v>0</v>
      </c>
      <c r="AP25" s="41" t="s">
        <v>1109</v>
      </c>
      <c r="AU25" s="56">
        <f>AV25+AW25</f>
        <v>0</v>
      </c>
      <c r="AV25" s="56">
        <f>G25*AN25</f>
        <v>0</v>
      </c>
      <c r="AW25" s="56">
        <f>G25*AO25</f>
        <v>0</v>
      </c>
      <c r="AX25" s="41" t="s">
        <v>124</v>
      </c>
      <c r="AY25" s="41" t="s">
        <v>666</v>
      </c>
      <c r="AZ25" s="30" t="s">
        <v>478</v>
      </c>
      <c r="BB25" s="56">
        <f>AV25+AW25</f>
        <v>0</v>
      </c>
      <c r="BC25" s="56">
        <f>H25/(100-BD25)*100</f>
        <v>0</v>
      </c>
      <c r="BD25" s="56">
        <v>0</v>
      </c>
      <c r="BE25" s="56" t="e">
        <f>#REF!</f>
        <v>#REF!</v>
      </c>
      <c r="BG25" s="56">
        <f>G25*AN25</f>
        <v>0</v>
      </c>
      <c r="BH25" s="56">
        <f>G25*AO25</f>
        <v>0</v>
      </c>
      <c r="BI25" s="56">
        <f>G25*H25</f>
        <v>0</v>
      </c>
      <c r="BJ25" s="56"/>
      <c r="BK25" s="56">
        <v>11</v>
      </c>
      <c r="BV25" s="56">
        <v>21</v>
      </c>
    </row>
    <row r="26" spans="1:74" ht="13.5" customHeight="1" x14ac:dyDescent="0.25">
      <c r="A26" s="53"/>
      <c r="C26" s="66" t="s">
        <v>578</v>
      </c>
      <c r="D26" s="137" t="s">
        <v>321</v>
      </c>
      <c r="E26" s="138"/>
      <c r="F26" s="138"/>
      <c r="G26" s="138"/>
      <c r="H26" s="138"/>
      <c r="I26" s="138"/>
      <c r="J26" s="139"/>
    </row>
    <row r="27" spans="1:74" ht="15" customHeight="1" x14ac:dyDescent="0.25">
      <c r="A27" s="27" t="s">
        <v>769</v>
      </c>
      <c r="B27" s="28" t="s">
        <v>262</v>
      </c>
      <c r="C27" s="28" t="s">
        <v>815</v>
      </c>
      <c r="D27" s="132" t="s">
        <v>276</v>
      </c>
      <c r="E27" s="133"/>
      <c r="F27" s="23" t="s">
        <v>1027</v>
      </c>
      <c r="G27" s="23" t="s">
        <v>1027</v>
      </c>
      <c r="H27" s="23" t="s">
        <v>1027</v>
      </c>
      <c r="I27" s="14">
        <f>SUM(I28:I28)</f>
        <v>0</v>
      </c>
      <c r="J27" s="44" t="s">
        <v>769</v>
      </c>
      <c r="AH27" s="30" t="s">
        <v>262</v>
      </c>
      <c r="AR27" s="14">
        <f>SUM(AI28:AI28)</f>
        <v>0</v>
      </c>
      <c r="AS27" s="14">
        <f>SUM(AJ28:AJ28)</f>
        <v>0</v>
      </c>
      <c r="AT27" s="14">
        <f>SUM(AK28:AK28)</f>
        <v>0</v>
      </c>
    </row>
    <row r="28" spans="1:74" ht="13.5" customHeight="1" x14ac:dyDescent="0.25">
      <c r="A28" s="10" t="s">
        <v>1114</v>
      </c>
      <c r="B28" s="9" t="s">
        <v>262</v>
      </c>
      <c r="C28" s="9" t="s">
        <v>383</v>
      </c>
      <c r="D28" s="76" t="s">
        <v>76</v>
      </c>
      <c r="E28" s="77"/>
      <c r="F28" s="9" t="s">
        <v>1079</v>
      </c>
      <c r="G28" s="56">
        <f>'Stavební rozpočet'!G347</f>
        <v>3.3</v>
      </c>
      <c r="H28" s="56">
        <f>'Stavební rozpočet'!H347</f>
        <v>0</v>
      </c>
      <c r="I28" s="56">
        <f>G28*H28</f>
        <v>0</v>
      </c>
      <c r="J28" s="54" t="s">
        <v>501</v>
      </c>
      <c r="Y28" s="56">
        <f>IF(AP28="5",BI28,0)</f>
        <v>0</v>
      </c>
      <c r="AA28" s="56">
        <f>IF(AP28="1",BG28,0)</f>
        <v>0</v>
      </c>
      <c r="AB28" s="56">
        <f>IF(AP28="1",BH28,0)</f>
        <v>0</v>
      </c>
      <c r="AC28" s="56">
        <f>IF(AP28="7",BG28,0)</f>
        <v>0</v>
      </c>
      <c r="AD28" s="56">
        <f>IF(AP28="7",BH28,0)</f>
        <v>0</v>
      </c>
      <c r="AE28" s="56">
        <f>IF(AP28="2",BG28,0)</f>
        <v>0</v>
      </c>
      <c r="AF28" s="56">
        <f>IF(AP28="2",BH28,0)</f>
        <v>0</v>
      </c>
      <c r="AG28" s="56">
        <f>IF(AP28="0",BI28,0)</f>
        <v>0</v>
      </c>
      <c r="AH28" s="30" t="s">
        <v>262</v>
      </c>
      <c r="AI28" s="56">
        <f>IF(AM28=0,I28,0)</f>
        <v>0</v>
      </c>
      <c r="AJ28" s="56">
        <f>IF(AM28=15,I28,0)</f>
        <v>0</v>
      </c>
      <c r="AK28" s="56">
        <f>IF(AM28=21,I28,0)</f>
        <v>0</v>
      </c>
      <c r="AM28" s="56">
        <v>21</v>
      </c>
      <c r="AN28" s="56">
        <f>H28*0</f>
        <v>0</v>
      </c>
      <c r="AO28" s="56">
        <f>H28*(1-0)</f>
        <v>0</v>
      </c>
      <c r="AP28" s="41" t="s">
        <v>1109</v>
      </c>
      <c r="AU28" s="56">
        <f>AV28+AW28</f>
        <v>0</v>
      </c>
      <c r="AV28" s="56">
        <f>G28*AN28</f>
        <v>0</v>
      </c>
      <c r="AW28" s="56">
        <f>G28*AO28</f>
        <v>0</v>
      </c>
      <c r="AX28" s="41" t="s">
        <v>569</v>
      </c>
      <c r="AY28" s="41" t="s">
        <v>666</v>
      </c>
      <c r="AZ28" s="30" t="s">
        <v>478</v>
      </c>
      <c r="BB28" s="56">
        <f>AV28+AW28</f>
        <v>0</v>
      </c>
      <c r="BC28" s="56">
        <f>H28/(100-BD28)*100</f>
        <v>0</v>
      </c>
      <c r="BD28" s="56">
        <v>0</v>
      </c>
      <c r="BE28" s="56" t="e">
        <f>#REF!</f>
        <v>#REF!</v>
      </c>
      <c r="BG28" s="56">
        <f>G28*AN28</f>
        <v>0</v>
      </c>
      <c r="BH28" s="56">
        <f>G28*AO28</f>
        <v>0</v>
      </c>
      <c r="BI28" s="56">
        <f>G28*H28</f>
        <v>0</v>
      </c>
      <c r="BJ28" s="56"/>
      <c r="BK28" s="56">
        <v>12</v>
      </c>
      <c r="BV28" s="56">
        <v>21</v>
      </c>
    </row>
    <row r="29" spans="1:74" ht="15" customHeight="1" x14ac:dyDescent="0.25">
      <c r="A29" s="53"/>
      <c r="D29" s="52" t="s">
        <v>218</v>
      </c>
      <c r="E29" s="37" t="s">
        <v>769</v>
      </c>
      <c r="G29" s="21">
        <v>3.3000000000000003</v>
      </c>
      <c r="J29" s="48"/>
    </row>
    <row r="30" spans="1:74" ht="15" customHeight="1" x14ac:dyDescent="0.25">
      <c r="A30" s="27" t="s">
        <v>769</v>
      </c>
      <c r="B30" s="28" t="s">
        <v>262</v>
      </c>
      <c r="C30" s="28" t="s">
        <v>333</v>
      </c>
      <c r="D30" s="132" t="s">
        <v>7</v>
      </c>
      <c r="E30" s="133"/>
      <c r="F30" s="23" t="s">
        <v>1027</v>
      </c>
      <c r="G30" s="23" t="s">
        <v>1027</v>
      </c>
      <c r="H30" s="23" t="s">
        <v>1027</v>
      </c>
      <c r="I30" s="14">
        <f>SUM(I31:I36)</f>
        <v>0</v>
      </c>
      <c r="J30" s="44" t="s">
        <v>769</v>
      </c>
      <c r="AH30" s="30" t="s">
        <v>262</v>
      </c>
      <c r="AR30" s="14">
        <f>SUM(AI31:AI36)</f>
        <v>0</v>
      </c>
      <c r="AS30" s="14">
        <f>SUM(AJ31:AJ36)</f>
        <v>0</v>
      </c>
      <c r="AT30" s="14">
        <f>SUM(AK31:AK36)</f>
        <v>0</v>
      </c>
    </row>
    <row r="31" spans="1:74" ht="13.5" customHeight="1" x14ac:dyDescent="0.25">
      <c r="A31" s="10" t="s">
        <v>874</v>
      </c>
      <c r="B31" s="9" t="s">
        <v>262</v>
      </c>
      <c r="C31" s="9" t="s">
        <v>264</v>
      </c>
      <c r="D31" s="76" t="s">
        <v>117</v>
      </c>
      <c r="E31" s="77"/>
      <c r="F31" s="9" t="s">
        <v>1079</v>
      </c>
      <c r="G31" s="56">
        <f>'Stavební rozpočet'!G350</f>
        <v>33.61</v>
      </c>
      <c r="H31" s="56">
        <f>'Stavební rozpočet'!H350</f>
        <v>0</v>
      </c>
      <c r="I31" s="56">
        <f>G31*H31</f>
        <v>0</v>
      </c>
      <c r="J31" s="54" t="s">
        <v>501</v>
      </c>
      <c r="Y31" s="56">
        <f>IF(AP31="5",BI31,0)</f>
        <v>0</v>
      </c>
      <c r="AA31" s="56">
        <f>IF(AP31="1",BG31,0)</f>
        <v>0</v>
      </c>
      <c r="AB31" s="56">
        <f>IF(AP31="1",BH31,0)</f>
        <v>0</v>
      </c>
      <c r="AC31" s="56">
        <f>IF(AP31="7",BG31,0)</f>
        <v>0</v>
      </c>
      <c r="AD31" s="56">
        <f>IF(AP31="7",BH31,0)</f>
        <v>0</v>
      </c>
      <c r="AE31" s="56">
        <f>IF(AP31="2",BG31,0)</f>
        <v>0</v>
      </c>
      <c r="AF31" s="56">
        <f>IF(AP31="2",BH31,0)</f>
        <v>0</v>
      </c>
      <c r="AG31" s="56">
        <f>IF(AP31="0",BI31,0)</f>
        <v>0</v>
      </c>
      <c r="AH31" s="30" t="s">
        <v>262</v>
      </c>
      <c r="AI31" s="56">
        <f>IF(AM31=0,I31,0)</f>
        <v>0</v>
      </c>
      <c r="AJ31" s="56">
        <f>IF(AM31=15,I31,0)</f>
        <v>0</v>
      </c>
      <c r="AK31" s="56">
        <f>IF(AM31=21,I31,0)</f>
        <v>0</v>
      </c>
      <c r="AM31" s="56">
        <v>21</v>
      </c>
      <c r="AN31" s="56">
        <f>H31*0</f>
        <v>0</v>
      </c>
      <c r="AO31" s="56">
        <f>H31*(1-0)</f>
        <v>0</v>
      </c>
      <c r="AP31" s="41" t="s">
        <v>1109</v>
      </c>
      <c r="AU31" s="56">
        <f>AV31+AW31</f>
        <v>0</v>
      </c>
      <c r="AV31" s="56">
        <f>G31*AN31</f>
        <v>0</v>
      </c>
      <c r="AW31" s="56">
        <f>G31*AO31</f>
        <v>0</v>
      </c>
      <c r="AX31" s="41" t="s">
        <v>1001</v>
      </c>
      <c r="AY31" s="41" t="s">
        <v>666</v>
      </c>
      <c r="AZ31" s="30" t="s">
        <v>478</v>
      </c>
      <c r="BB31" s="56">
        <f>AV31+AW31</f>
        <v>0</v>
      </c>
      <c r="BC31" s="56">
        <f>H31/(100-BD31)*100</f>
        <v>0</v>
      </c>
      <c r="BD31" s="56">
        <v>0</v>
      </c>
      <c r="BE31" s="56" t="e">
        <f>#REF!</f>
        <v>#REF!</v>
      </c>
      <c r="BG31" s="56">
        <f>G31*AN31</f>
        <v>0</v>
      </c>
      <c r="BH31" s="56">
        <f>G31*AO31</f>
        <v>0</v>
      </c>
      <c r="BI31" s="56">
        <f>G31*H31</f>
        <v>0</v>
      </c>
      <c r="BJ31" s="56"/>
      <c r="BK31" s="56">
        <v>13</v>
      </c>
      <c r="BV31" s="56">
        <v>21</v>
      </c>
    </row>
    <row r="32" spans="1:74" ht="15" customHeight="1" x14ac:dyDescent="0.25">
      <c r="A32" s="53"/>
      <c r="D32" s="52" t="s">
        <v>312</v>
      </c>
      <c r="E32" s="37" t="s">
        <v>424</v>
      </c>
      <c r="G32" s="21">
        <v>29.700000000000003</v>
      </c>
      <c r="J32" s="48"/>
    </row>
    <row r="33" spans="1:74" ht="15" customHeight="1" x14ac:dyDescent="0.25">
      <c r="A33" s="53"/>
      <c r="D33" s="52" t="s">
        <v>699</v>
      </c>
      <c r="E33" s="37" t="s">
        <v>928</v>
      </c>
      <c r="G33" s="21">
        <v>3.91</v>
      </c>
      <c r="J33" s="48"/>
    </row>
    <row r="34" spans="1:74" ht="13.5" customHeight="1" x14ac:dyDescent="0.25">
      <c r="A34" s="10" t="s">
        <v>423</v>
      </c>
      <c r="B34" s="9" t="s">
        <v>262</v>
      </c>
      <c r="C34" s="9" t="s">
        <v>802</v>
      </c>
      <c r="D34" s="76" t="s">
        <v>97</v>
      </c>
      <c r="E34" s="77"/>
      <c r="F34" s="9" t="s">
        <v>1079</v>
      </c>
      <c r="G34" s="56">
        <f>'Stavební rozpočet'!G353</f>
        <v>16.805</v>
      </c>
      <c r="H34" s="56">
        <f>'Stavební rozpočet'!H353</f>
        <v>0</v>
      </c>
      <c r="I34" s="56">
        <f>G34*H34</f>
        <v>0</v>
      </c>
      <c r="J34" s="54" t="s">
        <v>501</v>
      </c>
      <c r="Y34" s="56">
        <f>IF(AP34="5",BI34,0)</f>
        <v>0</v>
      </c>
      <c r="AA34" s="56">
        <f>IF(AP34="1",BG34,0)</f>
        <v>0</v>
      </c>
      <c r="AB34" s="56">
        <f>IF(AP34="1",BH34,0)</f>
        <v>0</v>
      </c>
      <c r="AC34" s="56">
        <f>IF(AP34="7",BG34,0)</f>
        <v>0</v>
      </c>
      <c r="AD34" s="56">
        <f>IF(AP34="7",BH34,0)</f>
        <v>0</v>
      </c>
      <c r="AE34" s="56">
        <f>IF(AP34="2",BG34,0)</f>
        <v>0</v>
      </c>
      <c r="AF34" s="56">
        <f>IF(AP34="2",BH34,0)</f>
        <v>0</v>
      </c>
      <c r="AG34" s="56">
        <f>IF(AP34="0",BI34,0)</f>
        <v>0</v>
      </c>
      <c r="AH34" s="30" t="s">
        <v>262</v>
      </c>
      <c r="AI34" s="56">
        <f>IF(AM34=0,I34,0)</f>
        <v>0</v>
      </c>
      <c r="AJ34" s="56">
        <f>IF(AM34=15,I34,0)</f>
        <v>0</v>
      </c>
      <c r="AK34" s="56">
        <f>IF(AM34=21,I34,0)</f>
        <v>0</v>
      </c>
      <c r="AM34" s="56">
        <v>21</v>
      </c>
      <c r="AN34" s="56">
        <f>H34*0</f>
        <v>0</v>
      </c>
      <c r="AO34" s="56">
        <f>H34*(1-0)</f>
        <v>0</v>
      </c>
      <c r="AP34" s="41" t="s">
        <v>1109</v>
      </c>
      <c r="AU34" s="56">
        <f>AV34+AW34</f>
        <v>0</v>
      </c>
      <c r="AV34" s="56">
        <f>G34*AN34</f>
        <v>0</v>
      </c>
      <c r="AW34" s="56">
        <f>G34*AO34</f>
        <v>0</v>
      </c>
      <c r="AX34" s="41" t="s">
        <v>1001</v>
      </c>
      <c r="AY34" s="41" t="s">
        <v>666</v>
      </c>
      <c r="AZ34" s="30" t="s">
        <v>478</v>
      </c>
      <c r="BB34" s="56">
        <f>AV34+AW34</f>
        <v>0</v>
      </c>
      <c r="BC34" s="56">
        <f>H34/(100-BD34)*100</f>
        <v>0</v>
      </c>
      <c r="BD34" s="56">
        <v>0</v>
      </c>
      <c r="BE34" s="56" t="e">
        <f>#REF!</f>
        <v>#REF!</v>
      </c>
      <c r="BG34" s="56">
        <f>G34*AN34</f>
        <v>0</v>
      </c>
      <c r="BH34" s="56">
        <f>G34*AO34</f>
        <v>0</v>
      </c>
      <c r="BI34" s="56">
        <f>G34*H34</f>
        <v>0</v>
      </c>
      <c r="BJ34" s="56"/>
      <c r="BK34" s="56">
        <v>13</v>
      </c>
      <c r="BV34" s="56">
        <v>21</v>
      </c>
    </row>
    <row r="35" spans="1:74" ht="15" customHeight="1" x14ac:dyDescent="0.25">
      <c r="A35" s="53"/>
      <c r="D35" s="52" t="s">
        <v>384</v>
      </c>
      <c r="E35" s="37" t="s">
        <v>769</v>
      </c>
      <c r="G35" s="21">
        <v>16.805</v>
      </c>
      <c r="J35" s="48"/>
    </row>
    <row r="36" spans="1:74" ht="13.5" customHeight="1" x14ac:dyDescent="0.25">
      <c r="A36" s="10" t="s">
        <v>640</v>
      </c>
      <c r="B36" s="9" t="s">
        <v>262</v>
      </c>
      <c r="C36" s="9" t="s">
        <v>914</v>
      </c>
      <c r="D36" s="76" t="s">
        <v>981</v>
      </c>
      <c r="E36" s="77"/>
      <c r="F36" s="9" t="s">
        <v>1079</v>
      </c>
      <c r="G36" s="56">
        <f>'Stavební rozpočet'!G355</f>
        <v>9.4949999999999992</v>
      </c>
      <c r="H36" s="56">
        <f>'Stavební rozpočet'!H355</f>
        <v>0</v>
      </c>
      <c r="I36" s="56">
        <f>G36*H36</f>
        <v>0</v>
      </c>
      <c r="J36" s="54" t="s">
        <v>501</v>
      </c>
      <c r="Y36" s="56">
        <f>IF(AP36="5",BI36,0)</f>
        <v>0</v>
      </c>
      <c r="AA36" s="56">
        <f>IF(AP36="1",BG36,0)</f>
        <v>0</v>
      </c>
      <c r="AB36" s="56">
        <f>IF(AP36="1",BH36,0)</f>
        <v>0</v>
      </c>
      <c r="AC36" s="56">
        <f>IF(AP36="7",BG36,0)</f>
        <v>0</v>
      </c>
      <c r="AD36" s="56">
        <f>IF(AP36="7",BH36,0)</f>
        <v>0</v>
      </c>
      <c r="AE36" s="56">
        <f>IF(AP36="2",BG36,0)</f>
        <v>0</v>
      </c>
      <c r="AF36" s="56">
        <f>IF(AP36="2",BH36,0)</f>
        <v>0</v>
      </c>
      <c r="AG36" s="56">
        <f>IF(AP36="0",BI36,0)</f>
        <v>0</v>
      </c>
      <c r="AH36" s="30" t="s">
        <v>262</v>
      </c>
      <c r="AI36" s="56">
        <f>IF(AM36=0,I36,0)</f>
        <v>0</v>
      </c>
      <c r="AJ36" s="56">
        <f>IF(AM36=15,I36,0)</f>
        <v>0</v>
      </c>
      <c r="AK36" s="56">
        <f>IF(AM36=21,I36,0)</f>
        <v>0</v>
      </c>
      <c r="AM36" s="56">
        <v>21</v>
      </c>
      <c r="AN36" s="56">
        <f>H36*0</f>
        <v>0</v>
      </c>
      <c r="AO36" s="56">
        <f>H36*(1-0)</f>
        <v>0</v>
      </c>
      <c r="AP36" s="41" t="s">
        <v>1109</v>
      </c>
      <c r="AU36" s="56">
        <f>AV36+AW36</f>
        <v>0</v>
      </c>
      <c r="AV36" s="56">
        <f>G36*AN36</f>
        <v>0</v>
      </c>
      <c r="AW36" s="56">
        <f>G36*AO36</f>
        <v>0</v>
      </c>
      <c r="AX36" s="41" t="s">
        <v>1001</v>
      </c>
      <c r="AY36" s="41" t="s">
        <v>666</v>
      </c>
      <c r="AZ36" s="30" t="s">
        <v>478</v>
      </c>
      <c r="BB36" s="56">
        <f>AV36+AW36</f>
        <v>0</v>
      </c>
      <c r="BC36" s="56">
        <f>H36/(100-BD36)*100</f>
        <v>0</v>
      </c>
      <c r="BD36" s="56">
        <v>0</v>
      </c>
      <c r="BE36" s="56" t="e">
        <f>#REF!</f>
        <v>#REF!</v>
      </c>
      <c r="BG36" s="56">
        <f>G36*AN36</f>
        <v>0</v>
      </c>
      <c r="BH36" s="56">
        <f>G36*AO36</f>
        <v>0</v>
      </c>
      <c r="BI36" s="56">
        <f>G36*H36</f>
        <v>0</v>
      </c>
      <c r="BJ36" s="56"/>
      <c r="BK36" s="56">
        <v>13</v>
      </c>
      <c r="BV36" s="56">
        <v>21</v>
      </c>
    </row>
    <row r="37" spans="1:74" ht="15" customHeight="1" x14ac:dyDescent="0.25">
      <c r="A37" s="53"/>
      <c r="D37" s="52" t="s">
        <v>1010</v>
      </c>
      <c r="E37" s="37" t="s">
        <v>33</v>
      </c>
      <c r="G37" s="21">
        <v>9.495000000000001</v>
      </c>
      <c r="J37" s="48"/>
    </row>
    <row r="38" spans="1:74" ht="15" customHeight="1" x14ac:dyDescent="0.25">
      <c r="A38" s="27" t="s">
        <v>769</v>
      </c>
      <c r="B38" s="28" t="s">
        <v>262</v>
      </c>
      <c r="C38" s="28" t="s">
        <v>654</v>
      </c>
      <c r="D38" s="132" t="s">
        <v>637</v>
      </c>
      <c r="E38" s="133"/>
      <c r="F38" s="23" t="s">
        <v>1027</v>
      </c>
      <c r="G38" s="23" t="s">
        <v>1027</v>
      </c>
      <c r="H38" s="23" t="s">
        <v>1027</v>
      </c>
      <c r="I38" s="14">
        <f>SUM(I39:I40)</f>
        <v>0</v>
      </c>
      <c r="J38" s="44" t="s">
        <v>769</v>
      </c>
      <c r="AH38" s="30" t="s">
        <v>262</v>
      </c>
      <c r="AR38" s="14">
        <f>SUM(AI39:AI40)</f>
        <v>0</v>
      </c>
      <c r="AS38" s="14">
        <f>SUM(AJ39:AJ40)</f>
        <v>0</v>
      </c>
      <c r="AT38" s="14">
        <f>SUM(AK39:AK40)</f>
        <v>0</v>
      </c>
    </row>
    <row r="39" spans="1:74" ht="13.5" customHeight="1" x14ac:dyDescent="0.25">
      <c r="A39" s="10" t="s">
        <v>917</v>
      </c>
      <c r="B39" s="9" t="s">
        <v>262</v>
      </c>
      <c r="C39" s="9" t="s">
        <v>1062</v>
      </c>
      <c r="D39" s="76" t="s">
        <v>256</v>
      </c>
      <c r="E39" s="77"/>
      <c r="F39" s="9" t="s">
        <v>909</v>
      </c>
      <c r="G39" s="56">
        <f>'Stavební rozpočet'!G358</f>
        <v>79.3</v>
      </c>
      <c r="H39" s="56">
        <f>'Stavební rozpočet'!H358</f>
        <v>0</v>
      </c>
      <c r="I39" s="56">
        <f>G39*H39</f>
        <v>0</v>
      </c>
      <c r="J39" s="54" t="s">
        <v>501</v>
      </c>
      <c r="Y39" s="56">
        <f>IF(AP39="5",BI39,0)</f>
        <v>0</v>
      </c>
      <c r="AA39" s="56">
        <f>IF(AP39="1",BG39,0)</f>
        <v>0</v>
      </c>
      <c r="AB39" s="56">
        <f>IF(AP39="1",BH39,0)</f>
        <v>0</v>
      </c>
      <c r="AC39" s="56">
        <f>IF(AP39="7",BG39,0)</f>
        <v>0</v>
      </c>
      <c r="AD39" s="56">
        <f>IF(AP39="7",BH39,0)</f>
        <v>0</v>
      </c>
      <c r="AE39" s="56">
        <f>IF(AP39="2",BG39,0)</f>
        <v>0</v>
      </c>
      <c r="AF39" s="56">
        <f>IF(AP39="2",BH39,0)</f>
        <v>0</v>
      </c>
      <c r="AG39" s="56">
        <f>IF(AP39="0",BI39,0)</f>
        <v>0</v>
      </c>
      <c r="AH39" s="30" t="s">
        <v>262</v>
      </c>
      <c r="AI39" s="56">
        <f>IF(AM39=0,I39,0)</f>
        <v>0</v>
      </c>
      <c r="AJ39" s="56">
        <f>IF(AM39=15,I39,0)</f>
        <v>0</v>
      </c>
      <c r="AK39" s="56">
        <f>IF(AM39=21,I39,0)</f>
        <v>0</v>
      </c>
      <c r="AM39" s="56">
        <v>21</v>
      </c>
      <c r="AN39" s="56">
        <f>H39*0.00614096916299559</f>
        <v>0</v>
      </c>
      <c r="AO39" s="56">
        <f>H39*(1-0.00614096916299559)</f>
        <v>0</v>
      </c>
      <c r="AP39" s="41" t="s">
        <v>1109</v>
      </c>
      <c r="AU39" s="56">
        <f>AV39+AW39</f>
        <v>0</v>
      </c>
      <c r="AV39" s="56">
        <f>G39*AN39</f>
        <v>0</v>
      </c>
      <c r="AW39" s="56">
        <f>G39*AO39</f>
        <v>0</v>
      </c>
      <c r="AX39" s="41" t="s">
        <v>1162</v>
      </c>
      <c r="AY39" s="41" t="s">
        <v>666</v>
      </c>
      <c r="AZ39" s="30" t="s">
        <v>478</v>
      </c>
      <c r="BB39" s="56">
        <f>AV39+AW39</f>
        <v>0</v>
      </c>
      <c r="BC39" s="56">
        <f>H39/(100-BD39)*100</f>
        <v>0</v>
      </c>
      <c r="BD39" s="56">
        <v>0</v>
      </c>
      <c r="BE39" s="56" t="e">
        <f>#REF!</f>
        <v>#REF!</v>
      </c>
      <c r="BG39" s="56">
        <f>G39*AN39</f>
        <v>0</v>
      </c>
      <c r="BH39" s="56">
        <f>G39*AO39</f>
        <v>0</v>
      </c>
      <c r="BI39" s="56">
        <f>G39*H39</f>
        <v>0</v>
      </c>
      <c r="BJ39" s="56"/>
      <c r="BK39" s="56">
        <v>14</v>
      </c>
      <c r="BV39" s="56">
        <v>21</v>
      </c>
    </row>
    <row r="40" spans="1:74" ht="13.5" customHeight="1" x14ac:dyDescent="0.25">
      <c r="A40" s="57" t="s">
        <v>815</v>
      </c>
      <c r="B40" s="50" t="s">
        <v>262</v>
      </c>
      <c r="C40" s="50" t="s">
        <v>645</v>
      </c>
      <c r="D40" s="135" t="s">
        <v>451</v>
      </c>
      <c r="E40" s="136"/>
      <c r="F40" s="50" t="s">
        <v>909</v>
      </c>
      <c r="G40" s="31">
        <f>'Stavební rozpočet'!G359</f>
        <v>80</v>
      </c>
      <c r="H40" s="31">
        <f>'Stavební rozpočet'!H359</f>
        <v>0</v>
      </c>
      <c r="I40" s="31">
        <f>G40*H40</f>
        <v>0</v>
      </c>
      <c r="J40" s="47" t="s">
        <v>501</v>
      </c>
      <c r="Y40" s="56">
        <f>IF(AP40="5",BI40,0)</f>
        <v>0</v>
      </c>
      <c r="AA40" s="56">
        <f>IF(AP40="1",BG40,0)</f>
        <v>0</v>
      </c>
      <c r="AB40" s="56">
        <f>IF(AP40="1",BH40,0)</f>
        <v>0</v>
      </c>
      <c r="AC40" s="56">
        <f>IF(AP40="7",BG40,0)</f>
        <v>0</v>
      </c>
      <c r="AD40" s="56">
        <f>IF(AP40="7",BH40,0)</f>
        <v>0</v>
      </c>
      <c r="AE40" s="56">
        <f>IF(AP40="2",BG40,0)</f>
        <v>0</v>
      </c>
      <c r="AF40" s="56">
        <f>IF(AP40="2",BH40,0)</f>
        <v>0</v>
      </c>
      <c r="AG40" s="56">
        <f>IF(AP40="0",BI40,0)</f>
        <v>0</v>
      </c>
      <c r="AH40" s="30" t="s">
        <v>262</v>
      </c>
      <c r="AI40" s="31">
        <f>IF(AM40=0,I40,0)</f>
        <v>0</v>
      </c>
      <c r="AJ40" s="31">
        <f>IF(AM40=15,I40,0)</f>
        <v>0</v>
      </c>
      <c r="AK40" s="31">
        <f>IF(AM40=21,I40,0)</f>
        <v>0</v>
      </c>
      <c r="AM40" s="56">
        <v>21</v>
      </c>
      <c r="AN40" s="56">
        <f>H40*1</f>
        <v>0</v>
      </c>
      <c r="AO40" s="56">
        <f>H40*(1-1)</f>
        <v>0</v>
      </c>
      <c r="AP40" s="58" t="s">
        <v>1109</v>
      </c>
      <c r="AU40" s="56">
        <f>AV40+AW40</f>
        <v>0</v>
      </c>
      <c r="AV40" s="56">
        <f>G40*AN40</f>
        <v>0</v>
      </c>
      <c r="AW40" s="56">
        <f>G40*AO40</f>
        <v>0</v>
      </c>
      <c r="AX40" s="41" t="s">
        <v>1162</v>
      </c>
      <c r="AY40" s="41" t="s">
        <v>666</v>
      </c>
      <c r="AZ40" s="30" t="s">
        <v>478</v>
      </c>
      <c r="BB40" s="56">
        <f>AV40+AW40</f>
        <v>0</v>
      </c>
      <c r="BC40" s="56">
        <f>H40/(100-BD40)*100</f>
        <v>0</v>
      </c>
      <c r="BD40" s="56">
        <v>0</v>
      </c>
      <c r="BE40" s="56" t="e">
        <f>#REF!</f>
        <v>#REF!</v>
      </c>
      <c r="BG40" s="31">
        <f>G40*AN40</f>
        <v>0</v>
      </c>
      <c r="BH40" s="31">
        <f>G40*AO40</f>
        <v>0</v>
      </c>
      <c r="BI40" s="31">
        <f>G40*H40</f>
        <v>0</v>
      </c>
      <c r="BJ40" s="31"/>
      <c r="BK40" s="56">
        <v>14</v>
      </c>
      <c r="BV40" s="56">
        <v>21</v>
      </c>
    </row>
    <row r="41" spans="1:74" ht="15" customHeight="1" x14ac:dyDescent="0.25">
      <c r="A41" s="53"/>
      <c r="D41" s="52" t="s">
        <v>1094</v>
      </c>
      <c r="E41" s="37" t="s">
        <v>41</v>
      </c>
      <c r="G41" s="21">
        <v>80</v>
      </c>
      <c r="J41" s="48"/>
    </row>
    <row r="42" spans="1:74" ht="15" customHeight="1" x14ac:dyDescent="0.25">
      <c r="A42" s="27" t="s">
        <v>769</v>
      </c>
      <c r="B42" s="28" t="s">
        <v>262</v>
      </c>
      <c r="C42" s="28" t="s">
        <v>442</v>
      </c>
      <c r="D42" s="132" t="s">
        <v>957</v>
      </c>
      <c r="E42" s="133"/>
      <c r="F42" s="23" t="s">
        <v>1027</v>
      </c>
      <c r="G42" s="23" t="s">
        <v>1027</v>
      </c>
      <c r="H42" s="23" t="s">
        <v>1027</v>
      </c>
      <c r="I42" s="14">
        <f>SUM(I43:I46)</f>
        <v>0</v>
      </c>
      <c r="J42" s="44" t="s">
        <v>769</v>
      </c>
      <c r="AH42" s="30" t="s">
        <v>262</v>
      </c>
      <c r="AR42" s="14">
        <f>SUM(AI43:AI46)</f>
        <v>0</v>
      </c>
      <c r="AS42" s="14">
        <f>SUM(AJ43:AJ46)</f>
        <v>0</v>
      </c>
      <c r="AT42" s="14">
        <f>SUM(AK43:AK46)</f>
        <v>0</v>
      </c>
    </row>
    <row r="43" spans="1:74" ht="13.5" customHeight="1" x14ac:dyDescent="0.25">
      <c r="A43" s="10" t="s">
        <v>333</v>
      </c>
      <c r="B43" s="9" t="s">
        <v>262</v>
      </c>
      <c r="C43" s="9" t="s">
        <v>1218</v>
      </c>
      <c r="D43" s="76" t="s">
        <v>247</v>
      </c>
      <c r="E43" s="77"/>
      <c r="F43" s="9" t="s">
        <v>1095</v>
      </c>
      <c r="G43" s="56">
        <f>'Stavební rozpočet'!G362</f>
        <v>76.2</v>
      </c>
      <c r="H43" s="56">
        <f>'Stavební rozpočet'!H362</f>
        <v>0</v>
      </c>
      <c r="I43" s="56">
        <f>G43*H43</f>
        <v>0</v>
      </c>
      <c r="J43" s="54" t="s">
        <v>501</v>
      </c>
      <c r="Y43" s="56">
        <f>IF(AP43="5",BI43,0)</f>
        <v>0</v>
      </c>
      <c r="AA43" s="56">
        <f>IF(AP43="1",BG43,0)</f>
        <v>0</v>
      </c>
      <c r="AB43" s="56">
        <f>IF(AP43="1",BH43,0)</f>
        <v>0</v>
      </c>
      <c r="AC43" s="56">
        <f>IF(AP43="7",BG43,0)</f>
        <v>0</v>
      </c>
      <c r="AD43" s="56">
        <f>IF(AP43="7",BH43,0)</f>
        <v>0</v>
      </c>
      <c r="AE43" s="56">
        <f>IF(AP43="2",BG43,0)</f>
        <v>0</v>
      </c>
      <c r="AF43" s="56">
        <f>IF(AP43="2",BH43,0)</f>
        <v>0</v>
      </c>
      <c r="AG43" s="56">
        <f>IF(AP43="0",BI43,0)</f>
        <v>0</v>
      </c>
      <c r="AH43" s="30" t="s">
        <v>262</v>
      </c>
      <c r="AI43" s="56">
        <f>IF(AM43=0,I43,0)</f>
        <v>0</v>
      </c>
      <c r="AJ43" s="56">
        <f>IF(AM43=15,I43,0)</f>
        <v>0</v>
      </c>
      <c r="AK43" s="56">
        <f>IF(AM43=21,I43,0)</f>
        <v>0</v>
      </c>
      <c r="AM43" s="56">
        <v>21</v>
      </c>
      <c r="AN43" s="56">
        <f>H43*0.0852032534364855</f>
        <v>0</v>
      </c>
      <c r="AO43" s="56">
        <f>H43*(1-0.0852032534364855)</f>
        <v>0</v>
      </c>
      <c r="AP43" s="41" t="s">
        <v>1109</v>
      </c>
      <c r="AU43" s="56">
        <f>AV43+AW43</f>
        <v>0</v>
      </c>
      <c r="AV43" s="56">
        <f>G43*AN43</f>
        <v>0</v>
      </c>
      <c r="AW43" s="56">
        <f>G43*AO43</f>
        <v>0</v>
      </c>
      <c r="AX43" s="41" t="s">
        <v>784</v>
      </c>
      <c r="AY43" s="41" t="s">
        <v>666</v>
      </c>
      <c r="AZ43" s="30" t="s">
        <v>478</v>
      </c>
      <c r="BB43" s="56">
        <f>AV43+AW43</f>
        <v>0</v>
      </c>
      <c r="BC43" s="56">
        <f>H43/(100-BD43)*100</f>
        <v>0</v>
      </c>
      <c r="BD43" s="56">
        <v>0</v>
      </c>
      <c r="BE43" s="56" t="e">
        <f>#REF!</f>
        <v>#REF!</v>
      </c>
      <c r="BG43" s="56">
        <f>G43*AN43</f>
        <v>0</v>
      </c>
      <c r="BH43" s="56">
        <f>G43*AO43</f>
        <v>0</v>
      </c>
      <c r="BI43" s="56">
        <f>G43*H43</f>
        <v>0</v>
      </c>
      <c r="BJ43" s="56"/>
      <c r="BK43" s="56">
        <v>15</v>
      </c>
      <c r="BV43" s="56">
        <v>21</v>
      </c>
    </row>
    <row r="44" spans="1:74" ht="15" customHeight="1" x14ac:dyDescent="0.25">
      <c r="A44" s="53"/>
      <c r="D44" s="52" t="s">
        <v>392</v>
      </c>
      <c r="E44" s="37" t="s">
        <v>33</v>
      </c>
      <c r="G44" s="21">
        <v>22.200000000000003</v>
      </c>
      <c r="J44" s="48"/>
    </row>
    <row r="45" spans="1:74" ht="15" customHeight="1" x14ac:dyDescent="0.25">
      <c r="A45" s="53"/>
      <c r="D45" s="52" t="s">
        <v>814</v>
      </c>
      <c r="E45" s="37" t="s">
        <v>769</v>
      </c>
      <c r="G45" s="21">
        <v>54.000000000000007</v>
      </c>
      <c r="J45" s="48"/>
    </row>
    <row r="46" spans="1:74" ht="13.5" customHeight="1" x14ac:dyDescent="0.25">
      <c r="A46" s="10" t="s">
        <v>654</v>
      </c>
      <c r="B46" s="9" t="s">
        <v>262</v>
      </c>
      <c r="C46" s="9" t="s">
        <v>748</v>
      </c>
      <c r="D46" s="76" t="s">
        <v>1080</v>
      </c>
      <c r="E46" s="77"/>
      <c r="F46" s="9" t="s">
        <v>1095</v>
      </c>
      <c r="G46" s="56">
        <f>'Stavební rozpočet'!G365</f>
        <v>76.2</v>
      </c>
      <c r="H46" s="56">
        <f>'Stavební rozpočet'!H365</f>
        <v>0</v>
      </c>
      <c r="I46" s="56">
        <f>G46*H46</f>
        <v>0</v>
      </c>
      <c r="J46" s="54" t="s">
        <v>501</v>
      </c>
      <c r="Y46" s="56">
        <f>IF(AP46="5",BI46,0)</f>
        <v>0</v>
      </c>
      <c r="AA46" s="56">
        <f>IF(AP46="1",BG46,0)</f>
        <v>0</v>
      </c>
      <c r="AB46" s="56">
        <f>IF(AP46="1",BH46,0)</f>
        <v>0</v>
      </c>
      <c r="AC46" s="56">
        <f>IF(AP46="7",BG46,0)</f>
        <v>0</v>
      </c>
      <c r="AD46" s="56">
        <f>IF(AP46="7",BH46,0)</f>
        <v>0</v>
      </c>
      <c r="AE46" s="56">
        <f>IF(AP46="2",BG46,0)</f>
        <v>0</v>
      </c>
      <c r="AF46" s="56">
        <f>IF(AP46="2",BH46,0)</f>
        <v>0</v>
      </c>
      <c r="AG46" s="56">
        <f>IF(AP46="0",BI46,0)</f>
        <v>0</v>
      </c>
      <c r="AH46" s="30" t="s">
        <v>262</v>
      </c>
      <c r="AI46" s="56">
        <f>IF(AM46=0,I46,0)</f>
        <v>0</v>
      </c>
      <c r="AJ46" s="56">
        <f>IF(AM46=15,I46,0)</f>
        <v>0</v>
      </c>
      <c r="AK46" s="56">
        <f>IF(AM46=21,I46,0)</f>
        <v>0</v>
      </c>
      <c r="AM46" s="56">
        <v>21</v>
      </c>
      <c r="AN46" s="56">
        <f>H46*0</f>
        <v>0</v>
      </c>
      <c r="AO46" s="56">
        <f>H46*(1-0)</f>
        <v>0</v>
      </c>
      <c r="AP46" s="41" t="s">
        <v>1109</v>
      </c>
      <c r="AU46" s="56">
        <f>AV46+AW46</f>
        <v>0</v>
      </c>
      <c r="AV46" s="56">
        <f>G46*AN46</f>
        <v>0</v>
      </c>
      <c r="AW46" s="56">
        <f>G46*AO46</f>
        <v>0</v>
      </c>
      <c r="AX46" s="41" t="s">
        <v>784</v>
      </c>
      <c r="AY46" s="41" t="s">
        <v>666</v>
      </c>
      <c r="AZ46" s="30" t="s">
        <v>478</v>
      </c>
      <c r="BB46" s="56">
        <f>AV46+AW46</f>
        <v>0</v>
      </c>
      <c r="BC46" s="56">
        <f>H46/(100-BD46)*100</f>
        <v>0</v>
      </c>
      <c r="BD46" s="56">
        <v>0</v>
      </c>
      <c r="BE46" s="56" t="e">
        <f>#REF!</f>
        <v>#REF!</v>
      </c>
      <c r="BG46" s="56">
        <f>G46*AN46</f>
        <v>0</v>
      </c>
      <c r="BH46" s="56">
        <f>G46*AO46</f>
        <v>0</v>
      </c>
      <c r="BI46" s="56">
        <f>G46*H46</f>
        <v>0</v>
      </c>
      <c r="BJ46" s="56"/>
      <c r="BK46" s="56">
        <v>15</v>
      </c>
      <c r="BV46" s="56">
        <v>21</v>
      </c>
    </row>
    <row r="47" spans="1:74" ht="15" customHeight="1" x14ac:dyDescent="0.25">
      <c r="A47" s="27" t="s">
        <v>769</v>
      </c>
      <c r="B47" s="28" t="s">
        <v>262</v>
      </c>
      <c r="C47" s="28" t="s">
        <v>107</v>
      </c>
      <c r="D47" s="132" t="s">
        <v>916</v>
      </c>
      <c r="E47" s="133"/>
      <c r="F47" s="23" t="s">
        <v>1027</v>
      </c>
      <c r="G47" s="23" t="s">
        <v>1027</v>
      </c>
      <c r="H47" s="23" t="s">
        <v>1027</v>
      </c>
      <c r="I47" s="14">
        <f>SUM(I48:I50)</f>
        <v>0</v>
      </c>
      <c r="J47" s="44" t="s">
        <v>769</v>
      </c>
      <c r="AH47" s="30" t="s">
        <v>262</v>
      </c>
      <c r="AR47" s="14">
        <f>SUM(AI48:AI50)</f>
        <v>0</v>
      </c>
      <c r="AS47" s="14">
        <f>SUM(AJ48:AJ50)</f>
        <v>0</v>
      </c>
      <c r="AT47" s="14">
        <f>SUM(AK48:AK50)</f>
        <v>0</v>
      </c>
    </row>
    <row r="48" spans="1:74" ht="13.5" customHeight="1" x14ac:dyDescent="0.25">
      <c r="A48" s="10" t="s">
        <v>442</v>
      </c>
      <c r="B48" s="9" t="s">
        <v>262</v>
      </c>
      <c r="C48" s="9" t="s">
        <v>12</v>
      </c>
      <c r="D48" s="76" t="s">
        <v>919</v>
      </c>
      <c r="E48" s="77"/>
      <c r="F48" s="9" t="s">
        <v>1079</v>
      </c>
      <c r="G48" s="56">
        <f>'Stavební rozpočet'!G367</f>
        <v>40.322000000000003</v>
      </c>
      <c r="H48" s="56">
        <f>'Stavební rozpočet'!H367</f>
        <v>0</v>
      </c>
      <c r="I48" s="56">
        <f>G48*H48</f>
        <v>0</v>
      </c>
      <c r="J48" s="54" t="s">
        <v>501</v>
      </c>
      <c r="Y48" s="56">
        <f>IF(AP48="5",BI48,0)</f>
        <v>0</v>
      </c>
      <c r="AA48" s="56">
        <f>IF(AP48="1",BG48,0)</f>
        <v>0</v>
      </c>
      <c r="AB48" s="56">
        <f>IF(AP48="1",BH48,0)</f>
        <v>0</v>
      </c>
      <c r="AC48" s="56">
        <f>IF(AP48="7",BG48,0)</f>
        <v>0</v>
      </c>
      <c r="AD48" s="56">
        <f>IF(AP48="7",BH48,0)</f>
        <v>0</v>
      </c>
      <c r="AE48" s="56">
        <f>IF(AP48="2",BG48,0)</f>
        <v>0</v>
      </c>
      <c r="AF48" s="56">
        <f>IF(AP48="2",BH48,0)</f>
        <v>0</v>
      </c>
      <c r="AG48" s="56">
        <f>IF(AP48="0",BI48,0)</f>
        <v>0</v>
      </c>
      <c r="AH48" s="30" t="s">
        <v>262</v>
      </c>
      <c r="AI48" s="56">
        <f>IF(AM48=0,I48,0)</f>
        <v>0</v>
      </c>
      <c r="AJ48" s="56">
        <f>IF(AM48=15,I48,0)</f>
        <v>0</v>
      </c>
      <c r="AK48" s="56">
        <f>IF(AM48=21,I48,0)</f>
        <v>0</v>
      </c>
      <c r="AM48" s="56">
        <v>21</v>
      </c>
      <c r="AN48" s="56">
        <f>H48*0</f>
        <v>0</v>
      </c>
      <c r="AO48" s="56">
        <f>H48*(1-0)</f>
        <v>0</v>
      </c>
      <c r="AP48" s="41" t="s">
        <v>1109</v>
      </c>
      <c r="AU48" s="56">
        <f>AV48+AW48</f>
        <v>0</v>
      </c>
      <c r="AV48" s="56">
        <f>G48*AN48</f>
        <v>0</v>
      </c>
      <c r="AW48" s="56">
        <f>G48*AO48</f>
        <v>0</v>
      </c>
      <c r="AX48" s="41" t="s">
        <v>1028</v>
      </c>
      <c r="AY48" s="41" t="s">
        <v>666</v>
      </c>
      <c r="AZ48" s="30" t="s">
        <v>478</v>
      </c>
      <c r="BB48" s="56">
        <f>AV48+AW48</f>
        <v>0</v>
      </c>
      <c r="BC48" s="56">
        <f>H48/(100-BD48)*100</f>
        <v>0</v>
      </c>
      <c r="BD48" s="56">
        <v>0</v>
      </c>
      <c r="BE48" s="56" t="e">
        <f>#REF!</f>
        <v>#REF!</v>
      </c>
      <c r="BG48" s="56">
        <f>G48*AN48</f>
        <v>0</v>
      </c>
      <c r="BH48" s="56">
        <f>G48*AO48</f>
        <v>0</v>
      </c>
      <c r="BI48" s="56">
        <f>G48*H48</f>
        <v>0</v>
      </c>
      <c r="BJ48" s="56"/>
      <c r="BK48" s="56">
        <v>16</v>
      </c>
      <c r="BV48" s="56">
        <v>21</v>
      </c>
    </row>
    <row r="49" spans="1:74" ht="15" customHeight="1" x14ac:dyDescent="0.25">
      <c r="A49" s="53"/>
      <c r="D49" s="52" t="s">
        <v>1035</v>
      </c>
      <c r="E49" s="37" t="s">
        <v>769</v>
      </c>
      <c r="G49" s="21">
        <v>40.322000000000003</v>
      </c>
      <c r="J49" s="48"/>
    </row>
    <row r="50" spans="1:74" ht="13.5" customHeight="1" x14ac:dyDescent="0.25">
      <c r="A50" s="10" t="s">
        <v>107</v>
      </c>
      <c r="B50" s="9" t="s">
        <v>262</v>
      </c>
      <c r="C50" s="9" t="s">
        <v>521</v>
      </c>
      <c r="D50" s="76" t="s">
        <v>602</v>
      </c>
      <c r="E50" s="77"/>
      <c r="F50" s="9" t="s">
        <v>1079</v>
      </c>
      <c r="G50" s="56">
        <f>'Stavební rozpočet'!G369</f>
        <v>403.22</v>
      </c>
      <c r="H50" s="56">
        <f>'Stavební rozpočet'!H369</f>
        <v>0</v>
      </c>
      <c r="I50" s="56">
        <f>G50*H50</f>
        <v>0</v>
      </c>
      <c r="J50" s="54" t="s">
        <v>501</v>
      </c>
      <c r="Y50" s="56">
        <f>IF(AP50="5",BI50,0)</f>
        <v>0</v>
      </c>
      <c r="AA50" s="56">
        <f>IF(AP50="1",BG50,0)</f>
        <v>0</v>
      </c>
      <c r="AB50" s="56">
        <f>IF(AP50="1",BH50,0)</f>
        <v>0</v>
      </c>
      <c r="AC50" s="56">
        <f>IF(AP50="7",BG50,0)</f>
        <v>0</v>
      </c>
      <c r="AD50" s="56">
        <f>IF(AP50="7",BH50,0)</f>
        <v>0</v>
      </c>
      <c r="AE50" s="56">
        <f>IF(AP50="2",BG50,0)</f>
        <v>0</v>
      </c>
      <c r="AF50" s="56">
        <f>IF(AP50="2",BH50,0)</f>
        <v>0</v>
      </c>
      <c r="AG50" s="56">
        <f>IF(AP50="0",BI50,0)</f>
        <v>0</v>
      </c>
      <c r="AH50" s="30" t="s">
        <v>262</v>
      </c>
      <c r="AI50" s="56">
        <f>IF(AM50=0,I50,0)</f>
        <v>0</v>
      </c>
      <c r="AJ50" s="56">
        <f>IF(AM50=15,I50,0)</f>
        <v>0</v>
      </c>
      <c r="AK50" s="56">
        <f>IF(AM50=21,I50,0)</f>
        <v>0</v>
      </c>
      <c r="AM50" s="56">
        <v>21</v>
      </c>
      <c r="AN50" s="56">
        <f>H50*0</f>
        <v>0</v>
      </c>
      <c r="AO50" s="56">
        <f>H50*(1-0)</f>
        <v>0</v>
      </c>
      <c r="AP50" s="41" t="s">
        <v>1109</v>
      </c>
      <c r="AU50" s="56">
        <f>AV50+AW50</f>
        <v>0</v>
      </c>
      <c r="AV50" s="56">
        <f>G50*AN50</f>
        <v>0</v>
      </c>
      <c r="AW50" s="56">
        <f>G50*AO50</f>
        <v>0</v>
      </c>
      <c r="AX50" s="41" t="s">
        <v>1028</v>
      </c>
      <c r="AY50" s="41" t="s">
        <v>666</v>
      </c>
      <c r="AZ50" s="30" t="s">
        <v>478</v>
      </c>
      <c r="BB50" s="56">
        <f>AV50+AW50</f>
        <v>0</v>
      </c>
      <c r="BC50" s="56">
        <f>H50/(100-BD50)*100</f>
        <v>0</v>
      </c>
      <c r="BD50" s="56">
        <v>0</v>
      </c>
      <c r="BE50" s="56" t="e">
        <f>#REF!</f>
        <v>#REF!</v>
      </c>
      <c r="BG50" s="56">
        <f>G50*AN50</f>
        <v>0</v>
      </c>
      <c r="BH50" s="56">
        <f>G50*AO50</f>
        <v>0</v>
      </c>
      <c r="BI50" s="56">
        <f>G50*H50</f>
        <v>0</v>
      </c>
      <c r="BJ50" s="56"/>
      <c r="BK50" s="56">
        <v>16</v>
      </c>
      <c r="BV50" s="56">
        <v>21</v>
      </c>
    </row>
    <row r="51" spans="1:74" ht="15" customHeight="1" x14ac:dyDescent="0.25">
      <c r="A51" s="53"/>
      <c r="D51" s="52" t="s">
        <v>379</v>
      </c>
      <c r="E51" s="37" t="s">
        <v>446</v>
      </c>
      <c r="G51" s="21">
        <v>403.22</v>
      </c>
      <c r="J51" s="48"/>
    </row>
    <row r="52" spans="1:74" ht="15" customHeight="1" x14ac:dyDescent="0.25">
      <c r="A52" s="27" t="s">
        <v>769</v>
      </c>
      <c r="B52" s="28" t="s">
        <v>262</v>
      </c>
      <c r="C52" s="28" t="s">
        <v>774</v>
      </c>
      <c r="D52" s="132" t="s">
        <v>150</v>
      </c>
      <c r="E52" s="133"/>
      <c r="F52" s="23" t="s">
        <v>1027</v>
      </c>
      <c r="G52" s="23" t="s">
        <v>1027</v>
      </c>
      <c r="H52" s="23" t="s">
        <v>1027</v>
      </c>
      <c r="I52" s="14">
        <f>SUM(I53:I61)</f>
        <v>0</v>
      </c>
      <c r="J52" s="44" t="s">
        <v>769</v>
      </c>
      <c r="AH52" s="30" t="s">
        <v>262</v>
      </c>
      <c r="AR52" s="14">
        <f>SUM(AI53:AI61)</f>
        <v>0</v>
      </c>
      <c r="AS52" s="14">
        <f>SUM(AJ53:AJ61)</f>
        <v>0</v>
      </c>
      <c r="AT52" s="14">
        <f>SUM(AK53:AK61)</f>
        <v>0</v>
      </c>
    </row>
    <row r="53" spans="1:74" ht="13.5" customHeight="1" x14ac:dyDescent="0.25">
      <c r="A53" s="10" t="s">
        <v>774</v>
      </c>
      <c r="B53" s="9" t="s">
        <v>262</v>
      </c>
      <c r="C53" s="9" t="s">
        <v>356</v>
      </c>
      <c r="D53" s="76" t="s">
        <v>1089</v>
      </c>
      <c r="E53" s="77"/>
      <c r="F53" s="9" t="s">
        <v>1079</v>
      </c>
      <c r="G53" s="56">
        <f>'Stavební rozpočet'!G372</f>
        <v>40.322000000000003</v>
      </c>
      <c r="H53" s="56">
        <f>'Stavební rozpočet'!H372</f>
        <v>0</v>
      </c>
      <c r="I53" s="56">
        <f>G53*H53</f>
        <v>0</v>
      </c>
      <c r="J53" s="54" t="s">
        <v>501</v>
      </c>
      <c r="Y53" s="56">
        <f>IF(AP53="5",BI53,0)</f>
        <v>0</v>
      </c>
      <c r="AA53" s="56">
        <f>IF(AP53="1",BG53,0)</f>
        <v>0</v>
      </c>
      <c r="AB53" s="56">
        <f>IF(AP53="1",BH53,0)</f>
        <v>0</v>
      </c>
      <c r="AC53" s="56">
        <f>IF(AP53="7",BG53,0)</f>
        <v>0</v>
      </c>
      <c r="AD53" s="56">
        <f>IF(AP53="7",BH53,0)</f>
        <v>0</v>
      </c>
      <c r="AE53" s="56">
        <f>IF(AP53="2",BG53,0)</f>
        <v>0</v>
      </c>
      <c r="AF53" s="56">
        <f>IF(AP53="2",BH53,0)</f>
        <v>0</v>
      </c>
      <c r="AG53" s="56">
        <f>IF(AP53="0",BI53,0)</f>
        <v>0</v>
      </c>
      <c r="AH53" s="30" t="s">
        <v>262</v>
      </c>
      <c r="AI53" s="56">
        <f>IF(AM53=0,I53,0)</f>
        <v>0</v>
      </c>
      <c r="AJ53" s="56">
        <f>IF(AM53=15,I53,0)</f>
        <v>0</v>
      </c>
      <c r="AK53" s="56">
        <f>IF(AM53=21,I53,0)</f>
        <v>0</v>
      </c>
      <c r="AM53" s="56">
        <v>21</v>
      </c>
      <c r="AN53" s="56">
        <f>H53*0</f>
        <v>0</v>
      </c>
      <c r="AO53" s="56">
        <f>H53*(1-0)</f>
        <v>0</v>
      </c>
      <c r="AP53" s="41" t="s">
        <v>1109</v>
      </c>
      <c r="AU53" s="56">
        <f>AV53+AW53</f>
        <v>0</v>
      </c>
      <c r="AV53" s="56">
        <f>G53*AN53</f>
        <v>0</v>
      </c>
      <c r="AW53" s="56">
        <f>G53*AO53</f>
        <v>0</v>
      </c>
      <c r="AX53" s="41" t="s">
        <v>223</v>
      </c>
      <c r="AY53" s="41" t="s">
        <v>666</v>
      </c>
      <c r="AZ53" s="30" t="s">
        <v>478</v>
      </c>
      <c r="BB53" s="56">
        <f>AV53+AW53</f>
        <v>0</v>
      </c>
      <c r="BC53" s="56">
        <f>H53/(100-BD53)*100</f>
        <v>0</v>
      </c>
      <c r="BD53" s="56">
        <v>0</v>
      </c>
      <c r="BE53" s="56" t="e">
        <f>#REF!</f>
        <v>#REF!</v>
      </c>
      <c r="BG53" s="56">
        <f>G53*AN53</f>
        <v>0</v>
      </c>
      <c r="BH53" s="56">
        <f>G53*AO53</f>
        <v>0</v>
      </c>
      <c r="BI53" s="56">
        <f>G53*H53</f>
        <v>0</v>
      </c>
      <c r="BJ53" s="56"/>
      <c r="BK53" s="56">
        <v>17</v>
      </c>
      <c r="BV53" s="56">
        <v>21</v>
      </c>
    </row>
    <row r="54" spans="1:74" ht="13.5" customHeight="1" x14ac:dyDescent="0.25">
      <c r="A54" s="10" t="s">
        <v>882</v>
      </c>
      <c r="B54" s="9" t="s">
        <v>262</v>
      </c>
      <c r="C54" s="9" t="s">
        <v>756</v>
      </c>
      <c r="D54" s="76" t="s">
        <v>1192</v>
      </c>
      <c r="E54" s="77"/>
      <c r="F54" s="9" t="s">
        <v>1079</v>
      </c>
      <c r="G54" s="56">
        <f>'Stavební rozpočet'!G373</f>
        <v>40.322000000000003</v>
      </c>
      <c r="H54" s="56">
        <f>'Stavební rozpočet'!H373</f>
        <v>0</v>
      </c>
      <c r="I54" s="56">
        <f>G54*H54</f>
        <v>0</v>
      </c>
      <c r="J54" s="54" t="s">
        <v>501</v>
      </c>
      <c r="Y54" s="56">
        <f>IF(AP54="5",BI54,0)</f>
        <v>0</v>
      </c>
      <c r="AA54" s="56">
        <f>IF(AP54="1",BG54,0)</f>
        <v>0</v>
      </c>
      <c r="AB54" s="56">
        <f>IF(AP54="1",BH54,0)</f>
        <v>0</v>
      </c>
      <c r="AC54" s="56">
        <f>IF(AP54="7",BG54,0)</f>
        <v>0</v>
      </c>
      <c r="AD54" s="56">
        <f>IF(AP54="7",BH54,0)</f>
        <v>0</v>
      </c>
      <c r="AE54" s="56">
        <f>IF(AP54="2",BG54,0)</f>
        <v>0</v>
      </c>
      <c r="AF54" s="56">
        <f>IF(AP54="2",BH54,0)</f>
        <v>0</v>
      </c>
      <c r="AG54" s="56">
        <f>IF(AP54="0",BI54,0)</f>
        <v>0</v>
      </c>
      <c r="AH54" s="30" t="s">
        <v>262</v>
      </c>
      <c r="AI54" s="56">
        <f>IF(AM54=0,I54,0)</f>
        <v>0</v>
      </c>
      <c r="AJ54" s="56">
        <f>IF(AM54=15,I54,0)</f>
        <v>0</v>
      </c>
      <c r="AK54" s="56">
        <f>IF(AM54=21,I54,0)</f>
        <v>0</v>
      </c>
      <c r="AM54" s="56">
        <v>21</v>
      </c>
      <c r="AN54" s="56">
        <f>H54*0</f>
        <v>0</v>
      </c>
      <c r="AO54" s="56">
        <f>H54*(1-0)</f>
        <v>0</v>
      </c>
      <c r="AP54" s="41" t="s">
        <v>1109</v>
      </c>
      <c r="AU54" s="56">
        <f>AV54+AW54</f>
        <v>0</v>
      </c>
      <c r="AV54" s="56">
        <f>G54*AN54</f>
        <v>0</v>
      </c>
      <c r="AW54" s="56">
        <f>G54*AO54</f>
        <v>0</v>
      </c>
      <c r="AX54" s="41" t="s">
        <v>223</v>
      </c>
      <c r="AY54" s="41" t="s">
        <v>666</v>
      </c>
      <c r="AZ54" s="30" t="s">
        <v>478</v>
      </c>
      <c r="BB54" s="56">
        <f>AV54+AW54</f>
        <v>0</v>
      </c>
      <c r="BC54" s="56">
        <f>H54/(100-BD54)*100</f>
        <v>0</v>
      </c>
      <c r="BD54" s="56">
        <v>0</v>
      </c>
      <c r="BE54" s="56" t="e">
        <f>#REF!</f>
        <v>#REF!</v>
      </c>
      <c r="BG54" s="56">
        <f>G54*AN54</f>
        <v>0</v>
      </c>
      <c r="BH54" s="56">
        <f>G54*AO54</f>
        <v>0</v>
      </c>
      <c r="BI54" s="56">
        <f>G54*H54</f>
        <v>0</v>
      </c>
      <c r="BJ54" s="56"/>
      <c r="BK54" s="56">
        <v>17</v>
      </c>
      <c r="BV54" s="56">
        <v>21</v>
      </c>
    </row>
    <row r="55" spans="1:74" ht="13.5" customHeight="1" x14ac:dyDescent="0.25">
      <c r="A55" s="10" t="s">
        <v>706</v>
      </c>
      <c r="B55" s="9" t="s">
        <v>262</v>
      </c>
      <c r="C55" s="9" t="s">
        <v>810</v>
      </c>
      <c r="D55" s="76" t="s">
        <v>587</v>
      </c>
      <c r="E55" s="77"/>
      <c r="F55" s="9" t="s">
        <v>1079</v>
      </c>
      <c r="G55" s="56">
        <f>'Stavební rozpočet'!G374</f>
        <v>26.89</v>
      </c>
      <c r="H55" s="56">
        <f>'Stavební rozpočet'!H374</f>
        <v>0</v>
      </c>
      <c r="I55" s="56">
        <f>G55*H55</f>
        <v>0</v>
      </c>
      <c r="J55" s="54" t="s">
        <v>501</v>
      </c>
      <c r="Y55" s="56">
        <f>IF(AP55="5",BI55,0)</f>
        <v>0</v>
      </c>
      <c r="AA55" s="56">
        <f>IF(AP55="1",BG55,0)</f>
        <v>0</v>
      </c>
      <c r="AB55" s="56">
        <f>IF(AP55="1",BH55,0)</f>
        <v>0</v>
      </c>
      <c r="AC55" s="56">
        <f>IF(AP55="7",BG55,0)</f>
        <v>0</v>
      </c>
      <c r="AD55" s="56">
        <f>IF(AP55="7",BH55,0)</f>
        <v>0</v>
      </c>
      <c r="AE55" s="56">
        <f>IF(AP55="2",BG55,0)</f>
        <v>0</v>
      </c>
      <c r="AF55" s="56">
        <f>IF(AP55="2",BH55,0)</f>
        <v>0</v>
      </c>
      <c r="AG55" s="56">
        <f>IF(AP55="0",BI55,0)</f>
        <v>0</v>
      </c>
      <c r="AH55" s="30" t="s">
        <v>262</v>
      </c>
      <c r="AI55" s="56">
        <f>IF(AM55=0,I55,0)</f>
        <v>0</v>
      </c>
      <c r="AJ55" s="56">
        <f>IF(AM55=15,I55,0)</f>
        <v>0</v>
      </c>
      <c r="AK55" s="56">
        <f>IF(AM55=21,I55,0)</f>
        <v>0</v>
      </c>
      <c r="AM55" s="56">
        <v>21</v>
      </c>
      <c r="AN55" s="56">
        <f>H55*0</f>
        <v>0</v>
      </c>
      <c r="AO55" s="56">
        <f>H55*(1-0)</f>
        <v>0</v>
      </c>
      <c r="AP55" s="41" t="s">
        <v>1109</v>
      </c>
      <c r="AU55" s="56">
        <f>AV55+AW55</f>
        <v>0</v>
      </c>
      <c r="AV55" s="56">
        <f>G55*AN55</f>
        <v>0</v>
      </c>
      <c r="AW55" s="56">
        <f>G55*AO55</f>
        <v>0</v>
      </c>
      <c r="AX55" s="41" t="s">
        <v>223</v>
      </c>
      <c r="AY55" s="41" t="s">
        <v>666</v>
      </c>
      <c r="AZ55" s="30" t="s">
        <v>478</v>
      </c>
      <c r="BB55" s="56">
        <f>AV55+AW55</f>
        <v>0</v>
      </c>
      <c r="BC55" s="56">
        <f>H55/(100-BD55)*100</f>
        <v>0</v>
      </c>
      <c r="BD55" s="56">
        <v>0</v>
      </c>
      <c r="BE55" s="56" t="e">
        <f>#REF!</f>
        <v>#REF!</v>
      </c>
      <c r="BG55" s="56">
        <f>G55*AN55</f>
        <v>0</v>
      </c>
      <c r="BH55" s="56">
        <f>G55*AO55</f>
        <v>0</v>
      </c>
      <c r="BI55" s="56">
        <f>G55*H55</f>
        <v>0</v>
      </c>
      <c r="BJ55" s="56"/>
      <c r="BK55" s="56">
        <v>17</v>
      </c>
      <c r="BV55" s="56">
        <v>21</v>
      </c>
    </row>
    <row r="56" spans="1:74" ht="15" customHeight="1" x14ac:dyDescent="0.25">
      <c r="A56" s="53"/>
      <c r="D56" s="52" t="s">
        <v>538</v>
      </c>
      <c r="E56" s="37" t="s">
        <v>601</v>
      </c>
      <c r="G56" s="21">
        <v>18.920000000000002</v>
      </c>
      <c r="J56" s="48"/>
    </row>
    <row r="57" spans="1:74" ht="15" customHeight="1" x14ac:dyDescent="0.25">
      <c r="A57" s="53"/>
      <c r="D57" s="52" t="s">
        <v>71</v>
      </c>
      <c r="E57" s="37" t="s">
        <v>342</v>
      </c>
      <c r="G57" s="21">
        <v>2.7830000000000004</v>
      </c>
      <c r="J57" s="48"/>
    </row>
    <row r="58" spans="1:74" ht="15" customHeight="1" x14ac:dyDescent="0.25">
      <c r="A58" s="53"/>
      <c r="D58" s="52" t="s">
        <v>973</v>
      </c>
      <c r="E58" s="37" t="s">
        <v>33</v>
      </c>
      <c r="G58" s="21">
        <v>5.1870000000000003</v>
      </c>
      <c r="J58" s="48"/>
    </row>
    <row r="59" spans="1:74" ht="13.5" customHeight="1" x14ac:dyDescent="0.25">
      <c r="A59" s="57" t="s">
        <v>61</v>
      </c>
      <c r="B59" s="50" t="s">
        <v>262</v>
      </c>
      <c r="C59" s="50" t="s">
        <v>635</v>
      </c>
      <c r="D59" s="135" t="s">
        <v>678</v>
      </c>
      <c r="E59" s="136"/>
      <c r="F59" s="50" t="s">
        <v>517</v>
      </c>
      <c r="G59" s="31">
        <f>'Stavební rozpočet'!G378</f>
        <v>48.817</v>
      </c>
      <c r="H59" s="31">
        <f>'Stavební rozpočet'!H378</f>
        <v>0</v>
      </c>
      <c r="I59" s="31">
        <f>G59*H59</f>
        <v>0</v>
      </c>
      <c r="J59" s="47" t="s">
        <v>501</v>
      </c>
      <c r="Y59" s="56">
        <f>IF(AP59="5",BI59,0)</f>
        <v>0</v>
      </c>
      <c r="AA59" s="56">
        <f>IF(AP59="1",BG59,0)</f>
        <v>0</v>
      </c>
      <c r="AB59" s="56">
        <f>IF(AP59="1",BH59,0)</f>
        <v>0</v>
      </c>
      <c r="AC59" s="56">
        <f>IF(AP59="7",BG59,0)</f>
        <v>0</v>
      </c>
      <c r="AD59" s="56">
        <f>IF(AP59="7",BH59,0)</f>
        <v>0</v>
      </c>
      <c r="AE59" s="56">
        <f>IF(AP59="2",BG59,0)</f>
        <v>0</v>
      </c>
      <c r="AF59" s="56">
        <f>IF(AP59="2",BH59,0)</f>
        <v>0</v>
      </c>
      <c r="AG59" s="56">
        <f>IF(AP59="0",BI59,0)</f>
        <v>0</v>
      </c>
      <c r="AH59" s="30" t="s">
        <v>262</v>
      </c>
      <c r="AI59" s="31">
        <f>IF(AM59=0,I59,0)</f>
        <v>0</v>
      </c>
      <c r="AJ59" s="31">
        <f>IF(AM59=15,I59,0)</f>
        <v>0</v>
      </c>
      <c r="AK59" s="31">
        <f>IF(AM59=21,I59,0)</f>
        <v>0</v>
      </c>
      <c r="AM59" s="56">
        <v>21</v>
      </c>
      <c r="AN59" s="56">
        <f>H59*1</f>
        <v>0</v>
      </c>
      <c r="AO59" s="56">
        <f>H59*(1-1)</f>
        <v>0</v>
      </c>
      <c r="AP59" s="58" t="s">
        <v>1109</v>
      </c>
      <c r="AU59" s="56">
        <f>AV59+AW59</f>
        <v>0</v>
      </c>
      <c r="AV59" s="56">
        <f>G59*AN59</f>
        <v>0</v>
      </c>
      <c r="AW59" s="56">
        <f>G59*AO59</f>
        <v>0</v>
      </c>
      <c r="AX59" s="41" t="s">
        <v>223</v>
      </c>
      <c r="AY59" s="41" t="s">
        <v>666</v>
      </c>
      <c r="AZ59" s="30" t="s">
        <v>478</v>
      </c>
      <c r="BB59" s="56">
        <f>AV59+AW59</f>
        <v>0</v>
      </c>
      <c r="BC59" s="56">
        <f>H59/(100-BD59)*100</f>
        <v>0</v>
      </c>
      <c r="BD59" s="56">
        <v>0</v>
      </c>
      <c r="BE59" s="56" t="e">
        <f>#REF!</f>
        <v>#REF!</v>
      </c>
      <c r="BG59" s="31">
        <f>G59*AN59</f>
        <v>0</v>
      </c>
      <c r="BH59" s="31">
        <f>G59*AO59</f>
        <v>0</v>
      </c>
      <c r="BI59" s="31">
        <f>G59*H59</f>
        <v>0</v>
      </c>
      <c r="BJ59" s="31"/>
      <c r="BK59" s="56">
        <v>17</v>
      </c>
      <c r="BV59" s="56">
        <v>21</v>
      </c>
    </row>
    <row r="60" spans="1:74" ht="15" customHeight="1" x14ac:dyDescent="0.25">
      <c r="A60" s="53"/>
      <c r="D60" s="52" t="s">
        <v>400</v>
      </c>
      <c r="E60" s="37" t="s">
        <v>536</v>
      </c>
      <c r="G60" s="21">
        <v>48.817000000000007</v>
      </c>
      <c r="J60" s="48"/>
    </row>
    <row r="61" spans="1:74" ht="13.5" customHeight="1" x14ac:dyDescent="0.25">
      <c r="A61" s="10" t="s">
        <v>786</v>
      </c>
      <c r="B61" s="9" t="s">
        <v>262</v>
      </c>
      <c r="C61" s="9" t="s">
        <v>969</v>
      </c>
      <c r="D61" s="76" t="s">
        <v>39</v>
      </c>
      <c r="E61" s="77"/>
      <c r="F61" s="9" t="s">
        <v>1079</v>
      </c>
      <c r="G61" s="56">
        <f>'Stavební rozpočet'!G380</f>
        <v>11.7</v>
      </c>
      <c r="H61" s="56">
        <f>'Stavební rozpočet'!H380</f>
        <v>0</v>
      </c>
      <c r="I61" s="56">
        <f>G61*H61</f>
        <v>0</v>
      </c>
      <c r="J61" s="54" t="s">
        <v>501</v>
      </c>
      <c r="Y61" s="56">
        <f>IF(AP61="5",BI61,0)</f>
        <v>0</v>
      </c>
      <c r="AA61" s="56">
        <f>IF(AP61="1",BG61,0)</f>
        <v>0</v>
      </c>
      <c r="AB61" s="56">
        <f>IF(AP61="1",BH61,0)</f>
        <v>0</v>
      </c>
      <c r="AC61" s="56">
        <f>IF(AP61="7",BG61,0)</f>
        <v>0</v>
      </c>
      <c r="AD61" s="56">
        <f>IF(AP61="7",BH61,0)</f>
        <v>0</v>
      </c>
      <c r="AE61" s="56">
        <f>IF(AP61="2",BG61,0)</f>
        <v>0</v>
      </c>
      <c r="AF61" s="56">
        <f>IF(AP61="2",BH61,0)</f>
        <v>0</v>
      </c>
      <c r="AG61" s="56">
        <f>IF(AP61="0",BI61,0)</f>
        <v>0</v>
      </c>
      <c r="AH61" s="30" t="s">
        <v>262</v>
      </c>
      <c r="AI61" s="56">
        <f>IF(AM61=0,I61,0)</f>
        <v>0</v>
      </c>
      <c r="AJ61" s="56">
        <f>IF(AM61=15,I61,0)</f>
        <v>0</v>
      </c>
      <c r="AK61" s="56">
        <f>IF(AM61=21,I61,0)</f>
        <v>0</v>
      </c>
      <c r="AM61" s="56">
        <v>21</v>
      </c>
      <c r="AN61" s="56">
        <f>H61*0.517505126452495</f>
        <v>0</v>
      </c>
      <c r="AO61" s="56">
        <f>H61*(1-0.517505126452495)</f>
        <v>0</v>
      </c>
      <c r="AP61" s="41" t="s">
        <v>1109</v>
      </c>
      <c r="AU61" s="56">
        <f>AV61+AW61</f>
        <v>0</v>
      </c>
      <c r="AV61" s="56">
        <f>G61*AN61</f>
        <v>0</v>
      </c>
      <c r="AW61" s="56">
        <f>G61*AO61</f>
        <v>0</v>
      </c>
      <c r="AX61" s="41" t="s">
        <v>223</v>
      </c>
      <c r="AY61" s="41" t="s">
        <v>666</v>
      </c>
      <c r="AZ61" s="30" t="s">
        <v>478</v>
      </c>
      <c r="BB61" s="56">
        <f>AV61+AW61</f>
        <v>0</v>
      </c>
      <c r="BC61" s="56">
        <f>H61/(100-BD61)*100</f>
        <v>0</v>
      </c>
      <c r="BD61" s="56">
        <v>0</v>
      </c>
      <c r="BE61" s="56" t="e">
        <f>#REF!</f>
        <v>#REF!</v>
      </c>
      <c r="BG61" s="56">
        <f>G61*AN61</f>
        <v>0</v>
      </c>
      <c r="BH61" s="56">
        <f>G61*AO61</f>
        <v>0</v>
      </c>
      <c r="BI61" s="56">
        <f>G61*H61</f>
        <v>0</v>
      </c>
      <c r="BJ61" s="56"/>
      <c r="BK61" s="56">
        <v>17</v>
      </c>
      <c r="BV61" s="56">
        <v>21</v>
      </c>
    </row>
    <row r="62" spans="1:74" ht="13.5" customHeight="1" x14ac:dyDescent="0.25">
      <c r="A62" s="53"/>
      <c r="C62" s="66" t="s">
        <v>578</v>
      </c>
      <c r="D62" s="137" t="s">
        <v>0</v>
      </c>
      <c r="E62" s="138"/>
      <c r="F62" s="138"/>
      <c r="G62" s="138"/>
      <c r="H62" s="138"/>
      <c r="I62" s="138"/>
      <c r="J62" s="139"/>
    </row>
    <row r="63" spans="1:74" ht="15" customHeight="1" x14ac:dyDescent="0.25">
      <c r="A63" s="53"/>
      <c r="D63" s="52" t="s">
        <v>1172</v>
      </c>
      <c r="E63" s="37" t="s">
        <v>424</v>
      </c>
      <c r="G63" s="21">
        <v>8.58</v>
      </c>
      <c r="J63" s="48"/>
    </row>
    <row r="64" spans="1:74" ht="15" customHeight="1" x14ac:dyDescent="0.25">
      <c r="A64" s="53"/>
      <c r="D64" s="52" t="s">
        <v>297</v>
      </c>
      <c r="E64" s="37" t="s">
        <v>928</v>
      </c>
      <c r="G64" s="21">
        <v>0.89700000000000002</v>
      </c>
      <c r="J64" s="48"/>
    </row>
    <row r="65" spans="1:74" ht="15" customHeight="1" x14ac:dyDescent="0.25">
      <c r="A65" s="53"/>
      <c r="D65" s="52" t="s">
        <v>243</v>
      </c>
      <c r="E65" s="37" t="s">
        <v>33</v>
      </c>
      <c r="G65" s="21">
        <v>2.2230000000000003</v>
      </c>
      <c r="J65" s="48"/>
    </row>
    <row r="66" spans="1:74" ht="15" customHeight="1" x14ac:dyDescent="0.25">
      <c r="A66" s="27" t="s">
        <v>769</v>
      </c>
      <c r="B66" s="28" t="s">
        <v>262</v>
      </c>
      <c r="C66" s="28" t="s">
        <v>393</v>
      </c>
      <c r="D66" s="132" t="s">
        <v>860</v>
      </c>
      <c r="E66" s="133"/>
      <c r="F66" s="23" t="s">
        <v>1027</v>
      </c>
      <c r="G66" s="23" t="s">
        <v>1027</v>
      </c>
      <c r="H66" s="23" t="s">
        <v>1027</v>
      </c>
      <c r="I66" s="14">
        <f>SUM(I67:I67)</f>
        <v>0</v>
      </c>
      <c r="J66" s="44" t="s">
        <v>769</v>
      </c>
      <c r="AH66" s="30" t="s">
        <v>262</v>
      </c>
      <c r="AR66" s="14">
        <f>SUM(AI67:AI67)</f>
        <v>0</v>
      </c>
      <c r="AS66" s="14">
        <f>SUM(AJ67:AJ67)</f>
        <v>0</v>
      </c>
      <c r="AT66" s="14">
        <f>SUM(AK67:AK67)</f>
        <v>0</v>
      </c>
    </row>
    <row r="67" spans="1:74" ht="13.5" customHeight="1" x14ac:dyDescent="0.25">
      <c r="A67" s="10" t="s">
        <v>1065</v>
      </c>
      <c r="B67" s="9" t="s">
        <v>262</v>
      </c>
      <c r="C67" s="9" t="s">
        <v>1039</v>
      </c>
      <c r="D67" s="76" t="s">
        <v>335</v>
      </c>
      <c r="E67" s="77"/>
      <c r="F67" s="9" t="s">
        <v>1079</v>
      </c>
      <c r="G67" s="56">
        <f>'Stavební rozpočet'!G386</f>
        <v>3</v>
      </c>
      <c r="H67" s="56">
        <f>'Stavební rozpočet'!H386</f>
        <v>0</v>
      </c>
      <c r="I67" s="56">
        <f>G67*H67</f>
        <v>0</v>
      </c>
      <c r="J67" s="54" t="s">
        <v>501</v>
      </c>
      <c r="Y67" s="56">
        <f>IF(AP67="5",BI67,0)</f>
        <v>0</v>
      </c>
      <c r="AA67" s="56">
        <f>IF(AP67="1",BG67,0)</f>
        <v>0</v>
      </c>
      <c r="AB67" s="56">
        <f>IF(AP67="1",BH67,0)</f>
        <v>0</v>
      </c>
      <c r="AC67" s="56">
        <f>IF(AP67="7",BG67,0)</f>
        <v>0</v>
      </c>
      <c r="AD67" s="56">
        <f>IF(AP67="7",BH67,0)</f>
        <v>0</v>
      </c>
      <c r="AE67" s="56">
        <f>IF(AP67="2",BG67,0)</f>
        <v>0</v>
      </c>
      <c r="AF67" s="56">
        <f>IF(AP67="2",BH67,0)</f>
        <v>0</v>
      </c>
      <c r="AG67" s="56">
        <f>IF(AP67="0",BI67,0)</f>
        <v>0</v>
      </c>
      <c r="AH67" s="30" t="s">
        <v>262</v>
      </c>
      <c r="AI67" s="56">
        <f>IF(AM67=0,I67,0)</f>
        <v>0</v>
      </c>
      <c r="AJ67" s="56">
        <f>IF(AM67=15,I67,0)</f>
        <v>0</v>
      </c>
      <c r="AK67" s="56">
        <f>IF(AM67=21,I67,0)</f>
        <v>0</v>
      </c>
      <c r="AM67" s="56">
        <v>21</v>
      </c>
      <c r="AN67" s="56">
        <f>H67*0.464157782515991</f>
        <v>0</v>
      </c>
      <c r="AO67" s="56">
        <f>H67*(1-0.464157782515991)</f>
        <v>0</v>
      </c>
      <c r="AP67" s="41" t="s">
        <v>1109</v>
      </c>
      <c r="AU67" s="56">
        <f>AV67+AW67</f>
        <v>0</v>
      </c>
      <c r="AV67" s="56">
        <f>G67*AN67</f>
        <v>0</v>
      </c>
      <c r="AW67" s="56">
        <f>G67*AO67</f>
        <v>0</v>
      </c>
      <c r="AX67" s="41" t="s">
        <v>547</v>
      </c>
      <c r="AY67" s="41" t="s">
        <v>519</v>
      </c>
      <c r="AZ67" s="30" t="s">
        <v>478</v>
      </c>
      <c r="BB67" s="56">
        <f>AV67+AW67</f>
        <v>0</v>
      </c>
      <c r="BC67" s="56">
        <f>H67/(100-BD67)*100</f>
        <v>0</v>
      </c>
      <c r="BD67" s="56">
        <v>0</v>
      </c>
      <c r="BE67" s="56" t="e">
        <f>#REF!</f>
        <v>#REF!</v>
      </c>
      <c r="BG67" s="56">
        <f>G67*AN67</f>
        <v>0</v>
      </c>
      <c r="BH67" s="56">
        <f>G67*AO67</f>
        <v>0</v>
      </c>
      <c r="BI67" s="56">
        <f>G67*H67</f>
        <v>0</v>
      </c>
      <c r="BJ67" s="56"/>
      <c r="BK67" s="56">
        <v>45</v>
      </c>
      <c r="BV67" s="56">
        <v>21</v>
      </c>
    </row>
    <row r="68" spans="1:74" ht="15" customHeight="1" x14ac:dyDescent="0.25">
      <c r="A68" s="53"/>
      <c r="D68" s="52" t="s">
        <v>846</v>
      </c>
      <c r="E68" s="37" t="s">
        <v>769</v>
      </c>
      <c r="G68" s="21">
        <v>2.4300000000000002</v>
      </c>
      <c r="J68" s="48"/>
    </row>
    <row r="69" spans="1:74" ht="15" customHeight="1" x14ac:dyDescent="0.25">
      <c r="A69" s="53"/>
      <c r="D69" s="52" t="s">
        <v>209</v>
      </c>
      <c r="E69" s="37" t="s">
        <v>769</v>
      </c>
      <c r="G69" s="21">
        <v>0.57000000000000006</v>
      </c>
      <c r="J69" s="48"/>
    </row>
    <row r="70" spans="1:74" ht="15" customHeight="1" x14ac:dyDescent="0.25">
      <c r="A70" s="27" t="s">
        <v>769</v>
      </c>
      <c r="B70" s="28" t="s">
        <v>262</v>
      </c>
      <c r="C70" s="28" t="s">
        <v>700</v>
      </c>
      <c r="D70" s="132" t="s">
        <v>739</v>
      </c>
      <c r="E70" s="133"/>
      <c r="F70" s="23" t="s">
        <v>1027</v>
      </c>
      <c r="G70" s="23" t="s">
        <v>1027</v>
      </c>
      <c r="H70" s="23" t="s">
        <v>1027</v>
      </c>
      <c r="I70" s="14">
        <f>SUM(I71:I77)</f>
        <v>0</v>
      </c>
      <c r="J70" s="44" t="s">
        <v>769</v>
      </c>
      <c r="AH70" s="30" t="s">
        <v>262</v>
      </c>
      <c r="AR70" s="14">
        <f>SUM(AI71:AI77)</f>
        <v>0</v>
      </c>
      <c r="AS70" s="14">
        <f>SUM(AJ71:AJ77)</f>
        <v>0</v>
      </c>
      <c r="AT70" s="14">
        <f>SUM(AK71:AK77)</f>
        <v>0</v>
      </c>
    </row>
    <row r="71" spans="1:74" ht="13.5" customHeight="1" x14ac:dyDescent="0.25">
      <c r="A71" s="10" t="s">
        <v>500</v>
      </c>
      <c r="B71" s="9" t="s">
        <v>262</v>
      </c>
      <c r="C71" s="9" t="s">
        <v>555</v>
      </c>
      <c r="D71" s="76" t="s">
        <v>1063</v>
      </c>
      <c r="E71" s="77"/>
      <c r="F71" s="9" t="s">
        <v>1095</v>
      </c>
      <c r="G71" s="56">
        <f>'Stavební rozpočet'!G390</f>
        <v>27.7</v>
      </c>
      <c r="H71" s="56">
        <f>'Stavební rozpočet'!H390</f>
        <v>0</v>
      </c>
      <c r="I71" s="56">
        <f>G71*H71</f>
        <v>0</v>
      </c>
      <c r="J71" s="54" t="s">
        <v>501</v>
      </c>
      <c r="Y71" s="56">
        <f>IF(AP71="5",BI71,0)</f>
        <v>0</v>
      </c>
      <c r="AA71" s="56">
        <f>IF(AP71="1",BG71,0)</f>
        <v>0</v>
      </c>
      <c r="AB71" s="56">
        <f>IF(AP71="1",BH71,0)</f>
        <v>0</v>
      </c>
      <c r="AC71" s="56">
        <f>IF(AP71="7",BG71,0)</f>
        <v>0</v>
      </c>
      <c r="AD71" s="56">
        <f>IF(AP71="7",BH71,0)</f>
        <v>0</v>
      </c>
      <c r="AE71" s="56">
        <f>IF(AP71="2",BG71,0)</f>
        <v>0</v>
      </c>
      <c r="AF71" s="56">
        <f>IF(AP71="2",BH71,0)</f>
        <v>0</v>
      </c>
      <c r="AG71" s="56">
        <f>IF(AP71="0",BI71,0)</f>
        <v>0</v>
      </c>
      <c r="AH71" s="30" t="s">
        <v>262</v>
      </c>
      <c r="AI71" s="56">
        <f>IF(AM71=0,I71,0)</f>
        <v>0</v>
      </c>
      <c r="AJ71" s="56">
        <f>IF(AM71=15,I71,0)</f>
        <v>0</v>
      </c>
      <c r="AK71" s="56">
        <f>IF(AM71=21,I71,0)</f>
        <v>0</v>
      </c>
      <c r="AM71" s="56">
        <v>21</v>
      </c>
      <c r="AN71" s="56">
        <f>H71*0.825266726660109</f>
        <v>0</v>
      </c>
      <c r="AO71" s="56">
        <f>H71*(1-0.825266726660109)</f>
        <v>0</v>
      </c>
      <c r="AP71" s="41" t="s">
        <v>1109</v>
      </c>
      <c r="AU71" s="56">
        <f>AV71+AW71</f>
        <v>0</v>
      </c>
      <c r="AV71" s="56">
        <f>G71*AN71</f>
        <v>0</v>
      </c>
      <c r="AW71" s="56">
        <f>G71*AO71</f>
        <v>0</v>
      </c>
      <c r="AX71" s="41" t="s">
        <v>1152</v>
      </c>
      <c r="AY71" s="41" t="s">
        <v>765</v>
      </c>
      <c r="AZ71" s="30" t="s">
        <v>478</v>
      </c>
      <c r="BB71" s="56">
        <f>AV71+AW71</f>
        <v>0</v>
      </c>
      <c r="BC71" s="56">
        <f>H71/(100-BD71)*100</f>
        <v>0</v>
      </c>
      <c r="BD71" s="56">
        <v>0</v>
      </c>
      <c r="BE71" s="56" t="e">
        <f>#REF!</f>
        <v>#REF!</v>
      </c>
      <c r="BG71" s="56">
        <f>G71*AN71</f>
        <v>0</v>
      </c>
      <c r="BH71" s="56">
        <f>G71*AO71</f>
        <v>0</v>
      </c>
      <c r="BI71" s="56">
        <f>G71*H71</f>
        <v>0</v>
      </c>
      <c r="BJ71" s="56"/>
      <c r="BK71" s="56">
        <v>56</v>
      </c>
      <c r="BV71" s="56">
        <v>21</v>
      </c>
    </row>
    <row r="72" spans="1:74" ht="13.5" customHeight="1" x14ac:dyDescent="0.25">
      <c r="A72" s="53"/>
      <c r="C72" s="66" t="s">
        <v>578</v>
      </c>
      <c r="D72" s="137" t="s">
        <v>216</v>
      </c>
      <c r="E72" s="138"/>
      <c r="F72" s="138"/>
      <c r="G72" s="138"/>
      <c r="H72" s="138"/>
      <c r="I72" s="138"/>
      <c r="J72" s="139"/>
    </row>
    <row r="73" spans="1:74" ht="15" customHeight="1" x14ac:dyDescent="0.25">
      <c r="A73" s="53"/>
      <c r="D73" s="52" t="s">
        <v>240</v>
      </c>
      <c r="E73" s="37" t="s">
        <v>33</v>
      </c>
      <c r="G73" s="21">
        <v>5.7</v>
      </c>
      <c r="J73" s="48"/>
    </row>
    <row r="74" spans="1:74" ht="15" customHeight="1" x14ac:dyDescent="0.25">
      <c r="A74" s="53"/>
      <c r="D74" s="52" t="s">
        <v>427</v>
      </c>
      <c r="E74" s="37" t="s">
        <v>777</v>
      </c>
      <c r="G74" s="21">
        <v>22.000000000000004</v>
      </c>
      <c r="J74" s="48"/>
    </row>
    <row r="75" spans="1:74" ht="13.5" customHeight="1" x14ac:dyDescent="0.25">
      <c r="A75" s="10" t="s">
        <v>112</v>
      </c>
      <c r="B75" s="9" t="s">
        <v>262</v>
      </c>
      <c r="C75" s="9" t="s">
        <v>842</v>
      </c>
      <c r="D75" s="76" t="s">
        <v>301</v>
      </c>
      <c r="E75" s="77"/>
      <c r="F75" s="9" t="s">
        <v>1095</v>
      </c>
      <c r="G75" s="56">
        <f>'Stavební rozpočet'!G394</f>
        <v>27.7</v>
      </c>
      <c r="H75" s="56">
        <f>'Stavební rozpočet'!H394</f>
        <v>0</v>
      </c>
      <c r="I75" s="56">
        <f>G75*H75</f>
        <v>0</v>
      </c>
      <c r="J75" s="54" t="s">
        <v>501</v>
      </c>
      <c r="Y75" s="56">
        <f>IF(AP75="5",BI75,0)</f>
        <v>0</v>
      </c>
      <c r="AA75" s="56">
        <f>IF(AP75="1",BG75,0)</f>
        <v>0</v>
      </c>
      <c r="AB75" s="56">
        <f>IF(AP75="1",BH75,0)</f>
        <v>0</v>
      </c>
      <c r="AC75" s="56">
        <f>IF(AP75="7",BG75,0)</f>
        <v>0</v>
      </c>
      <c r="AD75" s="56">
        <f>IF(AP75="7",BH75,0)</f>
        <v>0</v>
      </c>
      <c r="AE75" s="56">
        <f>IF(AP75="2",BG75,0)</f>
        <v>0</v>
      </c>
      <c r="AF75" s="56">
        <f>IF(AP75="2",BH75,0)</f>
        <v>0</v>
      </c>
      <c r="AG75" s="56">
        <f>IF(AP75="0",BI75,0)</f>
        <v>0</v>
      </c>
      <c r="AH75" s="30" t="s">
        <v>262</v>
      </c>
      <c r="AI75" s="56">
        <f>IF(AM75=0,I75,0)</f>
        <v>0</v>
      </c>
      <c r="AJ75" s="56">
        <f>IF(AM75=15,I75,0)</f>
        <v>0</v>
      </c>
      <c r="AK75" s="56">
        <f>IF(AM75=21,I75,0)</f>
        <v>0</v>
      </c>
      <c r="AM75" s="56">
        <v>21</v>
      </c>
      <c r="AN75" s="56">
        <f>H75*0.853662302278059</f>
        <v>0</v>
      </c>
      <c r="AO75" s="56">
        <f>H75*(1-0.853662302278059)</f>
        <v>0</v>
      </c>
      <c r="AP75" s="41" t="s">
        <v>1109</v>
      </c>
      <c r="AU75" s="56">
        <f>AV75+AW75</f>
        <v>0</v>
      </c>
      <c r="AV75" s="56">
        <f>G75*AN75</f>
        <v>0</v>
      </c>
      <c r="AW75" s="56">
        <f>G75*AO75</f>
        <v>0</v>
      </c>
      <c r="AX75" s="41" t="s">
        <v>1152</v>
      </c>
      <c r="AY75" s="41" t="s">
        <v>765</v>
      </c>
      <c r="AZ75" s="30" t="s">
        <v>478</v>
      </c>
      <c r="BB75" s="56">
        <f>AV75+AW75</f>
        <v>0</v>
      </c>
      <c r="BC75" s="56">
        <f>H75/(100-BD75)*100</f>
        <v>0</v>
      </c>
      <c r="BD75" s="56">
        <v>0</v>
      </c>
      <c r="BE75" s="56" t="e">
        <f>#REF!</f>
        <v>#REF!</v>
      </c>
      <c r="BG75" s="56">
        <f>G75*AN75</f>
        <v>0</v>
      </c>
      <c r="BH75" s="56">
        <f>G75*AO75</f>
        <v>0</v>
      </c>
      <c r="BI75" s="56">
        <f>G75*H75</f>
        <v>0</v>
      </c>
      <c r="BJ75" s="56"/>
      <c r="BK75" s="56">
        <v>56</v>
      </c>
      <c r="BV75" s="56">
        <v>21</v>
      </c>
    </row>
    <row r="76" spans="1:74" ht="13.5" customHeight="1" x14ac:dyDescent="0.25">
      <c r="A76" s="53"/>
      <c r="C76" s="66" t="s">
        <v>578</v>
      </c>
      <c r="D76" s="137" t="s">
        <v>868</v>
      </c>
      <c r="E76" s="138"/>
      <c r="F76" s="138"/>
      <c r="G76" s="138"/>
      <c r="H76" s="138"/>
      <c r="I76" s="138"/>
      <c r="J76" s="139"/>
    </row>
    <row r="77" spans="1:74" ht="13.5" customHeight="1" x14ac:dyDescent="0.25">
      <c r="A77" s="10" t="s">
        <v>273</v>
      </c>
      <c r="B77" s="9" t="s">
        <v>262</v>
      </c>
      <c r="C77" s="9" t="s">
        <v>219</v>
      </c>
      <c r="D77" s="76" t="s">
        <v>844</v>
      </c>
      <c r="E77" s="77"/>
      <c r="F77" s="9" t="s">
        <v>1095</v>
      </c>
      <c r="G77" s="56">
        <f>'Stavební rozpočet'!G396</f>
        <v>55</v>
      </c>
      <c r="H77" s="56">
        <f>'Stavební rozpočet'!H396</f>
        <v>0</v>
      </c>
      <c r="I77" s="56">
        <f>G77*H77</f>
        <v>0</v>
      </c>
      <c r="J77" s="54" t="s">
        <v>501</v>
      </c>
      <c r="Y77" s="56">
        <f>IF(AP77="5",BI77,0)</f>
        <v>0</v>
      </c>
      <c r="AA77" s="56">
        <f>IF(AP77="1",BG77,0)</f>
        <v>0</v>
      </c>
      <c r="AB77" s="56">
        <f>IF(AP77="1",BH77,0)</f>
        <v>0</v>
      </c>
      <c r="AC77" s="56">
        <f>IF(AP77="7",BG77,0)</f>
        <v>0</v>
      </c>
      <c r="AD77" s="56">
        <f>IF(AP77="7",BH77,0)</f>
        <v>0</v>
      </c>
      <c r="AE77" s="56">
        <f>IF(AP77="2",BG77,0)</f>
        <v>0</v>
      </c>
      <c r="AF77" s="56">
        <f>IF(AP77="2",BH77,0)</f>
        <v>0</v>
      </c>
      <c r="AG77" s="56">
        <f>IF(AP77="0",BI77,0)</f>
        <v>0</v>
      </c>
      <c r="AH77" s="30" t="s">
        <v>262</v>
      </c>
      <c r="AI77" s="56">
        <f>IF(AM77=0,I77,0)</f>
        <v>0</v>
      </c>
      <c r="AJ77" s="56">
        <f>IF(AM77=15,I77,0)</f>
        <v>0</v>
      </c>
      <c r="AK77" s="56">
        <f>IF(AM77=21,I77,0)</f>
        <v>0</v>
      </c>
      <c r="AM77" s="56">
        <v>21</v>
      </c>
      <c r="AN77" s="56">
        <f>H77*0.593767228177642</f>
        <v>0</v>
      </c>
      <c r="AO77" s="56">
        <f>H77*(1-0.593767228177642)</f>
        <v>0</v>
      </c>
      <c r="AP77" s="41" t="s">
        <v>1109</v>
      </c>
      <c r="AU77" s="56">
        <f>AV77+AW77</f>
        <v>0</v>
      </c>
      <c r="AV77" s="56">
        <f>G77*AN77</f>
        <v>0</v>
      </c>
      <c r="AW77" s="56">
        <f>G77*AO77</f>
        <v>0</v>
      </c>
      <c r="AX77" s="41" t="s">
        <v>1152</v>
      </c>
      <c r="AY77" s="41" t="s">
        <v>765</v>
      </c>
      <c r="AZ77" s="30" t="s">
        <v>478</v>
      </c>
      <c r="BB77" s="56">
        <f>AV77+AW77</f>
        <v>0</v>
      </c>
      <c r="BC77" s="56">
        <f>H77/(100-BD77)*100</f>
        <v>0</v>
      </c>
      <c r="BD77" s="56">
        <v>0</v>
      </c>
      <c r="BE77" s="56" t="e">
        <f>#REF!</f>
        <v>#REF!</v>
      </c>
      <c r="BG77" s="56">
        <f>G77*AN77</f>
        <v>0</v>
      </c>
      <c r="BH77" s="56">
        <f>G77*AO77</f>
        <v>0</v>
      </c>
      <c r="BI77" s="56">
        <f>G77*H77</f>
        <v>0</v>
      </c>
      <c r="BJ77" s="56"/>
      <c r="BK77" s="56">
        <v>56</v>
      </c>
      <c r="BV77" s="56">
        <v>21</v>
      </c>
    </row>
    <row r="78" spans="1:74" ht="15" customHeight="1" x14ac:dyDescent="0.25">
      <c r="A78" s="27" t="s">
        <v>769</v>
      </c>
      <c r="B78" s="28" t="s">
        <v>262</v>
      </c>
      <c r="C78" s="28" t="s">
        <v>1058</v>
      </c>
      <c r="D78" s="132" t="s">
        <v>571</v>
      </c>
      <c r="E78" s="133"/>
      <c r="F78" s="23" t="s">
        <v>1027</v>
      </c>
      <c r="G78" s="23" t="s">
        <v>1027</v>
      </c>
      <c r="H78" s="23" t="s">
        <v>1027</v>
      </c>
      <c r="I78" s="14">
        <f>SUM(I79:I81)</f>
        <v>0</v>
      </c>
      <c r="J78" s="44" t="s">
        <v>769</v>
      </c>
      <c r="AH78" s="30" t="s">
        <v>262</v>
      </c>
      <c r="AR78" s="14">
        <f>SUM(AI79:AI81)</f>
        <v>0</v>
      </c>
      <c r="AS78" s="14">
        <f>SUM(AJ79:AJ81)</f>
        <v>0</v>
      </c>
      <c r="AT78" s="14">
        <f>SUM(AK79:AK81)</f>
        <v>0</v>
      </c>
    </row>
    <row r="79" spans="1:74" ht="13.5" customHeight="1" x14ac:dyDescent="0.25">
      <c r="A79" s="10" t="s">
        <v>142</v>
      </c>
      <c r="B79" s="9" t="s">
        <v>262</v>
      </c>
      <c r="C79" s="9" t="s">
        <v>1154</v>
      </c>
      <c r="D79" s="76" t="s">
        <v>713</v>
      </c>
      <c r="E79" s="77"/>
      <c r="F79" s="9" t="s">
        <v>1095</v>
      </c>
      <c r="G79" s="56">
        <f>'Stavební rozpočet'!G398</f>
        <v>55</v>
      </c>
      <c r="H79" s="56">
        <f>'Stavební rozpočet'!H398</f>
        <v>0</v>
      </c>
      <c r="I79" s="56">
        <f>G79*H79</f>
        <v>0</v>
      </c>
      <c r="J79" s="54" t="s">
        <v>501</v>
      </c>
      <c r="Y79" s="56">
        <f>IF(AP79="5",BI79,0)</f>
        <v>0</v>
      </c>
      <c r="AA79" s="56">
        <f>IF(AP79="1",BG79,0)</f>
        <v>0</v>
      </c>
      <c r="AB79" s="56">
        <f>IF(AP79="1",BH79,0)</f>
        <v>0</v>
      </c>
      <c r="AC79" s="56">
        <f>IF(AP79="7",BG79,0)</f>
        <v>0</v>
      </c>
      <c r="AD79" s="56">
        <f>IF(AP79="7",BH79,0)</f>
        <v>0</v>
      </c>
      <c r="AE79" s="56">
        <f>IF(AP79="2",BG79,0)</f>
        <v>0</v>
      </c>
      <c r="AF79" s="56">
        <f>IF(AP79="2",BH79,0)</f>
        <v>0</v>
      </c>
      <c r="AG79" s="56">
        <f>IF(AP79="0",BI79,0)</f>
        <v>0</v>
      </c>
      <c r="AH79" s="30" t="s">
        <v>262</v>
      </c>
      <c r="AI79" s="56">
        <f>IF(AM79=0,I79,0)</f>
        <v>0</v>
      </c>
      <c r="AJ79" s="56">
        <f>IF(AM79=15,I79,0)</f>
        <v>0</v>
      </c>
      <c r="AK79" s="56">
        <f>IF(AM79=21,I79,0)</f>
        <v>0</v>
      </c>
      <c r="AM79" s="56">
        <v>21</v>
      </c>
      <c r="AN79" s="56">
        <f>H79*0.903707443739181</f>
        <v>0</v>
      </c>
      <c r="AO79" s="56">
        <f>H79*(1-0.903707443739181)</f>
        <v>0</v>
      </c>
      <c r="AP79" s="41" t="s">
        <v>1109</v>
      </c>
      <c r="AU79" s="56">
        <f>AV79+AW79</f>
        <v>0</v>
      </c>
      <c r="AV79" s="56">
        <f>G79*AN79</f>
        <v>0</v>
      </c>
      <c r="AW79" s="56">
        <f>G79*AO79</f>
        <v>0</v>
      </c>
      <c r="AX79" s="41" t="s">
        <v>450</v>
      </c>
      <c r="AY79" s="41" t="s">
        <v>765</v>
      </c>
      <c r="AZ79" s="30" t="s">
        <v>478</v>
      </c>
      <c r="BB79" s="56">
        <f>AV79+AW79</f>
        <v>0</v>
      </c>
      <c r="BC79" s="56">
        <f>H79/(100-BD79)*100</f>
        <v>0</v>
      </c>
      <c r="BD79" s="56">
        <v>0</v>
      </c>
      <c r="BE79" s="56" t="e">
        <f>#REF!</f>
        <v>#REF!</v>
      </c>
      <c r="BG79" s="56">
        <f>G79*AN79</f>
        <v>0</v>
      </c>
      <c r="BH79" s="56">
        <f>G79*AO79</f>
        <v>0</v>
      </c>
      <c r="BI79" s="56">
        <f>G79*H79</f>
        <v>0</v>
      </c>
      <c r="BJ79" s="56"/>
      <c r="BK79" s="56">
        <v>57</v>
      </c>
      <c r="BV79" s="56">
        <v>21</v>
      </c>
    </row>
    <row r="80" spans="1:74" ht="13.5" customHeight="1" x14ac:dyDescent="0.25">
      <c r="A80" s="10" t="s">
        <v>1091</v>
      </c>
      <c r="B80" s="9" t="s">
        <v>262</v>
      </c>
      <c r="C80" s="9" t="s">
        <v>607</v>
      </c>
      <c r="D80" s="76" t="s">
        <v>420</v>
      </c>
      <c r="E80" s="77"/>
      <c r="F80" s="9" t="s">
        <v>1095</v>
      </c>
      <c r="G80" s="56">
        <f>'Stavební rozpočet'!G399</f>
        <v>55</v>
      </c>
      <c r="H80" s="56">
        <f>'Stavební rozpočet'!H399</f>
        <v>0</v>
      </c>
      <c r="I80" s="56">
        <f>G80*H80</f>
        <v>0</v>
      </c>
      <c r="J80" s="54" t="s">
        <v>501</v>
      </c>
      <c r="Y80" s="56">
        <f>IF(AP80="5",BI80,0)</f>
        <v>0</v>
      </c>
      <c r="AA80" s="56">
        <f>IF(AP80="1",BG80,0)</f>
        <v>0</v>
      </c>
      <c r="AB80" s="56">
        <f>IF(AP80="1",BH80,0)</f>
        <v>0</v>
      </c>
      <c r="AC80" s="56">
        <f>IF(AP80="7",BG80,0)</f>
        <v>0</v>
      </c>
      <c r="AD80" s="56">
        <f>IF(AP80="7",BH80,0)</f>
        <v>0</v>
      </c>
      <c r="AE80" s="56">
        <f>IF(AP80="2",BG80,0)</f>
        <v>0</v>
      </c>
      <c r="AF80" s="56">
        <f>IF(AP80="2",BH80,0)</f>
        <v>0</v>
      </c>
      <c r="AG80" s="56">
        <f>IF(AP80="0",BI80,0)</f>
        <v>0</v>
      </c>
      <c r="AH80" s="30" t="s">
        <v>262</v>
      </c>
      <c r="AI80" s="56">
        <f>IF(AM80=0,I80,0)</f>
        <v>0</v>
      </c>
      <c r="AJ80" s="56">
        <f>IF(AM80=15,I80,0)</f>
        <v>0</v>
      </c>
      <c r="AK80" s="56">
        <f>IF(AM80=21,I80,0)</f>
        <v>0</v>
      </c>
      <c r="AM80" s="56">
        <v>21</v>
      </c>
      <c r="AN80" s="56">
        <f>H80*0.853684210526316</f>
        <v>0</v>
      </c>
      <c r="AO80" s="56">
        <f>H80*(1-0.853684210526316)</f>
        <v>0</v>
      </c>
      <c r="AP80" s="41" t="s">
        <v>1109</v>
      </c>
      <c r="AU80" s="56">
        <f>AV80+AW80</f>
        <v>0</v>
      </c>
      <c r="AV80" s="56">
        <f>G80*AN80</f>
        <v>0</v>
      </c>
      <c r="AW80" s="56">
        <f>G80*AO80</f>
        <v>0</v>
      </c>
      <c r="AX80" s="41" t="s">
        <v>450</v>
      </c>
      <c r="AY80" s="41" t="s">
        <v>765</v>
      </c>
      <c r="AZ80" s="30" t="s">
        <v>478</v>
      </c>
      <c r="BB80" s="56">
        <f>AV80+AW80</f>
        <v>0</v>
      </c>
      <c r="BC80" s="56">
        <f>H80/(100-BD80)*100</f>
        <v>0</v>
      </c>
      <c r="BD80" s="56">
        <v>0</v>
      </c>
      <c r="BE80" s="56" t="e">
        <f>#REF!</f>
        <v>#REF!</v>
      </c>
      <c r="BG80" s="56">
        <f>G80*AN80</f>
        <v>0</v>
      </c>
      <c r="BH80" s="56">
        <f>G80*AO80</f>
        <v>0</v>
      </c>
      <c r="BI80" s="56">
        <f>G80*H80</f>
        <v>0</v>
      </c>
      <c r="BJ80" s="56"/>
      <c r="BK80" s="56">
        <v>57</v>
      </c>
      <c r="BV80" s="56">
        <v>21</v>
      </c>
    </row>
    <row r="81" spans="1:74" ht="13.5" customHeight="1" x14ac:dyDescent="0.25">
      <c r="A81" s="10" t="s">
        <v>1201</v>
      </c>
      <c r="B81" s="9" t="s">
        <v>262</v>
      </c>
      <c r="C81" s="9" t="s">
        <v>656</v>
      </c>
      <c r="D81" s="76" t="s">
        <v>643</v>
      </c>
      <c r="E81" s="77"/>
      <c r="F81" s="9" t="s">
        <v>1095</v>
      </c>
      <c r="G81" s="56">
        <f>'Stavební rozpočet'!G400</f>
        <v>55</v>
      </c>
      <c r="H81" s="56">
        <f>'Stavební rozpočet'!H400</f>
        <v>0</v>
      </c>
      <c r="I81" s="56">
        <f>G81*H81</f>
        <v>0</v>
      </c>
      <c r="J81" s="54" t="s">
        <v>501</v>
      </c>
      <c r="Y81" s="56">
        <f>IF(AP81="5",BI81,0)</f>
        <v>0</v>
      </c>
      <c r="AA81" s="56">
        <f>IF(AP81="1",BG81,0)</f>
        <v>0</v>
      </c>
      <c r="AB81" s="56">
        <f>IF(AP81="1",BH81,0)</f>
        <v>0</v>
      </c>
      <c r="AC81" s="56">
        <f>IF(AP81="7",BG81,0)</f>
        <v>0</v>
      </c>
      <c r="AD81" s="56">
        <f>IF(AP81="7",BH81,0)</f>
        <v>0</v>
      </c>
      <c r="AE81" s="56">
        <f>IF(AP81="2",BG81,0)</f>
        <v>0</v>
      </c>
      <c r="AF81" s="56">
        <f>IF(AP81="2",BH81,0)</f>
        <v>0</v>
      </c>
      <c r="AG81" s="56">
        <f>IF(AP81="0",BI81,0)</f>
        <v>0</v>
      </c>
      <c r="AH81" s="30" t="s">
        <v>262</v>
      </c>
      <c r="AI81" s="56">
        <f>IF(AM81=0,I81,0)</f>
        <v>0</v>
      </c>
      <c r="AJ81" s="56">
        <f>IF(AM81=15,I81,0)</f>
        <v>0</v>
      </c>
      <c r="AK81" s="56">
        <f>IF(AM81=21,I81,0)</f>
        <v>0</v>
      </c>
      <c r="AM81" s="56">
        <v>21</v>
      </c>
      <c r="AN81" s="56">
        <f>H81*0.594936416184971</f>
        <v>0</v>
      </c>
      <c r="AO81" s="56">
        <f>H81*(1-0.594936416184971)</f>
        <v>0</v>
      </c>
      <c r="AP81" s="41" t="s">
        <v>1109</v>
      </c>
      <c r="AU81" s="56">
        <f>AV81+AW81</f>
        <v>0</v>
      </c>
      <c r="AV81" s="56">
        <f>G81*AN81</f>
        <v>0</v>
      </c>
      <c r="AW81" s="56">
        <f>G81*AO81</f>
        <v>0</v>
      </c>
      <c r="AX81" s="41" t="s">
        <v>450</v>
      </c>
      <c r="AY81" s="41" t="s">
        <v>765</v>
      </c>
      <c r="AZ81" s="30" t="s">
        <v>478</v>
      </c>
      <c r="BB81" s="56">
        <f>AV81+AW81</f>
        <v>0</v>
      </c>
      <c r="BC81" s="56">
        <f>H81/(100-BD81)*100</f>
        <v>0</v>
      </c>
      <c r="BD81" s="56">
        <v>0</v>
      </c>
      <c r="BE81" s="56" t="e">
        <f>#REF!</f>
        <v>#REF!</v>
      </c>
      <c r="BG81" s="56">
        <f>G81*AN81</f>
        <v>0</v>
      </c>
      <c r="BH81" s="56">
        <f>G81*AO81</f>
        <v>0</v>
      </c>
      <c r="BI81" s="56">
        <f>G81*H81</f>
        <v>0</v>
      </c>
      <c r="BJ81" s="56"/>
      <c r="BK81" s="56">
        <v>57</v>
      </c>
      <c r="BV81" s="56">
        <v>21</v>
      </c>
    </row>
    <row r="82" spans="1:74" ht="15" customHeight="1" x14ac:dyDescent="0.25">
      <c r="A82" s="27" t="s">
        <v>769</v>
      </c>
      <c r="B82" s="28" t="s">
        <v>262</v>
      </c>
      <c r="C82" s="28" t="s">
        <v>250</v>
      </c>
      <c r="D82" s="132" t="s">
        <v>1125</v>
      </c>
      <c r="E82" s="133"/>
      <c r="F82" s="23" t="s">
        <v>1027</v>
      </c>
      <c r="G82" s="23" t="s">
        <v>1027</v>
      </c>
      <c r="H82" s="23" t="s">
        <v>1027</v>
      </c>
      <c r="I82" s="14">
        <f>SUM(I83:I83)</f>
        <v>0</v>
      </c>
      <c r="J82" s="44" t="s">
        <v>769</v>
      </c>
      <c r="AH82" s="30" t="s">
        <v>262</v>
      </c>
      <c r="AR82" s="14">
        <f>SUM(AI83:AI83)</f>
        <v>0</v>
      </c>
      <c r="AS82" s="14">
        <f>SUM(AJ83:AJ83)</f>
        <v>0</v>
      </c>
      <c r="AT82" s="14">
        <f>SUM(AK83:AK83)</f>
        <v>0</v>
      </c>
    </row>
    <row r="83" spans="1:74" ht="13.5" customHeight="1" x14ac:dyDescent="0.25">
      <c r="A83" s="10" t="s">
        <v>89</v>
      </c>
      <c r="B83" s="9" t="s">
        <v>262</v>
      </c>
      <c r="C83" s="9" t="s">
        <v>1149</v>
      </c>
      <c r="D83" s="76" t="s">
        <v>1020</v>
      </c>
      <c r="E83" s="77"/>
      <c r="F83" s="9" t="s">
        <v>1095</v>
      </c>
      <c r="G83" s="56">
        <f>'Stavební rozpočet'!G402</f>
        <v>10</v>
      </c>
      <c r="H83" s="56">
        <f>'Stavební rozpočet'!H402</f>
        <v>0</v>
      </c>
      <c r="I83" s="56">
        <f>G83*H83</f>
        <v>0</v>
      </c>
      <c r="J83" s="54" t="s">
        <v>501</v>
      </c>
      <c r="Y83" s="56">
        <f>IF(AP83="5",BI83,0)</f>
        <v>0</v>
      </c>
      <c r="AA83" s="56">
        <f>IF(AP83="1",BG83,0)</f>
        <v>0</v>
      </c>
      <c r="AB83" s="56">
        <f>IF(AP83="1",BH83,0)</f>
        <v>0</v>
      </c>
      <c r="AC83" s="56">
        <f>IF(AP83="7",BG83,0)</f>
        <v>0</v>
      </c>
      <c r="AD83" s="56">
        <f>IF(AP83="7",BH83,0)</f>
        <v>0</v>
      </c>
      <c r="AE83" s="56">
        <f>IF(AP83="2",BG83,0)</f>
        <v>0</v>
      </c>
      <c r="AF83" s="56">
        <f>IF(AP83="2",BH83,0)</f>
        <v>0</v>
      </c>
      <c r="AG83" s="56">
        <f>IF(AP83="0",BI83,0)</f>
        <v>0</v>
      </c>
      <c r="AH83" s="30" t="s">
        <v>262</v>
      </c>
      <c r="AI83" s="56">
        <f>IF(AM83=0,I83,0)</f>
        <v>0</v>
      </c>
      <c r="AJ83" s="56">
        <f>IF(AM83=15,I83,0)</f>
        <v>0</v>
      </c>
      <c r="AK83" s="56">
        <f>IF(AM83=21,I83,0)</f>
        <v>0</v>
      </c>
      <c r="AM83" s="56">
        <v>21</v>
      </c>
      <c r="AN83" s="56">
        <f>H83*0.718950276243094</f>
        <v>0</v>
      </c>
      <c r="AO83" s="56">
        <f>H83*(1-0.718950276243094)</f>
        <v>0</v>
      </c>
      <c r="AP83" s="41" t="s">
        <v>1109</v>
      </c>
      <c r="AU83" s="56">
        <f>AV83+AW83</f>
        <v>0</v>
      </c>
      <c r="AV83" s="56">
        <f>G83*AN83</f>
        <v>0</v>
      </c>
      <c r="AW83" s="56">
        <f>G83*AO83</f>
        <v>0</v>
      </c>
      <c r="AX83" s="41" t="s">
        <v>1016</v>
      </c>
      <c r="AY83" s="41" t="s">
        <v>1219</v>
      </c>
      <c r="AZ83" s="30" t="s">
        <v>478</v>
      </c>
      <c r="BB83" s="56">
        <f>AV83+AW83</f>
        <v>0</v>
      </c>
      <c r="BC83" s="56">
        <f>H83/(100-BD83)*100</f>
        <v>0</v>
      </c>
      <c r="BD83" s="56">
        <v>0</v>
      </c>
      <c r="BE83" s="56" t="e">
        <f>#REF!</f>
        <v>#REF!</v>
      </c>
      <c r="BG83" s="56">
        <f>G83*AN83</f>
        <v>0</v>
      </c>
      <c r="BH83" s="56">
        <f>G83*AO83</f>
        <v>0</v>
      </c>
      <c r="BI83" s="56">
        <f>G83*H83</f>
        <v>0</v>
      </c>
      <c r="BJ83" s="56"/>
      <c r="BK83" s="56">
        <v>63</v>
      </c>
      <c r="BV83" s="56">
        <v>21</v>
      </c>
    </row>
    <row r="84" spans="1:74" ht="13.5" customHeight="1" x14ac:dyDescent="0.25">
      <c r="A84" s="53"/>
      <c r="C84" s="66" t="s">
        <v>578</v>
      </c>
      <c r="D84" s="137" t="s">
        <v>1249</v>
      </c>
      <c r="E84" s="138"/>
      <c r="F84" s="138"/>
      <c r="G84" s="138"/>
      <c r="H84" s="138"/>
      <c r="I84" s="138"/>
      <c r="J84" s="139"/>
    </row>
    <row r="85" spans="1:74" ht="15" customHeight="1" x14ac:dyDescent="0.25">
      <c r="A85" s="27" t="s">
        <v>769</v>
      </c>
      <c r="B85" s="28" t="s">
        <v>262</v>
      </c>
      <c r="C85" s="28" t="s">
        <v>552</v>
      </c>
      <c r="D85" s="132" t="s">
        <v>509</v>
      </c>
      <c r="E85" s="133"/>
      <c r="F85" s="23" t="s">
        <v>1027</v>
      </c>
      <c r="G85" s="23" t="s">
        <v>1027</v>
      </c>
      <c r="H85" s="23" t="s">
        <v>1027</v>
      </c>
      <c r="I85" s="14">
        <f>SUM(I86:I99)</f>
        <v>0</v>
      </c>
      <c r="J85" s="44" t="s">
        <v>769</v>
      </c>
      <c r="AH85" s="30" t="s">
        <v>262</v>
      </c>
      <c r="AR85" s="14">
        <f>SUM(AI86:AI99)</f>
        <v>0</v>
      </c>
      <c r="AS85" s="14">
        <f>SUM(AJ86:AJ99)</f>
        <v>0</v>
      </c>
      <c r="AT85" s="14">
        <f>SUM(AK86:AK99)</f>
        <v>0</v>
      </c>
    </row>
    <row r="86" spans="1:74" ht="13.5" customHeight="1" x14ac:dyDescent="0.25">
      <c r="A86" s="10" t="s">
        <v>717</v>
      </c>
      <c r="B86" s="9" t="s">
        <v>262</v>
      </c>
      <c r="C86" s="9" t="s">
        <v>527</v>
      </c>
      <c r="D86" s="76" t="s">
        <v>631</v>
      </c>
      <c r="E86" s="77"/>
      <c r="F86" s="9" t="s">
        <v>275</v>
      </c>
      <c r="G86" s="56">
        <f>'Stavební rozpočet'!G405</f>
        <v>3</v>
      </c>
      <c r="H86" s="56">
        <f>'Stavební rozpočet'!H405</f>
        <v>0</v>
      </c>
      <c r="I86" s="56">
        <f>G86*H86</f>
        <v>0</v>
      </c>
      <c r="J86" s="54" t="s">
        <v>501</v>
      </c>
      <c r="Y86" s="56">
        <f>IF(AP86="5",BI86,0)</f>
        <v>0</v>
      </c>
      <c r="AA86" s="56">
        <f>IF(AP86="1",BG86,0)</f>
        <v>0</v>
      </c>
      <c r="AB86" s="56">
        <f>IF(AP86="1",BH86,0)</f>
        <v>0</v>
      </c>
      <c r="AC86" s="56">
        <f>IF(AP86="7",BG86,0)</f>
        <v>0</v>
      </c>
      <c r="AD86" s="56">
        <f>IF(AP86="7",BH86,0)</f>
        <v>0</v>
      </c>
      <c r="AE86" s="56">
        <f>IF(AP86="2",BG86,0)</f>
        <v>0</v>
      </c>
      <c r="AF86" s="56">
        <f>IF(AP86="2",BH86,0)</f>
        <v>0</v>
      </c>
      <c r="AG86" s="56">
        <f>IF(AP86="0",BI86,0)</f>
        <v>0</v>
      </c>
      <c r="AH86" s="30" t="s">
        <v>262</v>
      </c>
      <c r="AI86" s="56">
        <f>IF(AM86=0,I86,0)</f>
        <v>0</v>
      </c>
      <c r="AJ86" s="56">
        <f>IF(AM86=15,I86,0)</f>
        <v>0</v>
      </c>
      <c r="AK86" s="56">
        <f>IF(AM86=21,I86,0)</f>
        <v>0</v>
      </c>
      <c r="AM86" s="56">
        <v>21</v>
      </c>
      <c r="AN86" s="56">
        <f>H86*0.21</f>
        <v>0</v>
      </c>
      <c r="AO86" s="56">
        <f>H86*(1-0.21)</f>
        <v>0</v>
      </c>
      <c r="AP86" s="41" t="s">
        <v>1109</v>
      </c>
      <c r="AU86" s="56">
        <f>AV86+AW86</f>
        <v>0</v>
      </c>
      <c r="AV86" s="56">
        <f>G86*AN86</f>
        <v>0</v>
      </c>
      <c r="AW86" s="56">
        <f>G86*AO86</f>
        <v>0</v>
      </c>
      <c r="AX86" s="41" t="s">
        <v>958</v>
      </c>
      <c r="AY86" s="41" t="s">
        <v>1177</v>
      </c>
      <c r="AZ86" s="30" t="s">
        <v>478</v>
      </c>
      <c r="BB86" s="56">
        <f>AV86+AW86</f>
        <v>0</v>
      </c>
      <c r="BC86" s="56">
        <f>H86/(100-BD86)*100</f>
        <v>0</v>
      </c>
      <c r="BD86" s="56">
        <v>0</v>
      </c>
      <c r="BE86" s="56" t="e">
        <f>#REF!</f>
        <v>#REF!</v>
      </c>
      <c r="BG86" s="56">
        <f>G86*AN86</f>
        <v>0</v>
      </c>
      <c r="BH86" s="56">
        <f>G86*AO86</f>
        <v>0</v>
      </c>
      <c r="BI86" s="56">
        <f>G86*H86</f>
        <v>0</v>
      </c>
      <c r="BJ86" s="56"/>
      <c r="BK86" s="56">
        <v>85</v>
      </c>
      <c r="BV86" s="56">
        <v>21</v>
      </c>
    </row>
    <row r="87" spans="1:74" ht="13.5" customHeight="1" x14ac:dyDescent="0.25">
      <c r="A87" s="57" t="s">
        <v>657</v>
      </c>
      <c r="B87" s="50" t="s">
        <v>262</v>
      </c>
      <c r="C87" s="50" t="s">
        <v>51</v>
      </c>
      <c r="D87" s="135" t="s">
        <v>350</v>
      </c>
      <c r="E87" s="136"/>
      <c r="F87" s="50" t="s">
        <v>275</v>
      </c>
      <c r="G87" s="31">
        <f>'Stavební rozpočet'!G406</f>
        <v>1</v>
      </c>
      <c r="H87" s="31">
        <f>'Stavební rozpočet'!H406</f>
        <v>0</v>
      </c>
      <c r="I87" s="31">
        <f>G87*H87</f>
        <v>0</v>
      </c>
      <c r="J87" s="47" t="s">
        <v>501</v>
      </c>
      <c r="Y87" s="56">
        <f>IF(AP87="5",BI87,0)</f>
        <v>0</v>
      </c>
      <c r="AA87" s="56">
        <f>IF(AP87="1",BG87,0)</f>
        <v>0</v>
      </c>
      <c r="AB87" s="56">
        <f>IF(AP87="1",BH87,0)</f>
        <v>0</v>
      </c>
      <c r="AC87" s="56">
        <f>IF(AP87="7",BG87,0)</f>
        <v>0</v>
      </c>
      <c r="AD87" s="56">
        <f>IF(AP87="7",BH87,0)</f>
        <v>0</v>
      </c>
      <c r="AE87" s="56">
        <f>IF(AP87="2",BG87,0)</f>
        <v>0</v>
      </c>
      <c r="AF87" s="56">
        <f>IF(AP87="2",BH87,0)</f>
        <v>0</v>
      </c>
      <c r="AG87" s="56">
        <f>IF(AP87="0",BI87,0)</f>
        <v>0</v>
      </c>
      <c r="AH87" s="30" t="s">
        <v>262</v>
      </c>
      <c r="AI87" s="31">
        <f>IF(AM87=0,I87,0)</f>
        <v>0</v>
      </c>
      <c r="AJ87" s="31">
        <f>IF(AM87=15,I87,0)</f>
        <v>0</v>
      </c>
      <c r="AK87" s="31">
        <f>IF(AM87=21,I87,0)</f>
        <v>0</v>
      </c>
      <c r="AM87" s="56">
        <v>21</v>
      </c>
      <c r="AN87" s="56">
        <f>H87*1</f>
        <v>0</v>
      </c>
      <c r="AO87" s="56">
        <f>H87*(1-1)</f>
        <v>0</v>
      </c>
      <c r="AP87" s="58" t="s">
        <v>1109</v>
      </c>
      <c r="AU87" s="56">
        <f>AV87+AW87</f>
        <v>0</v>
      </c>
      <c r="AV87" s="56">
        <f>G87*AN87</f>
        <v>0</v>
      </c>
      <c r="AW87" s="56">
        <f>G87*AO87</f>
        <v>0</v>
      </c>
      <c r="AX87" s="41" t="s">
        <v>958</v>
      </c>
      <c r="AY87" s="41" t="s">
        <v>1177</v>
      </c>
      <c r="AZ87" s="30" t="s">
        <v>478</v>
      </c>
      <c r="BB87" s="56">
        <f>AV87+AW87</f>
        <v>0</v>
      </c>
      <c r="BC87" s="56">
        <f>H87/(100-BD87)*100</f>
        <v>0</v>
      </c>
      <c r="BD87" s="56">
        <v>0</v>
      </c>
      <c r="BE87" s="56" t="e">
        <f>#REF!</f>
        <v>#REF!</v>
      </c>
      <c r="BG87" s="31">
        <f>G87*AN87</f>
        <v>0</v>
      </c>
      <c r="BH87" s="31">
        <f>G87*AO87</f>
        <v>0</v>
      </c>
      <c r="BI87" s="31">
        <f>G87*H87</f>
        <v>0</v>
      </c>
      <c r="BJ87" s="31"/>
      <c r="BK87" s="56">
        <v>85</v>
      </c>
      <c r="BV87" s="56">
        <v>21</v>
      </c>
    </row>
    <row r="88" spans="1:74" ht="15" customHeight="1" x14ac:dyDescent="0.25">
      <c r="A88" s="53"/>
      <c r="D88" s="52" t="s">
        <v>1109</v>
      </c>
      <c r="E88" s="37" t="s">
        <v>1024</v>
      </c>
      <c r="G88" s="21">
        <v>1</v>
      </c>
      <c r="J88" s="48"/>
    </row>
    <row r="89" spans="1:74" ht="13.5" customHeight="1" x14ac:dyDescent="0.25">
      <c r="A89" s="57" t="s">
        <v>922</v>
      </c>
      <c r="B89" s="50" t="s">
        <v>262</v>
      </c>
      <c r="C89" s="50" t="s">
        <v>954</v>
      </c>
      <c r="D89" s="135" t="s">
        <v>1175</v>
      </c>
      <c r="E89" s="136"/>
      <c r="F89" s="50" t="s">
        <v>275</v>
      </c>
      <c r="G89" s="31">
        <f>'Stavební rozpočet'!G408</f>
        <v>1</v>
      </c>
      <c r="H89" s="31">
        <f>'Stavební rozpočet'!H408</f>
        <v>0</v>
      </c>
      <c r="I89" s="31">
        <f>G89*H89</f>
        <v>0</v>
      </c>
      <c r="J89" s="47" t="s">
        <v>501</v>
      </c>
      <c r="Y89" s="56">
        <f>IF(AP89="5",BI89,0)</f>
        <v>0</v>
      </c>
      <c r="AA89" s="56">
        <f>IF(AP89="1",BG89,0)</f>
        <v>0</v>
      </c>
      <c r="AB89" s="56">
        <f>IF(AP89="1",BH89,0)</f>
        <v>0</v>
      </c>
      <c r="AC89" s="56">
        <f>IF(AP89="7",BG89,0)</f>
        <v>0</v>
      </c>
      <c r="AD89" s="56">
        <f>IF(AP89="7",BH89,0)</f>
        <v>0</v>
      </c>
      <c r="AE89" s="56">
        <f>IF(AP89="2",BG89,0)</f>
        <v>0</v>
      </c>
      <c r="AF89" s="56">
        <f>IF(AP89="2",BH89,0)</f>
        <v>0</v>
      </c>
      <c r="AG89" s="56">
        <f>IF(AP89="0",BI89,0)</f>
        <v>0</v>
      </c>
      <c r="AH89" s="30" t="s">
        <v>262</v>
      </c>
      <c r="AI89" s="31">
        <f>IF(AM89=0,I89,0)</f>
        <v>0</v>
      </c>
      <c r="AJ89" s="31">
        <f>IF(AM89=15,I89,0)</f>
        <v>0</v>
      </c>
      <c r="AK89" s="31">
        <f>IF(AM89=21,I89,0)</f>
        <v>0</v>
      </c>
      <c r="AM89" s="56">
        <v>21</v>
      </c>
      <c r="AN89" s="56">
        <f>H89*1</f>
        <v>0</v>
      </c>
      <c r="AO89" s="56">
        <f>H89*(1-1)</f>
        <v>0</v>
      </c>
      <c r="AP89" s="58" t="s">
        <v>1109</v>
      </c>
      <c r="AU89" s="56">
        <f>AV89+AW89</f>
        <v>0</v>
      </c>
      <c r="AV89" s="56">
        <f>G89*AN89</f>
        <v>0</v>
      </c>
      <c r="AW89" s="56">
        <f>G89*AO89</f>
        <v>0</v>
      </c>
      <c r="AX89" s="41" t="s">
        <v>958</v>
      </c>
      <c r="AY89" s="41" t="s">
        <v>1177</v>
      </c>
      <c r="AZ89" s="30" t="s">
        <v>478</v>
      </c>
      <c r="BB89" s="56">
        <f>AV89+AW89</f>
        <v>0</v>
      </c>
      <c r="BC89" s="56">
        <f>H89/(100-BD89)*100</f>
        <v>0</v>
      </c>
      <c r="BD89" s="56">
        <v>0</v>
      </c>
      <c r="BE89" s="56" t="e">
        <f>#REF!</f>
        <v>#REF!</v>
      </c>
      <c r="BG89" s="31">
        <f>G89*AN89</f>
        <v>0</v>
      </c>
      <c r="BH89" s="31">
        <f>G89*AO89</f>
        <v>0</v>
      </c>
      <c r="BI89" s="31">
        <f>G89*H89</f>
        <v>0</v>
      </c>
      <c r="BJ89" s="31"/>
      <c r="BK89" s="56">
        <v>85</v>
      </c>
      <c r="BV89" s="56">
        <v>21</v>
      </c>
    </row>
    <row r="90" spans="1:74" ht="15" customHeight="1" x14ac:dyDescent="0.25">
      <c r="A90" s="53"/>
      <c r="D90" s="52" t="s">
        <v>1109</v>
      </c>
      <c r="E90" s="37" t="s">
        <v>984</v>
      </c>
      <c r="G90" s="21">
        <v>1</v>
      </c>
      <c r="J90" s="48"/>
    </row>
    <row r="91" spans="1:74" ht="13.5" customHeight="1" x14ac:dyDescent="0.25">
      <c r="A91" s="57" t="s">
        <v>232</v>
      </c>
      <c r="B91" s="50" t="s">
        <v>262</v>
      </c>
      <c r="C91" s="50" t="s">
        <v>213</v>
      </c>
      <c r="D91" s="135" t="s">
        <v>858</v>
      </c>
      <c r="E91" s="136"/>
      <c r="F91" s="50" t="s">
        <v>275</v>
      </c>
      <c r="G91" s="31">
        <f>'Stavební rozpočet'!G410</f>
        <v>1</v>
      </c>
      <c r="H91" s="31">
        <f>'Stavební rozpočet'!H410</f>
        <v>0</v>
      </c>
      <c r="I91" s="31">
        <f>G91*H91</f>
        <v>0</v>
      </c>
      <c r="J91" s="47" t="s">
        <v>501</v>
      </c>
      <c r="Y91" s="56">
        <f>IF(AP91="5",BI91,0)</f>
        <v>0</v>
      </c>
      <c r="AA91" s="56">
        <f>IF(AP91="1",BG91,0)</f>
        <v>0</v>
      </c>
      <c r="AB91" s="56">
        <f>IF(AP91="1",BH91,0)</f>
        <v>0</v>
      </c>
      <c r="AC91" s="56">
        <f>IF(AP91="7",BG91,0)</f>
        <v>0</v>
      </c>
      <c r="AD91" s="56">
        <f>IF(AP91="7",BH91,0)</f>
        <v>0</v>
      </c>
      <c r="AE91" s="56">
        <f>IF(AP91="2",BG91,0)</f>
        <v>0</v>
      </c>
      <c r="AF91" s="56">
        <f>IF(AP91="2",BH91,0)</f>
        <v>0</v>
      </c>
      <c r="AG91" s="56">
        <f>IF(AP91="0",BI91,0)</f>
        <v>0</v>
      </c>
      <c r="AH91" s="30" t="s">
        <v>262</v>
      </c>
      <c r="AI91" s="31">
        <f>IF(AM91=0,I91,0)</f>
        <v>0</v>
      </c>
      <c r="AJ91" s="31">
        <f>IF(AM91=15,I91,0)</f>
        <v>0</v>
      </c>
      <c r="AK91" s="31">
        <f>IF(AM91=21,I91,0)</f>
        <v>0</v>
      </c>
      <c r="AM91" s="56">
        <v>21</v>
      </c>
      <c r="AN91" s="56">
        <f>H91*1</f>
        <v>0</v>
      </c>
      <c r="AO91" s="56">
        <f>H91*(1-1)</f>
        <v>0</v>
      </c>
      <c r="AP91" s="58" t="s">
        <v>1109</v>
      </c>
      <c r="AU91" s="56">
        <f>AV91+AW91</f>
        <v>0</v>
      </c>
      <c r="AV91" s="56">
        <f>G91*AN91</f>
        <v>0</v>
      </c>
      <c r="AW91" s="56">
        <f>G91*AO91</f>
        <v>0</v>
      </c>
      <c r="AX91" s="41" t="s">
        <v>958</v>
      </c>
      <c r="AY91" s="41" t="s">
        <v>1177</v>
      </c>
      <c r="AZ91" s="30" t="s">
        <v>478</v>
      </c>
      <c r="BB91" s="56">
        <f>AV91+AW91</f>
        <v>0</v>
      </c>
      <c r="BC91" s="56">
        <f>H91/(100-BD91)*100</f>
        <v>0</v>
      </c>
      <c r="BD91" s="56">
        <v>0</v>
      </c>
      <c r="BE91" s="56" t="e">
        <f>#REF!</f>
        <v>#REF!</v>
      </c>
      <c r="BG91" s="31">
        <f>G91*AN91</f>
        <v>0</v>
      </c>
      <c r="BH91" s="31">
        <f>G91*AO91</f>
        <v>0</v>
      </c>
      <c r="BI91" s="31">
        <f>G91*H91</f>
        <v>0</v>
      </c>
      <c r="BJ91" s="31"/>
      <c r="BK91" s="56">
        <v>85</v>
      </c>
      <c r="BV91" s="56">
        <v>21</v>
      </c>
    </row>
    <row r="92" spans="1:74" ht="15" customHeight="1" x14ac:dyDescent="0.25">
      <c r="A92" s="53"/>
      <c r="D92" s="52" t="s">
        <v>1109</v>
      </c>
      <c r="E92" s="37" t="s">
        <v>1067</v>
      </c>
      <c r="G92" s="21">
        <v>1</v>
      </c>
      <c r="J92" s="48"/>
    </row>
    <row r="93" spans="1:74" ht="13.5" customHeight="1" x14ac:dyDescent="0.25">
      <c r="A93" s="10" t="s">
        <v>1229</v>
      </c>
      <c r="B93" s="9" t="s">
        <v>262</v>
      </c>
      <c r="C93" s="9" t="s">
        <v>688</v>
      </c>
      <c r="D93" s="76" t="s">
        <v>630</v>
      </c>
      <c r="E93" s="77"/>
      <c r="F93" s="9" t="s">
        <v>275</v>
      </c>
      <c r="G93" s="56">
        <f>'Stavební rozpočet'!G412</f>
        <v>2</v>
      </c>
      <c r="H93" s="56">
        <f>'Stavební rozpočet'!H412</f>
        <v>0</v>
      </c>
      <c r="I93" s="56">
        <f>G93*H93</f>
        <v>0</v>
      </c>
      <c r="J93" s="54" t="s">
        <v>501</v>
      </c>
      <c r="Y93" s="56">
        <f>IF(AP93="5",BI93,0)</f>
        <v>0</v>
      </c>
      <c r="AA93" s="56">
        <f>IF(AP93="1",BG93,0)</f>
        <v>0</v>
      </c>
      <c r="AB93" s="56">
        <f>IF(AP93="1",BH93,0)</f>
        <v>0</v>
      </c>
      <c r="AC93" s="56">
        <f>IF(AP93="7",BG93,0)</f>
        <v>0</v>
      </c>
      <c r="AD93" s="56">
        <f>IF(AP93="7",BH93,0)</f>
        <v>0</v>
      </c>
      <c r="AE93" s="56">
        <f>IF(AP93="2",BG93,0)</f>
        <v>0</v>
      </c>
      <c r="AF93" s="56">
        <f>IF(AP93="2",BH93,0)</f>
        <v>0</v>
      </c>
      <c r="AG93" s="56">
        <f>IF(AP93="0",BI93,0)</f>
        <v>0</v>
      </c>
      <c r="AH93" s="30" t="s">
        <v>262</v>
      </c>
      <c r="AI93" s="56">
        <f>IF(AM93=0,I93,0)</f>
        <v>0</v>
      </c>
      <c r="AJ93" s="56">
        <f>IF(AM93=15,I93,0)</f>
        <v>0</v>
      </c>
      <c r="AK93" s="56">
        <f>IF(AM93=21,I93,0)</f>
        <v>0</v>
      </c>
      <c r="AM93" s="56">
        <v>21</v>
      </c>
      <c r="AN93" s="56">
        <f>H93*0.320712589073634</f>
        <v>0</v>
      </c>
      <c r="AO93" s="56">
        <f>H93*(1-0.320712589073634)</f>
        <v>0</v>
      </c>
      <c r="AP93" s="41" t="s">
        <v>1109</v>
      </c>
      <c r="AU93" s="56">
        <f>AV93+AW93</f>
        <v>0</v>
      </c>
      <c r="AV93" s="56">
        <f>G93*AN93</f>
        <v>0</v>
      </c>
      <c r="AW93" s="56">
        <f>G93*AO93</f>
        <v>0</v>
      </c>
      <c r="AX93" s="41" t="s">
        <v>958</v>
      </c>
      <c r="AY93" s="41" t="s">
        <v>1177</v>
      </c>
      <c r="AZ93" s="30" t="s">
        <v>478</v>
      </c>
      <c r="BB93" s="56">
        <f>AV93+AW93</f>
        <v>0</v>
      </c>
      <c r="BC93" s="56">
        <f>H93/(100-BD93)*100</f>
        <v>0</v>
      </c>
      <c r="BD93" s="56">
        <v>0</v>
      </c>
      <c r="BE93" s="56" t="e">
        <f>#REF!</f>
        <v>#REF!</v>
      </c>
      <c r="BG93" s="56">
        <f>G93*AN93</f>
        <v>0</v>
      </c>
      <c r="BH93" s="56">
        <f>G93*AO93</f>
        <v>0</v>
      </c>
      <c r="BI93" s="56">
        <f>G93*H93</f>
        <v>0</v>
      </c>
      <c r="BJ93" s="56"/>
      <c r="BK93" s="56">
        <v>85</v>
      </c>
      <c r="BV93" s="56">
        <v>21</v>
      </c>
    </row>
    <row r="94" spans="1:74" ht="13.5" customHeight="1" x14ac:dyDescent="0.25">
      <c r="A94" s="57" t="s">
        <v>982</v>
      </c>
      <c r="B94" s="50" t="s">
        <v>262</v>
      </c>
      <c r="C94" s="50" t="s">
        <v>772</v>
      </c>
      <c r="D94" s="135" t="s">
        <v>460</v>
      </c>
      <c r="E94" s="136"/>
      <c r="F94" s="50" t="s">
        <v>275</v>
      </c>
      <c r="G94" s="31">
        <f>'Stavební rozpočet'!G413</f>
        <v>1</v>
      </c>
      <c r="H94" s="31">
        <f>'Stavební rozpočet'!H413</f>
        <v>0</v>
      </c>
      <c r="I94" s="31">
        <f>G94*H94</f>
        <v>0</v>
      </c>
      <c r="J94" s="47" t="s">
        <v>501</v>
      </c>
      <c r="Y94" s="56">
        <f>IF(AP94="5",BI94,0)</f>
        <v>0</v>
      </c>
      <c r="AA94" s="56">
        <f>IF(AP94="1",BG94,0)</f>
        <v>0</v>
      </c>
      <c r="AB94" s="56">
        <f>IF(AP94="1",BH94,0)</f>
        <v>0</v>
      </c>
      <c r="AC94" s="56">
        <f>IF(AP94="7",BG94,0)</f>
        <v>0</v>
      </c>
      <c r="AD94" s="56">
        <f>IF(AP94="7",BH94,0)</f>
        <v>0</v>
      </c>
      <c r="AE94" s="56">
        <f>IF(AP94="2",BG94,0)</f>
        <v>0</v>
      </c>
      <c r="AF94" s="56">
        <f>IF(AP94="2",BH94,0)</f>
        <v>0</v>
      </c>
      <c r="AG94" s="56">
        <f>IF(AP94="0",BI94,0)</f>
        <v>0</v>
      </c>
      <c r="AH94" s="30" t="s">
        <v>262</v>
      </c>
      <c r="AI94" s="31">
        <f>IF(AM94=0,I94,0)</f>
        <v>0</v>
      </c>
      <c r="AJ94" s="31">
        <f>IF(AM94=15,I94,0)</f>
        <v>0</v>
      </c>
      <c r="AK94" s="31">
        <f>IF(AM94=21,I94,0)</f>
        <v>0</v>
      </c>
      <c r="AM94" s="56">
        <v>21</v>
      </c>
      <c r="AN94" s="56">
        <f>H94*1</f>
        <v>0</v>
      </c>
      <c r="AO94" s="56">
        <f>H94*(1-1)</f>
        <v>0</v>
      </c>
      <c r="AP94" s="58" t="s">
        <v>1109</v>
      </c>
      <c r="AU94" s="56">
        <f>AV94+AW94</f>
        <v>0</v>
      </c>
      <c r="AV94" s="56">
        <f>G94*AN94</f>
        <v>0</v>
      </c>
      <c r="AW94" s="56">
        <f>G94*AO94</f>
        <v>0</v>
      </c>
      <c r="AX94" s="41" t="s">
        <v>958</v>
      </c>
      <c r="AY94" s="41" t="s">
        <v>1177</v>
      </c>
      <c r="AZ94" s="30" t="s">
        <v>478</v>
      </c>
      <c r="BB94" s="56">
        <f>AV94+AW94</f>
        <v>0</v>
      </c>
      <c r="BC94" s="56">
        <f>H94/(100-BD94)*100</f>
        <v>0</v>
      </c>
      <c r="BD94" s="56">
        <v>0</v>
      </c>
      <c r="BE94" s="56" t="e">
        <f>#REF!</f>
        <v>#REF!</v>
      </c>
      <c r="BG94" s="31">
        <f>G94*AN94</f>
        <v>0</v>
      </c>
      <c r="BH94" s="31">
        <f>G94*AO94</f>
        <v>0</v>
      </c>
      <c r="BI94" s="31">
        <f>G94*H94</f>
        <v>0</v>
      </c>
      <c r="BJ94" s="31"/>
      <c r="BK94" s="56">
        <v>85</v>
      </c>
      <c r="BV94" s="56">
        <v>21</v>
      </c>
    </row>
    <row r="95" spans="1:74" ht="15" customHeight="1" x14ac:dyDescent="0.25">
      <c r="A95" s="53"/>
      <c r="D95" s="52" t="s">
        <v>1109</v>
      </c>
      <c r="E95" s="37" t="s">
        <v>816</v>
      </c>
      <c r="G95" s="21">
        <v>1</v>
      </c>
      <c r="J95" s="48"/>
    </row>
    <row r="96" spans="1:74" ht="13.5" customHeight="1" x14ac:dyDescent="0.25">
      <c r="A96" s="57" t="s">
        <v>647</v>
      </c>
      <c r="B96" s="50" t="s">
        <v>262</v>
      </c>
      <c r="C96" s="50" t="s">
        <v>401</v>
      </c>
      <c r="D96" s="135" t="s">
        <v>936</v>
      </c>
      <c r="E96" s="136"/>
      <c r="F96" s="50" t="s">
        <v>275</v>
      </c>
      <c r="G96" s="31">
        <f>'Stavební rozpočet'!G415</f>
        <v>1</v>
      </c>
      <c r="H96" s="31">
        <f>'Stavební rozpočet'!H415</f>
        <v>0</v>
      </c>
      <c r="I96" s="31">
        <f>G96*H96</f>
        <v>0</v>
      </c>
      <c r="J96" s="47" t="s">
        <v>501</v>
      </c>
      <c r="Y96" s="56">
        <f>IF(AP96="5",BI96,0)</f>
        <v>0</v>
      </c>
      <c r="AA96" s="56">
        <f>IF(AP96="1",BG96,0)</f>
        <v>0</v>
      </c>
      <c r="AB96" s="56">
        <f>IF(AP96="1",BH96,0)</f>
        <v>0</v>
      </c>
      <c r="AC96" s="56">
        <f>IF(AP96="7",BG96,0)</f>
        <v>0</v>
      </c>
      <c r="AD96" s="56">
        <f>IF(AP96="7",BH96,0)</f>
        <v>0</v>
      </c>
      <c r="AE96" s="56">
        <f>IF(AP96="2",BG96,0)</f>
        <v>0</v>
      </c>
      <c r="AF96" s="56">
        <f>IF(AP96="2",BH96,0)</f>
        <v>0</v>
      </c>
      <c r="AG96" s="56">
        <f>IF(AP96="0",BI96,0)</f>
        <v>0</v>
      </c>
      <c r="AH96" s="30" t="s">
        <v>262</v>
      </c>
      <c r="AI96" s="31">
        <f>IF(AM96=0,I96,0)</f>
        <v>0</v>
      </c>
      <c r="AJ96" s="31">
        <f>IF(AM96=15,I96,0)</f>
        <v>0</v>
      </c>
      <c r="AK96" s="31">
        <f>IF(AM96=21,I96,0)</f>
        <v>0</v>
      </c>
      <c r="AM96" s="56">
        <v>21</v>
      </c>
      <c r="AN96" s="56">
        <f>H96*1</f>
        <v>0</v>
      </c>
      <c r="AO96" s="56">
        <f>H96*(1-1)</f>
        <v>0</v>
      </c>
      <c r="AP96" s="58" t="s">
        <v>1109</v>
      </c>
      <c r="AU96" s="56">
        <f>AV96+AW96</f>
        <v>0</v>
      </c>
      <c r="AV96" s="56">
        <f>G96*AN96</f>
        <v>0</v>
      </c>
      <c r="AW96" s="56">
        <f>G96*AO96</f>
        <v>0</v>
      </c>
      <c r="AX96" s="41" t="s">
        <v>958</v>
      </c>
      <c r="AY96" s="41" t="s">
        <v>1177</v>
      </c>
      <c r="AZ96" s="30" t="s">
        <v>478</v>
      </c>
      <c r="BB96" s="56">
        <f>AV96+AW96</f>
        <v>0</v>
      </c>
      <c r="BC96" s="56">
        <f>H96/(100-BD96)*100</f>
        <v>0</v>
      </c>
      <c r="BD96" s="56">
        <v>0</v>
      </c>
      <c r="BE96" s="56" t="e">
        <f>#REF!</f>
        <v>#REF!</v>
      </c>
      <c r="BG96" s="31">
        <f>G96*AN96</f>
        <v>0</v>
      </c>
      <c r="BH96" s="31">
        <f>G96*AO96</f>
        <v>0</v>
      </c>
      <c r="BI96" s="31">
        <f>G96*H96</f>
        <v>0</v>
      </c>
      <c r="BJ96" s="31"/>
      <c r="BK96" s="56">
        <v>85</v>
      </c>
      <c r="BV96" s="56">
        <v>21</v>
      </c>
    </row>
    <row r="97" spans="1:74" ht="15" customHeight="1" x14ac:dyDescent="0.25">
      <c r="A97" s="53"/>
      <c r="D97" s="52" t="s">
        <v>1109</v>
      </c>
      <c r="E97" s="37" t="s">
        <v>839</v>
      </c>
      <c r="G97" s="21">
        <v>1</v>
      </c>
      <c r="J97" s="48"/>
    </row>
    <row r="98" spans="1:74" ht="13.5" customHeight="1" x14ac:dyDescent="0.25">
      <c r="A98" s="10" t="s">
        <v>1093</v>
      </c>
      <c r="B98" s="9" t="s">
        <v>262</v>
      </c>
      <c r="C98" s="9" t="s">
        <v>944</v>
      </c>
      <c r="D98" s="76" t="s">
        <v>1101</v>
      </c>
      <c r="E98" s="77"/>
      <c r="F98" s="9" t="s">
        <v>275</v>
      </c>
      <c r="G98" s="56">
        <f>'Stavební rozpočet'!G417</f>
        <v>1</v>
      </c>
      <c r="H98" s="56">
        <f>'Stavební rozpočet'!H417</f>
        <v>0</v>
      </c>
      <c r="I98" s="56">
        <f>G98*H98</f>
        <v>0</v>
      </c>
      <c r="J98" s="54" t="s">
        <v>501</v>
      </c>
      <c r="Y98" s="56">
        <f>IF(AP98="5",BI98,0)</f>
        <v>0</v>
      </c>
      <c r="AA98" s="56">
        <f>IF(AP98="1",BG98,0)</f>
        <v>0</v>
      </c>
      <c r="AB98" s="56">
        <f>IF(AP98="1",BH98,0)</f>
        <v>0</v>
      </c>
      <c r="AC98" s="56">
        <f>IF(AP98="7",BG98,0)</f>
        <v>0</v>
      </c>
      <c r="AD98" s="56">
        <f>IF(AP98="7",BH98,0)</f>
        <v>0</v>
      </c>
      <c r="AE98" s="56">
        <f>IF(AP98="2",BG98,0)</f>
        <v>0</v>
      </c>
      <c r="AF98" s="56">
        <f>IF(AP98="2",BH98,0)</f>
        <v>0</v>
      </c>
      <c r="AG98" s="56">
        <f>IF(AP98="0",BI98,0)</f>
        <v>0</v>
      </c>
      <c r="AH98" s="30" t="s">
        <v>262</v>
      </c>
      <c r="AI98" s="56">
        <f>IF(AM98=0,I98,0)</f>
        <v>0</v>
      </c>
      <c r="AJ98" s="56">
        <f>IF(AM98=15,I98,0)</f>
        <v>0</v>
      </c>
      <c r="AK98" s="56">
        <f>IF(AM98=21,I98,0)</f>
        <v>0</v>
      </c>
      <c r="AM98" s="56">
        <v>21</v>
      </c>
      <c r="AN98" s="56">
        <f>H98*0.322239858906526</f>
        <v>0</v>
      </c>
      <c r="AO98" s="56">
        <f>H98*(1-0.322239858906526)</f>
        <v>0</v>
      </c>
      <c r="AP98" s="41" t="s">
        <v>1109</v>
      </c>
      <c r="AU98" s="56">
        <f>AV98+AW98</f>
        <v>0</v>
      </c>
      <c r="AV98" s="56">
        <f>G98*AN98</f>
        <v>0</v>
      </c>
      <c r="AW98" s="56">
        <f>G98*AO98</f>
        <v>0</v>
      </c>
      <c r="AX98" s="41" t="s">
        <v>958</v>
      </c>
      <c r="AY98" s="41" t="s">
        <v>1177</v>
      </c>
      <c r="AZ98" s="30" t="s">
        <v>478</v>
      </c>
      <c r="BB98" s="56">
        <f>AV98+AW98</f>
        <v>0</v>
      </c>
      <c r="BC98" s="56">
        <f>H98/(100-BD98)*100</f>
        <v>0</v>
      </c>
      <c r="BD98" s="56">
        <v>0</v>
      </c>
      <c r="BE98" s="56" t="e">
        <f>#REF!</f>
        <v>#REF!</v>
      </c>
      <c r="BG98" s="56">
        <f>G98*AN98</f>
        <v>0</v>
      </c>
      <c r="BH98" s="56">
        <f>G98*AO98</f>
        <v>0</v>
      </c>
      <c r="BI98" s="56">
        <f>G98*H98</f>
        <v>0</v>
      </c>
      <c r="BJ98" s="56"/>
      <c r="BK98" s="56">
        <v>85</v>
      </c>
      <c r="BV98" s="56">
        <v>21</v>
      </c>
    </row>
    <row r="99" spans="1:74" ht="13.5" customHeight="1" x14ac:dyDescent="0.25">
      <c r="A99" s="57" t="s">
        <v>669</v>
      </c>
      <c r="B99" s="50" t="s">
        <v>262</v>
      </c>
      <c r="C99" s="50" t="s">
        <v>109</v>
      </c>
      <c r="D99" s="135" t="s">
        <v>152</v>
      </c>
      <c r="E99" s="136"/>
      <c r="F99" s="50" t="s">
        <v>275</v>
      </c>
      <c r="G99" s="31">
        <f>'Stavební rozpočet'!G418</f>
        <v>1</v>
      </c>
      <c r="H99" s="31">
        <f>'Stavební rozpočet'!H418</f>
        <v>0</v>
      </c>
      <c r="I99" s="31">
        <f>G99*H99</f>
        <v>0</v>
      </c>
      <c r="J99" s="47" t="s">
        <v>501</v>
      </c>
      <c r="Y99" s="56">
        <f>IF(AP99="5",BI99,0)</f>
        <v>0</v>
      </c>
      <c r="AA99" s="56">
        <f>IF(AP99="1",BG99,0)</f>
        <v>0</v>
      </c>
      <c r="AB99" s="56">
        <f>IF(AP99="1",BH99,0)</f>
        <v>0</v>
      </c>
      <c r="AC99" s="56">
        <f>IF(AP99="7",BG99,0)</f>
        <v>0</v>
      </c>
      <c r="AD99" s="56">
        <f>IF(AP99="7",BH99,0)</f>
        <v>0</v>
      </c>
      <c r="AE99" s="56">
        <f>IF(AP99="2",BG99,0)</f>
        <v>0</v>
      </c>
      <c r="AF99" s="56">
        <f>IF(AP99="2",BH99,0)</f>
        <v>0</v>
      </c>
      <c r="AG99" s="56">
        <f>IF(AP99="0",BI99,0)</f>
        <v>0</v>
      </c>
      <c r="AH99" s="30" t="s">
        <v>262</v>
      </c>
      <c r="AI99" s="31">
        <f>IF(AM99=0,I99,0)</f>
        <v>0</v>
      </c>
      <c r="AJ99" s="31">
        <f>IF(AM99=15,I99,0)</f>
        <v>0</v>
      </c>
      <c r="AK99" s="31">
        <f>IF(AM99=21,I99,0)</f>
        <v>0</v>
      </c>
      <c r="AM99" s="56">
        <v>21</v>
      </c>
      <c r="AN99" s="56">
        <f>H99*1</f>
        <v>0</v>
      </c>
      <c r="AO99" s="56">
        <f>H99*(1-1)</f>
        <v>0</v>
      </c>
      <c r="AP99" s="58" t="s">
        <v>1109</v>
      </c>
      <c r="AU99" s="56">
        <f>AV99+AW99</f>
        <v>0</v>
      </c>
      <c r="AV99" s="56">
        <f>G99*AN99</f>
        <v>0</v>
      </c>
      <c r="AW99" s="56">
        <f>G99*AO99</f>
        <v>0</v>
      </c>
      <c r="AX99" s="41" t="s">
        <v>958</v>
      </c>
      <c r="AY99" s="41" t="s">
        <v>1177</v>
      </c>
      <c r="AZ99" s="30" t="s">
        <v>478</v>
      </c>
      <c r="BB99" s="56">
        <f>AV99+AW99</f>
        <v>0</v>
      </c>
      <c r="BC99" s="56">
        <f>H99/(100-BD99)*100</f>
        <v>0</v>
      </c>
      <c r="BD99" s="56">
        <v>0</v>
      </c>
      <c r="BE99" s="56" t="e">
        <f>#REF!</f>
        <v>#REF!</v>
      </c>
      <c r="BG99" s="31">
        <f>G99*AN99</f>
        <v>0</v>
      </c>
      <c r="BH99" s="31">
        <f>G99*AO99</f>
        <v>0</v>
      </c>
      <c r="BI99" s="31">
        <f>G99*H99</f>
        <v>0</v>
      </c>
      <c r="BJ99" s="31"/>
      <c r="BK99" s="56">
        <v>85</v>
      </c>
      <c r="BV99" s="56">
        <v>21</v>
      </c>
    </row>
    <row r="100" spans="1:74" ht="15" customHeight="1" x14ac:dyDescent="0.25">
      <c r="A100" s="53"/>
      <c r="D100" s="52" t="s">
        <v>1109</v>
      </c>
      <c r="E100" s="37" t="s">
        <v>176</v>
      </c>
      <c r="G100" s="21">
        <v>1</v>
      </c>
      <c r="J100" s="48"/>
    </row>
    <row r="101" spans="1:74" ht="15" customHeight="1" x14ac:dyDescent="0.25">
      <c r="A101" s="27" t="s">
        <v>769</v>
      </c>
      <c r="B101" s="28" t="s">
        <v>262</v>
      </c>
      <c r="C101" s="28" t="s">
        <v>55</v>
      </c>
      <c r="D101" s="132" t="s">
        <v>90</v>
      </c>
      <c r="E101" s="133"/>
      <c r="F101" s="23" t="s">
        <v>1027</v>
      </c>
      <c r="G101" s="23" t="s">
        <v>1027</v>
      </c>
      <c r="H101" s="23" t="s">
        <v>1027</v>
      </c>
      <c r="I101" s="14">
        <f>SUM(I102:I133)</f>
        <v>0</v>
      </c>
      <c r="J101" s="44" t="s">
        <v>769</v>
      </c>
      <c r="AH101" s="30" t="s">
        <v>262</v>
      </c>
      <c r="AR101" s="14">
        <f>SUM(AI102:AI133)</f>
        <v>0</v>
      </c>
      <c r="AS101" s="14">
        <f>SUM(AJ102:AJ133)</f>
        <v>0</v>
      </c>
      <c r="AT101" s="14">
        <f>SUM(AK102:AK133)</f>
        <v>0</v>
      </c>
    </row>
    <row r="102" spans="1:74" ht="13.5" customHeight="1" x14ac:dyDescent="0.25">
      <c r="A102" s="10" t="s">
        <v>716</v>
      </c>
      <c r="B102" s="9" t="s">
        <v>262</v>
      </c>
      <c r="C102" s="9" t="s">
        <v>1013</v>
      </c>
      <c r="D102" s="76" t="s">
        <v>795</v>
      </c>
      <c r="E102" s="77"/>
      <c r="F102" s="9" t="s">
        <v>909</v>
      </c>
      <c r="G102" s="56">
        <f>'Stavební rozpočet'!G421</f>
        <v>7</v>
      </c>
      <c r="H102" s="56">
        <f>'Stavební rozpočet'!H421</f>
        <v>0</v>
      </c>
      <c r="I102" s="56">
        <f>G102*H102</f>
        <v>0</v>
      </c>
      <c r="J102" s="54" t="s">
        <v>501</v>
      </c>
      <c r="Y102" s="56">
        <f>IF(AP102="5",BI102,0)</f>
        <v>0</v>
      </c>
      <c r="AA102" s="56">
        <f>IF(AP102="1",BG102,0)</f>
        <v>0</v>
      </c>
      <c r="AB102" s="56">
        <f>IF(AP102="1",BH102,0)</f>
        <v>0</v>
      </c>
      <c r="AC102" s="56">
        <f>IF(AP102="7",BG102,0)</f>
        <v>0</v>
      </c>
      <c r="AD102" s="56">
        <f>IF(AP102="7",BH102,0)</f>
        <v>0</v>
      </c>
      <c r="AE102" s="56">
        <f>IF(AP102="2",BG102,0)</f>
        <v>0</v>
      </c>
      <c r="AF102" s="56">
        <f>IF(AP102="2",BH102,0)</f>
        <v>0</v>
      </c>
      <c r="AG102" s="56">
        <f>IF(AP102="0",BI102,0)</f>
        <v>0</v>
      </c>
      <c r="AH102" s="30" t="s">
        <v>262</v>
      </c>
      <c r="AI102" s="56">
        <f>IF(AM102=0,I102,0)</f>
        <v>0</v>
      </c>
      <c r="AJ102" s="56">
        <f>IF(AM102=15,I102,0)</f>
        <v>0</v>
      </c>
      <c r="AK102" s="56">
        <f>IF(AM102=21,I102,0)</f>
        <v>0</v>
      </c>
      <c r="AM102" s="56">
        <v>21</v>
      </c>
      <c r="AN102" s="56">
        <f>H102*0</f>
        <v>0</v>
      </c>
      <c r="AO102" s="56">
        <f>H102*(1-0)</f>
        <v>0</v>
      </c>
      <c r="AP102" s="41" t="s">
        <v>1109</v>
      </c>
      <c r="AU102" s="56">
        <f>AV102+AW102</f>
        <v>0</v>
      </c>
      <c r="AV102" s="56">
        <f>G102*AN102</f>
        <v>0</v>
      </c>
      <c r="AW102" s="56">
        <f>G102*AO102</f>
        <v>0</v>
      </c>
      <c r="AX102" s="41" t="s">
        <v>77</v>
      </c>
      <c r="AY102" s="41" t="s">
        <v>1177</v>
      </c>
      <c r="AZ102" s="30" t="s">
        <v>478</v>
      </c>
      <c r="BB102" s="56">
        <f>AV102+AW102</f>
        <v>0</v>
      </c>
      <c r="BC102" s="56">
        <f>H102/(100-BD102)*100</f>
        <v>0</v>
      </c>
      <c r="BD102" s="56">
        <v>0</v>
      </c>
      <c r="BE102" s="56" t="e">
        <f>#REF!</f>
        <v>#REF!</v>
      </c>
      <c r="BG102" s="56">
        <f>G102*AN102</f>
        <v>0</v>
      </c>
      <c r="BH102" s="56">
        <f>G102*AO102</f>
        <v>0</v>
      </c>
      <c r="BI102" s="56">
        <f>G102*H102</f>
        <v>0</v>
      </c>
      <c r="BJ102" s="56"/>
      <c r="BK102" s="56">
        <v>87</v>
      </c>
      <c r="BV102" s="56">
        <v>21</v>
      </c>
    </row>
    <row r="103" spans="1:74" ht="13.5" customHeight="1" x14ac:dyDescent="0.25">
      <c r="A103" s="57" t="s">
        <v>394</v>
      </c>
      <c r="B103" s="50" t="s">
        <v>262</v>
      </c>
      <c r="C103" s="50" t="s">
        <v>360</v>
      </c>
      <c r="D103" s="135" t="s">
        <v>1174</v>
      </c>
      <c r="E103" s="136"/>
      <c r="F103" s="50" t="s">
        <v>909</v>
      </c>
      <c r="G103" s="31">
        <f>'Stavební rozpočet'!G422</f>
        <v>7</v>
      </c>
      <c r="H103" s="31">
        <f>'Stavební rozpočet'!H422</f>
        <v>0</v>
      </c>
      <c r="I103" s="31">
        <f>G103*H103</f>
        <v>0</v>
      </c>
      <c r="J103" s="47" t="s">
        <v>769</v>
      </c>
      <c r="Y103" s="56">
        <f>IF(AP103="5",BI103,0)</f>
        <v>0</v>
      </c>
      <c r="AA103" s="56">
        <f>IF(AP103="1",BG103,0)</f>
        <v>0</v>
      </c>
      <c r="AB103" s="56">
        <f>IF(AP103="1",BH103,0)</f>
        <v>0</v>
      </c>
      <c r="AC103" s="56">
        <f>IF(AP103="7",BG103,0)</f>
        <v>0</v>
      </c>
      <c r="AD103" s="56">
        <f>IF(AP103="7",BH103,0)</f>
        <v>0</v>
      </c>
      <c r="AE103" s="56">
        <f>IF(AP103="2",BG103,0)</f>
        <v>0</v>
      </c>
      <c r="AF103" s="56">
        <f>IF(AP103="2",BH103,0)</f>
        <v>0</v>
      </c>
      <c r="AG103" s="56">
        <f>IF(AP103="0",BI103,0)</f>
        <v>0</v>
      </c>
      <c r="AH103" s="30" t="s">
        <v>262</v>
      </c>
      <c r="AI103" s="31">
        <f>IF(AM103=0,I103,0)</f>
        <v>0</v>
      </c>
      <c r="AJ103" s="31">
        <f>IF(AM103=15,I103,0)</f>
        <v>0</v>
      </c>
      <c r="AK103" s="31">
        <f>IF(AM103=21,I103,0)</f>
        <v>0</v>
      </c>
      <c r="AM103" s="56">
        <v>21</v>
      </c>
      <c r="AN103" s="56">
        <f>H103*1</f>
        <v>0</v>
      </c>
      <c r="AO103" s="56">
        <f>H103*(1-1)</f>
        <v>0</v>
      </c>
      <c r="AP103" s="58" t="s">
        <v>1109</v>
      </c>
      <c r="AU103" s="56">
        <f>AV103+AW103</f>
        <v>0</v>
      </c>
      <c r="AV103" s="56">
        <f>G103*AN103</f>
        <v>0</v>
      </c>
      <c r="AW103" s="56">
        <f>G103*AO103</f>
        <v>0</v>
      </c>
      <c r="AX103" s="41" t="s">
        <v>77</v>
      </c>
      <c r="AY103" s="41" t="s">
        <v>1177</v>
      </c>
      <c r="AZ103" s="30" t="s">
        <v>478</v>
      </c>
      <c r="BB103" s="56">
        <f>AV103+AW103</f>
        <v>0</v>
      </c>
      <c r="BC103" s="56">
        <f>H103/(100-BD103)*100</f>
        <v>0</v>
      </c>
      <c r="BD103" s="56">
        <v>0</v>
      </c>
      <c r="BE103" s="56" t="e">
        <f>#REF!</f>
        <v>#REF!</v>
      </c>
      <c r="BG103" s="31">
        <f>G103*AN103</f>
        <v>0</v>
      </c>
      <c r="BH103" s="31">
        <f>G103*AO103</f>
        <v>0</v>
      </c>
      <c r="BI103" s="31">
        <f>G103*H103</f>
        <v>0</v>
      </c>
      <c r="BJ103" s="31"/>
      <c r="BK103" s="56">
        <v>87</v>
      </c>
      <c r="BV103" s="56">
        <v>21</v>
      </c>
    </row>
    <row r="104" spans="1:74" ht="15" customHeight="1" x14ac:dyDescent="0.25">
      <c r="A104" s="53"/>
      <c r="D104" s="52" t="s">
        <v>1114</v>
      </c>
      <c r="E104" s="37" t="s">
        <v>63</v>
      </c>
      <c r="G104" s="21">
        <v>7.0000000000000009</v>
      </c>
      <c r="J104" s="48"/>
    </row>
    <row r="105" spans="1:74" ht="13.5" customHeight="1" x14ac:dyDescent="0.25">
      <c r="A105" s="10" t="s">
        <v>1096</v>
      </c>
      <c r="B105" s="9" t="s">
        <v>262</v>
      </c>
      <c r="C105" s="9" t="s">
        <v>189</v>
      </c>
      <c r="D105" s="76" t="s">
        <v>1050</v>
      </c>
      <c r="E105" s="77"/>
      <c r="F105" s="9" t="s">
        <v>275</v>
      </c>
      <c r="G105" s="56">
        <f>'Stavební rozpočet'!G424</f>
        <v>14</v>
      </c>
      <c r="H105" s="56">
        <f>'Stavební rozpočet'!H424</f>
        <v>0</v>
      </c>
      <c r="I105" s="56">
        <f>G105*H105</f>
        <v>0</v>
      </c>
      <c r="J105" s="54" t="s">
        <v>501</v>
      </c>
      <c r="Y105" s="56">
        <f>IF(AP105="5",BI105,0)</f>
        <v>0</v>
      </c>
      <c r="AA105" s="56">
        <f>IF(AP105="1",BG105,0)</f>
        <v>0</v>
      </c>
      <c r="AB105" s="56">
        <f>IF(AP105="1",BH105,0)</f>
        <v>0</v>
      </c>
      <c r="AC105" s="56">
        <f>IF(AP105="7",BG105,0)</f>
        <v>0</v>
      </c>
      <c r="AD105" s="56">
        <f>IF(AP105="7",BH105,0)</f>
        <v>0</v>
      </c>
      <c r="AE105" s="56">
        <f>IF(AP105="2",BG105,0)</f>
        <v>0</v>
      </c>
      <c r="AF105" s="56">
        <f>IF(AP105="2",BH105,0)</f>
        <v>0</v>
      </c>
      <c r="AG105" s="56">
        <f>IF(AP105="0",BI105,0)</f>
        <v>0</v>
      </c>
      <c r="AH105" s="30" t="s">
        <v>262</v>
      </c>
      <c r="AI105" s="56">
        <f>IF(AM105=0,I105,0)</f>
        <v>0</v>
      </c>
      <c r="AJ105" s="56">
        <f>IF(AM105=15,I105,0)</f>
        <v>0</v>
      </c>
      <c r="AK105" s="56">
        <f>IF(AM105=21,I105,0)</f>
        <v>0</v>
      </c>
      <c r="AM105" s="56">
        <v>21</v>
      </c>
      <c r="AN105" s="56">
        <f>H105*0</f>
        <v>0</v>
      </c>
      <c r="AO105" s="56">
        <f>H105*(1-0)</f>
        <v>0</v>
      </c>
      <c r="AP105" s="41" t="s">
        <v>1109</v>
      </c>
      <c r="AU105" s="56">
        <f>AV105+AW105</f>
        <v>0</v>
      </c>
      <c r="AV105" s="56">
        <f>G105*AN105</f>
        <v>0</v>
      </c>
      <c r="AW105" s="56">
        <f>G105*AO105</f>
        <v>0</v>
      </c>
      <c r="AX105" s="41" t="s">
        <v>77</v>
      </c>
      <c r="AY105" s="41" t="s">
        <v>1177</v>
      </c>
      <c r="AZ105" s="30" t="s">
        <v>478</v>
      </c>
      <c r="BB105" s="56">
        <f>AV105+AW105</f>
        <v>0</v>
      </c>
      <c r="BC105" s="56">
        <f>H105/(100-BD105)*100</f>
        <v>0</v>
      </c>
      <c r="BD105" s="56">
        <v>0</v>
      </c>
      <c r="BE105" s="56" t="e">
        <f>#REF!</f>
        <v>#REF!</v>
      </c>
      <c r="BG105" s="56">
        <f>G105*AN105</f>
        <v>0</v>
      </c>
      <c r="BH105" s="56">
        <f>G105*AO105</f>
        <v>0</v>
      </c>
      <c r="BI105" s="56">
        <f>G105*H105</f>
        <v>0</v>
      </c>
      <c r="BJ105" s="56"/>
      <c r="BK105" s="56">
        <v>87</v>
      </c>
      <c r="BV105" s="56">
        <v>21</v>
      </c>
    </row>
    <row r="106" spans="1:74" ht="15" customHeight="1" x14ac:dyDescent="0.25">
      <c r="A106" s="53"/>
      <c r="D106" s="52" t="s">
        <v>654</v>
      </c>
      <c r="E106" s="37" t="s">
        <v>769</v>
      </c>
      <c r="G106" s="21">
        <v>14.000000000000002</v>
      </c>
      <c r="J106" s="48"/>
    </row>
    <row r="107" spans="1:74" ht="13.5" customHeight="1" x14ac:dyDescent="0.25">
      <c r="A107" s="57" t="s">
        <v>196</v>
      </c>
      <c r="B107" s="50" t="s">
        <v>262</v>
      </c>
      <c r="C107" s="50" t="s">
        <v>946</v>
      </c>
      <c r="D107" s="135" t="s">
        <v>648</v>
      </c>
      <c r="E107" s="136"/>
      <c r="F107" s="50" t="s">
        <v>275</v>
      </c>
      <c r="G107" s="31">
        <f>'Stavební rozpočet'!G426</f>
        <v>14</v>
      </c>
      <c r="H107" s="31">
        <f>'Stavební rozpočet'!H426</f>
        <v>0</v>
      </c>
      <c r="I107" s="31">
        <f>G107*H107</f>
        <v>0</v>
      </c>
      <c r="J107" s="47" t="s">
        <v>501</v>
      </c>
      <c r="Y107" s="56">
        <f>IF(AP107="5",BI107,0)</f>
        <v>0</v>
      </c>
      <c r="AA107" s="56">
        <f>IF(AP107="1",BG107,0)</f>
        <v>0</v>
      </c>
      <c r="AB107" s="56">
        <f>IF(AP107="1",BH107,0)</f>
        <v>0</v>
      </c>
      <c r="AC107" s="56">
        <f>IF(AP107="7",BG107,0)</f>
        <v>0</v>
      </c>
      <c r="AD107" s="56">
        <f>IF(AP107="7",BH107,0)</f>
        <v>0</v>
      </c>
      <c r="AE107" s="56">
        <f>IF(AP107="2",BG107,0)</f>
        <v>0</v>
      </c>
      <c r="AF107" s="56">
        <f>IF(AP107="2",BH107,0)</f>
        <v>0</v>
      </c>
      <c r="AG107" s="56">
        <f>IF(AP107="0",BI107,0)</f>
        <v>0</v>
      </c>
      <c r="AH107" s="30" t="s">
        <v>262</v>
      </c>
      <c r="AI107" s="31">
        <f>IF(AM107=0,I107,0)</f>
        <v>0</v>
      </c>
      <c r="AJ107" s="31">
        <f>IF(AM107=15,I107,0)</f>
        <v>0</v>
      </c>
      <c r="AK107" s="31">
        <f>IF(AM107=21,I107,0)</f>
        <v>0</v>
      </c>
      <c r="AM107" s="56">
        <v>21</v>
      </c>
      <c r="AN107" s="56">
        <f>H107*1</f>
        <v>0</v>
      </c>
      <c r="AO107" s="56">
        <f>H107*(1-1)</f>
        <v>0</v>
      </c>
      <c r="AP107" s="58" t="s">
        <v>1109</v>
      </c>
      <c r="AU107" s="56">
        <f>AV107+AW107</f>
        <v>0</v>
      </c>
      <c r="AV107" s="56">
        <f>G107*AN107</f>
        <v>0</v>
      </c>
      <c r="AW107" s="56">
        <f>G107*AO107</f>
        <v>0</v>
      </c>
      <c r="AX107" s="41" t="s">
        <v>77</v>
      </c>
      <c r="AY107" s="41" t="s">
        <v>1177</v>
      </c>
      <c r="AZ107" s="30" t="s">
        <v>478</v>
      </c>
      <c r="BB107" s="56">
        <f>AV107+AW107</f>
        <v>0</v>
      </c>
      <c r="BC107" s="56">
        <f>H107/(100-BD107)*100</f>
        <v>0</v>
      </c>
      <c r="BD107" s="56">
        <v>0</v>
      </c>
      <c r="BE107" s="56" t="e">
        <f>#REF!</f>
        <v>#REF!</v>
      </c>
      <c r="BG107" s="31">
        <f>G107*AN107</f>
        <v>0</v>
      </c>
      <c r="BH107" s="31">
        <f>G107*AO107</f>
        <v>0</v>
      </c>
      <c r="BI107" s="31">
        <f>G107*H107</f>
        <v>0</v>
      </c>
      <c r="BJ107" s="31"/>
      <c r="BK107" s="56">
        <v>87</v>
      </c>
      <c r="BV107" s="56">
        <v>21</v>
      </c>
    </row>
    <row r="108" spans="1:74" ht="15" customHeight="1" x14ac:dyDescent="0.25">
      <c r="A108" s="53"/>
      <c r="D108" s="52" t="s">
        <v>654</v>
      </c>
      <c r="E108" s="37" t="s">
        <v>834</v>
      </c>
      <c r="G108" s="21">
        <v>14.000000000000002</v>
      </c>
      <c r="J108" s="48"/>
    </row>
    <row r="109" spans="1:74" ht="13.5" customHeight="1" x14ac:dyDescent="0.25">
      <c r="A109" s="10" t="s">
        <v>370</v>
      </c>
      <c r="B109" s="9" t="s">
        <v>262</v>
      </c>
      <c r="C109" s="9" t="s">
        <v>943</v>
      </c>
      <c r="D109" s="76" t="s">
        <v>551</v>
      </c>
      <c r="E109" s="77"/>
      <c r="F109" s="9" t="s">
        <v>275</v>
      </c>
      <c r="G109" s="56">
        <f>'Stavební rozpočet'!G428</f>
        <v>7</v>
      </c>
      <c r="H109" s="56">
        <f>'Stavební rozpočet'!H428</f>
        <v>0</v>
      </c>
      <c r="I109" s="56">
        <f>G109*H109</f>
        <v>0</v>
      </c>
      <c r="J109" s="54" t="s">
        <v>501</v>
      </c>
      <c r="Y109" s="56">
        <f>IF(AP109="5",BI109,0)</f>
        <v>0</v>
      </c>
      <c r="AA109" s="56">
        <f>IF(AP109="1",BG109,0)</f>
        <v>0</v>
      </c>
      <c r="AB109" s="56">
        <f>IF(AP109="1",BH109,0)</f>
        <v>0</v>
      </c>
      <c r="AC109" s="56">
        <f>IF(AP109="7",BG109,0)</f>
        <v>0</v>
      </c>
      <c r="AD109" s="56">
        <f>IF(AP109="7",BH109,0)</f>
        <v>0</v>
      </c>
      <c r="AE109" s="56">
        <f>IF(AP109="2",BG109,0)</f>
        <v>0</v>
      </c>
      <c r="AF109" s="56">
        <f>IF(AP109="2",BH109,0)</f>
        <v>0</v>
      </c>
      <c r="AG109" s="56">
        <f>IF(AP109="0",BI109,0)</f>
        <v>0</v>
      </c>
      <c r="AH109" s="30" t="s">
        <v>262</v>
      </c>
      <c r="AI109" s="56">
        <f>IF(AM109=0,I109,0)</f>
        <v>0</v>
      </c>
      <c r="AJ109" s="56">
        <f>IF(AM109=15,I109,0)</f>
        <v>0</v>
      </c>
      <c r="AK109" s="56">
        <f>IF(AM109=21,I109,0)</f>
        <v>0</v>
      </c>
      <c r="AM109" s="56">
        <v>21</v>
      </c>
      <c r="AN109" s="56">
        <f>H109*0</f>
        <v>0</v>
      </c>
      <c r="AO109" s="56">
        <f>H109*(1-0)</f>
        <v>0</v>
      </c>
      <c r="AP109" s="41" t="s">
        <v>1109</v>
      </c>
      <c r="AU109" s="56">
        <f>AV109+AW109</f>
        <v>0</v>
      </c>
      <c r="AV109" s="56">
        <f>G109*AN109</f>
        <v>0</v>
      </c>
      <c r="AW109" s="56">
        <f>G109*AO109</f>
        <v>0</v>
      </c>
      <c r="AX109" s="41" t="s">
        <v>77</v>
      </c>
      <c r="AY109" s="41" t="s">
        <v>1177</v>
      </c>
      <c r="AZ109" s="30" t="s">
        <v>478</v>
      </c>
      <c r="BB109" s="56">
        <f>AV109+AW109</f>
        <v>0</v>
      </c>
      <c r="BC109" s="56">
        <f>H109/(100-BD109)*100</f>
        <v>0</v>
      </c>
      <c r="BD109" s="56">
        <v>0</v>
      </c>
      <c r="BE109" s="56" t="e">
        <f>#REF!</f>
        <v>#REF!</v>
      </c>
      <c r="BG109" s="56">
        <f>G109*AN109</f>
        <v>0</v>
      </c>
      <c r="BH109" s="56">
        <f>G109*AO109</f>
        <v>0</v>
      </c>
      <c r="BI109" s="56">
        <f>G109*H109</f>
        <v>0</v>
      </c>
      <c r="BJ109" s="56"/>
      <c r="BK109" s="56">
        <v>87</v>
      </c>
      <c r="BV109" s="56">
        <v>21</v>
      </c>
    </row>
    <row r="110" spans="1:74" ht="15" customHeight="1" x14ac:dyDescent="0.25">
      <c r="A110" s="53"/>
      <c r="D110" s="52" t="s">
        <v>1114</v>
      </c>
      <c r="E110" s="37" t="s">
        <v>769</v>
      </c>
      <c r="G110" s="21">
        <v>7.0000000000000009</v>
      </c>
      <c r="J110" s="48"/>
    </row>
    <row r="111" spans="1:74" ht="13.5" customHeight="1" x14ac:dyDescent="0.25">
      <c r="A111" s="57" t="s">
        <v>491</v>
      </c>
      <c r="B111" s="50" t="s">
        <v>262</v>
      </c>
      <c r="C111" s="50" t="s">
        <v>20</v>
      </c>
      <c r="D111" s="135" t="s">
        <v>1148</v>
      </c>
      <c r="E111" s="136"/>
      <c r="F111" s="50" t="s">
        <v>275</v>
      </c>
      <c r="G111" s="31">
        <f>'Stavební rozpočet'!G430</f>
        <v>7</v>
      </c>
      <c r="H111" s="31">
        <f>'Stavební rozpočet'!H430</f>
        <v>0</v>
      </c>
      <c r="I111" s="31">
        <f>G111*H111</f>
        <v>0</v>
      </c>
      <c r="J111" s="47" t="s">
        <v>422</v>
      </c>
      <c r="Y111" s="56">
        <f>IF(AP111="5",BI111,0)</f>
        <v>0</v>
      </c>
      <c r="AA111" s="56">
        <f>IF(AP111="1",BG111,0)</f>
        <v>0</v>
      </c>
      <c r="AB111" s="56">
        <f>IF(AP111="1",BH111,0)</f>
        <v>0</v>
      </c>
      <c r="AC111" s="56">
        <f>IF(AP111="7",BG111,0)</f>
        <v>0</v>
      </c>
      <c r="AD111" s="56">
        <f>IF(AP111="7",BH111,0)</f>
        <v>0</v>
      </c>
      <c r="AE111" s="56">
        <f>IF(AP111="2",BG111,0)</f>
        <v>0</v>
      </c>
      <c r="AF111" s="56">
        <f>IF(AP111="2",BH111,0)</f>
        <v>0</v>
      </c>
      <c r="AG111" s="56">
        <f>IF(AP111="0",BI111,0)</f>
        <v>0</v>
      </c>
      <c r="AH111" s="30" t="s">
        <v>262</v>
      </c>
      <c r="AI111" s="31">
        <f>IF(AM111=0,I111,0)</f>
        <v>0</v>
      </c>
      <c r="AJ111" s="31">
        <f>IF(AM111=15,I111,0)</f>
        <v>0</v>
      </c>
      <c r="AK111" s="31">
        <f>IF(AM111=21,I111,0)</f>
        <v>0</v>
      </c>
      <c r="AM111" s="56">
        <v>21</v>
      </c>
      <c r="AN111" s="56">
        <f>H111*1</f>
        <v>0</v>
      </c>
      <c r="AO111" s="56">
        <f>H111*(1-1)</f>
        <v>0</v>
      </c>
      <c r="AP111" s="58" t="s">
        <v>1109</v>
      </c>
      <c r="AU111" s="56">
        <f>AV111+AW111</f>
        <v>0</v>
      </c>
      <c r="AV111" s="56">
        <f>G111*AN111</f>
        <v>0</v>
      </c>
      <c r="AW111" s="56">
        <f>G111*AO111</f>
        <v>0</v>
      </c>
      <c r="AX111" s="41" t="s">
        <v>77</v>
      </c>
      <c r="AY111" s="41" t="s">
        <v>1177</v>
      </c>
      <c r="AZ111" s="30" t="s">
        <v>478</v>
      </c>
      <c r="BB111" s="56">
        <f>AV111+AW111</f>
        <v>0</v>
      </c>
      <c r="BC111" s="56">
        <f>H111/(100-BD111)*100</f>
        <v>0</v>
      </c>
      <c r="BD111" s="56">
        <v>0</v>
      </c>
      <c r="BE111" s="56" t="e">
        <f>#REF!</f>
        <v>#REF!</v>
      </c>
      <c r="BG111" s="31">
        <f>G111*AN111</f>
        <v>0</v>
      </c>
      <c r="BH111" s="31">
        <f>G111*AO111</f>
        <v>0</v>
      </c>
      <c r="BI111" s="31">
        <f>G111*H111</f>
        <v>0</v>
      </c>
      <c r="BJ111" s="31"/>
      <c r="BK111" s="56">
        <v>87</v>
      </c>
      <c r="BV111" s="56">
        <v>21</v>
      </c>
    </row>
    <row r="112" spans="1:74" ht="15" customHeight="1" x14ac:dyDescent="0.25">
      <c r="A112" s="53"/>
      <c r="D112" s="52" t="s">
        <v>1114</v>
      </c>
      <c r="E112" s="37" t="s">
        <v>900</v>
      </c>
      <c r="G112" s="21">
        <v>7.0000000000000009</v>
      </c>
      <c r="J112" s="48"/>
    </row>
    <row r="113" spans="1:74" ht="13.5" customHeight="1" x14ac:dyDescent="0.25">
      <c r="A113" s="10" t="s">
        <v>393</v>
      </c>
      <c r="B113" s="9" t="s">
        <v>262</v>
      </c>
      <c r="C113" s="9" t="s">
        <v>493</v>
      </c>
      <c r="D113" s="76" t="s">
        <v>933</v>
      </c>
      <c r="E113" s="77"/>
      <c r="F113" s="9" t="s">
        <v>909</v>
      </c>
      <c r="G113" s="56">
        <f>'Stavební rozpočet'!G432</f>
        <v>24</v>
      </c>
      <c r="H113" s="56">
        <f>'Stavební rozpočet'!H432</f>
        <v>0</v>
      </c>
      <c r="I113" s="56">
        <f>G113*H113</f>
        <v>0</v>
      </c>
      <c r="J113" s="54" t="s">
        <v>501</v>
      </c>
      <c r="Y113" s="56">
        <f>IF(AP113="5",BI113,0)</f>
        <v>0</v>
      </c>
      <c r="AA113" s="56">
        <f>IF(AP113="1",BG113,0)</f>
        <v>0</v>
      </c>
      <c r="AB113" s="56">
        <f>IF(AP113="1",BH113,0)</f>
        <v>0</v>
      </c>
      <c r="AC113" s="56">
        <f>IF(AP113="7",BG113,0)</f>
        <v>0</v>
      </c>
      <c r="AD113" s="56">
        <f>IF(AP113="7",BH113,0)</f>
        <v>0</v>
      </c>
      <c r="AE113" s="56">
        <f>IF(AP113="2",BG113,0)</f>
        <v>0</v>
      </c>
      <c r="AF113" s="56">
        <f>IF(AP113="2",BH113,0)</f>
        <v>0</v>
      </c>
      <c r="AG113" s="56">
        <f>IF(AP113="0",BI113,0)</f>
        <v>0</v>
      </c>
      <c r="AH113" s="30" t="s">
        <v>262</v>
      </c>
      <c r="AI113" s="56">
        <f>IF(AM113=0,I113,0)</f>
        <v>0</v>
      </c>
      <c r="AJ113" s="56">
        <f>IF(AM113=15,I113,0)</f>
        <v>0</v>
      </c>
      <c r="AK113" s="56">
        <f>IF(AM113=21,I113,0)</f>
        <v>0</v>
      </c>
      <c r="AM113" s="56">
        <v>21</v>
      </c>
      <c r="AN113" s="56">
        <f>H113*0</f>
        <v>0</v>
      </c>
      <c r="AO113" s="56">
        <f>H113*(1-0)</f>
        <v>0</v>
      </c>
      <c r="AP113" s="41" t="s">
        <v>1109</v>
      </c>
      <c r="AU113" s="56">
        <f>AV113+AW113</f>
        <v>0</v>
      </c>
      <c r="AV113" s="56">
        <f>G113*AN113</f>
        <v>0</v>
      </c>
      <c r="AW113" s="56">
        <f>G113*AO113</f>
        <v>0</v>
      </c>
      <c r="AX113" s="41" t="s">
        <v>77</v>
      </c>
      <c r="AY113" s="41" t="s">
        <v>1177</v>
      </c>
      <c r="AZ113" s="30" t="s">
        <v>478</v>
      </c>
      <c r="BB113" s="56">
        <f>AV113+AW113</f>
        <v>0</v>
      </c>
      <c r="BC113" s="56">
        <f>H113/(100-BD113)*100</f>
        <v>0</v>
      </c>
      <c r="BD113" s="56">
        <v>0</v>
      </c>
      <c r="BE113" s="56" t="e">
        <f>#REF!</f>
        <v>#REF!</v>
      </c>
      <c r="BG113" s="56">
        <f>G113*AN113</f>
        <v>0</v>
      </c>
      <c r="BH113" s="56">
        <f>G113*AO113</f>
        <v>0</v>
      </c>
      <c r="BI113" s="56">
        <f>G113*H113</f>
        <v>0</v>
      </c>
      <c r="BJ113" s="56"/>
      <c r="BK113" s="56">
        <v>87</v>
      </c>
      <c r="BV113" s="56">
        <v>21</v>
      </c>
    </row>
    <row r="114" spans="1:74" ht="13.5" customHeight="1" x14ac:dyDescent="0.25">
      <c r="A114" s="57" t="s">
        <v>886</v>
      </c>
      <c r="B114" s="50" t="s">
        <v>262</v>
      </c>
      <c r="C114" s="50" t="s">
        <v>737</v>
      </c>
      <c r="D114" s="135" t="s">
        <v>956</v>
      </c>
      <c r="E114" s="136"/>
      <c r="F114" s="50" t="s">
        <v>909</v>
      </c>
      <c r="G114" s="31">
        <f>'Stavební rozpočet'!G433</f>
        <v>24</v>
      </c>
      <c r="H114" s="31">
        <f>'Stavební rozpočet'!H433</f>
        <v>0</v>
      </c>
      <c r="I114" s="31">
        <f>G114*H114</f>
        <v>0</v>
      </c>
      <c r="J114" s="47" t="s">
        <v>501</v>
      </c>
      <c r="Y114" s="56">
        <f>IF(AP114="5",BI114,0)</f>
        <v>0</v>
      </c>
      <c r="AA114" s="56">
        <f>IF(AP114="1",BG114,0)</f>
        <v>0</v>
      </c>
      <c r="AB114" s="56">
        <f>IF(AP114="1",BH114,0)</f>
        <v>0</v>
      </c>
      <c r="AC114" s="56">
        <f>IF(AP114="7",BG114,0)</f>
        <v>0</v>
      </c>
      <c r="AD114" s="56">
        <f>IF(AP114="7",BH114,0)</f>
        <v>0</v>
      </c>
      <c r="AE114" s="56">
        <f>IF(AP114="2",BG114,0)</f>
        <v>0</v>
      </c>
      <c r="AF114" s="56">
        <f>IF(AP114="2",BH114,0)</f>
        <v>0</v>
      </c>
      <c r="AG114" s="56">
        <f>IF(AP114="0",BI114,0)</f>
        <v>0</v>
      </c>
      <c r="AH114" s="30" t="s">
        <v>262</v>
      </c>
      <c r="AI114" s="31">
        <f>IF(AM114=0,I114,0)</f>
        <v>0</v>
      </c>
      <c r="AJ114" s="31">
        <f>IF(AM114=15,I114,0)</f>
        <v>0</v>
      </c>
      <c r="AK114" s="31">
        <f>IF(AM114=21,I114,0)</f>
        <v>0</v>
      </c>
      <c r="AM114" s="56">
        <v>21</v>
      </c>
      <c r="AN114" s="56">
        <f>H114*1</f>
        <v>0</v>
      </c>
      <c r="AO114" s="56">
        <f>H114*(1-1)</f>
        <v>0</v>
      </c>
      <c r="AP114" s="58" t="s">
        <v>1109</v>
      </c>
      <c r="AU114" s="56">
        <f>AV114+AW114</f>
        <v>0</v>
      </c>
      <c r="AV114" s="56">
        <f>G114*AN114</f>
        <v>0</v>
      </c>
      <c r="AW114" s="56">
        <f>G114*AO114</f>
        <v>0</v>
      </c>
      <c r="AX114" s="41" t="s">
        <v>77</v>
      </c>
      <c r="AY114" s="41" t="s">
        <v>1177</v>
      </c>
      <c r="AZ114" s="30" t="s">
        <v>478</v>
      </c>
      <c r="BB114" s="56">
        <f>AV114+AW114</f>
        <v>0</v>
      </c>
      <c r="BC114" s="56">
        <f>H114/(100-BD114)*100</f>
        <v>0</v>
      </c>
      <c r="BD114" s="56">
        <v>0</v>
      </c>
      <c r="BE114" s="56" t="e">
        <f>#REF!</f>
        <v>#REF!</v>
      </c>
      <c r="BG114" s="31">
        <f>G114*AN114</f>
        <v>0</v>
      </c>
      <c r="BH114" s="31">
        <f>G114*AO114</f>
        <v>0</v>
      </c>
      <c r="BI114" s="31">
        <f>G114*H114</f>
        <v>0</v>
      </c>
      <c r="BJ114" s="31"/>
      <c r="BK114" s="56">
        <v>87</v>
      </c>
      <c r="BV114" s="56">
        <v>21</v>
      </c>
    </row>
    <row r="115" spans="1:74" ht="15" customHeight="1" x14ac:dyDescent="0.25">
      <c r="A115" s="53"/>
      <c r="D115" s="52" t="s">
        <v>112</v>
      </c>
      <c r="E115" s="37" t="s">
        <v>626</v>
      </c>
      <c r="G115" s="21">
        <v>24.000000000000004</v>
      </c>
      <c r="J115" s="48"/>
    </row>
    <row r="116" spans="1:74" ht="13.5" customHeight="1" x14ac:dyDescent="0.25">
      <c r="A116" s="57" t="s">
        <v>1139</v>
      </c>
      <c r="B116" s="50" t="s">
        <v>262</v>
      </c>
      <c r="C116" s="50" t="s">
        <v>471</v>
      </c>
      <c r="D116" s="135" t="s">
        <v>1156</v>
      </c>
      <c r="E116" s="136"/>
      <c r="F116" s="50" t="s">
        <v>275</v>
      </c>
      <c r="G116" s="31">
        <f>'Stavební rozpočet'!G435</f>
        <v>1</v>
      </c>
      <c r="H116" s="31">
        <f>'Stavební rozpočet'!H435</f>
        <v>0</v>
      </c>
      <c r="I116" s="31">
        <f>G116*H116</f>
        <v>0</v>
      </c>
      <c r="J116" s="47" t="s">
        <v>501</v>
      </c>
      <c r="Y116" s="56">
        <f>IF(AP116="5",BI116,0)</f>
        <v>0</v>
      </c>
      <c r="AA116" s="56">
        <f>IF(AP116="1",BG116,0)</f>
        <v>0</v>
      </c>
      <c r="AB116" s="56">
        <f>IF(AP116="1",BH116,0)</f>
        <v>0</v>
      </c>
      <c r="AC116" s="56">
        <f>IF(AP116="7",BG116,0)</f>
        <v>0</v>
      </c>
      <c r="AD116" s="56">
        <f>IF(AP116="7",BH116,0)</f>
        <v>0</v>
      </c>
      <c r="AE116" s="56">
        <f>IF(AP116="2",BG116,0)</f>
        <v>0</v>
      </c>
      <c r="AF116" s="56">
        <f>IF(AP116="2",BH116,0)</f>
        <v>0</v>
      </c>
      <c r="AG116" s="56">
        <f>IF(AP116="0",BI116,0)</f>
        <v>0</v>
      </c>
      <c r="AH116" s="30" t="s">
        <v>262</v>
      </c>
      <c r="AI116" s="31">
        <f>IF(AM116=0,I116,0)</f>
        <v>0</v>
      </c>
      <c r="AJ116" s="31">
        <f>IF(AM116=15,I116,0)</f>
        <v>0</v>
      </c>
      <c r="AK116" s="31">
        <f>IF(AM116=21,I116,0)</f>
        <v>0</v>
      </c>
      <c r="AM116" s="56">
        <v>21</v>
      </c>
      <c r="AN116" s="56">
        <f>H116*1</f>
        <v>0</v>
      </c>
      <c r="AO116" s="56">
        <f>H116*(1-1)</f>
        <v>0</v>
      </c>
      <c r="AP116" s="58" t="s">
        <v>1109</v>
      </c>
      <c r="AU116" s="56">
        <f>AV116+AW116</f>
        <v>0</v>
      </c>
      <c r="AV116" s="56">
        <f>G116*AN116</f>
        <v>0</v>
      </c>
      <c r="AW116" s="56">
        <f>G116*AO116</f>
        <v>0</v>
      </c>
      <c r="AX116" s="41" t="s">
        <v>77</v>
      </c>
      <c r="AY116" s="41" t="s">
        <v>1177</v>
      </c>
      <c r="AZ116" s="30" t="s">
        <v>478</v>
      </c>
      <c r="BB116" s="56">
        <f>AV116+AW116</f>
        <v>0</v>
      </c>
      <c r="BC116" s="56">
        <f>H116/(100-BD116)*100</f>
        <v>0</v>
      </c>
      <c r="BD116" s="56">
        <v>0</v>
      </c>
      <c r="BE116" s="56" t="e">
        <f>#REF!</f>
        <v>#REF!</v>
      </c>
      <c r="BG116" s="31">
        <f>G116*AN116</f>
        <v>0</v>
      </c>
      <c r="BH116" s="31">
        <f>G116*AO116</f>
        <v>0</v>
      </c>
      <c r="BI116" s="31">
        <f>G116*H116</f>
        <v>0</v>
      </c>
      <c r="BJ116" s="31"/>
      <c r="BK116" s="56">
        <v>87</v>
      </c>
      <c r="BV116" s="56">
        <v>21</v>
      </c>
    </row>
    <row r="117" spans="1:74" ht="15" customHeight="1" x14ac:dyDescent="0.25">
      <c r="A117" s="53"/>
      <c r="D117" s="52" t="s">
        <v>1109</v>
      </c>
      <c r="E117" s="37" t="s">
        <v>1044</v>
      </c>
      <c r="G117" s="21">
        <v>1</v>
      </c>
      <c r="J117" s="48"/>
    </row>
    <row r="118" spans="1:74" ht="13.5" customHeight="1" x14ac:dyDescent="0.25">
      <c r="A118" s="10" t="s">
        <v>88</v>
      </c>
      <c r="B118" s="9" t="s">
        <v>262</v>
      </c>
      <c r="C118" s="9" t="s">
        <v>328</v>
      </c>
      <c r="D118" s="76" t="s">
        <v>73</v>
      </c>
      <c r="E118" s="77"/>
      <c r="F118" s="9" t="s">
        <v>909</v>
      </c>
      <c r="G118" s="56">
        <f>'Stavební rozpočet'!G437</f>
        <v>2</v>
      </c>
      <c r="H118" s="56">
        <f>'Stavební rozpočet'!H437</f>
        <v>0</v>
      </c>
      <c r="I118" s="56">
        <f>G118*H118</f>
        <v>0</v>
      </c>
      <c r="J118" s="54" t="s">
        <v>501</v>
      </c>
      <c r="Y118" s="56">
        <f>IF(AP118="5",BI118,0)</f>
        <v>0</v>
      </c>
      <c r="AA118" s="56">
        <f>IF(AP118="1",BG118,0)</f>
        <v>0</v>
      </c>
      <c r="AB118" s="56">
        <f>IF(AP118="1",BH118,0)</f>
        <v>0</v>
      </c>
      <c r="AC118" s="56">
        <f>IF(AP118="7",BG118,0)</f>
        <v>0</v>
      </c>
      <c r="AD118" s="56">
        <f>IF(AP118="7",BH118,0)</f>
        <v>0</v>
      </c>
      <c r="AE118" s="56">
        <f>IF(AP118="2",BG118,0)</f>
        <v>0</v>
      </c>
      <c r="AF118" s="56">
        <f>IF(AP118="2",BH118,0)</f>
        <v>0</v>
      </c>
      <c r="AG118" s="56">
        <f>IF(AP118="0",BI118,0)</f>
        <v>0</v>
      </c>
      <c r="AH118" s="30" t="s">
        <v>262</v>
      </c>
      <c r="AI118" s="56">
        <f>IF(AM118=0,I118,0)</f>
        <v>0</v>
      </c>
      <c r="AJ118" s="56">
        <f>IF(AM118=15,I118,0)</f>
        <v>0</v>
      </c>
      <c r="AK118" s="56">
        <f>IF(AM118=21,I118,0)</f>
        <v>0</v>
      </c>
      <c r="AM118" s="56">
        <v>21</v>
      </c>
      <c r="AN118" s="56">
        <f>H118*0</f>
        <v>0</v>
      </c>
      <c r="AO118" s="56">
        <f>H118*(1-0)</f>
        <v>0</v>
      </c>
      <c r="AP118" s="41" t="s">
        <v>1109</v>
      </c>
      <c r="AU118" s="56">
        <f>AV118+AW118</f>
        <v>0</v>
      </c>
      <c r="AV118" s="56">
        <f>G118*AN118</f>
        <v>0</v>
      </c>
      <c r="AW118" s="56">
        <f>G118*AO118</f>
        <v>0</v>
      </c>
      <c r="AX118" s="41" t="s">
        <v>77</v>
      </c>
      <c r="AY118" s="41" t="s">
        <v>1177</v>
      </c>
      <c r="AZ118" s="30" t="s">
        <v>478</v>
      </c>
      <c r="BB118" s="56">
        <f>AV118+AW118</f>
        <v>0</v>
      </c>
      <c r="BC118" s="56">
        <f>H118/(100-BD118)*100</f>
        <v>0</v>
      </c>
      <c r="BD118" s="56">
        <v>0</v>
      </c>
      <c r="BE118" s="56" t="e">
        <f>#REF!</f>
        <v>#REF!</v>
      </c>
      <c r="BG118" s="56">
        <f>G118*AN118</f>
        <v>0</v>
      </c>
      <c r="BH118" s="56">
        <f>G118*AO118</f>
        <v>0</v>
      </c>
      <c r="BI118" s="56">
        <f>G118*H118</f>
        <v>0</v>
      </c>
      <c r="BJ118" s="56"/>
      <c r="BK118" s="56">
        <v>87</v>
      </c>
      <c r="BV118" s="56">
        <v>21</v>
      </c>
    </row>
    <row r="119" spans="1:74" ht="13.5" customHeight="1" x14ac:dyDescent="0.25">
      <c r="A119" s="57" t="s">
        <v>862</v>
      </c>
      <c r="B119" s="50" t="s">
        <v>262</v>
      </c>
      <c r="C119" s="50" t="s">
        <v>875</v>
      </c>
      <c r="D119" s="135" t="s">
        <v>91</v>
      </c>
      <c r="E119" s="136"/>
      <c r="F119" s="50" t="s">
        <v>909</v>
      </c>
      <c r="G119" s="31">
        <f>'Stavební rozpočet'!G438</f>
        <v>2</v>
      </c>
      <c r="H119" s="31">
        <f>'Stavební rozpočet'!H438</f>
        <v>0</v>
      </c>
      <c r="I119" s="31">
        <f>G119*H119</f>
        <v>0</v>
      </c>
      <c r="J119" s="47" t="s">
        <v>501</v>
      </c>
      <c r="Y119" s="56">
        <f>IF(AP119="5",BI119,0)</f>
        <v>0</v>
      </c>
      <c r="AA119" s="56">
        <f>IF(AP119="1",BG119,0)</f>
        <v>0</v>
      </c>
      <c r="AB119" s="56">
        <f>IF(AP119="1",BH119,0)</f>
        <v>0</v>
      </c>
      <c r="AC119" s="56">
        <f>IF(AP119="7",BG119,0)</f>
        <v>0</v>
      </c>
      <c r="AD119" s="56">
        <f>IF(AP119="7",BH119,0)</f>
        <v>0</v>
      </c>
      <c r="AE119" s="56">
        <f>IF(AP119="2",BG119,0)</f>
        <v>0</v>
      </c>
      <c r="AF119" s="56">
        <f>IF(AP119="2",BH119,0)</f>
        <v>0</v>
      </c>
      <c r="AG119" s="56">
        <f>IF(AP119="0",BI119,0)</f>
        <v>0</v>
      </c>
      <c r="AH119" s="30" t="s">
        <v>262</v>
      </c>
      <c r="AI119" s="31">
        <f>IF(AM119=0,I119,0)</f>
        <v>0</v>
      </c>
      <c r="AJ119" s="31">
        <f>IF(AM119=15,I119,0)</f>
        <v>0</v>
      </c>
      <c r="AK119" s="31">
        <f>IF(AM119=21,I119,0)</f>
        <v>0</v>
      </c>
      <c r="AM119" s="56">
        <v>21</v>
      </c>
      <c r="AN119" s="56">
        <f>H119*1</f>
        <v>0</v>
      </c>
      <c r="AO119" s="56">
        <f>H119*(1-1)</f>
        <v>0</v>
      </c>
      <c r="AP119" s="58" t="s">
        <v>1109</v>
      </c>
      <c r="AU119" s="56">
        <f>AV119+AW119</f>
        <v>0</v>
      </c>
      <c r="AV119" s="56">
        <f>G119*AN119</f>
        <v>0</v>
      </c>
      <c r="AW119" s="56">
        <f>G119*AO119</f>
        <v>0</v>
      </c>
      <c r="AX119" s="41" t="s">
        <v>77</v>
      </c>
      <c r="AY119" s="41" t="s">
        <v>1177</v>
      </c>
      <c r="AZ119" s="30" t="s">
        <v>478</v>
      </c>
      <c r="BB119" s="56">
        <f>AV119+AW119</f>
        <v>0</v>
      </c>
      <c r="BC119" s="56">
        <f>H119/(100-BD119)*100</f>
        <v>0</v>
      </c>
      <c r="BD119" s="56">
        <v>0</v>
      </c>
      <c r="BE119" s="56" t="e">
        <f>#REF!</f>
        <v>#REF!</v>
      </c>
      <c r="BG119" s="31">
        <f>G119*AN119</f>
        <v>0</v>
      </c>
      <c r="BH119" s="31">
        <f>G119*AO119</f>
        <v>0</v>
      </c>
      <c r="BI119" s="31">
        <f>G119*H119</f>
        <v>0</v>
      </c>
      <c r="BJ119" s="31"/>
      <c r="BK119" s="56">
        <v>87</v>
      </c>
      <c r="BV119" s="56">
        <v>21</v>
      </c>
    </row>
    <row r="120" spans="1:74" ht="15" customHeight="1" x14ac:dyDescent="0.25">
      <c r="A120" s="53"/>
      <c r="D120" s="52" t="s">
        <v>766</v>
      </c>
      <c r="E120" s="37" t="s">
        <v>361</v>
      </c>
      <c r="G120" s="21">
        <v>2</v>
      </c>
      <c r="J120" s="48"/>
    </row>
    <row r="121" spans="1:74" ht="13.5" customHeight="1" x14ac:dyDescent="0.25">
      <c r="A121" s="10" t="s">
        <v>898</v>
      </c>
      <c r="B121" s="9" t="s">
        <v>262</v>
      </c>
      <c r="C121" s="9" t="s">
        <v>955</v>
      </c>
      <c r="D121" s="76" t="s">
        <v>45</v>
      </c>
      <c r="E121" s="77"/>
      <c r="F121" s="9" t="s">
        <v>778</v>
      </c>
      <c r="G121" s="56">
        <f>'Stavební rozpočet'!G440</f>
        <v>4</v>
      </c>
      <c r="H121" s="56">
        <f>'Stavební rozpočet'!H440</f>
        <v>0</v>
      </c>
      <c r="I121" s="56">
        <f>G121*H121</f>
        <v>0</v>
      </c>
      <c r="J121" s="54" t="s">
        <v>501</v>
      </c>
      <c r="Y121" s="56">
        <f>IF(AP121="5",BI121,0)</f>
        <v>0</v>
      </c>
      <c r="AA121" s="56">
        <f>IF(AP121="1",BG121,0)</f>
        <v>0</v>
      </c>
      <c r="AB121" s="56">
        <f>IF(AP121="1",BH121,0)</f>
        <v>0</v>
      </c>
      <c r="AC121" s="56">
        <f>IF(AP121="7",BG121,0)</f>
        <v>0</v>
      </c>
      <c r="AD121" s="56">
        <f>IF(AP121="7",BH121,0)</f>
        <v>0</v>
      </c>
      <c r="AE121" s="56">
        <f>IF(AP121="2",BG121,0)</f>
        <v>0</v>
      </c>
      <c r="AF121" s="56">
        <f>IF(AP121="2",BH121,0)</f>
        <v>0</v>
      </c>
      <c r="AG121" s="56">
        <f>IF(AP121="0",BI121,0)</f>
        <v>0</v>
      </c>
      <c r="AH121" s="30" t="s">
        <v>262</v>
      </c>
      <c r="AI121" s="56">
        <f>IF(AM121=0,I121,0)</f>
        <v>0</v>
      </c>
      <c r="AJ121" s="56">
        <f>IF(AM121=15,I121,0)</f>
        <v>0</v>
      </c>
      <c r="AK121" s="56">
        <f>IF(AM121=21,I121,0)</f>
        <v>0</v>
      </c>
      <c r="AM121" s="56">
        <v>21</v>
      </c>
      <c r="AN121" s="56">
        <f>H121*0</f>
        <v>0</v>
      </c>
      <c r="AO121" s="56">
        <f>H121*(1-0)</f>
        <v>0</v>
      </c>
      <c r="AP121" s="41" t="s">
        <v>1109</v>
      </c>
      <c r="AU121" s="56">
        <f>AV121+AW121</f>
        <v>0</v>
      </c>
      <c r="AV121" s="56">
        <f>G121*AN121</f>
        <v>0</v>
      </c>
      <c r="AW121" s="56">
        <f>G121*AO121</f>
        <v>0</v>
      </c>
      <c r="AX121" s="41" t="s">
        <v>77</v>
      </c>
      <c r="AY121" s="41" t="s">
        <v>1177</v>
      </c>
      <c r="AZ121" s="30" t="s">
        <v>478</v>
      </c>
      <c r="BB121" s="56">
        <f>AV121+AW121</f>
        <v>0</v>
      </c>
      <c r="BC121" s="56">
        <f>H121/(100-BD121)*100</f>
        <v>0</v>
      </c>
      <c r="BD121" s="56">
        <v>0</v>
      </c>
      <c r="BE121" s="56" t="e">
        <f>#REF!</f>
        <v>#REF!</v>
      </c>
      <c r="BG121" s="56">
        <f>G121*AN121</f>
        <v>0</v>
      </c>
      <c r="BH121" s="56">
        <f>G121*AO121</f>
        <v>0</v>
      </c>
      <c r="BI121" s="56">
        <f>G121*H121</f>
        <v>0</v>
      </c>
      <c r="BJ121" s="56"/>
      <c r="BK121" s="56">
        <v>87</v>
      </c>
      <c r="BV121" s="56">
        <v>21</v>
      </c>
    </row>
    <row r="122" spans="1:74" ht="13.5" customHeight="1" x14ac:dyDescent="0.25">
      <c r="A122" s="57" t="s">
        <v>481</v>
      </c>
      <c r="B122" s="50" t="s">
        <v>262</v>
      </c>
      <c r="C122" s="50" t="s">
        <v>214</v>
      </c>
      <c r="D122" s="135" t="s">
        <v>429</v>
      </c>
      <c r="E122" s="136"/>
      <c r="F122" s="50" t="s">
        <v>275</v>
      </c>
      <c r="G122" s="31">
        <f>'Stavební rozpočet'!G441</f>
        <v>2</v>
      </c>
      <c r="H122" s="31">
        <f>'Stavební rozpočet'!H441</f>
        <v>0</v>
      </c>
      <c r="I122" s="31">
        <f>G122*H122</f>
        <v>0</v>
      </c>
      <c r="J122" s="47" t="s">
        <v>501</v>
      </c>
      <c r="Y122" s="56">
        <f>IF(AP122="5",BI122,0)</f>
        <v>0</v>
      </c>
      <c r="AA122" s="56">
        <f>IF(AP122="1",BG122,0)</f>
        <v>0</v>
      </c>
      <c r="AB122" s="56">
        <f>IF(AP122="1",BH122,0)</f>
        <v>0</v>
      </c>
      <c r="AC122" s="56">
        <f>IF(AP122="7",BG122,0)</f>
        <v>0</v>
      </c>
      <c r="AD122" s="56">
        <f>IF(AP122="7",BH122,0)</f>
        <v>0</v>
      </c>
      <c r="AE122" s="56">
        <f>IF(AP122="2",BG122,0)</f>
        <v>0</v>
      </c>
      <c r="AF122" s="56">
        <f>IF(AP122="2",BH122,0)</f>
        <v>0</v>
      </c>
      <c r="AG122" s="56">
        <f>IF(AP122="0",BI122,0)</f>
        <v>0</v>
      </c>
      <c r="AH122" s="30" t="s">
        <v>262</v>
      </c>
      <c r="AI122" s="31">
        <f>IF(AM122=0,I122,0)</f>
        <v>0</v>
      </c>
      <c r="AJ122" s="31">
        <f>IF(AM122=15,I122,0)</f>
        <v>0</v>
      </c>
      <c r="AK122" s="31">
        <f>IF(AM122=21,I122,0)</f>
        <v>0</v>
      </c>
      <c r="AM122" s="56">
        <v>21</v>
      </c>
      <c r="AN122" s="56">
        <f>H122*1</f>
        <v>0</v>
      </c>
      <c r="AO122" s="56">
        <f>H122*(1-1)</f>
        <v>0</v>
      </c>
      <c r="AP122" s="58" t="s">
        <v>1109</v>
      </c>
      <c r="AU122" s="56">
        <f>AV122+AW122</f>
        <v>0</v>
      </c>
      <c r="AV122" s="56">
        <f>G122*AN122</f>
        <v>0</v>
      </c>
      <c r="AW122" s="56">
        <f>G122*AO122</f>
        <v>0</v>
      </c>
      <c r="AX122" s="41" t="s">
        <v>77</v>
      </c>
      <c r="AY122" s="41" t="s">
        <v>1177</v>
      </c>
      <c r="AZ122" s="30" t="s">
        <v>478</v>
      </c>
      <c r="BB122" s="56">
        <f>AV122+AW122</f>
        <v>0</v>
      </c>
      <c r="BC122" s="56">
        <f>H122/(100-BD122)*100</f>
        <v>0</v>
      </c>
      <c r="BD122" s="56">
        <v>0</v>
      </c>
      <c r="BE122" s="56" t="e">
        <f>#REF!</f>
        <v>#REF!</v>
      </c>
      <c r="BG122" s="31">
        <f>G122*AN122</f>
        <v>0</v>
      </c>
      <c r="BH122" s="31">
        <f>G122*AO122</f>
        <v>0</v>
      </c>
      <c r="BI122" s="31">
        <f>G122*H122</f>
        <v>0</v>
      </c>
      <c r="BJ122" s="31"/>
      <c r="BK122" s="56">
        <v>87</v>
      </c>
      <c r="BV122" s="56">
        <v>21</v>
      </c>
    </row>
    <row r="123" spans="1:74" ht="15" customHeight="1" x14ac:dyDescent="0.25">
      <c r="A123" s="53"/>
      <c r="D123" s="52" t="s">
        <v>766</v>
      </c>
      <c r="E123" s="37" t="s">
        <v>1180</v>
      </c>
      <c r="G123" s="21">
        <v>2</v>
      </c>
      <c r="J123" s="48"/>
    </row>
    <row r="124" spans="1:74" ht="13.5" customHeight="1" x14ac:dyDescent="0.25">
      <c r="A124" s="57" t="s">
        <v>472</v>
      </c>
      <c r="B124" s="50" t="s">
        <v>262</v>
      </c>
      <c r="C124" s="50" t="s">
        <v>259</v>
      </c>
      <c r="D124" s="135" t="s">
        <v>1211</v>
      </c>
      <c r="E124" s="136"/>
      <c r="F124" s="50" t="s">
        <v>275</v>
      </c>
      <c r="G124" s="31">
        <f>'Stavební rozpočet'!G443</f>
        <v>1</v>
      </c>
      <c r="H124" s="31">
        <f>'Stavební rozpočet'!H443</f>
        <v>0</v>
      </c>
      <c r="I124" s="31">
        <f>G124*H124</f>
        <v>0</v>
      </c>
      <c r="J124" s="47" t="s">
        <v>501</v>
      </c>
      <c r="Y124" s="56">
        <f>IF(AP124="5",BI124,0)</f>
        <v>0</v>
      </c>
      <c r="AA124" s="56">
        <f>IF(AP124="1",BG124,0)</f>
        <v>0</v>
      </c>
      <c r="AB124" s="56">
        <f>IF(AP124="1",BH124,0)</f>
        <v>0</v>
      </c>
      <c r="AC124" s="56">
        <f>IF(AP124="7",BG124,0)</f>
        <v>0</v>
      </c>
      <c r="AD124" s="56">
        <f>IF(AP124="7",BH124,0)</f>
        <v>0</v>
      </c>
      <c r="AE124" s="56">
        <f>IF(AP124="2",BG124,0)</f>
        <v>0</v>
      </c>
      <c r="AF124" s="56">
        <f>IF(AP124="2",BH124,0)</f>
        <v>0</v>
      </c>
      <c r="AG124" s="56">
        <f>IF(AP124="0",BI124,0)</f>
        <v>0</v>
      </c>
      <c r="AH124" s="30" t="s">
        <v>262</v>
      </c>
      <c r="AI124" s="31">
        <f>IF(AM124=0,I124,0)</f>
        <v>0</v>
      </c>
      <c r="AJ124" s="31">
        <f>IF(AM124=15,I124,0)</f>
        <v>0</v>
      </c>
      <c r="AK124" s="31">
        <f>IF(AM124=21,I124,0)</f>
        <v>0</v>
      </c>
      <c r="AM124" s="56">
        <v>21</v>
      </c>
      <c r="AN124" s="56">
        <f>H124*1</f>
        <v>0</v>
      </c>
      <c r="AO124" s="56">
        <f>H124*(1-1)</f>
        <v>0</v>
      </c>
      <c r="AP124" s="58" t="s">
        <v>1109</v>
      </c>
      <c r="AU124" s="56">
        <f>AV124+AW124</f>
        <v>0</v>
      </c>
      <c r="AV124" s="56">
        <f>G124*AN124</f>
        <v>0</v>
      </c>
      <c r="AW124" s="56">
        <f>G124*AO124</f>
        <v>0</v>
      </c>
      <c r="AX124" s="41" t="s">
        <v>77</v>
      </c>
      <c r="AY124" s="41" t="s">
        <v>1177</v>
      </c>
      <c r="AZ124" s="30" t="s">
        <v>478</v>
      </c>
      <c r="BB124" s="56">
        <f>AV124+AW124</f>
        <v>0</v>
      </c>
      <c r="BC124" s="56">
        <f>H124/(100-BD124)*100</f>
        <v>0</v>
      </c>
      <c r="BD124" s="56">
        <v>0</v>
      </c>
      <c r="BE124" s="56" t="e">
        <f>#REF!</f>
        <v>#REF!</v>
      </c>
      <c r="BG124" s="31">
        <f>G124*AN124</f>
        <v>0</v>
      </c>
      <c r="BH124" s="31">
        <f>G124*AO124</f>
        <v>0</v>
      </c>
      <c r="BI124" s="31">
        <f>G124*H124</f>
        <v>0</v>
      </c>
      <c r="BJ124" s="31"/>
      <c r="BK124" s="56">
        <v>87</v>
      </c>
      <c r="BV124" s="56">
        <v>21</v>
      </c>
    </row>
    <row r="125" spans="1:74" ht="15" customHeight="1" x14ac:dyDescent="0.25">
      <c r="A125" s="53"/>
      <c r="D125" s="52" t="s">
        <v>1109</v>
      </c>
      <c r="E125" s="37" t="s">
        <v>1155</v>
      </c>
      <c r="G125" s="21">
        <v>1</v>
      </c>
      <c r="J125" s="48"/>
    </row>
    <row r="126" spans="1:74" ht="13.5" customHeight="1" x14ac:dyDescent="0.25">
      <c r="A126" s="57" t="s">
        <v>522</v>
      </c>
      <c r="B126" s="50" t="s">
        <v>262</v>
      </c>
      <c r="C126" s="50" t="s">
        <v>583</v>
      </c>
      <c r="D126" s="135" t="s">
        <v>1247</v>
      </c>
      <c r="E126" s="136"/>
      <c r="F126" s="50" t="s">
        <v>275</v>
      </c>
      <c r="G126" s="31">
        <f>'Stavební rozpočet'!G445</f>
        <v>1</v>
      </c>
      <c r="H126" s="31">
        <f>'Stavební rozpočet'!H445</f>
        <v>0</v>
      </c>
      <c r="I126" s="31">
        <f>G126*H126</f>
        <v>0</v>
      </c>
      <c r="J126" s="47" t="s">
        <v>501</v>
      </c>
      <c r="Y126" s="56">
        <f>IF(AP126="5",BI126,0)</f>
        <v>0</v>
      </c>
      <c r="AA126" s="56">
        <f>IF(AP126="1",BG126,0)</f>
        <v>0</v>
      </c>
      <c r="AB126" s="56">
        <f>IF(AP126="1",BH126,0)</f>
        <v>0</v>
      </c>
      <c r="AC126" s="56">
        <f>IF(AP126="7",BG126,0)</f>
        <v>0</v>
      </c>
      <c r="AD126" s="56">
        <f>IF(AP126="7",BH126,0)</f>
        <v>0</v>
      </c>
      <c r="AE126" s="56">
        <f>IF(AP126="2",BG126,0)</f>
        <v>0</v>
      </c>
      <c r="AF126" s="56">
        <f>IF(AP126="2",BH126,0)</f>
        <v>0</v>
      </c>
      <c r="AG126" s="56">
        <f>IF(AP126="0",BI126,0)</f>
        <v>0</v>
      </c>
      <c r="AH126" s="30" t="s">
        <v>262</v>
      </c>
      <c r="AI126" s="31">
        <f>IF(AM126=0,I126,0)</f>
        <v>0</v>
      </c>
      <c r="AJ126" s="31">
        <f>IF(AM126=15,I126,0)</f>
        <v>0</v>
      </c>
      <c r="AK126" s="31">
        <f>IF(AM126=21,I126,0)</f>
        <v>0</v>
      </c>
      <c r="AM126" s="56">
        <v>21</v>
      </c>
      <c r="AN126" s="56">
        <f>H126*1</f>
        <v>0</v>
      </c>
      <c r="AO126" s="56">
        <f>H126*(1-1)</f>
        <v>0</v>
      </c>
      <c r="AP126" s="58" t="s">
        <v>1109</v>
      </c>
      <c r="AU126" s="56">
        <f>AV126+AW126</f>
        <v>0</v>
      </c>
      <c r="AV126" s="56">
        <f>G126*AN126</f>
        <v>0</v>
      </c>
      <c r="AW126" s="56">
        <f>G126*AO126</f>
        <v>0</v>
      </c>
      <c r="AX126" s="41" t="s">
        <v>77</v>
      </c>
      <c r="AY126" s="41" t="s">
        <v>1177</v>
      </c>
      <c r="AZ126" s="30" t="s">
        <v>478</v>
      </c>
      <c r="BB126" s="56">
        <f>AV126+AW126</f>
        <v>0</v>
      </c>
      <c r="BC126" s="56">
        <f>H126/(100-BD126)*100</f>
        <v>0</v>
      </c>
      <c r="BD126" s="56">
        <v>0</v>
      </c>
      <c r="BE126" s="56" t="e">
        <f>#REF!</f>
        <v>#REF!</v>
      </c>
      <c r="BG126" s="31">
        <f>G126*AN126</f>
        <v>0</v>
      </c>
      <c r="BH126" s="31">
        <f>G126*AO126</f>
        <v>0</v>
      </c>
      <c r="BI126" s="31">
        <f>G126*H126</f>
        <v>0</v>
      </c>
      <c r="BJ126" s="31"/>
      <c r="BK126" s="56">
        <v>87</v>
      </c>
      <c r="BV126" s="56">
        <v>21</v>
      </c>
    </row>
    <row r="127" spans="1:74" ht="15" customHeight="1" x14ac:dyDescent="0.25">
      <c r="A127" s="53"/>
      <c r="D127" s="52" t="s">
        <v>1109</v>
      </c>
      <c r="E127" s="37" t="s">
        <v>324</v>
      </c>
      <c r="G127" s="21">
        <v>1</v>
      </c>
      <c r="J127" s="48"/>
    </row>
    <row r="128" spans="1:74" ht="13.5" customHeight="1" x14ac:dyDescent="0.25">
      <c r="A128" s="57" t="s">
        <v>1023</v>
      </c>
      <c r="B128" s="50" t="s">
        <v>262</v>
      </c>
      <c r="C128" s="50" t="s">
        <v>543</v>
      </c>
      <c r="D128" s="135" t="s">
        <v>1173</v>
      </c>
      <c r="E128" s="136"/>
      <c r="F128" s="50" t="s">
        <v>275</v>
      </c>
      <c r="G128" s="31">
        <f>'Stavební rozpočet'!G447</f>
        <v>1</v>
      </c>
      <c r="H128" s="31">
        <f>'Stavební rozpočet'!H447</f>
        <v>0</v>
      </c>
      <c r="I128" s="31">
        <f>G128*H128</f>
        <v>0</v>
      </c>
      <c r="J128" s="47" t="s">
        <v>501</v>
      </c>
      <c r="Y128" s="56">
        <f>IF(AP128="5",BI128,0)</f>
        <v>0</v>
      </c>
      <c r="AA128" s="56">
        <f>IF(AP128="1",BG128,0)</f>
        <v>0</v>
      </c>
      <c r="AB128" s="56">
        <f>IF(AP128="1",BH128,0)</f>
        <v>0</v>
      </c>
      <c r="AC128" s="56">
        <f>IF(AP128="7",BG128,0)</f>
        <v>0</v>
      </c>
      <c r="AD128" s="56">
        <f>IF(AP128="7",BH128,0)</f>
        <v>0</v>
      </c>
      <c r="AE128" s="56">
        <f>IF(AP128="2",BG128,0)</f>
        <v>0</v>
      </c>
      <c r="AF128" s="56">
        <f>IF(AP128="2",BH128,0)</f>
        <v>0</v>
      </c>
      <c r="AG128" s="56">
        <f>IF(AP128="0",BI128,0)</f>
        <v>0</v>
      </c>
      <c r="AH128" s="30" t="s">
        <v>262</v>
      </c>
      <c r="AI128" s="31">
        <f>IF(AM128=0,I128,0)</f>
        <v>0</v>
      </c>
      <c r="AJ128" s="31">
        <f>IF(AM128=15,I128,0)</f>
        <v>0</v>
      </c>
      <c r="AK128" s="31">
        <f>IF(AM128=21,I128,0)</f>
        <v>0</v>
      </c>
      <c r="AM128" s="56">
        <v>21</v>
      </c>
      <c r="AN128" s="56">
        <f>H128*1</f>
        <v>0</v>
      </c>
      <c r="AO128" s="56">
        <f>H128*(1-1)</f>
        <v>0</v>
      </c>
      <c r="AP128" s="58" t="s">
        <v>1109</v>
      </c>
      <c r="AU128" s="56">
        <f>AV128+AW128</f>
        <v>0</v>
      </c>
      <c r="AV128" s="56">
        <f>G128*AN128</f>
        <v>0</v>
      </c>
      <c r="AW128" s="56">
        <f>G128*AO128</f>
        <v>0</v>
      </c>
      <c r="AX128" s="41" t="s">
        <v>77</v>
      </c>
      <c r="AY128" s="41" t="s">
        <v>1177</v>
      </c>
      <c r="AZ128" s="30" t="s">
        <v>478</v>
      </c>
      <c r="BB128" s="56">
        <f>AV128+AW128</f>
        <v>0</v>
      </c>
      <c r="BC128" s="56">
        <f>H128/(100-BD128)*100</f>
        <v>0</v>
      </c>
      <c r="BD128" s="56">
        <v>0</v>
      </c>
      <c r="BE128" s="56" t="e">
        <f>#REF!</f>
        <v>#REF!</v>
      </c>
      <c r="BG128" s="31">
        <f>G128*AN128</f>
        <v>0</v>
      </c>
      <c r="BH128" s="31">
        <f>G128*AO128</f>
        <v>0</v>
      </c>
      <c r="BI128" s="31">
        <f>G128*H128</f>
        <v>0</v>
      </c>
      <c r="BJ128" s="31"/>
      <c r="BK128" s="56">
        <v>87</v>
      </c>
      <c r="BV128" s="56">
        <v>21</v>
      </c>
    </row>
    <row r="129" spans="1:74" ht="15" customHeight="1" x14ac:dyDescent="0.25">
      <c r="A129" s="53"/>
      <c r="D129" s="52" t="s">
        <v>1109</v>
      </c>
      <c r="E129" s="37" t="s">
        <v>483</v>
      </c>
      <c r="G129" s="21">
        <v>1</v>
      </c>
      <c r="J129" s="48"/>
    </row>
    <row r="130" spans="1:74" ht="13.5" customHeight="1" x14ac:dyDescent="0.25">
      <c r="A130" s="10" t="s">
        <v>729</v>
      </c>
      <c r="B130" s="9" t="s">
        <v>262</v>
      </c>
      <c r="C130" s="9" t="s">
        <v>405</v>
      </c>
      <c r="D130" s="76" t="s">
        <v>375</v>
      </c>
      <c r="E130" s="77"/>
      <c r="F130" s="9" t="s">
        <v>778</v>
      </c>
      <c r="G130" s="56">
        <f>'Stavební rozpočet'!G449</f>
        <v>1</v>
      </c>
      <c r="H130" s="56">
        <f>'Stavební rozpočet'!H449</f>
        <v>0</v>
      </c>
      <c r="I130" s="56">
        <f>G130*H130</f>
        <v>0</v>
      </c>
      <c r="J130" s="54" t="s">
        <v>769</v>
      </c>
      <c r="Y130" s="56">
        <f>IF(AP130="5",BI130,0)</f>
        <v>0</v>
      </c>
      <c r="AA130" s="56">
        <f>IF(AP130="1",BG130,0)</f>
        <v>0</v>
      </c>
      <c r="AB130" s="56">
        <f>IF(AP130="1",BH130,0)</f>
        <v>0</v>
      </c>
      <c r="AC130" s="56">
        <f>IF(AP130="7",BG130,0)</f>
        <v>0</v>
      </c>
      <c r="AD130" s="56">
        <f>IF(AP130="7",BH130,0)</f>
        <v>0</v>
      </c>
      <c r="AE130" s="56">
        <f>IF(AP130="2",BG130,0)</f>
        <v>0</v>
      </c>
      <c r="AF130" s="56">
        <f>IF(AP130="2",BH130,0)</f>
        <v>0</v>
      </c>
      <c r="AG130" s="56">
        <f>IF(AP130="0",BI130,0)</f>
        <v>0</v>
      </c>
      <c r="AH130" s="30" t="s">
        <v>262</v>
      </c>
      <c r="AI130" s="56">
        <f>IF(AM130=0,I130,0)</f>
        <v>0</v>
      </c>
      <c r="AJ130" s="56">
        <f>IF(AM130=15,I130,0)</f>
        <v>0</v>
      </c>
      <c r="AK130" s="56">
        <f>IF(AM130=21,I130,0)</f>
        <v>0</v>
      </c>
      <c r="AM130" s="56">
        <v>21</v>
      </c>
      <c r="AN130" s="56">
        <f>H130*0</f>
        <v>0</v>
      </c>
      <c r="AO130" s="56">
        <f>H130*(1-0)</f>
        <v>0</v>
      </c>
      <c r="AP130" s="41" t="s">
        <v>1109</v>
      </c>
      <c r="AU130" s="56">
        <f>AV130+AW130</f>
        <v>0</v>
      </c>
      <c r="AV130" s="56">
        <f>G130*AN130</f>
        <v>0</v>
      </c>
      <c r="AW130" s="56">
        <f>G130*AO130</f>
        <v>0</v>
      </c>
      <c r="AX130" s="41" t="s">
        <v>77</v>
      </c>
      <c r="AY130" s="41" t="s">
        <v>1177</v>
      </c>
      <c r="AZ130" s="30" t="s">
        <v>478</v>
      </c>
      <c r="BB130" s="56">
        <f>AV130+AW130</f>
        <v>0</v>
      </c>
      <c r="BC130" s="56">
        <f>H130/(100-BD130)*100</f>
        <v>0</v>
      </c>
      <c r="BD130" s="56">
        <v>0</v>
      </c>
      <c r="BE130" s="56" t="e">
        <f>#REF!</f>
        <v>#REF!</v>
      </c>
      <c r="BG130" s="56">
        <f>G130*AN130</f>
        <v>0</v>
      </c>
      <c r="BH130" s="56">
        <f>G130*AO130</f>
        <v>0</v>
      </c>
      <c r="BI130" s="56">
        <f>G130*H130</f>
        <v>0</v>
      </c>
      <c r="BJ130" s="56"/>
      <c r="BK130" s="56">
        <v>87</v>
      </c>
      <c r="BV130" s="56">
        <v>21</v>
      </c>
    </row>
    <row r="131" spans="1:74" ht="13.5" customHeight="1" x14ac:dyDescent="0.25">
      <c r="A131" s="57" t="s">
        <v>700</v>
      </c>
      <c r="B131" s="50" t="s">
        <v>262</v>
      </c>
      <c r="C131" s="50" t="s">
        <v>436</v>
      </c>
      <c r="D131" s="135" t="s">
        <v>1134</v>
      </c>
      <c r="E131" s="136"/>
      <c r="F131" s="50" t="s">
        <v>275</v>
      </c>
      <c r="G131" s="31">
        <f>'Stavební rozpočet'!G450</f>
        <v>1</v>
      </c>
      <c r="H131" s="31">
        <f>'Stavební rozpočet'!H450</f>
        <v>0</v>
      </c>
      <c r="I131" s="31">
        <f>G131*H131</f>
        <v>0</v>
      </c>
      <c r="J131" s="47" t="s">
        <v>501</v>
      </c>
      <c r="Y131" s="56">
        <f>IF(AP131="5",BI131,0)</f>
        <v>0</v>
      </c>
      <c r="AA131" s="56">
        <f>IF(AP131="1",BG131,0)</f>
        <v>0</v>
      </c>
      <c r="AB131" s="56">
        <f>IF(AP131="1",BH131,0)</f>
        <v>0</v>
      </c>
      <c r="AC131" s="56">
        <f>IF(AP131="7",BG131,0)</f>
        <v>0</v>
      </c>
      <c r="AD131" s="56">
        <f>IF(AP131="7",BH131,0)</f>
        <v>0</v>
      </c>
      <c r="AE131" s="56">
        <f>IF(AP131="2",BG131,0)</f>
        <v>0</v>
      </c>
      <c r="AF131" s="56">
        <f>IF(AP131="2",BH131,0)</f>
        <v>0</v>
      </c>
      <c r="AG131" s="56">
        <f>IF(AP131="0",BI131,0)</f>
        <v>0</v>
      </c>
      <c r="AH131" s="30" t="s">
        <v>262</v>
      </c>
      <c r="AI131" s="31">
        <f>IF(AM131=0,I131,0)</f>
        <v>0</v>
      </c>
      <c r="AJ131" s="31">
        <f>IF(AM131=15,I131,0)</f>
        <v>0</v>
      </c>
      <c r="AK131" s="31">
        <f>IF(AM131=21,I131,0)</f>
        <v>0</v>
      </c>
      <c r="AM131" s="56">
        <v>21</v>
      </c>
      <c r="AN131" s="56">
        <f>H131*1</f>
        <v>0</v>
      </c>
      <c r="AO131" s="56">
        <f>H131*(1-1)</f>
        <v>0</v>
      </c>
      <c r="AP131" s="58" t="s">
        <v>1109</v>
      </c>
      <c r="AU131" s="56">
        <f>AV131+AW131</f>
        <v>0</v>
      </c>
      <c r="AV131" s="56">
        <f>G131*AN131</f>
        <v>0</v>
      </c>
      <c r="AW131" s="56">
        <f>G131*AO131</f>
        <v>0</v>
      </c>
      <c r="AX131" s="41" t="s">
        <v>77</v>
      </c>
      <c r="AY131" s="41" t="s">
        <v>1177</v>
      </c>
      <c r="AZ131" s="30" t="s">
        <v>478</v>
      </c>
      <c r="BB131" s="56">
        <f>AV131+AW131</f>
        <v>0</v>
      </c>
      <c r="BC131" s="56">
        <f>H131/(100-BD131)*100</f>
        <v>0</v>
      </c>
      <c r="BD131" s="56">
        <v>0</v>
      </c>
      <c r="BE131" s="56" t="e">
        <f>#REF!</f>
        <v>#REF!</v>
      </c>
      <c r="BG131" s="31">
        <f>G131*AN131</f>
        <v>0</v>
      </c>
      <c r="BH131" s="31">
        <f>G131*AO131</f>
        <v>0</v>
      </c>
      <c r="BI131" s="31">
        <f>G131*H131</f>
        <v>0</v>
      </c>
      <c r="BJ131" s="31"/>
      <c r="BK131" s="56">
        <v>87</v>
      </c>
      <c r="BV131" s="56">
        <v>21</v>
      </c>
    </row>
    <row r="132" spans="1:74" ht="15" customHeight="1" x14ac:dyDescent="0.25">
      <c r="A132" s="53"/>
      <c r="D132" s="52" t="s">
        <v>1109</v>
      </c>
      <c r="E132" s="37" t="s">
        <v>1077</v>
      </c>
      <c r="G132" s="21">
        <v>1</v>
      </c>
      <c r="J132" s="48"/>
    </row>
    <row r="133" spans="1:74" ht="13.5" customHeight="1" x14ac:dyDescent="0.25">
      <c r="A133" s="10" t="s">
        <v>1058</v>
      </c>
      <c r="B133" s="9" t="s">
        <v>262</v>
      </c>
      <c r="C133" s="9" t="s">
        <v>1029</v>
      </c>
      <c r="D133" s="76" t="s">
        <v>17</v>
      </c>
      <c r="E133" s="77"/>
      <c r="F133" s="9" t="s">
        <v>275</v>
      </c>
      <c r="G133" s="56">
        <f>'Stavební rozpočet'!G452</f>
        <v>1</v>
      </c>
      <c r="H133" s="56">
        <f>'Stavební rozpočet'!H452</f>
        <v>0</v>
      </c>
      <c r="I133" s="56">
        <f>G133*H133</f>
        <v>0</v>
      </c>
      <c r="J133" s="54" t="s">
        <v>501</v>
      </c>
      <c r="Y133" s="56">
        <f>IF(AP133="5",BI133,0)</f>
        <v>0</v>
      </c>
      <c r="AA133" s="56">
        <f>IF(AP133="1",BG133,0)</f>
        <v>0</v>
      </c>
      <c r="AB133" s="56">
        <f>IF(AP133="1",BH133,0)</f>
        <v>0</v>
      </c>
      <c r="AC133" s="56">
        <f>IF(AP133="7",BG133,0)</f>
        <v>0</v>
      </c>
      <c r="AD133" s="56">
        <f>IF(AP133="7",BH133,0)</f>
        <v>0</v>
      </c>
      <c r="AE133" s="56">
        <f>IF(AP133="2",BG133,0)</f>
        <v>0</v>
      </c>
      <c r="AF133" s="56">
        <f>IF(AP133="2",BH133,0)</f>
        <v>0</v>
      </c>
      <c r="AG133" s="56">
        <f>IF(AP133="0",BI133,0)</f>
        <v>0</v>
      </c>
      <c r="AH133" s="30" t="s">
        <v>262</v>
      </c>
      <c r="AI133" s="56">
        <f>IF(AM133=0,I133,0)</f>
        <v>0</v>
      </c>
      <c r="AJ133" s="56">
        <f>IF(AM133=15,I133,0)</f>
        <v>0</v>
      </c>
      <c r="AK133" s="56">
        <f>IF(AM133=21,I133,0)</f>
        <v>0</v>
      </c>
      <c r="AM133" s="56">
        <v>21</v>
      </c>
      <c r="AN133" s="56">
        <f>H133*0.00462365591397849</f>
        <v>0</v>
      </c>
      <c r="AO133" s="56">
        <f>H133*(1-0.00462365591397849)</f>
        <v>0</v>
      </c>
      <c r="AP133" s="41" t="s">
        <v>1109</v>
      </c>
      <c r="AU133" s="56">
        <f>AV133+AW133</f>
        <v>0</v>
      </c>
      <c r="AV133" s="56">
        <f>G133*AN133</f>
        <v>0</v>
      </c>
      <c r="AW133" s="56">
        <f>G133*AO133</f>
        <v>0</v>
      </c>
      <c r="AX133" s="41" t="s">
        <v>77</v>
      </c>
      <c r="AY133" s="41" t="s">
        <v>1177</v>
      </c>
      <c r="AZ133" s="30" t="s">
        <v>478</v>
      </c>
      <c r="BB133" s="56">
        <f>AV133+AW133</f>
        <v>0</v>
      </c>
      <c r="BC133" s="56">
        <f>H133/(100-BD133)*100</f>
        <v>0</v>
      </c>
      <c r="BD133" s="56">
        <v>0</v>
      </c>
      <c r="BE133" s="56" t="e">
        <f>#REF!</f>
        <v>#REF!</v>
      </c>
      <c r="BG133" s="56">
        <f>G133*AN133</f>
        <v>0</v>
      </c>
      <c r="BH133" s="56">
        <f>G133*AO133</f>
        <v>0</v>
      </c>
      <c r="BI133" s="56">
        <f>G133*H133</f>
        <v>0</v>
      </c>
      <c r="BJ133" s="56"/>
      <c r="BK133" s="56">
        <v>87</v>
      </c>
      <c r="BV133" s="56">
        <v>21</v>
      </c>
    </row>
    <row r="134" spans="1:74" ht="15" customHeight="1" x14ac:dyDescent="0.25">
      <c r="A134" s="27" t="s">
        <v>769</v>
      </c>
      <c r="B134" s="28" t="s">
        <v>262</v>
      </c>
      <c r="C134" s="28" t="s">
        <v>1171</v>
      </c>
      <c r="D134" s="132" t="s">
        <v>719</v>
      </c>
      <c r="E134" s="133"/>
      <c r="F134" s="23" t="s">
        <v>1027</v>
      </c>
      <c r="G134" s="23" t="s">
        <v>1027</v>
      </c>
      <c r="H134" s="23" t="s">
        <v>1027</v>
      </c>
      <c r="I134" s="14">
        <f>SUM(I135:I171)</f>
        <v>0</v>
      </c>
      <c r="J134" s="44" t="s">
        <v>769</v>
      </c>
      <c r="AH134" s="30" t="s">
        <v>262</v>
      </c>
      <c r="AR134" s="14">
        <f>SUM(AI135:AI171)</f>
        <v>0</v>
      </c>
      <c r="AS134" s="14">
        <f>SUM(AJ135:AJ171)</f>
        <v>0</v>
      </c>
      <c r="AT134" s="14">
        <f>SUM(AK135:AK171)</f>
        <v>0</v>
      </c>
    </row>
    <row r="135" spans="1:74" ht="13.5" customHeight="1" x14ac:dyDescent="0.25">
      <c r="A135" s="10" t="s">
        <v>644</v>
      </c>
      <c r="B135" s="9" t="s">
        <v>262</v>
      </c>
      <c r="C135" s="9" t="s">
        <v>829</v>
      </c>
      <c r="D135" s="76" t="s">
        <v>1196</v>
      </c>
      <c r="E135" s="77"/>
      <c r="F135" s="9" t="s">
        <v>275</v>
      </c>
      <c r="G135" s="56">
        <f>'Stavební rozpočet'!G454</f>
        <v>9</v>
      </c>
      <c r="H135" s="56">
        <f>'Stavební rozpočet'!H454</f>
        <v>0</v>
      </c>
      <c r="I135" s="56">
        <f>G135*H135</f>
        <v>0</v>
      </c>
      <c r="J135" s="54" t="s">
        <v>501</v>
      </c>
      <c r="Y135" s="56">
        <f>IF(AP135="5",BI135,0)</f>
        <v>0</v>
      </c>
      <c r="AA135" s="56">
        <f>IF(AP135="1",BG135,0)</f>
        <v>0</v>
      </c>
      <c r="AB135" s="56">
        <f>IF(AP135="1",BH135,0)</f>
        <v>0</v>
      </c>
      <c r="AC135" s="56">
        <f>IF(AP135="7",BG135,0)</f>
        <v>0</v>
      </c>
      <c r="AD135" s="56">
        <f>IF(AP135="7",BH135,0)</f>
        <v>0</v>
      </c>
      <c r="AE135" s="56">
        <f>IF(AP135="2",BG135,0)</f>
        <v>0</v>
      </c>
      <c r="AF135" s="56">
        <f>IF(AP135="2",BH135,0)</f>
        <v>0</v>
      </c>
      <c r="AG135" s="56">
        <f>IF(AP135="0",BI135,0)</f>
        <v>0</v>
      </c>
      <c r="AH135" s="30" t="s">
        <v>262</v>
      </c>
      <c r="AI135" s="56">
        <f>IF(AM135=0,I135,0)</f>
        <v>0</v>
      </c>
      <c r="AJ135" s="56">
        <f>IF(AM135=15,I135,0)</f>
        <v>0</v>
      </c>
      <c r="AK135" s="56">
        <f>IF(AM135=21,I135,0)</f>
        <v>0</v>
      </c>
      <c r="AM135" s="56">
        <v>21</v>
      </c>
      <c r="AN135" s="56">
        <f>H135*0</f>
        <v>0</v>
      </c>
      <c r="AO135" s="56">
        <f>H135*(1-0)</f>
        <v>0</v>
      </c>
      <c r="AP135" s="41" t="s">
        <v>1109</v>
      </c>
      <c r="AU135" s="56">
        <f>AV135+AW135</f>
        <v>0</v>
      </c>
      <c r="AV135" s="56">
        <f>G135*AN135</f>
        <v>0</v>
      </c>
      <c r="AW135" s="56">
        <f>G135*AO135</f>
        <v>0</v>
      </c>
      <c r="AX135" s="41" t="s">
        <v>95</v>
      </c>
      <c r="AY135" s="41" t="s">
        <v>1177</v>
      </c>
      <c r="AZ135" s="30" t="s">
        <v>478</v>
      </c>
      <c r="BB135" s="56">
        <f>AV135+AW135</f>
        <v>0</v>
      </c>
      <c r="BC135" s="56">
        <f>H135/(100-BD135)*100</f>
        <v>0</v>
      </c>
      <c r="BD135" s="56">
        <v>0</v>
      </c>
      <c r="BE135" s="56" t="e">
        <f>#REF!</f>
        <v>#REF!</v>
      </c>
      <c r="BG135" s="56">
        <f>G135*AN135</f>
        <v>0</v>
      </c>
      <c r="BH135" s="56">
        <f>G135*AO135</f>
        <v>0</v>
      </c>
      <c r="BI135" s="56">
        <f>G135*H135</f>
        <v>0</v>
      </c>
      <c r="BJ135" s="56"/>
      <c r="BK135" s="56">
        <v>89</v>
      </c>
      <c r="BV135" s="56">
        <v>21</v>
      </c>
    </row>
    <row r="136" spans="1:74" ht="13.5" customHeight="1" x14ac:dyDescent="0.25">
      <c r="A136" s="57" t="s">
        <v>512</v>
      </c>
      <c r="B136" s="50" t="s">
        <v>262</v>
      </c>
      <c r="C136" s="50" t="s">
        <v>545</v>
      </c>
      <c r="D136" s="135" t="s">
        <v>879</v>
      </c>
      <c r="E136" s="136"/>
      <c r="F136" s="50" t="s">
        <v>275</v>
      </c>
      <c r="G136" s="31">
        <f>'Stavební rozpočet'!G455</f>
        <v>2</v>
      </c>
      <c r="H136" s="31">
        <f>'Stavební rozpočet'!H455</f>
        <v>0</v>
      </c>
      <c r="I136" s="31">
        <f>G136*H136</f>
        <v>0</v>
      </c>
      <c r="J136" s="47" t="s">
        <v>501</v>
      </c>
      <c r="Y136" s="56">
        <f>IF(AP136="5",BI136,0)</f>
        <v>0</v>
      </c>
      <c r="AA136" s="56">
        <f>IF(AP136="1",BG136,0)</f>
        <v>0</v>
      </c>
      <c r="AB136" s="56">
        <f>IF(AP136="1",BH136,0)</f>
        <v>0</v>
      </c>
      <c r="AC136" s="56">
        <f>IF(AP136="7",BG136,0)</f>
        <v>0</v>
      </c>
      <c r="AD136" s="56">
        <f>IF(AP136="7",BH136,0)</f>
        <v>0</v>
      </c>
      <c r="AE136" s="56">
        <f>IF(AP136="2",BG136,0)</f>
        <v>0</v>
      </c>
      <c r="AF136" s="56">
        <f>IF(AP136="2",BH136,0)</f>
        <v>0</v>
      </c>
      <c r="AG136" s="56">
        <f>IF(AP136="0",BI136,0)</f>
        <v>0</v>
      </c>
      <c r="AH136" s="30" t="s">
        <v>262</v>
      </c>
      <c r="AI136" s="31">
        <f>IF(AM136=0,I136,0)</f>
        <v>0</v>
      </c>
      <c r="AJ136" s="31">
        <f>IF(AM136=15,I136,0)</f>
        <v>0</v>
      </c>
      <c r="AK136" s="31">
        <f>IF(AM136=21,I136,0)</f>
        <v>0</v>
      </c>
      <c r="AM136" s="56">
        <v>21</v>
      </c>
      <c r="AN136" s="56">
        <f>H136*1</f>
        <v>0</v>
      </c>
      <c r="AO136" s="56">
        <f>H136*(1-1)</f>
        <v>0</v>
      </c>
      <c r="AP136" s="58" t="s">
        <v>1109</v>
      </c>
      <c r="AU136" s="56">
        <f>AV136+AW136</f>
        <v>0</v>
      </c>
      <c r="AV136" s="56">
        <f>G136*AN136</f>
        <v>0</v>
      </c>
      <c r="AW136" s="56">
        <f>G136*AO136</f>
        <v>0</v>
      </c>
      <c r="AX136" s="41" t="s">
        <v>95</v>
      </c>
      <c r="AY136" s="41" t="s">
        <v>1177</v>
      </c>
      <c r="AZ136" s="30" t="s">
        <v>478</v>
      </c>
      <c r="BB136" s="56">
        <f>AV136+AW136</f>
        <v>0</v>
      </c>
      <c r="BC136" s="56">
        <f>H136/(100-BD136)*100</f>
        <v>0</v>
      </c>
      <c r="BD136" s="56">
        <v>0</v>
      </c>
      <c r="BE136" s="56" t="e">
        <f>#REF!</f>
        <v>#REF!</v>
      </c>
      <c r="BG136" s="31">
        <f>G136*AN136</f>
        <v>0</v>
      </c>
      <c r="BH136" s="31">
        <f>G136*AO136</f>
        <v>0</v>
      </c>
      <c r="BI136" s="31">
        <f>G136*H136</f>
        <v>0</v>
      </c>
      <c r="BJ136" s="31"/>
      <c r="BK136" s="56">
        <v>89</v>
      </c>
      <c r="BV136" s="56">
        <v>21</v>
      </c>
    </row>
    <row r="137" spans="1:74" ht="15" customHeight="1" x14ac:dyDescent="0.25">
      <c r="A137" s="53"/>
      <c r="D137" s="52" t="s">
        <v>766</v>
      </c>
      <c r="E137" s="37" t="s">
        <v>723</v>
      </c>
      <c r="G137" s="21">
        <v>2</v>
      </c>
      <c r="J137" s="48"/>
    </row>
    <row r="138" spans="1:74" ht="13.5" customHeight="1" x14ac:dyDescent="0.25">
      <c r="A138" s="57" t="s">
        <v>135</v>
      </c>
      <c r="B138" s="50" t="s">
        <v>262</v>
      </c>
      <c r="C138" s="50" t="s">
        <v>568</v>
      </c>
      <c r="D138" s="135" t="s">
        <v>524</v>
      </c>
      <c r="E138" s="136"/>
      <c r="F138" s="50" t="s">
        <v>275</v>
      </c>
      <c r="G138" s="31">
        <f>'Stavební rozpočet'!G457</f>
        <v>7</v>
      </c>
      <c r="H138" s="31">
        <f>'Stavební rozpočet'!H457</f>
        <v>0</v>
      </c>
      <c r="I138" s="31">
        <f>G138*H138</f>
        <v>0</v>
      </c>
      <c r="J138" s="47" t="s">
        <v>501</v>
      </c>
      <c r="Y138" s="56">
        <f>IF(AP138="5",BI138,0)</f>
        <v>0</v>
      </c>
      <c r="AA138" s="56">
        <f>IF(AP138="1",BG138,0)</f>
        <v>0</v>
      </c>
      <c r="AB138" s="56">
        <f>IF(AP138="1",BH138,0)</f>
        <v>0</v>
      </c>
      <c r="AC138" s="56">
        <f>IF(AP138="7",BG138,0)</f>
        <v>0</v>
      </c>
      <c r="AD138" s="56">
        <f>IF(AP138="7",BH138,0)</f>
        <v>0</v>
      </c>
      <c r="AE138" s="56">
        <f>IF(AP138="2",BG138,0)</f>
        <v>0</v>
      </c>
      <c r="AF138" s="56">
        <f>IF(AP138="2",BH138,0)</f>
        <v>0</v>
      </c>
      <c r="AG138" s="56">
        <f>IF(AP138="0",BI138,0)</f>
        <v>0</v>
      </c>
      <c r="AH138" s="30" t="s">
        <v>262</v>
      </c>
      <c r="AI138" s="31">
        <f>IF(AM138=0,I138,0)</f>
        <v>0</v>
      </c>
      <c r="AJ138" s="31">
        <f>IF(AM138=15,I138,0)</f>
        <v>0</v>
      </c>
      <c r="AK138" s="31">
        <f>IF(AM138=21,I138,0)</f>
        <v>0</v>
      </c>
      <c r="AM138" s="56">
        <v>21</v>
      </c>
      <c r="AN138" s="56">
        <f>H138*1</f>
        <v>0</v>
      </c>
      <c r="AO138" s="56">
        <f>H138*(1-1)</f>
        <v>0</v>
      </c>
      <c r="AP138" s="58" t="s">
        <v>1109</v>
      </c>
      <c r="AU138" s="56">
        <f>AV138+AW138</f>
        <v>0</v>
      </c>
      <c r="AV138" s="56">
        <f>G138*AN138</f>
        <v>0</v>
      </c>
      <c r="AW138" s="56">
        <f>G138*AO138</f>
        <v>0</v>
      </c>
      <c r="AX138" s="41" t="s">
        <v>95</v>
      </c>
      <c r="AY138" s="41" t="s">
        <v>1177</v>
      </c>
      <c r="AZ138" s="30" t="s">
        <v>478</v>
      </c>
      <c r="BB138" s="56">
        <f>AV138+AW138</f>
        <v>0</v>
      </c>
      <c r="BC138" s="56">
        <f>H138/(100-BD138)*100</f>
        <v>0</v>
      </c>
      <c r="BD138" s="56">
        <v>0</v>
      </c>
      <c r="BE138" s="56" t="e">
        <f>#REF!</f>
        <v>#REF!</v>
      </c>
      <c r="BG138" s="31">
        <f>G138*AN138</f>
        <v>0</v>
      </c>
      <c r="BH138" s="31">
        <f>G138*AO138</f>
        <v>0</v>
      </c>
      <c r="BI138" s="31">
        <f>G138*H138</f>
        <v>0</v>
      </c>
      <c r="BJ138" s="31"/>
      <c r="BK138" s="56">
        <v>89</v>
      </c>
      <c r="BV138" s="56">
        <v>21</v>
      </c>
    </row>
    <row r="139" spans="1:74" ht="15" customHeight="1" x14ac:dyDescent="0.25">
      <c r="A139" s="53"/>
      <c r="D139" s="52" t="s">
        <v>1114</v>
      </c>
      <c r="E139" s="37" t="s">
        <v>890</v>
      </c>
      <c r="G139" s="21">
        <v>7.0000000000000009</v>
      </c>
      <c r="J139" s="48"/>
    </row>
    <row r="140" spans="1:74" ht="13.5" customHeight="1" x14ac:dyDescent="0.25">
      <c r="A140" s="10" t="s">
        <v>800</v>
      </c>
      <c r="B140" s="9" t="s">
        <v>262</v>
      </c>
      <c r="C140" s="9" t="s">
        <v>789</v>
      </c>
      <c r="D140" s="76" t="s">
        <v>74</v>
      </c>
      <c r="E140" s="77"/>
      <c r="F140" s="9" t="s">
        <v>275</v>
      </c>
      <c r="G140" s="56">
        <f>'Stavební rozpočet'!G459</f>
        <v>6</v>
      </c>
      <c r="H140" s="56">
        <f>'Stavební rozpočet'!H459</f>
        <v>0</v>
      </c>
      <c r="I140" s="56">
        <f>G140*H140</f>
        <v>0</v>
      </c>
      <c r="J140" s="54" t="s">
        <v>501</v>
      </c>
      <c r="Y140" s="56">
        <f>IF(AP140="5",BI140,0)</f>
        <v>0</v>
      </c>
      <c r="AA140" s="56">
        <f>IF(AP140="1",BG140,0)</f>
        <v>0</v>
      </c>
      <c r="AB140" s="56">
        <f>IF(AP140="1",BH140,0)</f>
        <v>0</v>
      </c>
      <c r="AC140" s="56">
        <f>IF(AP140="7",BG140,0)</f>
        <v>0</v>
      </c>
      <c r="AD140" s="56">
        <f>IF(AP140="7",BH140,0)</f>
        <v>0</v>
      </c>
      <c r="AE140" s="56">
        <f>IF(AP140="2",BG140,0)</f>
        <v>0</v>
      </c>
      <c r="AF140" s="56">
        <f>IF(AP140="2",BH140,0)</f>
        <v>0</v>
      </c>
      <c r="AG140" s="56">
        <f>IF(AP140="0",BI140,0)</f>
        <v>0</v>
      </c>
      <c r="AH140" s="30" t="s">
        <v>262</v>
      </c>
      <c r="AI140" s="56">
        <f>IF(AM140=0,I140,0)</f>
        <v>0</v>
      </c>
      <c r="AJ140" s="56">
        <f>IF(AM140=15,I140,0)</f>
        <v>0</v>
      </c>
      <c r="AK140" s="56">
        <f>IF(AM140=21,I140,0)</f>
        <v>0</v>
      </c>
      <c r="AM140" s="56">
        <v>21</v>
      </c>
      <c r="AN140" s="56">
        <f>H140*0.108757894736842</f>
        <v>0</v>
      </c>
      <c r="AO140" s="56">
        <f>H140*(1-0.108757894736842)</f>
        <v>0</v>
      </c>
      <c r="AP140" s="41" t="s">
        <v>1109</v>
      </c>
      <c r="AU140" s="56">
        <f>AV140+AW140</f>
        <v>0</v>
      </c>
      <c r="AV140" s="56">
        <f>G140*AN140</f>
        <v>0</v>
      </c>
      <c r="AW140" s="56">
        <f>G140*AO140</f>
        <v>0</v>
      </c>
      <c r="AX140" s="41" t="s">
        <v>95</v>
      </c>
      <c r="AY140" s="41" t="s">
        <v>1177</v>
      </c>
      <c r="AZ140" s="30" t="s">
        <v>478</v>
      </c>
      <c r="BB140" s="56">
        <f>AV140+AW140</f>
        <v>0</v>
      </c>
      <c r="BC140" s="56">
        <f>H140/(100-BD140)*100</f>
        <v>0</v>
      </c>
      <c r="BD140" s="56">
        <v>0</v>
      </c>
      <c r="BE140" s="56" t="e">
        <f>#REF!</f>
        <v>#REF!</v>
      </c>
      <c r="BG140" s="56">
        <f>G140*AN140</f>
        <v>0</v>
      </c>
      <c r="BH140" s="56">
        <f>G140*AO140</f>
        <v>0</v>
      </c>
      <c r="BI140" s="56">
        <f>G140*H140</f>
        <v>0</v>
      </c>
      <c r="BJ140" s="56"/>
      <c r="BK140" s="56">
        <v>89</v>
      </c>
      <c r="BV140" s="56">
        <v>21</v>
      </c>
    </row>
    <row r="141" spans="1:74" ht="13.5" customHeight="1" x14ac:dyDescent="0.25">
      <c r="A141" s="57" t="s">
        <v>1231</v>
      </c>
      <c r="B141" s="50" t="s">
        <v>262</v>
      </c>
      <c r="C141" s="50" t="s">
        <v>257</v>
      </c>
      <c r="D141" s="135" t="s">
        <v>133</v>
      </c>
      <c r="E141" s="136"/>
      <c r="F141" s="50" t="s">
        <v>275</v>
      </c>
      <c r="G141" s="31">
        <f>'Stavební rozpočet'!G460</f>
        <v>2</v>
      </c>
      <c r="H141" s="31">
        <f>'Stavební rozpočet'!H460</f>
        <v>0</v>
      </c>
      <c r="I141" s="31">
        <f>G141*H141</f>
        <v>0</v>
      </c>
      <c r="J141" s="47" t="s">
        <v>501</v>
      </c>
      <c r="Y141" s="56">
        <f>IF(AP141="5",BI141,0)</f>
        <v>0</v>
      </c>
      <c r="AA141" s="56">
        <f>IF(AP141="1",BG141,0)</f>
        <v>0</v>
      </c>
      <c r="AB141" s="56">
        <f>IF(AP141="1",BH141,0)</f>
        <v>0</v>
      </c>
      <c r="AC141" s="56">
        <f>IF(AP141="7",BG141,0)</f>
        <v>0</v>
      </c>
      <c r="AD141" s="56">
        <f>IF(AP141="7",BH141,0)</f>
        <v>0</v>
      </c>
      <c r="AE141" s="56">
        <f>IF(AP141="2",BG141,0)</f>
        <v>0</v>
      </c>
      <c r="AF141" s="56">
        <f>IF(AP141="2",BH141,0)</f>
        <v>0</v>
      </c>
      <c r="AG141" s="56">
        <f>IF(AP141="0",BI141,0)</f>
        <v>0</v>
      </c>
      <c r="AH141" s="30" t="s">
        <v>262</v>
      </c>
      <c r="AI141" s="31">
        <f>IF(AM141=0,I141,0)</f>
        <v>0</v>
      </c>
      <c r="AJ141" s="31">
        <f>IF(AM141=15,I141,0)</f>
        <v>0</v>
      </c>
      <c r="AK141" s="31">
        <f>IF(AM141=21,I141,0)</f>
        <v>0</v>
      </c>
      <c r="AM141" s="56">
        <v>21</v>
      </c>
      <c r="AN141" s="56">
        <f>H141*1</f>
        <v>0</v>
      </c>
      <c r="AO141" s="56">
        <f>H141*(1-1)</f>
        <v>0</v>
      </c>
      <c r="AP141" s="58" t="s">
        <v>1109</v>
      </c>
      <c r="AU141" s="56">
        <f>AV141+AW141</f>
        <v>0</v>
      </c>
      <c r="AV141" s="56">
        <f>G141*AN141</f>
        <v>0</v>
      </c>
      <c r="AW141" s="56">
        <f>G141*AO141</f>
        <v>0</v>
      </c>
      <c r="AX141" s="41" t="s">
        <v>95</v>
      </c>
      <c r="AY141" s="41" t="s">
        <v>1177</v>
      </c>
      <c r="AZ141" s="30" t="s">
        <v>478</v>
      </c>
      <c r="BB141" s="56">
        <f>AV141+AW141</f>
        <v>0</v>
      </c>
      <c r="BC141" s="56">
        <f>H141/(100-BD141)*100</f>
        <v>0</v>
      </c>
      <c r="BD141" s="56">
        <v>0</v>
      </c>
      <c r="BE141" s="56" t="e">
        <f>#REF!</f>
        <v>#REF!</v>
      </c>
      <c r="BG141" s="31">
        <f>G141*AN141</f>
        <v>0</v>
      </c>
      <c r="BH141" s="31">
        <f>G141*AO141</f>
        <v>0</v>
      </c>
      <c r="BI141" s="31">
        <f>G141*H141</f>
        <v>0</v>
      </c>
      <c r="BJ141" s="31"/>
      <c r="BK141" s="56">
        <v>89</v>
      </c>
      <c r="BV141" s="56">
        <v>21</v>
      </c>
    </row>
    <row r="142" spans="1:74" ht="15" customHeight="1" x14ac:dyDescent="0.25">
      <c r="A142" s="53"/>
      <c r="D142" s="52" t="s">
        <v>766</v>
      </c>
      <c r="E142" s="37" t="s">
        <v>542</v>
      </c>
      <c r="G142" s="21">
        <v>2</v>
      </c>
      <c r="J142" s="48"/>
    </row>
    <row r="143" spans="1:74" ht="13.5" customHeight="1" x14ac:dyDescent="0.25">
      <c r="A143" s="10" t="s">
        <v>250</v>
      </c>
      <c r="B143" s="9" t="s">
        <v>262</v>
      </c>
      <c r="C143" s="9" t="s">
        <v>1049</v>
      </c>
      <c r="D143" s="76" t="s">
        <v>443</v>
      </c>
      <c r="E143" s="77"/>
      <c r="F143" s="9" t="s">
        <v>275</v>
      </c>
      <c r="G143" s="56">
        <f>'Stavební rozpočet'!G462</f>
        <v>2</v>
      </c>
      <c r="H143" s="56">
        <f>'Stavební rozpočet'!H462</f>
        <v>0</v>
      </c>
      <c r="I143" s="56">
        <f>G143*H143</f>
        <v>0</v>
      </c>
      <c r="J143" s="54" t="s">
        <v>501</v>
      </c>
      <c r="Y143" s="56">
        <f>IF(AP143="5",BI143,0)</f>
        <v>0</v>
      </c>
      <c r="AA143" s="56">
        <f>IF(AP143="1",BG143,0)</f>
        <v>0</v>
      </c>
      <c r="AB143" s="56">
        <f>IF(AP143="1",BH143,0)</f>
        <v>0</v>
      </c>
      <c r="AC143" s="56">
        <f>IF(AP143="7",BG143,0)</f>
        <v>0</v>
      </c>
      <c r="AD143" s="56">
        <f>IF(AP143="7",BH143,0)</f>
        <v>0</v>
      </c>
      <c r="AE143" s="56">
        <f>IF(AP143="2",BG143,0)</f>
        <v>0</v>
      </c>
      <c r="AF143" s="56">
        <f>IF(AP143="2",BH143,0)</f>
        <v>0</v>
      </c>
      <c r="AG143" s="56">
        <f>IF(AP143="0",BI143,0)</f>
        <v>0</v>
      </c>
      <c r="AH143" s="30" t="s">
        <v>262</v>
      </c>
      <c r="AI143" s="56">
        <f>IF(AM143=0,I143,0)</f>
        <v>0</v>
      </c>
      <c r="AJ143" s="56">
        <f>IF(AM143=15,I143,0)</f>
        <v>0</v>
      </c>
      <c r="AK143" s="56">
        <f>IF(AM143=21,I143,0)</f>
        <v>0</v>
      </c>
      <c r="AM143" s="56">
        <v>21</v>
      </c>
      <c r="AN143" s="56">
        <f>H143*0.0979181286549708</f>
        <v>0</v>
      </c>
      <c r="AO143" s="56">
        <f>H143*(1-0.0979181286549708)</f>
        <v>0</v>
      </c>
      <c r="AP143" s="41" t="s">
        <v>1109</v>
      </c>
      <c r="AU143" s="56">
        <f>AV143+AW143</f>
        <v>0</v>
      </c>
      <c r="AV143" s="56">
        <f>G143*AN143</f>
        <v>0</v>
      </c>
      <c r="AW143" s="56">
        <f>G143*AO143</f>
        <v>0</v>
      </c>
      <c r="AX143" s="41" t="s">
        <v>95</v>
      </c>
      <c r="AY143" s="41" t="s">
        <v>1177</v>
      </c>
      <c r="AZ143" s="30" t="s">
        <v>478</v>
      </c>
      <c r="BB143" s="56">
        <f>AV143+AW143</f>
        <v>0</v>
      </c>
      <c r="BC143" s="56">
        <f>H143/(100-BD143)*100</f>
        <v>0</v>
      </c>
      <c r="BD143" s="56">
        <v>0</v>
      </c>
      <c r="BE143" s="56" t="e">
        <f>#REF!</f>
        <v>#REF!</v>
      </c>
      <c r="BG143" s="56">
        <f>G143*AN143</f>
        <v>0</v>
      </c>
      <c r="BH143" s="56">
        <f>G143*AO143</f>
        <v>0</v>
      </c>
      <c r="BI143" s="56">
        <f>G143*H143</f>
        <v>0</v>
      </c>
      <c r="BJ143" s="56"/>
      <c r="BK143" s="56">
        <v>89</v>
      </c>
      <c r="BV143" s="56">
        <v>21</v>
      </c>
    </row>
    <row r="144" spans="1:74" ht="13.5" customHeight="1" x14ac:dyDescent="0.25">
      <c r="A144" s="57" t="s">
        <v>556</v>
      </c>
      <c r="B144" s="50" t="s">
        <v>262</v>
      </c>
      <c r="C144" s="50" t="s">
        <v>530</v>
      </c>
      <c r="D144" s="135" t="s">
        <v>1054</v>
      </c>
      <c r="E144" s="136"/>
      <c r="F144" s="50" t="s">
        <v>275</v>
      </c>
      <c r="G144" s="31">
        <f>'Stavební rozpočet'!G463</f>
        <v>1</v>
      </c>
      <c r="H144" s="31">
        <f>'Stavební rozpočet'!H463</f>
        <v>0</v>
      </c>
      <c r="I144" s="31">
        <f>G144*H144</f>
        <v>0</v>
      </c>
      <c r="J144" s="47" t="s">
        <v>501</v>
      </c>
      <c r="Y144" s="56">
        <f>IF(AP144="5",BI144,0)</f>
        <v>0</v>
      </c>
      <c r="AA144" s="56">
        <f>IF(AP144="1",BG144,0)</f>
        <v>0</v>
      </c>
      <c r="AB144" s="56">
        <f>IF(AP144="1",BH144,0)</f>
        <v>0</v>
      </c>
      <c r="AC144" s="56">
        <f>IF(AP144="7",BG144,0)</f>
        <v>0</v>
      </c>
      <c r="AD144" s="56">
        <f>IF(AP144="7",BH144,0)</f>
        <v>0</v>
      </c>
      <c r="AE144" s="56">
        <f>IF(AP144="2",BG144,0)</f>
        <v>0</v>
      </c>
      <c r="AF144" s="56">
        <f>IF(AP144="2",BH144,0)</f>
        <v>0</v>
      </c>
      <c r="AG144" s="56">
        <f>IF(AP144="0",BI144,0)</f>
        <v>0</v>
      </c>
      <c r="AH144" s="30" t="s">
        <v>262</v>
      </c>
      <c r="AI144" s="31">
        <f>IF(AM144=0,I144,0)</f>
        <v>0</v>
      </c>
      <c r="AJ144" s="31">
        <f>IF(AM144=15,I144,0)</f>
        <v>0</v>
      </c>
      <c r="AK144" s="31">
        <f>IF(AM144=21,I144,0)</f>
        <v>0</v>
      </c>
      <c r="AM144" s="56">
        <v>21</v>
      </c>
      <c r="AN144" s="56">
        <f>H144*1</f>
        <v>0</v>
      </c>
      <c r="AO144" s="56">
        <f>H144*(1-1)</f>
        <v>0</v>
      </c>
      <c r="AP144" s="58" t="s">
        <v>1109</v>
      </c>
      <c r="AU144" s="56">
        <f>AV144+AW144</f>
        <v>0</v>
      </c>
      <c r="AV144" s="56">
        <f>G144*AN144</f>
        <v>0</v>
      </c>
      <c r="AW144" s="56">
        <f>G144*AO144</f>
        <v>0</v>
      </c>
      <c r="AX144" s="41" t="s">
        <v>95</v>
      </c>
      <c r="AY144" s="41" t="s">
        <v>1177</v>
      </c>
      <c r="AZ144" s="30" t="s">
        <v>478</v>
      </c>
      <c r="BB144" s="56">
        <f>AV144+AW144</f>
        <v>0</v>
      </c>
      <c r="BC144" s="56">
        <f>H144/(100-BD144)*100</f>
        <v>0</v>
      </c>
      <c r="BD144" s="56">
        <v>0</v>
      </c>
      <c r="BE144" s="56" t="e">
        <f>#REF!</f>
        <v>#REF!</v>
      </c>
      <c r="BG144" s="31">
        <f>G144*AN144</f>
        <v>0</v>
      </c>
      <c r="BH144" s="31">
        <f>G144*AO144</f>
        <v>0</v>
      </c>
      <c r="BI144" s="31">
        <f>G144*H144</f>
        <v>0</v>
      </c>
      <c r="BJ144" s="31"/>
      <c r="BK144" s="56">
        <v>89</v>
      </c>
      <c r="BV144" s="56">
        <v>21</v>
      </c>
    </row>
    <row r="145" spans="1:74" ht="15" customHeight="1" x14ac:dyDescent="0.25">
      <c r="A145" s="53"/>
      <c r="D145" s="52" t="s">
        <v>1109</v>
      </c>
      <c r="E145" s="37" t="s">
        <v>433</v>
      </c>
      <c r="G145" s="21">
        <v>1</v>
      </c>
      <c r="J145" s="48"/>
    </row>
    <row r="146" spans="1:74" ht="13.5" customHeight="1" x14ac:dyDescent="0.25">
      <c r="A146" s="10" t="s">
        <v>1223</v>
      </c>
      <c r="B146" s="9" t="s">
        <v>262</v>
      </c>
      <c r="C146" s="9" t="s">
        <v>1108</v>
      </c>
      <c r="D146" s="76" t="s">
        <v>744</v>
      </c>
      <c r="E146" s="77"/>
      <c r="F146" s="9" t="s">
        <v>275</v>
      </c>
      <c r="G146" s="56">
        <f>'Stavební rozpočet'!G465</f>
        <v>7</v>
      </c>
      <c r="H146" s="56">
        <f>'Stavební rozpočet'!H465</f>
        <v>0</v>
      </c>
      <c r="I146" s="56">
        <f>G146*H146</f>
        <v>0</v>
      </c>
      <c r="J146" s="54" t="s">
        <v>501</v>
      </c>
      <c r="Y146" s="56">
        <f>IF(AP146="5",BI146,0)</f>
        <v>0</v>
      </c>
      <c r="AA146" s="56">
        <f>IF(AP146="1",BG146,0)</f>
        <v>0</v>
      </c>
      <c r="AB146" s="56">
        <f>IF(AP146="1",BH146,0)</f>
        <v>0</v>
      </c>
      <c r="AC146" s="56">
        <f>IF(AP146="7",BG146,0)</f>
        <v>0</v>
      </c>
      <c r="AD146" s="56">
        <f>IF(AP146="7",BH146,0)</f>
        <v>0</v>
      </c>
      <c r="AE146" s="56">
        <f>IF(AP146="2",BG146,0)</f>
        <v>0</v>
      </c>
      <c r="AF146" s="56">
        <f>IF(AP146="2",BH146,0)</f>
        <v>0</v>
      </c>
      <c r="AG146" s="56">
        <f>IF(AP146="0",BI146,0)</f>
        <v>0</v>
      </c>
      <c r="AH146" s="30" t="s">
        <v>262</v>
      </c>
      <c r="AI146" s="56">
        <f>IF(AM146=0,I146,0)</f>
        <v>0</v>
      </c>
      <c r="AJ146" s="56">
        <f>IF(AM146=15,I146,0)</f>
        <v>0</v>
      </c>
      <c r="AK146" s="56">
        <f>IF(AM146=21,I146,0)</f>
        <v>0</v>
      </c>
      <c r="AM146" s="56">
        <v>21</v>
      </c>
      <c r="AN146" s="56">
        <f>H146*0</f>
        <v>0</v>
      </c>
      <c r="AO146" s="56">
        <f>H146*(1-0)</f>
        <v>0</v>
      </c>
      <c r="AP146" s="41" t="s">
        <v>1109</v>
      </c>
      <c r="AU146" s="56">
        <f>AV146+AW146</f>
        <v>0</v>
      </c>
      <c r="AV146" s="56">
        <f>G146*AN146</f>
        <v>0</v>
      </c>
      <c r="AW146" s="56">
        <f>G146*AO146</f>
        <v>0</v>
      </c>
      <c r="AX146" s="41" t="s">
        <v>95</v>
      </c>
      <c r="AY146" s="41" t="s">
        <v>1177</v>
      </c>
      <c r="AZ146" s="30" t="s">
        <v>478</v>
      </c>
      <c r="BB146" s="56">
        <f>AV146+AW146</f>
        <v>0</v>
      </c>
      <c r="BC146" s="56">
        <f>H146/(100-BD146)*100</f>
        <v>0</v>
      </c>
      <c r="BD146" s="56">
        <v>0</v>
      </c>
      <c r="BE146" s="56" t="e">
        <f>#REF!</f>
        <v>#REF!</v>
      </c>
      <c r="BG146" s="56">
        <f>G146*AN146</f>
        <v>0</v>
      </c>
      <c r="BH146" s="56">
        <f>G146*AO146</f>
        <v>0</v>
      </c>
      <c r="BI146" s="56">
        <f>G146*H146</f>
        <v>0</v>
      </c>
      <c r="BJ146" s="56"/>
      <c r="BK146" s="56">
        <v>89</v>
      </c>
      <c r="BV146" s="56">
        <v>21</v>
      </c>
    </row>
    <row r="147" spans="1:74" ht="15" customHeight="1" x14ac:dyDescent="0.25">
      <c r="A147" s="53"/>
      <c r="D147" s="52" t="s">
        <v>1114</v>
      </c>
      <c r="E147" s="37" t="s">
        <v>548</v>
      </c>
      <c r="G147" s="21">
        <v>7.0000000000000009</v>
      </c>
      <c r="J147" s="48"/>
    </row>
    <row r="148" spans="1:74" ht="13.5" customHeight="1" x14ac:dyDescent="0.25">
      <c r="A148" s="10" t="s">
        <v>1151</v>
      </c>
      <c r="B148" s="9" t="s">
        <v>262</v>
      </c>
      <c r="C148" s="9" t="s">
        <v>705</v>
      </c>
      <c r="D148" s="76" t="s">
        <v>1087</v>
      </c>
      <c r="E148" s="77"/>
      <c r="F148" s="9" t="s">
        <v>909</v>
      </c>
      <c r="G148" s="56">
        <f>'Stavební rozpočet'!G467</f>
        <v>96.8</v>
      </c>
      <c r="H148" s="56">
        <f>'Stavební rozpočet'!H467</f>
        <v>0</v>
      </c>
      <c r="I148" s="56">
        <f>G148*H148</f>
        <v>0</v>
      </c>
      <c r="J148" s="54" t="s">
        <v>501</v>
      </c>
      <c r="Y148" s="56">
        <f>IF(AP148="5",BI148,0)</f>
        <v>0</v>
      </c>
      <c r="AA148" s="56">
        <f>IF(AP148="1",BG148,0)</f>
        <v>0</v>
      </c>
      <c r="AB148" s="56">
        <f>IF(AP148="1",BH148,0)</f>
        <v>0</v>
      </c>
      <c r="AC148" s="56">
        <f>IF(AP148="7",BG148,0)</f>
        <v>0</v>
      </c>
      <c r="AD148" s="56">
        <f>IF(AP148="7",BH148,0)</f>
        <v>0</v>
      </c>
      <c r="AE148" s="56">
        <f>IF(AP148="2",BG148,0)</f>
        <v>0</v>
      </c>
      <c r="AF148" s="56">
        <f>IF(AP148="2",BH148,0)</f>
        <v>0</v>
      </c>
      <c r="AG148" s="56">
        <f>IF(AP148="0",BI148,0)</f>
        <v>0</v>
      </c>
      <c r="AH148" s="30" t="s">
        <v>262</v>
      </c>
      <c r="AI148" s="56">
        <f>IF(AM148=0,I148,0)</f>
        <v>0</v>
      </c>
      <c r="AJ148" s="56">
        <f>IF(AM148=15,I148,0)</f>
        <v>0</v>
      </c>
      <c r="AK148" s="56">
        <f>IF(AM148=21,I148,0)</f>
        <v>0</v>
      </c>
      <c r="AM148" s="56">
        <v>21</v>
      </c>
      <c r="AN148" s="56">
        <f>H148*0.0308715837067539</f>
        <v>0</v>
      </c>
      <c r="AO148" s="56">
        <f>H148*(1-0.0308715837067539)</f>
        <v>0</v>
      </c>
      <c r="AP148" s="41" t="s">
        <v>1109</v>
      </c>
      <c r="AU148" s="56">
        <f>AV148+AW148</f>
        <v>0</v>
      </c>
      <c r="AV148" s="56">
        <f>G148*AN148</f>
        <v>0</v>
      </c>
      <c r="AW148" s="56">
        <f>G148*AO148</f>
        <v>0</v>
      </c>
      <c r="AX148" s="41" t="s">
        <v>95</v>
      </c>
      <c r="AY148" s="41" t="s">
        <v>1177</v>
      </c>
      <c r="AZ148" s="30" t="s">
        <v>478</v>
      </c>
      <c r="BB148" s="56">
        <f>AV148+AW148</f>
        <v>0</v>
      </c>
      <c r="BC148" s="56">
        <f>H148/(100-BD148)*100</f>
        <v>0</v>
      </c>
      <c r="BD148" s="56">
        <v>0</v>
      </c>
      <c r="BE148" s="56" t="e">
        <f>#REF!</f>
        <v>#REF!</v>
      </c>
      <c r="BG148" s="56">
        <f>G148*AN148</f>
        <v>0</v>
      </c>
      <c r="BH148" s="56">
        <f>G148*AO148</f>
        <v>0</v>
      </c>
      <c r="BI148" s="56">
        <f>G148*H148</f>
        <v>0</v>
      </c>
      <c r="BJ148" s="56"/>
      <c r="BK148" s="56">
        <v>89</v>
      </c>
      <c r="BV148" s="56">
        <v>21</v>
      </c>
    </row>
    <row r="149" spans="1:74" ht="15" customHeight="1" x14ac:dyDescent="0.25">
      <c r="A149" s="53"/>
      <c r="D149" s="52" t="s">
        <v>115</v>
      </c>
      <c r="E149" s="37" t="s">
        <v>376</v>
      </c>
      <c r="G149" s="21">
        <v>96.800000000000011</v>
      </c>
      <c r="J149" s="48"/>
    </row>
    <row r="150" spans="1:74" ht="13.5" customHeight="1" x14ac:dyDescent="0.25">
      <c r="A150" s="10" t="s">
        <v>18</v>
      </c>
      <c r="B150" s="9" t="s">
        <v>262</v>
      </c>
      <c r="C150" s="9" t="s">
        <v>1183</v>
      </c>
      <c r="D150" s="76" t="s">
        <v>891</v>
      </c>
      <c r="E150" s="77"/>
      <c r="F150" s="9" t="s">
        <v>909</v>
      </c>
      <c r="G150" s="56">
        <f>'Stavební rozpočet'!G469</f>
        <v>96.8</v>
      </c>
      <c r="H150" s="56">
        <f>'Stavební rozpočet'!H469</f>
        <v>0</v>
      </c>
      <c r="I150" s="56">
        <f>G150*H150</f>
        <v>0</v>
      </c>
      <c r="J150" s="54" t="s">
        <v>501</v>
      </c>
      <c r="Y150" s="56">
        <f>IF(AP150="5",BI150,0)</f>
        <v>0</v>
      </c>
      <c r="AA150" s="56">
        <f>IF(AP150="1",BG150,0)</f>
        <v>0</v>
      </c>
      <c r="AB150" s="56">
        <f>IF(AP150="1",BH150,0)</f>
        <v>0</v>
      </c>
      <c r="AC150" s="56">
        <f>IF(AP150="7",BG150,0)</f>
        <v>0</v>
      </c>
      <c r="AD150" s="56">
        <f>IF(AP150="7",BH150,0)</f>
        <v>0</v>
      </c>
      <c r="AE150" s="56">
        <f>IF(AP150="2",BG150,0)</f>
        <v>0</v>
      </c>
      <c r="AF150" s="56">
        <f>IF(AP150="2",BH150,0)</f>
        <v>0</v>
      </c>
      <c r="AG150" s="56">
        <f>IF(AP150="0",BI150,0)</f>
        <v>0</v>
      </c>
      <c r="AH150" s="30" t="s">
        <v>262</v>
      </c>
      <c r="AI150" s="56">
        <f>IF(AM150=0,I150,0)</f>
        <v>0</v>
      </c>
      <c r="AJ150" s="56">
        <f>IF(AM150=15,I150,0)</f>
        <v>0</v>
      </c>
      <c r="AK150" s="56">
        <f>IF(AM150=21,I150,0)</f>
        <v>0</v>
      </c>
      <c r="AM150" s="56">
        <v>21</v>
      </c>
      <c r="AN150" s="56">
        <f>H150*0.0256326530612245</f>
        <v>0</v>
      </c>
      <c r="AO150" s="56">
        <f>H150*(1-0.0256326530612245)</f>
        <v>0</v>
      </c>
      <c r="AP150" s="41" t="s">
        <v>1109</v>
      </c>
      <c r="AU150" s="56">
        <f>AV150+AW150</f>
        <v>0</v>
      </c>
      <c r="AV150" s="56">
        <f>G150*AN150</f>
        <v>0</v>
      </c>
      <c r="AW150" s="56">
        <f>G150*AO150</f>
        <v>0</v>
      </c>
      <c r="AX150" s="41" t="s">
        <v>95</v>
      </c>
      <c r="AY150" s="41" t="s">
        <v>1177</v>
      </c>
      <c r="AZ150" s="30" t="s">
        <v>478</v>
      </c>
      <c r="BB150" s="56">
        <f>AV150+AW150</f>
        <v>0</v>
      </c>
      <c r="BC150" s="56">
        <f>H150/(100-BD150)*100</f>
        <v>0</v>
      </c>
      <c r="BD150" s="56">
        <v>0</v>
      </c>
      <c r="BE150" s="56" t="e">
        <f>#REF!</f>
        <v>#REF!</v>
      </c>
      <c r="BG150" s="56">
        <f>G150*AN150</f>
        <v>0</v>
      </c>
      <c r="BH150" s="56">
        <f>G150*AO150</f>
        <v>0</v>
      </c>
      <c r="BI150" s="56">
        <f>G150*H150</f>
        <v>0</v>
      </c>
      <c r="BJ150" s="56"/>
      <c r="BK150" s="56">
        <v>89</v>
      </c>
      <c r="BV150" s="56">
        <v>21</v>
      </c>
    </row>
    <row r="151" spans="1:74" ht="15" customHeight="1" x14ac:dyDescent="0.25">
      <c r="A151" s="53"/>
      <c r="D151" s="52" t="s">
        <v>115</v>
      </c>
      <c r="E151" s="37" t="s">
        <v>769</v>
      </c>
      <c r="G151" s="21">
        <v>96.800000000000011</v>
      </c>
      <c r="J151" s="48"/>
    </row>
    <row r="152" spans="1:74" ht="13.5" customHeight="1" x14ac:dyDescent="0.25">
      <c r="A152" s="10" t="s">
        <v>181</v>
      </c>
      <c r="B152" s="9" t="s">
        <v>262</v>
      </c>
      <c r="C152" s="9" t="s">
        <v>1120</v>
      </c>
      <c r="D152" s="76" t="s">
        <v>623</v>
      </c>
      <c r="E152" s="77"/>
      <c r="F152" s="9" t="s">
        <v>275</v>
      </c>
      <c r="G152" s="56">
        <f>'Stavební rozpočet'!G471</f>
        <v>7</v>
      </c>
      <c r="H152" s="56">
        <f>'Stavební rozpočet'!H471</f>
        <v>0</v>
      </c>
      <c r="I152" s="56">
        <f>G152*H152</f>
        <v>0</v>
      </c>
      <c r="J152" s="54" t="s">
        <v>501</v>
      </c>
      <c r="Y152" s="56">
        <f>IF(AP152="5",BI152,0)</f>
        <v>0</v>
      </c>
      <c r="AA152" s="56">
        <f>IF(AP152="1",BG152,0)</f>
        <v>0</v>
      </c>
      <c r="AB152" s="56">
        <f>IF(AP152="1",BH152,0)</f>
        <v>0</v>
      </c>
      <c r="AC152" s="56">
        <f>IF(AP152="7",BG152,0)</f>
        <v>0</v>
      </c>
      <c r="AD152" s="56">
        <f>IF(AP152="7",BH152,0)</f>
        <v>0</v>
      </c>
      <c r="AE152" s="56">
        <f>IF(AP152="2",BG152,0)</f>
        <v>0</v>
      </c>
      <c r="AF152" s="56">
        <f>IF(AP152="2",BH152,0)</f>
        <v>0</v>
      </c>
      <c r="AG152" s="56">
        <f>IF(AP152="0",BI152,0)</f>
        <v>0</v>
      </c>
      <c r="AH152" s="30" t="s">
        <v>262</v>
      </c>
      <c r="AI152" s="56">
        <f>IF(AM152=0,I152,0)</f>
        <v>0</v>
      </c>
      <c r="AJ152" s="56">
        <f>IF(AM152=15,I152,0)</f>
        <v>0</v>
      </c>
      <c r="AK152" s="56">
        <f>IF(AM152=21,I152,0)</f>
        <v>0</v>
      </c>
      <c r="AM152" s="56">
        <v>21</v>
      </c>
      <c r="AN152" s="56">
        <f>H152*0.300018181818182</f>
        <v>0</v>
      </c>
      <c r="AO152" s="56">
        <f>H152*(1-0.300018181818182)</f>
        <v>0</v>
      </c>
      <c r="AP152" s="41" t="s">
        <v>1109</v>
      </c>
      <c r="AU152" s="56">
        <f>AV152+AW152</f>
        <v>0</v>
      </c>
      <c r="AV152" s="56">
        <f>G152*AN152</f>
        <v>0</v>
      </c>
      <c r="AW152" s="56">
        <f>G152*AO152</f>
        <v>0</v>
      </c>
      <c r="AX152" s="41" t="s">
        <v>95</v>
      </c>
      <c r="AY152" s="41" t="s">
        <v>1177</v>
      </c>
      <c r="AZ152" s="30" t="s">
        <v>478</v>
      </c>
      <c r="BB152" s="56">
        <f>AV152+AW152</f>
        <v>0</v>
      </c>
      <c r="BC152" s="56">
        <f>H152/(100-BD152)*100</f>
        <v>0</v>
      </c>
      <c r="BD152" s="56">
        <v>0</v>
      </c>
      <c r="BE152" s="56" t="e">
        <f>#REF!</f>
        <v>#REF!</v>
      </c>
      <c r="BG152" s="56">
        <f>G152*AN152</f>
        <v>0</v>
      </c>
      <c r="BH152" s="56">
        <f>G152*AO152</f>
        <v>0</v>
      </c>
      <c r="BI152" s="56">
        <f>G152*H152</f>
        <v>0</v>
      </c>
      <c r="BJ152" s="56"/>
      <c r="BK152" s="56">
        <v>89</v>
      </c>
      <c r="BV152" s="56">
        <v>21</v>
      </c>
    </row>
    <row r="153" spans="1:74" ht="13.5" customHeight="1" x14ac:dyDescent="0.25">
      <c r="A153" s="57" t="s">
        <v>227</v>
      </c>
      <c r="B153" s="50" t="s">
        <v>262</v>
      </c>
      <c r="C153" s="50" t="s">
        <v>426</v>
      </c>
      <c r="D153" s="135" t="s">
        <v>37</v>
      </c>
      <c r="E153" s="136"/>
      <c r="F153" s="50" t="s">
        <v>275</v>
      </c>
      <c r="G153" s="31">
        <f>'Stavební rozpočet'!G472</f>
        <v>7</v>
      </c>
      <c r="H153" s="31">
        <f>'Stavební rozpočet'!H472</f>
        <v>0</v>
      </c>
      <c r="I153" s="31">
        <f>G153*H153</f>
        <v>0</v>
      </c>
      <c r="J153" s="47" t="s">
        <v>501</v>
      </c>
      <c r="Y153" s="56">
        <f>IF(AP153="5",BI153,0)</f>
        <v>0</v>
      </c>
      <c r="AA153" s="56">
        <f>IF(AP153="1",BG153,0)</f>
        <v>0</v>
      </c>
      <c r="AB153" s="56">
        <f>IF(AP153="1",BH153,0)</f>
        <v>0</v>
      </c>
      <c r="AC153" s="56">
        <f>IF(AP153="7",BG153,0)</f>
        <v>0</v>
      </c>
      <c r="AD153" s="56">
        <f>IF(AP153="7",BH153,0)</f>
        <v>0</v>
      </c>
      <c r="AE153" s="56">
        <f>IF(AP153="2",BG153,0)</f>
        <v>0</v>
      </c>
      <c r="AF153" s="56">
        <f>IF(AP153="2",BH153,0)</f>
        <v>0</v>
      </c>
      <c r="AG153" s="56">
        <f>IF(AP153="0",BI153,0)</f>
        <v>0</v>
      </c>
      <c r="AH153" s="30" t="s">
        <v>262</v>
      </c>
      <c r="AI153" s="31">
        <f>IF(AM153=0,I153,0)</f>
        <v>0</v>
      </c>
      <c r="AJ153" s="31">
        <f>IF(AM153=15,I153,0)</f>
        <v>0</v>
      </c>
      <c r="AK153" s="31">
        <f>IF(AM153=21,I153,0)</f>
        <v>0</v>
      </c>
      <c r="AM153" s="56">
        <v>21</v>
      </c>
      <c r="AN153" s="56">
        <f>H153*1</f>
        <v>0</v>
      </c>
      <c r="AO153" s="56">
        <f>H153*(1-1)</f>
        <v>0</v>
      </c>
      <c r="AP153" s="58" t="s">
        <v>1109</v>
      </c>
      <c r="AU153" s="56">
        <f>AV153+AW153</f>
        <v>0</v>
      </c>
      <c r="AV153" s="56">
        <f>G153*AN153</f>
        <v>0</v>
      </c>
      <c r="AW153" s="56">
        <f>G153*AO153</f>
        <v>0</v>
      </c>
      <c r="AX153" s="41" t="s">
        <v>95</v>
      </c>
      <c r="AY153" s="41" t="s">
        <v>1177</v>
      </c>
      <c r="AZ153" s="30" t="s">
        <v>478</v>
      </c>
      <c r="BB153" s="56">
        <f>AV153+AW153</f>
        <v>0</v>
      </c>
      <c r="BC153" s="56">
        <f>H153/(100-BD153)*100</f>
        <v>0</v>
      </c>
      <c r="BD153" s="56">
        <v>0</v>
      </c>
      <c r="BE153" s="56" t="e">
        <f>#REF!</f>
        <v>#REF!</v>
      </c>
      <c r="BG153" s="31">
        <f>G153*AN153</f>
        <v>0</v>
      </c>
      <c r="BH153" s="31">
        <f>G153*AO153</f>
        <v>0</v>
      </c>
      <c r="BI153" s="31">
        <f>G153*H153</f>
        <v>0</v>
      </c>
      <c r="BJ153" s="31"/>
      <c r="BK153" s="56">
        <v>89</v>
      </c>
      <c r="BV153" s="56">
        <v>21</v>
      </c>
    </row>
    <row r="154" spans="1:74" ht="15" customHeight="1" x14ac:dyDescent="0.25">
      <c r="A154" s="53"/>
      <c r="D154" s="52" t="s">
        <v>1114</v>
      </c>
      <c r="E154" s="37" t="s">
        <v>1123</v>
      </c>
      <c r="G154" s="21">
        <v>7.0000000000000009</v>
      </c>
      <c r="J154" s="48"/>
    </row>
    <row r="155" spans="1:74" ht="13.5" customHeight="1" x14ac:dyDescent="0.25">
      <c r="A155" s="57" t="s">
        <v>871</v>
      </c>
      <c r="B155" s="50" t="s">
        <v>262</v>
      </c>
      <c r="C155" s="50" t="s">
        <v>884</v>
      </c>
      <c r="D155" s="135" t="s">
        <v>380</v>
      </c>
      <c r="E155" s="136"/>
      <c r="F155" s="50" t="s">
        <v>275</v>
      </c>
      <c r="G155" s="31">
        <f>'Stavební rozpočet'!G474</f>
        <v>7</v>
      </c>
      <c r="H155" s="31">
        <f>'Stavební rozpočet'!H474</f>
        <v>0</v>
      </c>
      <c r="I155" s="31">
        <f>G155*H155</f>
        <v>0</v>
      </c>
      <c r="J155" s="47" t="s">
        <v>501</v>
      </c>
      <c r="Y155" s="56">
        <f>IF(AP155="5",BI155,0)</f>
        <v>0</v>
      </c>
      <c r="AA155" s="56">
        <f>IF(AP155="1",BG155,0)</f>
        <v>0</v>
      </c>
      <c r="AB155" s="56">
        <f>IF(AP155="1",BH155,0)</f>
        <v>0</v>
      </c>
      <c r="AC155" s="56">
        <f>IF(AP155="7",BG155,0)</f>
        <v>0</v>
      </c>
      <c r="AD155" s="56">
        <f>IF(AP155="7",BH155,0)</f>
        <v>0</v>
      </c>
      <c r="AE155" s="56">
        <f>IF(AP155="2",BG155,0)</f>
        <v>0</v>
      </c>
      <c r="AF155" s="56">
        <f>IF(AP155="2",BH155,0)</f>
        <v>0</v>
      </c>
      <c r="AG155" s="56">
        <f>IF(AP155="0",BI155,0)</f>
        <v>0</v>
      </c>
      <c r="AH155" s="30" t="s">
        <v>262</v>
      </c>
      <c r="AI155" s="31">
        <f>IF(AM155=0,I155,0)</f>
        <v>0</v>
      </c>
      <c r="AJ155" s="31">
        <f>IF(AM155=15,I155,0)</f>
        <v>0</v>
      </c>
      <c r="AK155" s="31">
        <f>IF(AM155=21,I155,0)</f>
        <v>0</v>
      </c>
      <c r="AM155" s="56">
        <v>21</v>
      </c>
      <c r="AN155" s="56">
        <f>H155*1</f>
        <v>0</v>
      </c>
      <c r="AO155" s="56">
        <f>H155*(1-1)</f>
        <v>0</v>
      </c>
      <c r="AP155" s="58" t="s">
        <v>1109</v>
      </c>
      <c r="AU155" s="56">
        <f>AV155+AW155</f>
        <v>0</v>
      </c>
      <c r="AV155" s="56">
        <f>G155*AN155</f>
        <v>0</v>
      </c>
      <c r="AW155" s="56">
        <f>G155*AO155</f>
        <v>0</v>
      </c>
      <c r="AX155" s="41" t="s">
        <v>95</v>
      </c>
      <c r="AY155" s="41" t="s">
        <v>1177</v>
      </c>
      <c r="AZ155" s="30" t="s">
        <v>478</v>
      </c>
      <c r="BB155" s="56">
        <f>AV155+AW155</f>
        <v>0</v>
      </c>
      <c r="BC155" s="56">
        <f>H155/(100-BD155)*100</f>
        <v>0</v>
      </c>
      <c r="BD155" s="56">
        <v>0</v>
      </c>
      <c r="BE155" s="56" t="e">
        <f>#REF!</f>
        <v>#REF!</v>
      </c>
      <c r="BG155" s="31">
        <f>G155*AN155</f>
        <v>0</v>
      </c>
      <c r="BH155" s="31">
        <f>G155*AO155</f>
        <v>0</v>
      </c>
      <c r="BI155" s="31">
        <f>G155*H155</f>
        <v>0</v>
      </c>
      <c r="BJ155" s="31"/>
      <c r="BK155" s="56">
        <v>89</v>
      </c>
      <c r="BV155" s="56">
        <v>21</v>
      </c>
    </row>
    <row r="156" spans="1:74" ht="15" customHeight="1" x14ac:dyDescent="0.25">
      <c r="A156" s="53"/>
      <c r="D156" s="52" t="s">
        <v>1114</v>
      </c>
      <c r="E156" s="37" t="s">
        <v>170</v>
      </c>
      <c r="G156" s="21">
        <v>7.0000000000000009</v>
      </c>
      <c r="J156" s="48"/>
    </row>
    <row r="157" spans="1:74" ht="13.5" customHeight="1" x14ac:dyDescent="0.25">
      <c r="A157" s="10" t="s">
        <v>106</v>
      </c>
      <c r="B157" s="9" t="s">
        <v>262</v>
      </c>
      <c r="C157" s="9" t="s">
        <v>864</v>
      </c>
      <c r="D157" s="76" t="s">
        <v>143</v>
      </c>
      <c r="E157" s="77"/>
      <c r="F157" s="9" t="s">
        <v>275</v>
      </c>
      <c r="G157" s="56">
        <f>'Stavební rozpočet'!G476</f>
        <v>2</v>
      </c>
      <c r="H157" s="56">
        <f>'Stavební rozpočet'!H476</f>
        <v>0</v>
      </c>
      <c r="I157" s="56">
        <f>G157*H157</f>
        <v>0</v>
      </c>
      <c r="J157" s="54" t="s">
        <v>501</v>
      </c>
      <c r="Y157" s="56">
        <f>IF(AP157="5",BI157,0)</f>
        <v>0</v>
      </c>
      <c r="AA157" s="56">
        <f>IF(AP157="1",BG157,0)</f>
        <v>0</v>
      </c>
      <c r="AB157" s="56">
        <f>IF(AP157="1",BH157,0)</f>
        <v>0</v>
      </c>
      <c r="AC157" s="56">
        <f>IF(AP157="7",BG157,0)</f>
        <v>0</v>
      </c>
      <c r="AD157" s="56">
        <f>IF(AP157="7",BH157,0)</f>
        <v>0</v>
      </c>
      <c r="AE157" s="56">
        <f>IF(AP157="2",BG157,0)</f>
        <v>0</v>
      </c>
      <c r="AF157" s="56">
        <f>IF(AP157="2",BH157,0)</f>
        <v>0</v>
      </c>
      <c r="AG157" s="56">
        <f>IF(AP157="0",BI157,0)</f>
        <v>0</v>
      </c>
      <c r="AH157" s="30" t="s">
        <v>262</v>
      </c>
      <c r="AI157" s="56">
        <f>IF(AM157=0,I157,0)</f>
        <v>0</v>
      </c>
      <c r="AJ157" s="56">
        <f>IF(AM157=15,I157,0)</f>
        <v>0</v>
      </c>
      <c r="AK157" s="56">
        <f>IF(AM157=21,I157,0)</f>
        <v>0</v>
      </c>
      <c r="AM157" s="56">
        <v>21</v>
      </c>
      <c r="AN157" s="56">
        <f>H157*0.42892998678996</f>
        <v>0</v>
      </c>
      <c r="AO157" s="56">
        <f>H157*(1-0.42892998678996)</f>
        <v>0</v>
      </c>
      <c r="AP157" s="41" t="s">
        <v>1109</v>
      </c>
      <c r="AU157" s="56">
        <f>AV157+AW157</f>
        <v>0</v>
      </c>
      <c r="AV157" s="56">
        <f>G157*AN157</f>
        <v>0</v>
      </c>
      <c r="AW157" s="56">
        <f>G157*AO157</f>
        <v>0</v>
      </c>
      <c r="AX157" s="41" t="s">
        <v>95</v>
      </c>
      <c r="AY157" s="41" t="s">
        <v>1177</v>
      </c>
      <c r="AZ157" s="30" t="s">
        <v>478</v>
      </c>
      <c r="BB157" s="56">
        <f>AV157+AW157</f>
        <v>0</v>
      </c>
      <c r="BC157" s="56">
        <f>H157/(100-BD157)*100</f>
        <v>0</v>
      </c>
      <c r="BD157" s="56">
        <v>0</v>
      </c>
      <c r="BE157" s="56" t="e">
        <f>#REF!</f>
        <v>#REF!</v>
      </c>
      <c r="BG157" s="56">
        <f>G157*AN157</f>
        <v>0</v>
      </c>
      <c r="BH157" s="56">
        <f>G157*AO157</f>
        <v>0</v>
      </c>
      <c r="BI157" s="56">
        <f>G157*H157</f>
        <v>0</v>
      </c>
      <c r="BJ157" s="56"/>
      <c r="BK157" s="56">
        <v>89</v>
      </c>
      <c r="BV157" s="56">
        <v>21</v>
      </c>
    </row>
    <row r="158" spans="1:74" ht="13.5" customHeight="1" x14ac:dyDescent="0.25">
      <c r="A158" s="57" t="s">
        <v>863</v>
      </c>
      <c r="B158" s="50" t="s">
        <v>262</v>
      </c>
      <c r="C158" s="50" t="s">
        <v>843</v>
      </c>
      <c r="D158" s="135" t="s">
        <v>75</v>
      </c>
      <c r="E158" s="136"/>
      <c r="F158" s="50" t="s">
        <v>275</v>
      </c>
      <c r="G158" s="31">
        <f>'Stavební rozpočet'!G477</f>
        <v>2</v>
      </c>
      <c r="H158" s="31">
        <f>'Stavební rozpočet'!H477</f>
        <v>0</v>
      </c>
      <c r="I158" s="31">
        <f>G158*H158</f>
        <v>0</v>
      </c>
      <c r="J158" s="47" t="s">
        <v>501</v>
      </c>
      <c r="Y158" s="56">
        <f>IF(AP158="5",BI158,0)</f>
        <v>0</v>
      </c>
      <c r="AA158" s="56">
        <f>IF(AP158="1",BG158,0)</f>
        <v>0</v>
      </c>
      <c r="AB158" s="56">
        <f>IF(AP158="1",BH158,0)</f>
        <v>0</v>
      </c>
      <c r="AC158" s="56">
        <f>IF(AP158="7",BG158,0)</f>
        <v>0</v>
      </c>
      <c r="AD158" s="56">
        <f>IF(AP158="7",BH158,0)</f>
        <v>0</v>
      </c>
      <c r="AE158" s="56">
        <f>IF(AP158="2",BG158,0)</f>
        <v>0</v>
      </c>
      <c r="AF158" s="56">
        <f>IF(AP158="2",BH158,0)</f>
        <v>0</v>
      </c>
      <c r="AG158" s="56">
        <f>IF(AP158="0",BI158,0)</f>
        <v>0</v>
      </c>
      <c r="AH158" s="30" t="s">
        <v>262</v>
      </c>
      <c r="AI158" s="31">
        <f>IF(AM158=0,I158,0)</f>
        <v>0</v>
      </c>
      <c r="AJ158" s="31">
        <f>IF(AM158=15,I158,0)</f>
        <v>0</v>
      </c>
      <c r="AK158" s="31">
        <f>IF(AM158=21,I158,0)</f>
        <v>0</v>
      </c>
      <c r="AM158" s="56">
        <v>21</v>
      </c>
      <c r="AN158" s="56">
        <f>H158*1</f>
        <v>0</v>
      </c>
      <c r="AO158" s="56">
        <f>H158*(1-1)</f>
        <v>0</v>
      </c>
      <c r="AP158" s="58" t="s">
        <v>1109</v>
      </c>
      <c r="AU158" s="56">
        <f>AV158+AW158</f>
        <v>0</v>
      </c>
      <c r="AV158" s="56">
        <f>G158*AN158</f>
        <v>0</v>
      </c>
      <c r="AW158" s="56">
        <f>G158*AO158</f>
        <v>0</v>
      </c>
      <c r="AX158" s="41" t="s">
        <v>95</v>
      </c>
      <c r="AY158" s="41" t="s">
        <v>1177</v>
      </c>
      <c r="AZ158" s="30" t="s">
        <v>478</v>
      </c>
      <c r="BB158" s="56">
        <f>AV158+AW158</f>
        <v>0</v>
      </c>
      <c r="BC158" s="56">
        <f>H158/(100-BD158)*100</f>
        <v>0</v>
      </c>
      <c r="BD158" s="56">
        <v>0</v>
      </c>
      <c r="BE158" s="56" t="e">
        <f>#REF!</f>
        <v>#REF!</v>
      </c>
      <c r="BG158" s="31">
        <f>G158*AN158</f>
        <v>0</v>
      </c>
      <c r="BH158" s="31">
        <f>G158*AO158</f>
        <v>0</v>
      </c>
      <c r="BI158" s="31">
        <f>G158*H158</f>
        <v>0</v>
      </c>
      <c r="BJ158" s="31"/>
      <c r="BK158" s="56">
        <v>89</v>
      </c>
      <c r="BV158" s="56">
        <v>21</v>
      </c>
    </row>
    <row r="159" spans="1:74" ht="15" customHeight="1" x14ac:dyDescent="0.25">
      <c r="A159" s="53"/>
      <c r="D159" s="52" t="s">
        <v>766</v>
      </c>
      <c r="E159" s="37" t="s">
        <v>505</v>
      </c>
      <c r="G159" s="21">
        <v>2</v>
      </c>
      <c r="J159" s="48"/>
    </row>
    <row r="160" spans="1:74" ht="13.5" customHeight="1" x14ac:dyDescent="0.25">
      <c r="A160" s="57" t="s">
        <v>685</v>
      </c>
      <c r="B160" s="50" t="s">
        <v>262</v>
      </c>
      <c r="C160" s="50" t="s">
        <v>316</v>
      </c>
      <c r="D160" s="135" t="s">
        <v>31</v>
      </c>
      <c r="E160" s="136"/>
      <c r="F160" s="50" t="s">
        <v>275</v>
      </c>
      <c r="G160" s="31">
        <f>'Stavební rozpočet'!G479</f>
        <v>2</v>
      </c>
      <c r="H160" s="31">
        <f>'Stavební rozpočet'!H479</f>
        <v>0</v>
      </c>
      <c r="I160" s="31">
        <f>G160*H160</f>
        <v>0</v>
      </c>
      <c r="J160" s="47" t="s">
        <v>501</v>
      </c>
      <c r="Y160" s="56">
        <f>IF(AP160="5",BI160,0)</f>
        <v>0</v>
      </c>
      <c r="AA160" s="56">
        <f>IF(AP160="1",BG160,0)</f>
        <v>0</v>
      </c>
      <c r="AB160" s="56">
        <f>IF(AP160="1",BH160,0)</f>
        <v>0</v>
      </c>
      <c r="AC160" s="56">
        <f>IF(AP160="7",BG160,0)</f>
        <v>0</v>
      </c>
      <c r="AD160" s="56">
        <f>IF(AP160="7",BH160,0)</f>
        <v>0</v>
      </c>
      <c r="AE160" s="56">
        <f>IF(AP160="2",BG160,0)</f>
        <v>0</v>
      </c>
      <c r="AF160" s="56">
        <f>IF(AP160="2",BH160,0)</f>
        <v>0</v>
      </c>
      <c r="AG160" s="56">
        <f>IF(AP160="0",BI160,0)</f>
        <v>0</v>
      </c>
      <c r="AH160" s="30" t="s">
        <v>262</v>
      </c>
      <c r="AI160" s="31">
        <f>IF(AM160=0,I160,0)</f>
        <v>0</v>
      </c>
      <c r="AJ160" s="31">
        <f>IF(AM160=15,I160,0)</f>
        <v>0</v>
      </c>
      <c r="AK160" s="31">
        <f>IF(AM160=21,I160,0)</f>
        <v>0</v>
      </c>
      <c r="AM160" s="56">
        <v>21</v>
      </c>
      <c r="AN160" s="56">
        <f>H160*1</f>
        <v>0</v>
      </c>
      <c r="AO160" s="56">
        <f>H160*(1-1)</f>
        <v>0</v>
      </c>
      <c r="AP160" s="58" t="s">
        <v>1109</v>
      </c>
      <c r="AU160" s="56">
        <f>AV160+AW160</f>
        <v>0</v>
      </c>
      <c r="AV160" s="56">
        <f>G160*AN160</f>
        <v>0</v>
      </c>
      <c r="AW160" s="56">
        <f>G160*AO160</f>
        <v>0</v>
      </c>
      <c r="AX160" s="41" t="s">
        <v>95</v>
      </c>
      <c r="AY160" s="41" t="s">
        <v>1177</v>
      </c>
      <c r="AZ160" s="30" t="s">
        <v>478</v>
      </c>
      <c r="BB160" s="56">
        <f>AV160+AW160</f>
        <v>0</v>
      </c>
      <c r="BC160" s="56">
        <f>H160/(100-BD160)*100</f>
        <v>0</v>
      </c>
      <c r="BD160" s="56">
        <v>0</v>
      </c>
      <c r="BE160" s="56" t="e">
        <f>#REF!</f>
        <v>#REF!</v>
      </c>
      <c r="BG160" s="31">
        <f>G160*AN160</f>
        <v>0</v>
      </c>
      <c r="BH160" s="31">
        <f>G160*AO160</f>
        <v>0</v>
      </c>
      <c r="BI160" s="31">
        <f>G160*H160</f>
        <v>0</v>
      </c>
      <c r="BJ160" s="31"/>
      <c r="BK160" s="56">
        <v>89</v>
      </c>
      <c r="BV160" s="56">
        <v>21</v>
      </c>
    </row>
    <row r="161" spans="1:74" ht="15" customHeight="1" x14ac:dyDescent="0.25">
      <c r="A161" s="53"/>
      <c r="D161" s="52" t="s">
        <v>766</v>
      </c>
      <c r="E161" s="37" t="s">
        <v>809</v>
      </c>
      <c r="G161" s="21">
        <v>2</v>
      </c>
      <c r="J161" s="48"/>
    </row>
    <row r="162" spans="1:74" ht="13.5" customHeight="1" x14ac:dyDescent="0.25">
      <c r="A162" s="10" t="s">
        <v>1121</v>
      </c>
      <c r="B162" s="9" t="s">
        <v>262</v>
      </c>
      <c r="C162" s="9" t="s">
        <v>797</v>
      </c>
      <c r="D162" s="76" t="s">
        <v>397</v>
      </c>
      <c r="E162" s="77"/>
      <c r="F162" s="9" t="s">
        <v>275</v>
      </c>
      <c r="G162" s="56">
        <f>'Stavební rozpočet'!G481</f>
        <v>1</v>
      </c>
      <c r="H162" s="56">
        <f>'Stavební rozpočet'!H481</f>
        <v>0</v>
      </c>
      <c r="I162" s="56">
        <f>G162*H162</f>
        <v>0</v>
      </c>
      <c r="J162" s="54" t="s">
        <v>501</v>
      </c>
      <c r="Y162" s="56">
        <f>IF(AP162="5",BI162,0)</f>
        <v>0</v>
      </c>
      <c r="AA162" s="56">
        <f>IF(AP162="1",BG162,0)</f>
        <v>0</v>
      </c>
      <c r="AB162" s="56">
        <f>IF(AP162="1",BH162,0)</f>
        <v>0</v>
      </c>
      <c r="AC162" s="56">
        <f>IF(AP162="7",BG162,0)</f>
        <v>0</v>
      </c>
      <c r="AD162" s="56">
        <f>IF(AP162="7",BH162,0)</f>
        <v>0</v>
      </c>
      <c r="AE162" s="56">
        <f>IF(AP162="2",BG162,0)</f>
        <v>0</v>
      </c>
      <c r="AF162" s="56">
        <f>IF(AP162="2",BH162,0)</f>
        <v>0</v>
      </c>
      <c r="AG162" s="56">
        <f>IF(AP162="0",BI162,0)</f>
        <v>0</v>
      </c>
      <c r="AH162" s="30" t="s">
        <v>262</v>
      </c>
      <c r="AI162" s="56">
        <f>IF(AM162=0,I162,0)</f>
        <v>0</v>
      </c>
      <c r="AJ162" s="56">
        <f>IF(AM162=15,I162,0)</f>
        <v>0</v>
      </c>
      <c r="AK162" s="56">
        <f>IF(AM162=21,I162,0)</f>
        <v>0</v>
      </c>
      <c r="AM162" s="56">
        <v>21</v>
      </c>
      <c r="AN162" s="56">
        <f>H162*0.593457374830852</f>
        <v>0</v>
      </c>
      <c r="AO162" s="56">
        <f>H162*(1-0.593457374830852)</f>
        <v>0</v>
      </c>
      <c r="AP162" s="41" t="s">
        <v>1109</v>
      </c>
      <c r="AU162" s="56">
        <f>AV162+AW162</f>
        <v>0</v>
      </c>
      <c r="AV162" s="56">
        <f>G162*AN162</f>
        <v>0</v>
      </c>
      <c r="AW162" s="56">
        <f>G162*AO162</f>
        <v>0</v>
      </c>
      <c r="AX162" s="41" t="s">
        <v>95</v>
      </c>
      <c r="AY162" s="41" t="s">
        <v>1177</v>
      </c>
      <c r="AZ162" s="30" t="s">
        <v>478</v>
      </c>
      <c r="BB162" s="56">
        <f>AV162+AW162</f>
        <v>0</v>
      </c>
      <c r="BC162" s="56">
        <f>H162/(100-BD162)*100</f>
        <v>0</v>
      </c>
      <c r="BD162" s="56">
        <v>0</v>
      </c>
      <c r="BE162" s="56" t="e">
        <f>#REF!</f>
        <v>#REF!</v>
      </c>
      <c r="BG162" s="56">
        <f>G162*AN162</f>
        <v>0</v>
      </c>
      <c r="BH162" s="56">
        <f>G162*AO162</f>
        <v>0</v>
      </c>
      <c r="BI162" s="56">
        <f>G162*H162</f>
        <v>0</v>
      </c>
      <c r="BJ162" s="56"/>
      <c r="BK162" s="56">
        <v>89</v>
      </c>
      <c r="BV162" s="56">
        <v>21</v>
      </c>
    </row>
    <row r="163" spans="1:74" ht="13.5" customHeight="1" x14ac:dyDescent="0.25">
      <c r="A163" s="57" t="s">
        <v>1021</v>
      </c>
      <c r="B163" s="50" t="s">
        <v>262</v>
      </c>
      <c r="C163" s="50" t="s">
        <v>554</v>
      </c>
      <c r="D163" s="135" t="s">
        <v>788</v>
      </c>
      <c r="E163" s="136"/>
      <c r="F163" s="50" t="s">
        <v>275</v>
      </c>
      <c r="G163" s="31">
        <f>'Stavební rozpočet'!G482</f>
        <v>1</v>
      </c>
      <c r="H163" s="31">
        <f>'Stavební rozpočet'!H482</f>
        <v>0</v>
      </c>
      <c r="I163" s="31">
        <f>G163*H163</f>
        <v>0</v>
      </c>
      <c r="J163" s="47" t="s">
        <v>501</v>
      </c>
      <c r="Y163" s="56">
        <f>IF(AP163="5",BI163,0)</f>
        <v>0</v>
      </c>
      <c r="AA163" s="56">
        <f>IF(AP163="1",BG163,0)</f>
        <v>0</v>
      </c>
      <c r="AB163" s="56">
        <f>IF(AP163="1",BH163,0)</f>
        <v>0</v>
      </c>
      <c r="AC163" s="56">
        <f>IF(AP163="7",BG163,0)</f>
        <v>0</v>
      </c>
      <c r="AD163" s="56">
        <f>IF(AP163="7",BH163,0)</f>
        <v>0</v>
      </c>
      <c r="AE163" s="56">
        <f>IF(AP163="2",BG163,0)</f>
        <v>0</v>
      </c>
      <c r="AF163" s="56">
        <f>IF(AP163="2",BH163,0)</f>
        <v>0</v>
      </c>
      <c r="AG163" s="56">
        <f>IF(AP163="0",BI163,0)</f>
        <v>0</v>
      </c>
      <c r="AH163" s="30" t="s">
        <v>262</v>
      </c>
      <c r="AI163" s="31">
        <f>IF(AM163=0,I163,0)</f>
        <v>0</v>
      </c>
      <c r="AJ163" s="31">
        <f>IF(AM163=15,I163,0)</f>
        <v>0</v>
      </c>
      <c r="AK163" s="31">
        <f>IF(AM163=21,I163,0)</f>
        <v>0</v>
      </c>
      <c r="AM163" s="56">
        <v>21</v>
      </c>
      <c r="AN163" s="56">
        <f>H163*1</f>
        <v>0</v>
      </c>
      <c r="AO163" s="56">
        <f>H163*(1-1)</f>
        <v>0</v>
      </c>
      <c r="AP163" s="58" t="s">
        <v>1109</v>
      </c>
      <c r="AU163" s="56">
        <f>AV163+AW163</f>
        <v>0</v>
      </c>
      <c r="AV163" s="56">
        <f>G163*AN163</f>
        <v>0</v>
      </c>
      <c r="AW163" s="56">
        <f>G163*AO163</f>
        <v>0</v>
      </c>
      <c r="AX163" s="41" t="s">
        <v>95</v>
      </c>
      <c r="AY163" s="41" t="s">
        <v>1177</v>
      </c>
      <c r="AZ163" s="30" t="s">
        <v>478</v>
      </c>
      <c r="BB163" s="56">
        <f>AV163+AW163</f>
        <v>0</v>
      </c>
      <c r="BC163" s="56">
        <f>H163/(100-BD163)*100</f>
        <v>0</v>
      </c>
      <c r="BD163" s="56">
        <v>0</v>
      </c>
      <c r="BE163" s="56" t="e">
        <f>#REF!</f>
        <v>#REF!</v>
      </c>
      <c r="BG163" s="31">
        <f>G163*AN163</f>
        <v>0</v>
      </c>
      <c r="BH163" s="31">
        <f>G163*AO163</f>
        <v>0</v>
      </c>
      <c r="BI163" s="31">
        <f>G163*H163</f>
        <v>0</v>
      </c>
      <c r="BJ163" s="31"/>
      <c r="BK163" s="56">
        <v>89</v>
      </c>
      <c r="BV163" s="56">
        <v>21</v>
      </c>
    </row>
    <row r="164" spans="1:74" ht="15" customHeight="1" x14ac:dyDescent="0.25">
      <c r="A164" s="53"/>
      <c r="D164" s="52" t="s">
        <v>1109</v>
      </c>
      <c r="E164" s="37" t="s">
        <v>837</v>
      </c>
      <c r="G164" s="21">
        <v>1</v>
      </c>
      <c r="J164" s="48"/>
    </row>
    <row r="165" spans="1:74" ht="13.5" customHeight="1" x14ac:dyDescent="0.25">
      <c r="A165" s="57" t="s">
        <v>736</v>
      </c>
      <c r="B165" s="50" t="s">
        <v>262</v>
      </c>
      <c r="C165" s="50" t="s">
        <v>918</v>
      </c>
      <c r="D165" s="135" t="s">
        <v>639</v>
      </c>
      <c r="E165" s="136"/>
      <c r="F165" s="50" t="s">
        <v>275</v>
      </c>
      <c r="G165" s="31">
        <f>'Stavební rozpočet'!G484</f>
        <v>1</v>
      </c>
      <c r="H165" s="31">
        <f>'Stavební rozpočet'!H484</f>
        <v>0</v>
      </c>
      <c r="I165" s="31">
        <f>G165*H165</f>
        <v>0</v>
      </c>
      <c r="J165" s="47" t="s">
        <v>501</v>
      </c>
      <c r="Y165" s="56">
        <f>IF(AP165="5",BI165,0)</f>
        <v>0</v>
      </c>
      <c r="AA165" s="56">
        <f>IF(AP165="1",BG165,0)</f>
        <v>0</v>
      </c>
      <c r="AB165" s="56">
        <f>IF(AP165="1",BH165,0)</f>
        <v>0</v>
      </c>
      <c r="AC165" s="56">
        <f>IF(AP165="7",BG165,0)</f>
        <v>0</v>
      </c>
      <c r="AD165" s="56">
        <f>IF(AP165="7",BH165,0)</f>
        <v>0</v>
      </c>
      <c r="AE165" s="56">
        <f>IF(AP165="2",BG165,0)</f>
        <v>0</v>
      </c>
      <c r="AF165" s="56">
        <f>IF(AP165="2",BH165,0)</f>
        <v>0</v>
      </c>
      <c r="AG165" s="56">
        <f>IF(AP165="0",BI165,0)</f>
        <v>0</v>
      </c>
      <c r="AH165" s="30" t="s">
        <v>262</v>
      </c>
      <c r="AI165" s="31">
        <f>IF(AM165=0,I165,0)</f>
        <v>0</v>
      </c>
      <c r="AJ165" s="31">
        <f>IF(AM165=15,I165,0)</f>
        <v>0</v>
      </c>
      <c r="AK165" s="31">
        <f>IF(AM165=21,I165,0)</f>
        <v>0</v>
      </c>
      <c r="AM165" s="56">
        <v>21</v>
      </c>
      <c r="AN165" s="56">
        <f>H165*1</f>
        <v>0</v>
      </c>
      <c r="AO165" s="56">
        <f>H165*(1-1)</f>
        <v>0</v>
      </c>
      <c r="AP165" s="58" t="s">
        <v>1109</v>
      </c>
      <c r="AU165" s="56">
        <f>AV165+AW165</f>
        <v>0</v>
      </c>
      <c r="AV165" s="56">
        <f>G165*AN165</f>
        <v>0</v>
      </c>
      <c r="AW165" s="56">
        <f>G165*AO165</f>
        <v>0</v>
      </c>
      <c r="AX165" s="41" t="s">
        <v>95</v>
      </c>
      <c r="AY165" s="41" t="s">
        <v>1177</v>
      </c>
      <c r="AZ165" s="30" t="s">
        <v>478</v>
      </c>
      <c r="BB165" s="56">
        <f>AV165+AW165</f>
        <v>0</v>
      </c>
      <c r="BC165" s="56">
        <f>H165/(100-BD165)*100</f>
        <v>0</v>
      </c>
      <c r="BD165" s="56">
        <v>0</v>
      </c>
      <c r="BE165" s="56" t="e">
        <f>#REF!</f>
        <v>#REF!</v>
      </c>
      <c r="BG165" s="31">
        <f>G165*AN165</f>
        <v>0</v>
      </c>
      <c r="BH165" s="31">
        <f>G165*AO165</f>
        <v>0</v>
      </c>
      <c r="BI165" s="31">
        <f>G165*H165</f>
        <v>0</v>
      </c>
      <c r="BJ165" s="31"/>
      <c r="BK165" s="56">
        <v>89</v>
      </c>
      <c r="BV165" s="56">
        <v>21</v>
      </c>
    </row>
    <row r="166" spans="1:74" ht="15" customHeight="1" x14ac:dyDescent="0.25">
      <c r="A166" s="53"/>
      <c r="D166" s="52" t="s">
        <v>1109</v>
      </c>
      <c r="E166" s="37" t="s">
        <v>680</v>
      </c>
      <c r="G166" s="21">
        <v>1</v>
      </c>
      <c r="J166" s="48"/>
    </row>
    <row r="167" spans="1:74" ht="13.5" customHeight="1" x14ac:dyDescent="0.25">
      <c r="A167" s="10" t="s">
        <v>575</v>
      </c>
      <c r="B167" s="9" t="s">
        <v>262</v>
      </c>
      <c r="C167" s="9" t="s">
        <v>202</v>
      </c>
      <c r="D167" s="76" t="s">
        <v>1178</v>
      </c>
      <c r="E167" s="77"/>
      <c r="F167" s="9" t="s">
        <v>909</v>
      </c>
      <c r="G167" s="56">
        <f>'Stavební rozpočet'!G486</f>
        <v>28</v>
      </c>
      <c r="H167" s="56">
        <f>'Stavební rozpočet'!H486</f>
        <v>0</v>
      </c>
      <c r="I167" s="56">
        <f>G167*H167</f>
        <v>0</v>
      </c>
      <c r="J167" s="54" t="s">
        <v>501</v>
      </c>
      <c r="Y167" s="56">
        <f>IF(AP167="5",BI167,0)</f>
        <v>0</v>
      </c>
      <c r="AA167" s="56">
        <f>IF(AP167="1",BG167,0)</f>
        <v>0</v>
      </c>
      <c r="AB167" s="56">
        <f>IF(AP167="1",BH167,0)</f>
        <v>0</v>
      </c>
      <c r="AC167" s="56">
        <f>IF(AP167="7",BG167,0)</f>
        <v>0</v>
      </c>
      <c r="AD167" s="56">
        <f>IF(AP167="7",BH167,0)</f>
        <v>0</v>
      </c>
      <c r="AE167" s="56">
        <f>IF(AP167="2",BG167,0)</f>
        <v>0</v>
      </c>
      <c r="AF167" s="56">
        <f>IF(AP167="2",BH167,0)</f>
        <v>0</v>
      </c>
      <c r="AG167" s="56">
        <f>IF(AP167="0",BI167,0)</f>
        <v>0</v>
      </c>
      <c r="AH167" s="30" t="s">
        <v>262</v>
      </c>
      <c r="AI167" s="56">
        <f>IF(AM167=0,I167,0)</f>
        <v>0</v>
      </c>
      <c r="AJ167" s="56">
        <f>IF(AM167=15,I167,0)</f>
        <v>0</v>
      </c>
      <c r="AK167" s="56">
        <f>IF(AM167=21,I167,0)</f>
        <v>0</v>
      </c>
      <c r="AM167" s="56">
        <v>21</v>
      </c>
      <c r="AN167" s="56">
        <f>H167*0.353978065802592</f>
        <v>0</v>
      </c>
      <c r="AO167" s="56">
        <f>H167*(1-0.353978065802592)</f>
        <v>0</v>
      </c>
      <c r="AP167" s="41" t="s">
        <v>1109</v>
      </c>
      <c r="AU167" s="56">
        <f>AV167+AW167</f>
        <v>0</v>
      </c>
      <c r="AV167" s="56">
        <f>G167*AN167</f>
        <v>0</v>
      </c>
      <c r="AW167" s="56">
        <f>G167*AO167</f>
        <v>0</v>
      </c>
      <c r="AX167" s="41" t="s">
        <v>95</v>
      </c>
      <c r="AY167" s="41" t="s">
        <v>1177</v>
      </c>
      <c r="AZ167" s="30" t="s">
        <v>478</v>
      </c>
      <c r="BB167" s="56">
        <f>AV167+AW167</f>
        <v>0</v>
      </c>
      <c r="BC167" s="56">
        <f>H167/(100-BD167)*100</f>
        <v>0</v>
      </c>
      <c r="BD167" s="56">
        <v>0</v>
      </c>
      <c r="BE167" s="56" t="e">
        <f>#REF!</f>
        <v>#REF!</v>
      </c>
      <c r="BG167" s="56">
        <f>G167*AN167</f>
        <v>0</v>
      </c>
      <c r="BH167" s="56">
        <f>G167*AO167</f>
        <v>0</v>
      </c>
      <c r="BI167" s="56">
        <f>G167*H167</f>
        <v>0</v>
      </c>
      <c r="BJ167" s="56"/>
      <c r="BK167" s="56">
        <v>89</v>
      </c>
      <c r="BV167" s="56">
        <v>21</v>
      </c>
    </row>
    <row r="168" spans="1:74" ht="15" customHeight="1" x14ac:dyDescent="0.25">
      <c r="A168" s="53"/>
      <c r="D168" s="52" t="s">
        <v>1201</v>
      </c>
      <c r="E168" s="37" t="s">
        <v>823</v>
      </c>
      <c r="G168" s="21">
        <v>28.000000000000004</v>
      </c>
      <c r="J168" s="48"/>
    </row>
    <row r="169" spans="1:74" ht="13.5" customHeight="1" x14ac:dyDescent="0.25">
      <c r="A169" s="10" t="s">
        <v>244</v>
      </c>
      <c r="B169" s="9" t="s">
        <v>262</v>
      </c>
      <c r="C169" s="9" t="s">
        <v>3</v>
      </c>
      <c r="D169" s="76" t="s">
        <v>1222</v>
      </c>
      <c r="E169" s="77"/>
      <c r="F169" s="9" t="s">
        <v>909</v>
      </c>
      <c r="G169" s="56">
        <f>'Stavební rozpočet'!G488</f>
        <v>116</v>
      </c>
      <c r="H169" s="56">
        <f>'Stavební rozpočet'!H488</f>
        <v>0</v>
      </c>
      <c r="I169" s="56">
        <f>G169*H169</f>
        <v>0</v>
      </c>
      <c r="J169" s="54" t="s">
        <v>501</v>
      </c>
      <c r="Y169" s="56">
        <f>IF(AP169="5",BI169,0)</f>
        <v>0</v>
      </c>
      <c r="AA169" s="56">
        <f>IF(AP169="1",BG169,0)</f>
        <v>0</v>
      </c>
      <c r="AB169" s="56">
        <f>IF(AP169="1",BH169,0)</f>
        <v>0</v>
      </c>
      <c r="AC169" s="56">
        <f>IF(AP169="7",BG169,0)</f>
        <v>0</v>
      </c>
      <c r="AD169" s="56">
        <f>IF(AP169="7",BH169,0)</f>
        <v>0</v>
      </c>
      <c r="AE169" s="56">
        <f>IF(AP169="2",BG169,0)</f>
        <v>0</v>
      </c>
      <c r="AF169" s="56">
        <f>IF(AP169="2",BH169,0)</f>
        <v>0</v>
      </c>
      <c r="AG169" s="56">
        <f>IF(AP169="0",BI169,0)</f>
        <v>0</v>
      </c>
      <c r="AH169" s="30" t="s">
        <v>262</v>
      </c>
      <c r="AI169" s="56">
        <f>IF(AM169=0,I169,0)</f>
        <v>0</v>
      </c>
      <c r="AJ169" s="56">
        <f>IF(AM169=15,I169,0)</f>
        <v>0</v>
      </c>
      <c r="AK169" s="56">
        <f>IF(AM169=21,I169,0)</f>
        <v>0</v>
      </c>
      <c r="AM169" s="56">
        <v>21</v>
      </c>
      <c r="AN169" s="56">
        <f>H169*0.568167931408298</f>
        <v>0</v>
      </c>
      <c r="AO169" s="56">
        <f>H169*(1-0.568167931408298)</f>
        <v>0</v>
      </c>
      <c r="AP169" s="41" t="s">
        <v>1109</v>
      </c>
      <c r="AU169" s="56">
        <f>AV169+AW169</f>
        <v>0</v>
      </c>
      <c r="AV169" s="56">
        <f>G169*AN169</f>
        <v>0</v>
      </c>
      <c r="AW169" s="56">
        <f>G169*AO169</f>
        <v>0</v>
      </c>
      <c r="AX169" s="41" t="s">
        <v>95</v>
      </c>
      <c r="AY169" s="41" t="s">
        <v>1177</v>
      </c>
      <c r="AZ169" s="30" t="s">
        <v>478</v>
      </c>
      <c r="BB169" s="56">
        <f>AV169+AW169</f>
        <v>0</v>
      </c>
      <c r="BC169" s="56">
        <f>H169/(100-BD169)*100</f>
        <v>0</v>
      </c>
      <c r="BD169" s="56">
        <v>0</v>
      </c>
      <c r="BE169" s="56" t="e">
        <f>#REF!</f>
        <v>#REF!</v>
      </c>
      <c r="BG169" s="56">
        <f>G169*AN169</f>
        <v>0</v>
      </c>
      <c r="BH169" s="56">
        <f>G169*AO169</f>
        <v>0</v>
      </c>
      <c r="BI169" s="56">
        <f>G169*H169</f>
        <v>0</v>
      </c>
      <c r="BJ169" s="56"/>
      <c r="BK169" s="56">
        <v>89</v>
      </c>
      <c r="BV169" s="56">
        <v>21</v>
      </c>
    </row>
    <row r="170" spans="1:74" ht="15" customHeight="1" x14ac:dyDescent="0.25">
      <c r="A170" s="53"/>
      <c r="D170" s="52" t="s">
        <v>588</v>
      </c>
      <c r="E170" s="37" t="s">
        <v>197</v>
      </c>
      <c r="G170" s="21">
        <v>116.00000000000001</v>
      </c>
      <c r="J170" s="48"/>
    </row>
    <row r="171" spans="1:74" ht="13.5" customHeight="1" x14ac:dyDescent="0.25">
      <c r="A171" s="10" t="s">
        <v>105</v>
      </c>
      <c r="B171" s="9" t="s">
        <v>262</v>
      </c>
      <c r="C171" s="9" t="s">
        <v>496</v>
      </c>
      <c r="D171" s="76" t="s">
        <v>835</v>
      </c>
      <c r="E171" s="77"/>
      <c r="F171" s="9" t="s">
        <v>909</v>
      </c>
      <c r="G171" s="56">
        <f>'Stavební rozpočet'!G490</f>
        <v>83</v>
      </c>
      <c r="H171" s="56">
        <f>'Stavební rozpočet'!H490</f>
        <v>0</v>
      </c>
      <c r="I171" s="56">
        <f>G171*H171</f>
        <v>0</v>
      </c>
      <c r="J171" s="54" t="s">
        <v>501</v>
      </c>
      <c r="Y171" s="56">
        <f>IF(AP171="5",BI171,0)</f>
        <v>0</v>
      </c>
      <c r="AA171" s="56">
        <f>IF(AP171="1",BG171,0)</f>
        <v>0</v>
      </c>
      <c r="AB171" s="56">
        <f>IF(AP171="1",BH171,0)</f>
        <v>0</v>
      </c>
      <c r="AC171" s="56">
        <f>IF(AP171="7",BG171,0)</f>
        <v>0</v>
      </c>
      <c r="AD171" s="56">
        <f>IF(AP171="7",BH171,0)</f>
        <v>0</v>
      </c>
      <c r="AE171" s="56">
        <f>IF(AP171="2",BG171,0)</f>
        <v>0</v>
      </c>
      <c r="AF171" s="56">
        <f>IF(AP171="2",BH171,0)</f>
        <v>0</v>
      </c>
      <c r="AG171" s="56">
        <f>IF(AP171="0",BI171,0)</f>
        <v>0</v>
      </c>
      <c r="AH171" s="30" t="s">
        <v>262</v>
      </c>
      <c r="AI171" s="56">
        <f>IF(AM171=0,I171,0)</f>
        <v>0</v>
      </c>
      <c r="AJ171" s="56">
        <f>IF(AM171=15,I171,0)</f>
        <v>0</v>
      </c>
      <c r="AK171" s="56">
        <f>IF(AM171=21,I171,0)</f>
        <v>0</v>
      </c>
      <c r="AM171" s="56">
        <v>21</v>
      </c>
      <c r="AN171" s="56">
        <f>H171*0.767356687898089</f>
        <v>0</v>
      </c>
      <c r="AO171" s="56">
        <f>H171*(1-0.767356687898089)</f>
        <v>0</v>
      </c>
      <c r="AP171" s="41" t="s">
        <v>1109</v>
      </c>
      <c r="AU171" s="56">
        <f>AV171+AW171</f>
        <v>0</v>
      </c>
      <c r="AV171" s="56">
        <f>G171*AN171</f>
        <v>0</v>
      </c>
      <c r="AW171" s="56">
        <f>G171*AO171</f>
        <v>0</v>
      </c>
      <c r="AX171" s="41" t="s">
        <v>95</v>
      </c>
      <c r="AY171" s="41" t="s">
        <v>1177</v>
      </c>
      <c r="AZ171" s="30" t="s">
        <v>478</v>
      </c>
      <c r="BB171" s="56">
        <f>AV171+AW171</f>
        <v>0</v>
      </c>
      <c r="BC171" s="56">
        <f>H171/(100-BD171)*100</f>
        <v>0</v>
      </c>
      <c r="BD171" s="56">
        <v>0</v>
      </c>
      <c r="BE171" s="56" t="e">
        <f>#REF!</f>
        <v>#REF!</v>
      </c>
      <c r="BG171" s="56">
        <f>G171*AN171</f>
        <v>0</v>
      </c>
      <c r="BH171" s="56">
        <f>G171*AO171</f>
        <v>0</v>
      </c>
      <c r="BI171" s="56">
        <f>G171*H171</f>
        <v>0</v>
      </c>
      <c r="BJ171" s="56"/>
      <c r="BK171" s="56">
        <v>89</v>
      </c>
      <c r="BV171" s="56">
        <v>21</v>
      </c>
    </row>
    <row r="172" spans="1:74" ht="15" customHeight="1" x14ac:dyDescent="0.25">
      <c r="A172" s="53"/>
      <c r="D172" s="52" t="s">
        <v>1131</v>
      </c>
      <c r="E172" s="37" t="s">
        <v>861</v>
      </c>
      <c r="G172" s="21">
        <v>83</v>
      </c>
      <c r="J172" s="48"/>
    </row>
    <row r="173" spans="1:74" ht="15" customHeight="1" x14ac:dyDescent="0.25">
      <c r="A173" s="27" t="s">
        <v>769</v>
      </c>
      <c r="B173" s="28" t="s">
        <v>262</v>
      </c>
      <c r="C173" s="28" t="s">
        <v>762</v>
      </c>
      <c r="D173" s="132" t="s">
        <v>745</v>
      </c>
      <c r="E173" s="133"/>
      <c r="F173" s="23" t="s">
        <v>1027</v>
      </c>
      <c r="G173" s="23" t="s">
        <v>1027</v>
      </c>
      <c r="H173" s="23" t="s">
        <v>1027</v>
      </c>
      <c r="I173" s="14">
        <f>SUM(I174:I180)</f>
        <v>0</v>
      </c>
      <c r="J173" s="44" t="s">
        <v>769</v>
      </c>
      <c r="AH173" s="30" t="s">
        <v>262</v>
      </c>
      <c r="AR173" s="14">
        <f>SUM(AI174:AI180)</f>
        <v>0</v>
      </c>
      <c r="AS173" s="14">
        <f>SUM(AJ174:AJ180)</f>
        <v>0</v>
      </c>
      <c r="AT173" s="14">
        <f>SUM(AK174:AK180)</f>
        <v>0</v>
      </c>
    </row>
    <row r="174" spans="1:74" ht="13.5" customHeight="1" x14ac:dyDescent="0.25">
      <c r="A174" s="10" t="s">
        <v>1094</v>
      </c>
      <c r="B174" s="9" t="s">
        <v>262</v>
      </c>
      <c r="C174" s="9" t="s">
        <v>995</v>
      </c>
      <c r="D174" s="76" t="s">
        <v>813</v>
      </c>
      <c r="E174" s="77"/>
      <c r="F174" s="9" t="s">
        <v>275</v>
      </c>
      <c r="G174" s="56">
        <f>'Stavební rozpočet'!G493</f>
        <v>7</v>
      </c>
      <c r="H174" s="56">
        <f>'Stavební rozpočet'!H493</f>
        <v>0</v>
      </c>
      <c r="I174" s="56">
        <f>G174*H174</f>
        <v>0</v>
      </c>
      <c r="J174" s="54" t="s">
        <v>501</v>
      </c>
      <c r="Y174" s="56">
        <f>IF(AP174="5",BI174,0)</f>
        <v>0</v>
      </c>
      <c r="AA174" s="56">
        <f>IF(AP174="1",BG174,0)</f>
        <v>0</v>
      </c>
      <c r="AB174" s="56">
        <f>IF(AP174="1",BH174,0)</f>
        <v>0</v>
      </c>
      <c r="AC174" s="56">
        <f>IF(AP174="7",BG174,0)</f>
        <v>0</v>
      </c>
      <c r="AD174" s="56">
        <f>IF(AP174="7",BH174,0)</f>
        <v>0</v>
      </c>
      <c r="AE174" s="56">
        <f>IF(AP174="2",BG174,0)</f>
        <v>0</v>
      </c>
      <c r="AF174" s="56">
        <f>IF(AP174="2",BH174,0)</f>
        <v>0</v>
      </c>
      <c r="AG174" s="56">
        <f>IF(AP174="0",BI174,0)</f>
        <v>0</v>
      </c>
      <c r="AH174" s="30" t="s">
        <v>262</v>
      </c>
      <c r="AI174" s="56">
        <f>IF(AM174=0,I174,0)</f>
        <v>0</v>
      </c>
      <c r="AJ174" s="56">
        <f>IF(AM174=15,I174,0)</f>
        <v>0</v>
      </c>
      <c r="AK174" s="56">
        <f>IF(AM174=21,I174,0)</f>
        <v>0</v>
      </c>
      <c r="AM174" s="56">
        <v>21</v>
      </c>
      <c r="AN174" s="56">
        <f>H174*0</f>
        <v>0</v>
      </c>
      <c r="AO174" s="56">
        <f>H174*(1-0)</f>
        <v>0</v>
      </c>
      <c r="AP174" s="41" t="s">
        <v>1109</v>
      </c>
      <c r="AU174" s="56">
        <f>AV174+AW174</f>
        <v>0</v>
      </c>
      <c r="AV174" s="56">
        <f>G174*AN174</f>
        <v>0</v>
      </c>
      <c r="AW174" s="56">
        <f>G174*AO174</f>
        <v>0</v>
      </c>
      <c r="AX174" s="41" t="s">
        <v>586</v>
      </c>
      <c r="AY174" s="41" t="s">
        <v>1177</v>
      </c>
      <c r="AZ174" s="30" t="s">
        <v>478</v>
      </c>
      <c r="BB174" s="56">
        <f>AV174+AW174</f>
        <v>0</v>
      </c>
      <c r="BC174" s="56">
        <f>H174/(100-BD174)*100</f>
        <v>0</v>
      </c>
      <c r="BD174" s="56">
        <v>0</v>
      </c>
      <c r="BE174" s="56" t="e">
        <f>#REF!</f>
        <v>#REF!</v>
      </c>
      <c r="BG174" s="56">
        <f>G174*AN174</f>
        <v>0</v>
      </c>
      <c r="BH174" s="56">
        <f>G174*AO174</f>
        <v>0</v>
      </c>
      <c r="BI174" s="56">
        <f>G174*H174</f>
        <v>0</v>
      </c>
      <c r="BJ174" s="56"/>
      <c r="BK174" s="56"/>
      <c r="BV174" s="56">
        <v>21</v>
      </c>
    </row>
    <row r="175" spans="1:74" ht="15" customHeight="1" x14ac:dyDescent="0.25">
      <c r="A175" s="53"/>
      <c r="D175" s="52" t="s">
        <v>1114</v>
      </c>
      <c r="E175" s="37" t="s">
        <v>502</v>
      </c>
      <c r="G175" s="21">
        <v>7.0000000000000009</v>
      </c>
      <c r="J175" s="48"/>
    </row>
    <row r="176" spans="1:74" ht="13.5" customHeight="1" x14ac:dyDescent="0.25">
      <c r="A176" s="10" t="s">
        <v>185</v>
      </c>
      <c r="B176" s="9" t="s">
        <v>262</v>
      </c>
      <c r="C176" s="9" t="s">
        <v>990</v>
      </c>
      <c r="D176" s="76" t="s">
        <v>992</v>
      </c>
      <c r="E176" s="77"/>
      <c r="F176" s="9" t="s">
        <v>275</v>
      </c>
      <c r="G176" s="56">
        <f>'Stavební rozpočet'!G495</f>
        <v>2</v>
      </c>
      <c r="H176" s="56">
        <f>'Stavební rozpočet'!H495</f>
        <v>0</v>
      </c>
      <c r="I176" s="56">
        <f>G176*H176</f>
        <v>0</v>
      </c>
      <c r="J176" s="54" t="s">
        <v>501</v>
      </c>
      <c r="Y176" s="56">
        <f>IF(AP176="5",BI176,0)</f>
        <v>0</v>
      </c>
      <c r="AA176" s="56">
        <f>IF(AP176="1",BG176,0)</f>
        <v>0</v>
      </c>
      <c r="AB176" s="56">
        <f>IF(AP176="1",BH176,0)</f>
        <v>0</v>
      </c>
      <c r="AC176" s="56">
        <f>IF(AP176="7",BG176,0)</f>
        <v>0</v>
      </c>
      <c r="AD176" s="56">
        <f>IF(AP176="7",BH176,0)</f>
        <v>0</v>
      </c>
      <c r="AE176" s="56">
        <f>IF(AP176="2",BG176,0)</f>
        <v>0</v>
      </c>
      <c r="AF176" s="56">
        <f>IF(AP176="2",BH176,0)</f>
        <v>0</v>
      </c>
      <c r="AG176" s="56">
        <f>IF(AP176="0",BI176,0)</f>
        <v>0</v>
      </c>
      <c r="AH176" s="30" t="s">
        <v>262</v>
      </c>
      <c r="AI176" s="56">
        <f>IF(AM176=0,I176,0)</f>
        <v>0</v>
      </c>
      <c r="AJ176" s="56">
        <f>IF(AM176=15,I176,0)</f>
        <v>0</v>
      </c>
      <c r="AK176" s="56">
        <f>IF(AM176=21,I176,0)</f>
        <v>0</v>
      </c>
      <c r="AM176" s="56">
        <v>21</v>
      </c>
      <c r="AN176" s="56">
        <f>H176*0</f>
        <v>0</v>
      </c>
      <c r="AO176" s="56">
        <f>H176*(1-0)</f>
        <v>0</v>
      </c>
      <c r="AP176" s="41" t="s">
        <v>1109</v>
      </c>
      <c r="AU176" s="56">
        <f>AV176+AW176</f>
        <v>0</v>
      </c>
      <c r="AV176" s="56">
        <f>G176*AN176</f>
        <v>0</v>
      </c>
      <c r="AW176" s="56">
        <f>G176*AO176</f>
        <v>0</v>
      </c>
      <c r="AX176" s="41" t="s">
        <v>586</v>
      </c>
      <c r="AY176" s="41" t="s">
        <v>1177</v>
      </c>
      <c r="AZ176" s="30" t="s">
        <v>478</v>
      </c>
      <c r="BB176" s="56">
        <f>AV176+AW176</f>
        <v>0</v>
      </c>
      <c r="BC176" s="56">
        <f>H176/(100-BD176)*100</f>
        <v>0</v>
      </c>
      <c r="BD176" s="56">
        <v>0</v>
      </c>
      <c r="BE176" s="56" t="e">
        <f>#REF!</f>
        <v>#REF!</v>
      </c>
      <c r="BG176" s="56">
        <f>G176*AN176</f>
        <v>0</v>
      </c>
      <c r="BH176" s="56">
        <f>G176*AO176</f>
        <v>0</v>
      </c>
      <c r="BI176" s="56">
        <f>G176*H176</f>
        <v>0</v>
      </c>
      <c r="BJ176" s="56"/>
      <c r="BK176" s="56"/>
      <c r="BV176" s="56">
        <v>21</v>
      </c>
    </row>
    <row r="177" spans="1:74" ht="15" customHeight="1" x14ac:dyDescent="0.25">
      <c r="A177" s="53"/>
      <c r="D177" s="52" t="s">
        <v>766</v>
      </c>
      <c r="E177" s="37" t="s">
        <v>398</v>
      </c>
      <c r="G177" s="21">
        <v>2</v>
      </c>
      <c r="J177" s="48"/>
    </row>
    <row r="178" spans="1:74" ht="13.5" customHeight="1" x14ac:dyDescent="0.25">
      <c r="A178" s="10" t="s">
        <v>200</v>
      </c>
      <c r="B178" s="9" t="s">
        <v>262</v>
      </c>
      <c r="C178" s="9" t="s">
        <v>1210</v>
      </c>
      <c r="D178" s="76" t="s">
        <v>941</v>
      </c>
      <c r="E178" s="77"/>
      <c r="F178" s="9" t="s">
        <v>275</v>
      </c>
      <c r="G178" s="56">
        <f>'Stavební rozpočet'!G497</f>
        <v>1</v>
      </c>
      <c r="H178" s="56">
        <f>'Stavební rozpočet'!H497</f>
        <v>0</v>
      </c>
      <c r="I178" s="56">
        <f>G178*H178</f>
        <v>0</v>
      </c>
      <c r="J178" s="54" t="s">
        <v>501</v>
      </c>
      <c r="Y178" s="56">
        <f>IF(AP178="5",BI178,0)</f>
        <v>0</v>
      </c>
      <c r="AA178" s="56">
        <f>IF(AP178="1",BG178,0)</f>
        <v>0</v>
      </c>
      <c r="AB178" s="56">
        <f>IF(AP178="1",BH178,0)</f>
        <v>0</v>
      </c>
      <c r="AC178" s="56">
        <f>IF(AP178="7",BG178,0)</f>
        <v>0</v>
      </c>
      <c r="AD178" s="56">
        <f>IF(AP178="7",BH178,0)</f>
        <v>0</v>
      </c>
      <c r="AE178" s="56">
        <f>IF(AP178="2",BG178,0)</f>
        <v>0</v>
      </c>
      <c r="AF178" s="56">
        <f>IF(AP178="2",BH178,0)</f>
        <v>0</v>
      </c>
      <c r="AG178" s="56">
        <f>IF(AP178="0",BI178,0)</f>
        <v>0</v>
      </c>
      <c r="AH178" s="30" t="s">
        <v>262</v>
      </c>
      <c r="AI178" s="56">
        <f>IF(AM178=0,I178,0)</f>
        <v>0</v>
      </c>
      <c r="AJ178" s="56">
        <f>IF(AM178=15,I178,0)</f>
        <v>0</v>
      </c>
      <c r="AK178" s="56">
        <f>IF(AM178=21,I178,0)</f>
        <v>0</v>
      </c>
      <c r="AM178" s="56">
        <v>21</v>
      </c>
      <c r="AN178" s="56">
        <f>H178*0</f>
        <v>0</v>
      </c>
      <c r="AO178" s="56">
        <f>H178*(1-0)</f>
        <v>0</v>
      </c>
      <c r="AP178" s="41" t="s">
        <v>1109</v>
      </c>
      <c r="AU178" s="56">
        <f>AV178+AW178</f>
        <v>0</v>
      </c>
      <c r="AV178" s="56">
        <f>G178*AN178</f>
        <v>0</v>
      </c>
      <c r="AW178" s="56">
        <f>G178*AO178</f>
        <v>0</v>
      </c>
      <c r="AX178" s="41" t="s">
        <v>586</v>
      </c>
      <c r="AY178" s="41" t="s">
        <v>1177</v>
      </c>
      <c r="AZ178" s="30" t="s">
        <v>478</v>
      </c>
      <c r="BB178" s="56">
        <f>AV178+AW178</f>
        <v>0</v>
      </c>
      <c r="BC178" s="56">
        <f>H178/(100-BD178)*100</f>
        <v>0</v>
      </c>
      <c r="BD178" s="56">
        <v>0</v>
      </c>
      <c r="BE178" s="56" t="e">
        <f>#REF!</f>
        <v>#REF!</v>
      </c>
      <c r="BG178" s="56">
        <f>G178*AN178</f>
        <v>0</v>
      </c>
      <c r="BH178" s="56">
        <f>G178*AO178</f>
        <v>0</v>
      </c>
      <c r="BI178" s="56">
        <f>G178*H178</f>
        <v>0</v>
      </c>
      <c r="BJ178" s="56"/>
      <c r="BK178" s="56"/>
      <c r="BV178" s="56">
        <v>21</v>
      </c>
    </row>
    <row r="179" spans="1:74" ht="15" customHeight="1" x14ac:dyDescent="0.25">
      <c r="A179" s="53"/>
      <c r="D179" s="52" t="s">
        <v>1109</v>
      </c>
      <c r="E179" s="37" t="s">
        <v>708</v>
      </c>
      <c r="G179" s="21">
        <v>1</v>
      </c>
      <c r="J179" s="48"/>
    </row>
    <row r="180" spans="1:74" ht="13.5" customHeight="1" x14ac:dyDescent="0.25">
      <c r="A180" s="10" t="s">
        <v>1131</v>
      </c>
      <c r="B180" s="9" t="s">
        <v>262</v>
      </c>
      <c r="C180" s="9" t="s">
        <v>971</v>
      </c>
      <c r="D180" s="76" t="s">
        <v>125</v>
      </c>
      <c r="E180" s="77"/>
      <c r="F180" s="9" t="s">
        <v>778</v>
      </c>
      <c r="G180" s="56">
        <f>'Stavební rozpočet'!G499</f>
        <v>3</v>
      </c>
      <c r="H180" s="56">
        <f>'Stavební rozpočet'!H499</f>
        <v>0</v>
      </c>
      <c r="I180" s="56">
        <f>G180*H180</f>
        <v>0</v>
      </c>
      <c r="J180" s="54" t="s">
        <v>501</v>
      </c>
      <c r="Y180" s="56">
        <f>IF(AP180="5",BI180,0)</f>
        <v>0</v>
      </c>
      <c r="AA180" s="56">
        <f>IF(AP180="1",BG180,0)</f>
        <v>0</v>
      </c>
      <c r="AB180" s="56">
        <f>IF(AP180="1",BH180,0)</f>
        <v>0</v>
      </c>
      <c r="AC180" s="56">
        <f>IF(AP180="7",BG180,0)</f>
        <v>0</v>
      </c>
      <c r="AD180" s="56">
        <f>IF(AP180="7",BH180,0)</f>
        <v>0</v>
      </c>
      <c r="AE180" s="56">
        <f>IF(AP180="2",BG180,0)</f>
        <v>0</v>
      </c>
      <c r="AF180" s="56">
        <f>IF(AP180="2",BH180,0)</f>
        <v>0</v>
      </c>
      <c r="AG180" s="56">
        <f>IF(AP180="0",BI180,0)</f>
        <v>0</v>
      </c>
      <c r="AH180" s="30" t="s">
        <v>262</v>
      </c>
      <c r="AI180" s="56">
        <f>IF(AM180=0,I180,0)</f>
        <v>0</v>
      </c>
      <c r="AJ180" s="56">
        <f>IF(AM180=15,I180,0)</f>
        <v>0</v>
      </c>
      <c r="AK180" s="56">
        <f>IF(AM180=21,I180,0)</f>
        <v>0</v>
      </c>
      <c r="AM180" s="56">
        <v>21</v>
      </c>
      <c r="AN180" s="56">
        <f>H180*0</f>
        <v>0</v>
      </c>
      <c r="AO180" s="56">
        <f>H180*(1-0)</f>
        <v>0</v>
      </c>
      <c r="AP180" s="41" t="s">
        <v>1109</v>
      </c>
      <c r="AU180" s="56">
        <f>AV180+AW180</f>
        <v>0</v>
      </c>
      <c r="AV180" s="56">
        <f>G180*AN180</f>
        <v>0</v>
      </c>
      <c r="AW180" s="56">
        <f>G180*AO180</f>
        <v>0</v>
      </c>
      <c r="AX180" s="41" t="s">
        <v>586</v>
      </c>
      <c r="AY180" s="41" t="s">
        <v>1177</v>
      </c>
      <c r="AZ180" s="30" t="s">
        <v>478</v>
      </c>
      <c r="BB180" s="56">
        <f>AV180+AW180</f>
        <v>0</v>
      </c>
      <c r="BC180" s="56">
        <f>H180/(100-BD180)*100</f>
        <v>0</v>
      </c>
      <c r="BD180" s="56">
        <v>0</v>
      </c>
      <c r="BE180" s="56" t="e">
        <f>#REF!</f>
        <v>#REF!</v>
      </c>
      <c r="BG180" s="56">
        <f>G180*AN180</f>
        <v>0</v>
      </c>
      <c r="BH180" s="56">
        <f>G180*AO180</f>
        <v>0</v>
      </c>
      <c r="BI180" s="56">
        <f>G180*H180</f>
        <v>0</v>
      </c>
      <c r="BJ180" s="56"/>
      <c r="BK180" s="56"/>
      <c r="BV180" s="56">
        <v>21</v>
      </c>
    </row>
    <row r="181" spans="1:74" ht="15" customHeight="1" x14ac:dyDescent="0.25">
      <c r="A181" s="53"/>
      <c r="D181" s="52" t="s">
        <v>766</v>
      </c>
      <c r="E181" s="37" t="s">
        <v>470</v>
      </c>
      <c r="G181" s="21">
        <v>2</v>
      </c>
      <c r="J181" s="48"/>
    </row>
    <row r="182" spans="1:74" ht="15" customHeight="1" x14ac:dyDescent="0.25">
      <c r="A182" s="53"/>
      <c r="D182" s="52" t="s">
        <v>1109</v>
      </c>
      <c r="E182" s="37" t="s">
        <v>1073</v>
      </c>
      <c r="G182" s="21">
        <v>1</v>
      </c>
      <c r="J182" s="48"/>
    </row>
    <row r="183" spans="1:74" ht="15" customHeight="1" x14ac:dyDescent="0.25">
      <c r="A183" s="27" t="s">
        <v>769</v>
      </c>
      <c r="B183" s="28" t="s">
        <v>262</v>
      </c>
      <c r="C183" s="28" t="s">
        <v>785</v>
      </c>
      <c r="D183" s="132" t="s">
        <v>877</v>
      </c>
      <c r="E183" s="133"/>
      <c r="F183" s="23" t="s">
        <v>1027</v>
      </c>
      <c r="G183" s="23" t="s">
        <v>1027</v>
      </c>
      <c r="H183" s="23" t="s">
        <v>1027</v>
      </c>
      <c r="I183" s="14">
        <f>SUM(I184:I184)</f>
        <v>0</v>
      </c>
      <c r="J183" s="44" t="s">
        <v>769</v>
      </c>
      <c r="AH183" s="30" t="s">
        <v>262</v>
      </c>
      <c r="AR183" s="14">
        <f>SUM(AI184:AI184)</f>
        <v>0</v>
      </c>
      <c r="AS183" s="14">
        <f>SUM(AJ184:AJ184)</f>
        <v>0</v>
      </c>
      <c r="AT183" s="14">
        <f>SUM(AK184:AK184)</f>
        <v>0</v>
      </c>
    </row>
    <row r="184" spans="1:74" ht="13.5" customHeight="1" x14ac:dyDescent="0.25">
      <c r="A184" s="10" t="s">
        <v>659</v>
      </c>
      <c r="B184" s="9" t="s">
        <v>262</v>
      </c>
      <c r="C184" s="9" t="s">
        <v>121</v>
      </c>
      <c r="D184" s="76" t="s">
        <v>664</v>
      </c>
      <c r="E184" s="77"/>
      <c r="F184" s="9" t="s">
        <v>909</v>
      </c>
      <c r="G184" s="56">
        <f>'Stavební rozpočet'!G503</f>
        <v>199</v>
      </c>
      <c r="H184" s="56">
        <f>'Stavební rozpočet'!H503</f>
        <v>0</v>
      </c>
      <c r="I184" s="56">
        <f>G184*H184</f>
        <v>0</v>
      </c>
      <c r="J184" s="54" t="s">
        <v>501</v>
      </c>
      <c r="Y184" s="56">
        <f>IF(AP184="5",BI184,0)</f>
        <v>0</v>
      </c>
      <c r="AA184" s="56">
        <f>IF(AP184="1",BG184,0)</f>
        <v>0</v>
      </c>
      <c r="AB184" s="56">
        <f>IF(AP184="1",BH184,0)</f>
        <v>0</v>
      </c>
      <c r="AC184" s="56">
        <f>IF(AP184="7",BG184,0)</f>
        <v>0</v>
      </c>
      <c r="AD184" s="56">
        <f>IF(AP184="7",BH184,0)</f>
        <v>0</v>
      </c>
      <c r="AE184" s="56">
        <f>IF(AP184="2",BG184,0)</f>
        <v>0</v>
      </c>
      <c r="AF184" s="56">
        <f>IF(AP184="2",BH184,0)</f>
        <v>0</v>
      </c>
      <c r="AG184" s="56">
        <f>IF(AP184="0",BI184,0)</f>
        <v>0</v>
      </c>
      <c r="AH184" s="30" t="s">
        <v>262</v>
      </c>
      <c r="AI184" s="56">
        <f>IF(AM184=0,I184,0)</f>
        <v>0</v>
      </c>
      <c r="AJ184" s="56">
        <f>IF(AM184=15,I184,0)</f>
        <v>0</v>
      </c>
      <c r="AK184" s="56">
        <f>IF(AM184=21,I184,0)</f>
        <v>0</v>
      </c>
      <c r="AM184" s="56">
        <v>21</v>
      </c>
      <c r="AN184" s="56">
        <f>H184*0</f>
        <v>0</v>
      </c>
      <c r="AO184" s="56">
        <f>H184*(1-0)</f>
        <v>0</v>
      </c>
      <c r="AP184" s="41" t="s">
        <v>1109</v>
      </c>
      <c r="AU184" s="56">
        <f>AV184+AW184</f>
        <v>0</v>
      </c>
      <c r="AV184" s="56">
        <f>G184*AN184</f>
        <v>0</v>
      </c>
      <c r="AW184" s="56">
        <f>G184*AO184</f>
        <v>0</v>
      </c>
      <c r="AX184" s="41" t="s">
        <v>1038</v>
      </c>
      <c r="AY184" s="41" t="s">
        <v>1177</v>
      </c>
      <c r="AZ184" s="30" t="s">
        <v>478</v>
      </c>
      <c r="BB184" s="56">
        <f>AV184+AW184</f>
        <v>0</v>
      </c>
      <c r="BC184" s="56">
        <f>H184/(100-BD184)*100</f>
        <v>0</v>
      </c>
      <c r="BD184" s="56">
        <v>0</v>
      </c>
      <c r="BE184" s="56" t="e">
        <f>#REF!</f>
        <v>#REF!</v>
      </c>
      <c r="BG184" s="56">
        <f>G184*AN184</f>
        <v>0</v>
      </c>
      <c r="BH184" s="56">
        <f>G184*AO184</f>
        <v>0</v>
      </c>
      <c r="BI184" s="56">
        <f>G184*H184</f>
        <v>0</v>
      </c>
      <c r="BJ184" s="56"/>
      <c r="BK184" s="56"/>
      <c r="BV184" s="56">
        <v>21</v>
      </c>
    </row>
    <row r="185" spans="1:74" ht="15" customHeight="1" x14ac:dyDescent="0.25">
      <c r="A185" s="53"/>
      <c r="D185" s="52" t="s">
        <v>1075</v>
      </c>
      <c r="E185" s="37" t="s">
        <v>769</v>
      </c>
      <c r="G185" s="21">
        <v>199.00000000000003</v>
      </c>
      <c r="J185" s="48"/>
    </row>
    <row r="186" spans="1:74" ht="15" customHeight="1" x14ac:dyDescent="0.25">
      <c r="A186" s="27" t="s">
        <v>769</v>
      </c>
      <c r="B186" s="28" t="s">
        <v>262</v>
      </c>
      <c r="C186" s="28" t="s">
        <v>54</v>
      </c>
      <c r="D186" s="132" t="s">
        <v>403</v>
      </c>
      <c r="E186" s="133"/>
      <c r="F186" s="23" t="s">
        <v>1027</v>
      </c>
      <c r="G186" s="23" t="s">
        <v>1027</v>
      </c>
      <c r="H186" s="23" t="s">
        <v>1027</v>
      </c>
      <c r="I186" s="14">
        <f>SUM(I187:I191)</f>
        <v>0</v>
      </c>
      <c r="J186" s="44" t="s">
        <v>769</v>
      </c>
      <c r="AH186" s="30" t="s">
        <v>262</v>
      </c>
      <c r="AR186" s="14">
        <f>SUM(AI187:AI191)</f>
        <v>0</v>
      </c>
      <c r="AS186" s="14">
        <f>SUM(AJ187:AJ191)</f>
        <v>0</v>
      </c>
      <c r="AT186" s="14">
        <f>SUM(AK187:AK191)</f>
        <v>0</v>
      </c>
    </row>
    <row r="187" spans="1:74" ht="13.5" customHeight="1" x14ac:dyDescent="0.25">
      <c r="A187" s="10" t="s">
        <v>552</v>
      </c>
      <c r="B187" s="9" t="s">
        <v>262</v>
      </c>
      <c r="C187" s="9" t="s">
        <v>1025</v>
      </c>
      <c r="D187" s="76" t="s">
        <v>99</v>
      </c>
      <c r="E187" s="77"/>
      <c r="F187" s="9" t="s">
        <v>909</v>
      </c>
      <c r="G187" s="56">
        <f>'Stavební rozpočet'!G506</f>
        <v>17</v>
      </c>
      <c r="H187" s="56">
        <f>'Stavební rozpočet'!H506</f>
        <v>0</v>
      </c>
      <c r="I187" s="56">
        <f>G187*H187</f>
        <v>0</v>
      </c>
      <c r="J187" s="54" t="s">
        <v>501</v>
      </c>
      <c r="Y187" s="56">
        <f>IF(AP187="5",BI187,0)</f>
        <v>0</v>
      </c>
      <c r="AA187" s="56">
        <f>IF(AP187="1",BG187,0)</f>
        <v>0</v>
      </c>
      <c r="AB187" s="56">
        <f>IF(AP187="1",BH187,0)</f>
        <v>0</v>
      </c>
      <c r="AC187" s="56">
        <f>IF(AP187="7",BG187,0)</f>
        <v>0</v>
      </c>
      <c r="AD187" s="56">
        <f>IF(AP187="7",BH187,0)</f>
        <v>0</v>
      </c>
      <c r="AE187" s="56">
        <f>IF(AP187="2",BG187,0)</f>
        <v>0</v>
      </c>
      <c r="AF187" s="56">
        <f>IF(AP187="2",BH187,0)</f>
        <v>0</v>
      </c>
      <c r="AG187" s="56">
        <f>IF(AP187="0",BI187,0)</f>
        <v>0</v>
      </c>
      <c r="AH187" s="30" t="s">
        <v>262</v>
      </c>
      <c r="AI187" s="56">
        <f>IF(AM187=0,I187,0)</f>
        <v>0</v>
      </c>
      <c r="AJ187" s="56">
        <f>IF(AM187=15,I187,0)</f>
        <v>0</v>
      </c>
      <c r="AK187" s="56">
        <f>IF(AM187=21,I187,0)</f>
        <v>0</v>
      </c>
      <c r="AM187" s="56">
        <v>21</v>
      </c>
      <c r="AN187" s="56">
        <f>H187*0.600980926430518</f>
        <v>0</v>
      </c>
      <c r="AO187" s="56">
        <f>H187*(1-0.600980926430518)</f>
        <v>0</v>
      </c>
      <c r="AP187" s="41" t="s">
        <v>1109</v>
      </c>
      <c r="AU187" s="56">
        <f>AV187+AW187</f>
        <v>0</v>
      </c>
      <c r="AV187" s="56">
        <f>G187*AN187</f>
        <v>0</v>
      </c>
      <c r="AW187" s="56">
        <f>G187*AO187</f>
        <v>0</v>
      </c>
      <c r="AX187" s="41" t="s">
        <v>1085</v>
      </c>
      <c r="AY187" s="41" t="s">
        <v>633</v>
      </c>
      <c r="AZ187" s="30" t="s">
        <v>478</v>
      </c>
      <c r="BB187" s="56">
        <f>AV187+AW187</f>
        <v>0</v>
      </c>
      <c r="BC187" s="56">
        <f>H187/(100-BD187)*100</f>
        <v>0</v>
      </c>
      <c r="BD187" s="56">
        <v>0</v>
      </c>
      <c r="BE187" s="56" t="e">
        <f>#REF!</f>
        <v>#REF!</v>
      </c>
      <c r="BG187" s="56">
        <f>G187*AN187</f>
        <v>0</v>
      </c>
      <c r="BH187" s="56">
        <f>G187*AO187</f>
        <v>0</v>
      </c>
      <c r="BI187" s="56">
        <f>G187*H187</f>
        <v>0</v>
      </c>
      <c r="BJ187" s="56"/>
      <c r="BK187" s="56">
        <v>91</v>
      </c>
      <c r="BV187" s="56">
        <v>21</v>
      </c>
    </row>
    <row r="188" spans="1:74" ht="13.5" customHeight="1" x14ac:dyDescent="0.25">
      <c r="A188" s="57" t="s">
        <v>724</v>
      </c>
      <c r="B188" s="50" t="s">
        <v>262</v>
      </c>
      <c r="C188" s="50" t="s">
        <v>1133</v>
      </c>
      <c r="D188" s="135" t="s">
        <v>1086</v>
      </c>
      <c r="E188" s="136"/>
      <c r="F188" s="50" t="s">
        <v>275</v>
      </c>
      <c r="G188" s="31">
        <f>'Stavební rozpočet'!G507</f>
        <v>2</v>
      </c>
      <c r="H188" s="31">
        <f>'Stavební rozpočet'!H507</f>
        <v>0</v>
      </c>
      <c r="I188" s="31">
        <f>G188*H188</f>
        <v>0</v>
      </c>
      <c r="J188" s="47" t="s">
        <v>501</v>
      </c>
      <c r="Y188" s="56">
        <f>IF(AP188="5",BI188,0)</f>
        <v>0</v>
      </c>
      <c r="AA188" s="56">
        <f>IF(AP188="1",BG188,0)</f>
        <v>0</v>
      </c>
      <c r="AB188" s="56">
        <f>IF(AP188="1",BH188,0)</f>
        <v>0</v>
      </c>
      <c r="AC188" s="56">
        <f>IF(AP188="7",BG188,0)</f>
        <v>0</v>
      </c>
      <c r="AD188" s="56">
        <f>IF(AP188="7",BH188,0)</f>
        <v>0</v>
      </c>
      <c r="AE188" s="56">
        <f>IF(AP188="2",BG188,0)</f>
        <v>0</v>
      </c>
      <c r="AF188" s="56">
        <f>IF(AP188="2",BH188,0)</f>
        <v>0</v>
      </c>
      <c r="AG188" s="56">
        <f>IF(AP188="0",BI188,0)</f>
        <v>0</v>
      </c>
      <c r="AH188" s="30" t="s">
        <v>262</v>
      </c>
      <c r="AI188" s="31">
        <f>IF(AM188=0,I188,0)</f>
        <v>0</v>
      </c>
      <c r="AJ188" s="31">
        <f>IF(AM188=15,I188,0)</f>
        <v>0</v>
      </c>
      <c r="AK188" s="31">
        <f>IF(AM188=21,I188,0)</f>
        <v>0</v>
      </c>
      <c r="AM188" s="56">
        <v>21</v>
      </c>
      <c r="AN188" s="56">
        <f>H188*1</f>
        <v>0</v>
      </c>
      <c r="AO188" s="56">
        <f>H188*(1-1)</f>
        <v>0</v>
      </c>
      <c r="AP188" s="58" t="s">
        <v>1109</v>
      </c>
      <c r="AU188" s="56">
        <f>AV188+AW188</f>
        <v>0</v>
      </c>
      <c r="AV188" s="56">
        <f>G188*AN188</f>
        <v>0</v>
      </c>
      <c r="AW188" s="56">
        <f>G188*AO188</f>
        <v>0</v>
      </c>
      <c r="AX188" s="41" t="s">
        <v>1085</v>
      </c>
      <c r="AY188" s="41" t="s">
        <v>633</v>
      </c>
      <c r="AZ188" s="30" t="s">
        <v>478</v>
      </c>
      <c r="BB188" s="56">
        <f>AV188+AW188</f>
        <v>0</v>
      </c>
      <c r="BC188" s="56">
        <f>H188/(100-BD188)*100</f>
        <v>0</v>
      </c>
      <c r="BD188" s="56">
        <v>0</v>
      </c>
      <c r="BE188" s="56" t="e">
        <f>#REF!</f>
        <v>#REF!</v>
      </c>
      <c r="BG188" s="31">
        <f>G188*AN188</f>
        <v>0</v>
      </c>
      <c r="BH188" s="31">
        <f>G188*AO188</f>
        <v>0</v>
      </c>
      <c r="BI188" s="31">
        <f>G188*H188</f>
        <v>0</v>
      </c>
      <c r="BJ188" s="31"/>
      <c r="BK188" s="56">
        <v>91</v>
      </c>
      <c r="BV188" s="56">
        <v>21</v>
      </c>
    </row>
    <row r="189" spans="1:74" ht="15" customHeight="1" x14ac:dyDescent="0.25">
      <c r="A189" s="53"/>
      <c r="D189" s="52" t="s">
        <v>766</v>
      </c>
      <c r="E189" s="37" t="s">
        <v>412</v>
      </c>
      <c r="G189" s="21">
        <v>2</v>
      </c>
      <c r="J189" s="48"/>
    </row>
    <row r="190" spans="1:74" ht="13.5" customHeight="1" x14ac:dyDescent="0.25">
      <c r="A190" s="10" t="s">
        <v>55</v>
      </c>
      <c r="B190" s="9" t="s">
        <v>262</v>
      </c>
      <c r="C190" s="9" t="s">
        <v>849</v>
      </c>
      <c r="D190" s="76" t="s">
        <v>674</v>
      </c>
      <c r="E190" s="77"/>
      <c r="F190" s="9" t="s">
        <v>909</v>
      </c>
      <c r="G190" s="56">
        <f>'Stavební rozpočet'!G509</f>
        <v>35</v>
      </c>
      <c r="H190" s="56">
        <f>'Stavební rozpočet'!H509</f>
        <v>0</v>
      </c>
      <c r="I190" s="56">
        <f>G190*H190</f>
        <v>0</v>
      </c>
      <c r="J190" s="54" t="s">
        <v>501</v>
      </c>
      <c r="Y190" s="56">
        <f>IF(AP190="5",BI190,0)</f>
        <v>0</v>
      </c>
      <c r="AA190" s="56">
        <f>IF(AP190="1",BG190,0)</f>
        <v>0</v>
      </c>
      <c r="AB190" s="56">
        <f>IF(AP190="1",BH190,0)</f>
        <v>0</v>
      </c>
      <c r="AC190" s="56">
        <f>IF(AP190="7",BG190,0)</f>
        <v>0</v>
      </c>
      <c r="AD190" s="56">
        <f>IF(AP190="7",BH190,0)</f>
        <v>0</v>
      </c>
      <c r="AE190" s="56">
        <f>IF(AP190="2",BG190,0)</f>
        <v>0</v>
      </c>
      <c r="AF190" s="56">
        <f>IF(AP190="2",BH190,0)</f>
        <v>0</v>
      </c>
      <c r="AG190" s="56">
        <f>IF(AP190="0",BI190,0)</f>
        <v>0</v>
      </c>
      <c r="AH190" s="30" t="s">
        <v>262</v>
      </c>
      <c r="AI190" s="56">
        <f>IF(AM190=0,I190,0)</f>
        <v>0</v>
      </c>
      <c r="AJ190" s="56">
        <f>IF(AM190=15,I190,0)</f>
        <v>0</v>
      </c>
      <c r="AK190" s="56">
        <f>IF(AM190=21,I190,0)</f>
        <v>0</v>
      </c>
      <c r="AM190" s="56">
        <v>21</v>
      </c>
      <c r="AN190" s="56">
        <f>H190*0.579044117647059</f>
        <v>0</v>
      </c>
      <c r="AO190" s="56">
        <f>H190*(1-0.579044117647059)</f>
        <v>0</v>
      </c>
      <c r="AP190" s="41" t="s">
        <v>1109</v>
      </c>
      <c r="AU190" s="56">
        <f>AV190+AW190</f>
        <v>0</v>
      </c>
      <c r="AV190" s="56">
        <f>G190*AN190</f>
        <v>0</v>
      </c>
      <c r="AW190" s="56">
        <f>G190*AO190</f>
        <v>0</v>
      </c>
      <c r="AX190" s="41" t="s">
        <v>1085</v>
      </c>
      <c r="AY190" s="41" t="s">
        <v>633</v>
      </c>
      <c r="AZ190" s="30" t="s">
        <v>478</v>
      </c>
      <c r="BB190" s="56">
        <f>AV190+AW190</f>
        <v>0</v>
      </c>
      <c r="BC190" s="56">
        <f>H190/(100-BD190)*100</f>
        <v>0</v>
      </c>
      <c r="BD190" s="56">
        <v>0</v>
      </c>
      <c r="BE190" s="56" t="e">
        <f>#REF!</f>
        <v>#REF!</v>
      </c>
      <c r="BG190" s="56">
        <f>G190*AN190</f>
        <v>0</v>
      </c>
      <c r="BH190" s="56">
        <f>G190*AO190</f>
        <v>0</v>
      </c>
      <c r="BI190" s="56">
        <f>G190*H190</f>
        <v>0</v>
      </c>
      <c r="BJ190" s="56"/>
      <c r="BK190" s="56">
        <v>91</v>
      </c>
      <c r="BV190" s="56">
        <v>21</v>
      </c>
    </row>
    <row r="191" spans="1:74" ht="13.5" customHeight="1" x14ac:dyDescent="0.25">
      <c r="A191" s="10" t="s">
        <v>1190</v>
      </c>
      <c r="B191" s="9" t="s">
        <v>262</v>
      </c>
      <c r="C191" s="9" t="s">
        <v>385</v>
      </c>
      <c r="D191" s="76" t="s">
        <v>79</v>
      </c>
      <c r="E191" s="77"/>
      <c r="F191" s="9" t="s">
        <v>778</v>
      </c>
      <c r="G191" s="56">
        <f>'Stavební rozpočet'!G510</f>
        <v>2</v>
      </c>
      <c r="H191" s="56">
        <f>'Stavební rozpočet'!H510</f>
        <v>0</v>
      </c>
      <c r="I191" s="56">
        <f>G191*H191</f>
        <v>0</v>
      </c>
      <c r="J191" s="54" t="s">
        <v>769</v>
      </c>
      <c r="Y191" s="56">
        <f>IF(AP191="5",BI191,0)</f>
        <v>0</v>
      </c>
      <c r="AA191" s="56">
        <f>IF(AP191="1",BG191,0)</f>
        <v>0</v>
      </c>
      <c r="AB191" s="56">
        <f>IF(AP191="1",BH191,0)</f>
        <v>0</v>
      </c>
      <c r="AC191" s="56">
        <f>IF(AP191="7",BG191,0)</f>
        <v>0</v>
      </c>
      <c r="AD191" s="56">
        <f>IF(AP191="7",BH191,0)</f>
        <v>0</v>
      </c>
      <c r="AE191" s="56">
        <f>IF(AP191="2",BG191,0)</f>
        <v>0</v>
      </c>
      <c r="AF191" s="56">
        <f>IF(AP191="2",BH191,0)</f>
        <v>0</v>
      </c>
      <c r="AG191" s="56">
        <f>IF(AP191="0",BI191,0)</f>
        <v>0</v>
      </c>
      <c r="AH191" s="30" t="s">
        <v>262</v>
      </c>
      <c r="AI191" s="56">
        <f>IF(AM191=0,I191,0)</f>
        <v>0</v>
      </c>
      <c r="AJ191" s="56">
        <f>IF(AM191=15,I191,0)</f>
        <v>0</v>
      </c>
      <c r="AK191" s="56">
        <f>IF(AM191=21,I191,0)</f>
        <v>0</v>
      </c>
      <c r="AM191" s="56">
        <v>21</v>
      </c>
      <c r="AN191" s="56">
        <f>H191*0</f>
        <v>0</v>
      </c>
      <c r="AO191" s="56">
        <f>H191*(1-0)</f>
        <v>0</v>
      </c>
      <c r="AP191" s="41" t="s">
        <v>1109</v>
      </c>
      <c r="AU191" s="56">
        <f>AV191+AW191</f>
        <v>0</v>
      </c>
      <c r="AV191" s="56">
        <f>G191*AN191</f>
        <v>0</v>
      </c>
      <c r="AW191" s="56">
        <f>G191*AO191</f>
        <v>0</v>
      </c>
      <c r="AX191" s="41" t="s">
        <v>1085</v>
      </c>
      <c r="AY191" s="41" t="s">
        <v>633</v>
      </c>
      <c r="AZ191" s="30" t="s">
        <v>478</v>
      </c>
      <c r="BB191" s="56">
        <f>AV191+AW191</f>
        <v>0</v>
      </c>
      <c r="BC191" s="56">
        <f>H191/(100-BD191)*100</f>
        <v>0</v>
      </c>
      <c r="BD191" s="56">
        <v>0</v>
      </c>
      <c r="BE191" s="56" t="e">
        <f>#REF!</f>
        <v>#REF!</v>
      </c>
      <c r="BG191" s="56">
        <f>G191*AN191</f>
        <v>0</v>
      </c>
      <c r="BH191" s="56">
        <f>G191*AO191</f>
        <v>0</v>
      </c>
      <c r="BI191" s="56">
        <f>G191*H191</f>
        <v>0</v>
      </c>
      <c r="BJ191" s="56"/>
      <c r="BK191" s="56">
        <v>91</v>
      </c>
      <c r="BV191" s="56">
        <v>21</v>
      </c>
    </row>
    <row r="192" spans="1:74" ht="15" customHeight="1" x14ac:dyDescent="0.25">
      <c r="A192" s="27" t="s">
        <v>769</v>
      </c>
      <c r="B192" s="28" t="s">
        <v>262</v>
      </c>
      <c r="C192" s="28" t="s">
        <v>128</v>
      </c>
      <c r="D192" s="132" t="s">
        <v>1225</v>
      </c>
      <c r="E192" s="133"/>
      <c r="F192" s="23" t="s">
        <v>1027</v>
      </c>
      <c r="G192" s="23" t="s">
        <v>1027</v>
      </c>
      <c r="H192" s="23" t="s">
        <v>1027</v>
      </c>
      <c r="I192" s="14">
        <f>SUM(I193:I193)</f>
        <v>0</v>
      </c>
      <c r="J192" s="44" t="s">
        <v>769</v>
      </c>
      <c r="AH192" s="30" t="s">
        <v>262</v>
      </c>
      <c r="AR192" s="14">
        <f>SUM(AI193:AI193)</f>
        <v>0</v>
      </c>
      <c r="AS192" s="14">
        <f>SUM(AJ193:AJ193)</f>
        <v>0</v>
      </c>
      <c r="AT192" s="14">
        <f>SUM(AK193:AK193)</f>
        <v>0</v>
      </c>
    </row>
    <row r="193" spans="1:74" ht="13.5" customHeight="1" x14ac:dyDescent="0.25">
      <c r="A193" s="10" t="s">
        <v>1171</v>
      </c>
      <c r="B193" s="9" t="s">
        <v>262</v>
      </c>
      <c r="C193" s="9" t="s">
        <v>387</v>
      </c>
      <c r="D193" s="76" t="s">
        <v>1161</v>
      </c>
      <c r="E193" s="77"/>
      <c r="F193" s="9" t="s">
        <v>909</v>
      </c>
      <c r="G193" s="56">
        <f>'Stavební rozpočet'!G512</f>
        <v>15</v>
      </c>
      <c r="H193" s="56">
        <f>'Stavební rozpočet'!H512</f>
        <v>0</v>
      </c>
      <c r="I193" s="56">
        <f>G193*H193</f>
        <v>0</v>
      </c>
      <c r="J193" s="54" t="s">
        <v>501</v>
      </c>
      <c r="Y193" s="56">
        <f>IF(AP193="5",BI193,0)</f>
        <v>0</v>
      </c>
      <c r="AA193" s="56">
        <f>IF(AP193="1",BG193,0)</f>
        <v>0</v>
      </c>
      <c r="AB193" s="56">
        <f>IF(AP193="1",BH193,0)</f>
        <v>0</v>
      </c>
      <c r="AC193" s="56">
        <f>IF(AP193="7",BG193,0)</f>
        <v>0</v>
      </c>
      <c r="AD193" s="56">
        <f>IF(AP193="7",BH193,0)</f>
        <v>0</v>
      </c>
      <c r="AE193" s="56">
        <f>IF(AP193="2",BG193,0)</f>
        <v>0</v>
      </c>
      <c r="AF193" s="56">
        <f>IF(AP193="2",BH193,0)</f>
        <v>0</v>
      </c>
      <c r="AG193" s="56">
        <f>IF(AP193="0",BI193,0)</f>
        <v>0</v>
      </c>
      <c r="AH193" s="30" t="s">
        <v>262</v>
      </c>
      <c r="AI193" s="56">
        <f>IF(AM193=0,I193,0)</f>
        <v>0</v>
      </c>
      <c r="AJ193" s="56">
        <f>IF(AM193=15,I193,0)</f>
        <v>0</v>
      </c>
      <c r="AK193" s="56">
        <f>IF(AM193=21,I193,0)</f>
        <v>0</v>
      </c>
      <c r="AM193" s="56">
        <v>21</v>
      </c>
      <c r="AN193" s="56">
        <f>H193*0</f>
        <v>0</v>
      </c>
      <c r="AO193" s="56">
        <f>H193*(1-0)</f>
        <v>0</v>
      </c>
      <c r="AP193" s="41" t="s">
        <v>1109</v>
      </c>
      <c r="AU193" s="56">
        <f>AV193+AW193</f>
        <v>0</v>
      </c>
      <c r="AV193" s="56">
        <f>G193*AN193</f>
        <v>0</v>
      </c>
      <c r="AW193" s="56">
        <f>G193*AO193</f>
        <v>0</v>
      </c>
      <c r="AX193" s="41" t="s">
        <v>348</v>
      </c>
      <c r="AY193" s="41" t="s">
        <v>633</v>
      </c>
      <c r="AZ193" s="30" t="s">
        <v>478</v>
      </c>
      <c r="BB193" s="56">
        <f>AV193+AW193</f>
        <v>0</v>
      </c>
      <c r="BC193" s="56">
        <f>H193/(100-BD193)*100</f>
        <v>0</v>
      </c>
      <c r="BD193" s="56">
        <v>0</v>
      </c>
      <c r="BE193" s="56" t="e">
        <f>#REF!</f>
        <v>#REF!</v>
      </c>
      <c r="BG193" s="56">
        <f>G193*AN193</f>
        <v>0</v>
      </c>
      <c r="BH193" s="56">
        <f>G193*AO193</f>
        <v>0</v>
      </c>
      <c r="BI193" s="56">
        <f>G193*H193</f>
        <v>0</v>
      </c>
      <c r="BJ193" s="56"/>
      <c r="BK193" s="56">
        <v>97</v>
      </c>
      <c r="BV193" s="56">
        <v>21</v>
      </c>
    </row>
    <row r="194" spans="1:74" ht="15" customHeight="1" x14ac:dyDescent="0.25">
      <c r="A194" s="27" t="s">
        <v>769</v>
      </c>
      <c r="B194" s="28" t="s">
        <v>262</v>
      </c>
      <c r="C194" s="28" t="s">
        <v>628</v>
      </c>
      <c r="D194" s="132" t="s">
        <v>606</v>
      </c>
      <c r="E194" s="133"/>
      <c r="F194" s="23" t="s">
        <v>1027</v>
      </c>
      <c r="G194" s="23" t="s">
        <v>1027</v>
      </c>
      <c r="H194" s="23" t="s">
        <v>1027</v>
      </c>
      <c r="I194" s="14">
        <f>SUM(I195:I195)</f>
        <v>0</v>
      </c>
      <c r="J194" s="44" t="s">
        <v>769</v>
      </c>
      <c r="AH194" s="30" t="s">
        <v>262</v>
      </c>
      <c r="AR194" s="14">
        <f>SUM(AI195:AI195)</f>
        <v>0</v>
      </c>
      <c r="AS194" s="14">
        <f>SUM(AJ195:AJ195)</f>
        <v>0</v>
      </c>
      <c r="AT194" s="14">
        <f>SUM(AK195:AK195)</f>
        <v>0</v>
      </c>
    </row>
    <row r="195" spans="1:74" ht="13.5" customHeight="1" x14ac:dyDescent="0.25">
      <c r="A195" s="10" t="s">
        <v>1169</v>
      </c>
      <c r="B195" s="9" t="s">
        <v>262</v>
      </c>
      <c r="C195" s="9" t="s">
        <v>962</v>
      </c>
      <c r="D195" s="76" t="s">
        <v>754</v>
      </c>
      <c r="E195" s="77"/>
      <c r="F195" s="9" t="s">
        <v>517</v>
      </c>
      <c r="G195" s="56">
        <f>'Stavební rozpočet'!G514</f>
        <v>118.812</v>
      </c>
      <c r="H195" s="56">
        <f>'Stavební rozpočet'!H514</f>
        <v>0</v>
      </c>
      <c r="I195" s="56">
        <f>G195*H195</f>
        <v>0</v>
      </c>
      <c r="J195" s="54" t="s">
        <v>501</v>
      </c>
      <c r="Y195" s="56">
        <f>IF(AP195="5",BI195,0)</f>
        <v>0</v>
      </c>
      <c r="AA195" s="56">
        <f>IF(AP195="1",BG195,0)</f>
        <v>0</v>
      </c>
      <c r="AB195" s="56">
        <f>IF(AP195="1",BH195,0)</f>
        <v>0</v>
      </c>
      <c r="AC195" s="56">
        <f>IF(AP195="7",BG195,0)</f>
        <v>0</v>
      </c>
      <c r="AD195" s="56">
        <f>IF(AP195="7",BH195,0)</f>
        <v>0</v>
      </c>
      <c r="AE195" s="56">
        <f>IF(AP195="2",BG195,0)</f>
        <v>0</v>
      </c>
      <c r="AF195" s="56">
        <f>IF(AP195="2",BH195,0)</f>
        <v>0</v>
      </c>
      <c r="AG195" s="56">
        <f>IF(AP195="0",BI195,0)</f>
        <v>0</v>
      </c>
      <c r="AH195" s="30" t="s">
        <v>262</v>
      </c>
      <c r="AI195" s="56">
        <f>IF(AM195=0,I195,0)</f>
        <v>0</v>
      </c>
      <c r="AJ195" s="56">
        <f>IF(AM195=15,I195,0)</f>
        <v>0</v>
      </c>
      <c r="AK195" s="56">
        <f>IF(AM195=21,I195,0)</f>
        <v>0</v>
      </c>
      <c r="AM195" s="56">
        <v>21</v>
      </c>
      <c r="AN195" s="56">
        <f>H195*0</f>
        <v>0</v>
      </c>
      <c r="AO195" s="56">
        <f>H195*(1-0)</f>
        <v>0</v>
      </c>
      <c r="AP195" s="41" t="s">
        <v>596</v>
      </c>
      <c r="AU195" s="56">
        <f>AV195+AW195</f>
        <v>0</v>
      </c>
      <c r="AV195" s="56">
        <f>G195*AN195</f>
        <v>0</v>
      </c>
      <c r="AW195" s="56">
        <f>G195*AO195</f>
        <v>0</v>
      </c>
      <c r="AX195" s="41" t="s">
        <v>345</v>
      </c>
      <c r="AY195" s="41" t="s">
        <v>633</v>
      </c>
      <c r="AZ195" s="30" t="s">
        <v>478</v>
      </c>
      <c r="BB195" s="56">
        <f>AV195+AW195</f>
        <v>0</v>
      </c>
      <c r="BC195" s="56">
        <f>H195/(100-BD195)*100</f>
        <v>0</v>
      </c>
      <c r="BD195" s="56">
        <v>0</v>
      </c>
      <c r="BE195" s="56" t="e">
        <f>#REF!</f>
        <v>#REF!</v>
      </c>
      <c r="BG195" s="56">
        <f>G195*AN195</f>
        <v>0</v>
      </c>
      <c r="BH195" s="56">
        <f>G195*AO195</f>
        <v>0</v>
      </c>
      <c r="BI195" s="56">
        <f>G195*H195</f>
        <v>0</v>
      </c>
      <c r="BJ195" s="56"/>
      <c r="BK195" s="56"/>
      <c r="BV195" s="56">
        <v>21</v>
      </c>
    </row>
    <row r="196" spans="1:74" ht="15" customHeight="1" x14ac:dyDescent="0.25">
      <c r="A196" s="27" t="s">
        <v>769</v>
      </c>
      <c r="B196" s="28" t="s">
        <v>262</v>
      </c>
      <c r="C196" s="28" t="s">
        <v>27</v>
      </c>
      <c r="D196" s="132" t="s">
        <v>593</v>
      </c>
      <c r="E196" s="133"/>
      <c r="F196" s="23" t="s">
        <v>1027</v>
      </c>
      <c r="G196" s="23" t="s">
        <v>1027</v>
      </c>
      <c r="H196" s="23" t="s">
        <v>1027</v>
      </c>
      <c r="I196" s="14">
        <f>SUM(I197:I197)</f>
        <v>0</v>
      </c>
      <c r="J196" s="44" t="s">
        <v>769</v>
      </c>
      <c r="AH196" s="30" t="s">
        <v>262</v>
      </c>
      <c r="AR196" s="14">
        <f>SUM(AI197:AI197)</f>
        <v>0</v>
      </c>
      <c r="AS196" s="14">
        <f>SUM(AJ197:AJ197)</f>
        <v>0</v>
      </c>
      <c r="AT196" s="14">
        <f>SUM(AK197:AK197)</f>
        <v>0</v>
      </c>
    </row>
    <row r="197" spans="1:74" ht="13.5" customHeight="1" x14ac:dyDescent="0.25">
      <c r="A197" s="10" t="s">
        <v>54</v>
      </c>
      <c r="B197" s="9" t="s">
        <v>262</v>
      </c>
      <c r="C197" s="9" t="s">
        <v>859</v>
      </c>
      <c r="D197" s="76" t="s">
        <v>1048</v>
      </c>
      <c r="E197" s="77"/>
      <c r="F197" s="9" t="s">
        <v>275</v>
      </c>
      <c r="G197" s="56">
        <f>'Stavební rozpočet'!G516</f>
        <v>0.4</v>
      </c>
      <c r="H197" s="56">
        <f>'Stavební rozpočet'!H516</f>
        <v>0</v>
      </c>
      <c r="I197" s="56">
        <f>G197*H197</f>
        <v>0</v>
      </c>
      <c r="J197" s="54" t="s">
        <v>501</v>
      </c>
      <c r="Y197" s="56">
        <f>IF(AP197="5",BI197,0)</f>
        <v>0</v>
      </c>
      <c r="AA197" s="56">
        <f>IF(AP197="1",BG197,0)</f>
        <v>0</v>
      </c>
      <c r="AB197" s="56">
        <f>IF(AP197="1",BH197,0)</f>
        <v>0</v>
      </c>
      <c r="AC197" s="56">
        <f>IF(AP197="7",BG197,0)</f>
        <v>0</v>
      </c>
      <c r="AD197" s="56">
        <f>IF(AP197="7",BH197,0)</f>
        <v>0</v>
      </c>
      <c r="AE197" s="56">
        <f>IF(AP197="2",BG197,0)</f>
        <v>0</v>
      </c>
      <c r="AF197" s="56">
        <f>IF(AP197="2",BH197,0)</f>
        <v>0</v>
      </c>
      <c r="AG197" s="56">
        <f>IF(AP197="0",BI197,0)</f>
        <v>0</v>
      </c>
      <c r="AH197" s="30" t="s">
        <v>262</v>
      </c>
      <c r="AI197" s="56">
        <f>IF(AM197=0,I197,0)</f>
        <v>0</v>
      </c>
      <c r="AJ197" s="56">
        <f>IF(AM197=15,I197,0)</f>
        <v>0</v>
      </c>
      <c r="AK197" s="56">
        <f>IF(AM197=21,I197,0)</f>
        <v>0</v>
      </c>
      <c r="AM197" s="56">
        <v>21</v>
      </c>
      <c r="AN197" s="56">
        <f>H197*0</f>
        <v>0</v>
      </c>
      <c r="AO197" s="56">
        <f>H197*(1-0)</f>
        <v>0</v>
      </c>
      <c r="AP197" s="41" t="s">
        <v>766</v>
      </c>
      <c r="AU197" s="56">
        <f>AV197+AW197</f>
        <v>0</v>
      </c>
      <c r="AV197" s="56">
        <f>G197*AN197</f>
        <v>0</v>
      </c>
      <c r="AW197" s="56">
        <f>G197*AO197</f>
        <v>0</v>
      </c>
      <c r="AX197" s="41" t="s">
        <v>1217</v>
      </c>
      <c r="AY197" s="41" t="s">
        <v>633</v>
      </c>
      <c r="AZ197" s="30" t="s">
        <v>478</v>
      </c>
      <c r="BB197" s="56">
        <f>AV197+AW197</f>
        <v>0</v>
      </c>
      <c r="BC197" s="56">
        <f>H197/(100-BD197)*100</f>
        <v>0</v>
      </c>
      <c r="BD197" s="56">
        <v>0</v>
      </c>
      <c r="BE197" s="56" t="e">
        <f>#REF!</f>
        <v>#REF!</v>
      </c>
      <c r="BG197" s="56">
        <f>G197*AN197</f>
        <v>0</v>
      </c>
      <c r="BH197" s="56">
        <f>G197*AO197</f>
        <v>0</v>
      </c>
      <c r="BI197" s="56">
        <f>G197*H197</f>
        <v>0</v>
      </c>
      <c r="BJ197" s="56"/>
      <c r="BK197" s="56"/>
      <c r="BV197" s="56">
        <v>21</v>
      </c>
    </row>
    <row r="198" spans="1:74" ht="15" customHeight="1" x14ac:dyDescent="0.25">
      <c r="A198" s="53"/>
      <c r="D198" s="52" t="s">
        <v>766</v>
      </c>
      <c r="E198" s="37" t="s">
        <v>120</v>
      </c>
      <c r="G198" s="21">
        <v>2</v>
      </c>
      <c r="J198" s="48"/>
    </row>
    <row r="199" spans="1:74" ht="15" customHeight="1" x14ac:dyDescent="0.25">
      <c r="A199" s="27" t="s">
        <v>769</v>
      </c>
      <c r="B199" s="28" t="s">
        <v>262</v>
      </c>
      <c r="C199" s="28" t="s">
        <v>369</v>
      </c>
      <c r="D199" s="132" t="s">
        <v>485</v>
      </c>
      <c r="E199" s="133"/>
      <c r="F199" s="23" t="s">
        <v>1027</v>
      </c>
      <c r="G199" s="23" t="s">
        <v>1027</v>
      </c>
      <c r="H199" s="23" t="s">
        <v>1027</v>
      </c>
      <c r="I199" s="14">
        <f>SUM(I200:I208)</f>
        <v>0</v>
      </c>
      <c r="J199" s="44" t="s">
        <v>769</v>
      </c>
      <c r="AH199" s="30" t="s">
        <v>262</v>
      </c>
      <c r="AR199" s="14">
        <f>SUM(AI200:AI208)</f>
        <v>0</v>
      </c>
      <c r="AS199" s="14">
        <f>SUM(AJ200:AJ208)</f>
        <v>0</v>
      </c>
      <c r="AT199" s="14">
        <f>SUM(AK200:AK208)</f>
        <v>0</v>
      </c>
    </row>
    <row r="200" spans="1:74" ht="13.5" customHeight="1" x14ac:dyDescent="0.25">
      <c r="A200" s="10" t="s">
        <v>1</v>
      </c>
      <c r="B200" s="9" t="s">
        <v>262</v>
      </c>
      <c r="C200" s="9" t="s">
        <v>477</v>
      </c>
      <c r="D200" s="76" t="s">
        <v>1164</v>
      </c>
      <c r="E200" s="77"/>
      <c r="F200" s="9" t="s">
        <v>517</v>
      </c>
      <c r="G200" s="56">
        <f>'Stavební rozpočet'!G519</f>
        <v>33.887999999999998</v>
      </c>
      <c r="H200" s="56">
        <f>'Stavební rozpočet'!H519</f>
        <v>0</v>
      </c>
      <c r="I200" s="56">
        <f>G200*H200</f>
        <v>0</v>
      </c>
      <c r="J200" s="54" t="s">
        <v>501</v>
      </c>
      <c r="Y200" s="56">
        <f>IF(AP200="5",BI200,0)</f>
        <v>0</v>
      </c>
      <c r="AA200" s="56">
        <f>IF(AP200="1",BG200,0)</f>
        <v>0</v>
      </c>
      <c r="AB200" s="56">
        <f>IF(AP200="1",BH200,0)</f>
        <v>0</v>
      </c>
      <c r="AC200" s="56">
        <f>IF(AP200="7",BG200,0)</f>
        <v>0</v>
      </c>
      <c r="AD200" s="56">
        <f>IF(AP200="7",BH200,0)</f>
        <v>0</v>
      </c>
      <c r="AE200" s="56">
        <f>IF(AP200="2",BG200,0)</f>
        <v>0</v>
      </c>
      <c r="AF200" s="56">
        <f>IF(AP200="2",BH200,0)</f>
        <v>0</v>
      </c>
      <c r="AG200" s="56">
        <f>IF(AP200="0",BI200,0)</f>
        <v>0</v>
      </c>
      <c r="AH200" s="30" t="s">
        <v>262</v>
      </c>
      <c r="AI200" s="56">
        <f>IF(AM200=0,I200,0)</f>
        <v>0</v>
      </c>
      <c r="AJ200" s="56">
        <f>IF(AM200=15,I200,0)</f>
        <v>0</v>
      </c>
      <c r="AK200" s="56">
        <f>IF(AM200=21,I200,0)</f>
        <v>0</v>
      </c>
      <c r="AM200" s="56">
        <v>21</v>
      </c>
      <c r="AN200" s="56">
        <f>H200*0</f>
        <v>0</v>
      </c>
      <c r="AO200" s="56">
        <f>H200*(1-0)</f>
        <v>0</v>
      </c>
      <c r="AP200" s="41" t="s">
        <v>596</v>
      </c>
      <c r="AU200" s="56">
        <f>AV200+AW200</f>
        <v>0</v>
      </c>
      <c r="AV200" s="56">
        <f>G200*AN200</f>
        <v>0</v>
      </c>
      <c r="AW200" s="56">
        <f>G200*AO200</f>
        <v>0</v>
      </c>
      <c r="AX200" s="41" t="s">
        <v>465</v>
      </c>
      <c r="AY200" s="41" t="s">
        <v>633</v>
      </c>
      <c r="AZ200" s="30" t="s">
        <v>478</v>
      </c>
      <c r="BB200" s="56">
        <f>AV200+AW200</f>
        <v>0</v>
      </c>
      <c r="BC200" s="56">
        <f>H200/(100-BD200)*100</f>
        <v>0</v>
      </c>
      <c r="BD200" s="56">
        <v>0</v>
      </c>
      <c r="BE200" s="56" t="e">
        <f>#REF!</f>
        <v>#REF!</v>
      </c>
      <c r="BG200" s="56">
        <f>G200*AN200</f>
        <v>0</v>
      </c>
      <c r="BH200" s="56">
        <f>G200*AO200</f>
        <v>0</v>
      </c>
      <c r="BI200" s="56">
        <f>G200*H200</f>
        <v>0</v>
      </c>
      <c r="BJ200" s="56"/>
      <c r="BK200" s="56"/>
      <c r="BV200" s="56">
        <v>21</v>
      </c>
    </row>
    <row r="201" spans="1:74" ht="15" customHeight="1" x14ac:dyDescent="0.25">
      <c r="A201" s="53"/>
      <c r="D201" s="52" t="s">
        <v>764</v>
      </c>
      <c r="E201" s="37" t="s">
        <v>769</v>
      </c>
      <c r="G201" s="21">
        <v>33.888000000000005</v>
      </c>
      <c r="J201" s="48"/>
    </row>
    <row r="202" spans="1:74" ht="13.5" customHeight="1" x14ac:dyDescent="0.25">
      <c r="A202" s="10" t="s">
        <v>1008</v>
      </c>
      <c r="B202" s="9" t="s">
        <v>262</v>
      </c>
      <c r="C202" s="9" t="s">
        <v>544</v>
      </c>
      <c r="D202" s="76" t="s">
        <v>1052</v>
      </c>
      <c r="E202" s="77"/>
      <c r="F202" s="9" t="s">
        <v>517</v>
      </c>
      <c r="G202" s="56">
        <f>'Stavební rozpočet'!G521</f>
        <v>643.87199999999996</v>
      </c>
      <c r="H202" s="56">
        <f>'Stavební rozpočet'!H521</f>
        <v>0</v>
      </c>
      <c r="I202" s="56">
        <f>G202*H202</f>
        <v>0</v>
      </c>
      <c r="J202" s="54" t="s">
        <v>501</v>
      </c>
      <c r="Y202" s="56">
        <f>IF(AP202="5",BI202,0)</f>
        <v>0</v>
      </c>
      <c r="AA202" s="56">
        <f>IF(AP202="1",BG202,0)</f>
        <v>0</v>
      </c>
      <c r="AB202" s="56">
        <f>IF(AP202="1",BH202,0)</f>
        <v>0</v>
      </c>
      <c r="AC202" s="56">
        <f>IF(AP202="7",BG202,0)</f>
        <v>0</v>
      </c>
      <c r="AD202" s="56">
        <f>IF(AP202="7",BH202,0)</f>
        <v>0</v>
      </c>
      <c r="AE202" s="56">
        <f>IF(AP202="2",BG202,0)</f>
        <v>0</v>
      </c>
      <c r="AF202" s="56">
        <f>IF(AP202="2",BH202,0)</f>
        <v>0</v>
      </c>
      <c r="AG202" s="56">
        <f>IF(AP202="0",BI202,0)</f>
        <v>0</v>
      </c>
      <c r="AH202" s="30" t="s">
        <v>262</v>
      </c>
      <c r="AI202" s="56">
        <f>IF(AM202=0,I202,0)</f>
        <v>0</v>
      </c>
      <c r="AJ202" s="56">
        <f>IF(AM202=15,I202,0)</f>
        <v>0</v>
      </c>
      <c r="AK202" s="56">
        <f>IF(AM202=21,I202,0)</f>
        <v>0</v>
      </c>
      <c r="AM202" s="56">
        <v>21</v>
      </c>
      <c r="AN202" s="56">
        <f>H202*0</f>
        <v>0</v>
      </c>
      <c r="AO202" s="56">
        <f>H202*(1-0)</f>
        <v>0</v>
      </c>
      <c r="AP202" s="41" t="s">
        <v>596</v>
      </c>
      <c r="AU202" s="56">
        <f>AV202+AW202</f>
        <v>0</v>
      </c>
      <c r="AV202" s="56">
        <f>G202*AN202</f>
        <v>0</v>
      </c>
      <c r="AW202" s="56">
        <f>G202*AO202</f>
        <v>0</v>
      </c>
      <c r="AX202" s="41" t="s">
        <v>465</v>
      </c>
      <c r="AY202" s="41" t="s">
        <v>633</v>
      </c>
      <c r="AZ202" s="30" t="s">
        <v>478</v>
      </c>
      <c r="BB202" s="56">
        <f>AV202+AW202</f>
        <v>0</v>
      </c>
      <c r="BC202" s="56">
        <f>H202/(100-BD202)*100</f>
        <v>0</v>
      </c>
      <c r="BD202" s="56">
        <v>0</v>
      </c>
      <c r="BE202" s="56" t="e">
        <f>#REF!</f>
        <v>#REF!</v>
      </c>
      <c r="BG202" s="56">
        <f>G202*AN202</f>
        <v>0</v>
      </c>
      <c r="BH202" s="56">
        <f>G202*AO202</f>
        <v>0</v>
      </c>
      <c r="BI202" s="56">
        <f>G202*H202</f>
        <v>0</v>
      </c>
      <c r="BJ202" s="56"/>
      <c r="BK202" s="56"/>
      <c r="BV202" s="56">
        <v>21</v>
      </c>
    </row>
    <row r="203" spans="1:74" ht="15" customHeight="1" x14ac:dyDescent="0.25">
      <c r="A203" s="53"/>
      <c r="D203" s="52" t="s">
        <v>418</v>
      </c>
      <c r="E203" s="37" t="s">
        <v>446</v>
      </c>
      <c r="G203" s="21">
        <v>643.87200000000007</v>
      </c>
      <c r="J203" s="48"/>
    </row>
    <row r="204" spans="1:74" ht="13.5" customHeight="1" x14ac:dyDescent="0.25">
      <c r="A204" s="10" t="s">
        <v>131</v>
      </c>
      <c r="B204" s="9" t="s">
        <v>262</v>
      </c>
      <c r="C204" s="9" t="s">
        <v>212</v>
      </c>
      <c r="D204" s="76" t="s">
        <v>675</v>
      </c>
      <c r="E204" s="77"/>
      <c r="F204" s="9" t="s">
        <v>517</v>
      </c>
      <c r="G204" s="56">
        <f>'Stavební rozpočet'!G523</f>
        <v>33.887999999999998</v>
      </c>
      <c r="H204" s="56">
        <f>'Stavební rozpočet'!H523</f>
        <v>0</v>
      </c>
      <c r="I204" s="56">
        <f>G204*H204</f>
        <v>0</v>
      </c>
      <c r="J204" s="54" t="s">
        <v>501</v>
      </c>
      <c r="Y204" s="56">
        <f>IF(AP204="5",BI204,0)</f>
        <v>0</v>
      </c>
      <c r="AA204" s="56">
        <f>IF(AP204="1",BG204,0)</f>
        <v>0</v>
      </c>
      <c r="AB204" s="56">
        <f>IF(AP204="1",BH204,0)</f>
        <v>0</v>
      </c>
      <c r="AC204" s="56">
        <f>IF(AP204="7",BG204,0)</f>
        <v>0</v>
      </c>
      <c r="AD204" s="56">
        <f>IF(AP204="7",BH204,0)</f>
        <v>0</v>
      </c>
      <c r="AE204" s="56">
        <f>IF(AP204="2",BG204,0)</f>
        <v>0</v>
      </c>
      <c r="AF204" s="56">
        <f>IF(AP204="2",BH204,0)</f>
        <v>0</v>
      </c>
      <c r="AG204" s="56">
        <f>IF(AP204="0",BI204,0)</f>
        <v>0</v>
      </c>
      <c r="AH204" s="30" t="s">
        <v>262</v>
      </c>
      <c r="AI204" s="56">
        <f>IF(AM204=0,I204,0)</f>
        <v>0</v>
      </c>
      <c r="AJ204" s="56">
        <f>IF(AM204=15,I204,0)</f>
        <v>0</v>
      </c>
      <c r="AK204" s="56">
        <f>IF(AM204=21,I204,0)</f>
        <v>0</v>
      </c>
      <c r="AM204" s="56">
        <v>21</v>
      </c>
      <c r="AN204" s="56">
        <f>H204*0</f>
        <v>0</v>
      </c>
      <c r="AO204" s="56">
        <f>H204*(1-0)</f>
        <v>0</v>
      </c>
      <c r="AP204" s="41" t="s">
        <v>596</v>
      </c>
      <c r="AU204" s="56">
        <f>AV204+AW204</f>
        <v>0</v>
      </c>
      <c r="AV204" s="56">
        <f>G204*AN204</f>
        <v>0</v>
      </c>
      <c r="AW204" s="56">
        <f>G204*AO204</f>
        <v>0</v>
      </c>
      <c r="AX204" s="41" t="s">
        <v>465</v>
      </c>
      <c r="AY204" s="41" t="s">
        <v>633</v>
      </c>
      <c r="AZ204" s="30" t="s">
        <v>478</v>
      </c>
      <c r="BB204" s="56">
        <f>AV204+AW204</f>
        <v>0</v>
      </c>
      <c r="BC204" s="56">
        <f>H204/(100-BD204)*100</f>
        <v>0</v>
      </c>
      <c r="BD204" s="56">
        <v>0</v>
      </c>
      <c r="BE204" s="56" t="e">
        <f>#REF!</f>
        <v>#REF!</v>
      </c>
      <c r="BG204" s="56">
        <f>G204*AN204</f>
        <v>0</v>
      </c>
      <c r="BH204" s="56">
        <f>G204*AO204</f>
        <v>0</v>
      </c>
      <c r="BI204" s="56">
        <f>G204*H204</f>
        <v>0</v>
      </c>
      <c r="BJ204" s="56"/>
      <c r="BK204" s="56"/>
      <c r="BV204" s="56">
        <v>21</v>
      </c>
    </row>
    <row r="205" spans="1:74" ht="13.5" customHeight="1" x14ac:dyDescent="0.25">
      <c r="A205" s="10" t="s">
        <v>445</v>
      </c>
      <c r="B205" s="9" t="s">
        <v>262</v>
      </c>
      <c r="C205" s="9" t="s">
        <v>363</v>
      </c>
      <c r="D205" s="76" t="s">
        <v>652</v>
      </c>
      <c r="E205" s="77"/>
      <c r="F205" s="9" t="s">
        <v>517</v>
      </c>
      <c r="G205" s="56">
        <f>'Stavební rozpočet'!G524</f>
        <v>12.1</v>
      </c>
      <c r="H205" s="56">
        <f>'Stavební rozpočet'!H524</f>
        <v>0</v>
      </c>
      <c r="I205" s="56">
        <f>G205*H205</f>
        <v>0</v>
      </c>
      <c r="J205" s="54" t="s">
        <v>501</v>
      </c>
      <c r="Y205" s="56">
        <f>IF(AP205="5",BI205,0)</f>
        <v>0</v>
      </c>
      <c r="AA205" s="56">
        <f>IF(AP205="1",BG205,0)</f>
        <v>0</v>
      </c>
      <c r="AB205" s="56">
        <f>IF(AP205="1",BH205,0)</f>
        <v>0</v>
      </c>
      <c r="AC205" s="56">
        <f>IF(AP205="7",BG205,0)</f>
        <v>0</v>
      </c>
      <c r="AD205" s="56">
        <f>IF(AP205="7",BH205,0)</f>
        <v>0</v>
      </c>
      <c r="AE205" s="56">
        <f>IF(AP205="2",BG205,0)</f>
        <v>0</v>
      </c>
      <c r="AF205" s="56">
        <f>IF(AP205="2",BH205,0)</f>
        <v>0</v>
      </c>
      <c r="AG205" s="56">
        <f>IF(AP205="0",BI205,0)</f>
        <v>0</v>
      </c>
      <c r="AH205" s="30" t="s">
        <v>262</v>
      </c>
      <c r="AI205" s="56">
        <f>IF(AM205=0,I205,0)</f>
        <v>0</v>
      </c>
      <c r="AJ205" s="56">
        <f>IF(AM205=15,I205,0)</f>
        <v>0</v>
      </c>
      <c r="AK205" s="56">
        <f>IF(AM205=21,I205,0)</f>
        <v>0</v>
      </c>
      <c r="AM205" s="56">
        <v>21</v>
      </c>
      <c r="AN205" s="56">
        <f>H205*0</f>
        <v>0</v>
      </c>
      <c r="AO205" s="56">
        <f>H205*(1-0)</f>
        <v>0</v>
      </c>
      <c r="AP205" s="41" t="s">
        <v>596</v>
      </c>
      <c r="AU205" s="56">
        <f>AV205+AW205</f>
        <v>0</v>
      </c>
      <c r="AV205" s="56">
        <f>G205*AN205</f>
        <v>0</v>
      </c>
      <c r="AW205" s="56">
        <f>G205*AO205</f>
        <v>0</v>
      </c>
      <c r="AX205" s="41" t="s">
        <v>465</v>
      </c>
      <c r="AY205" s="41" t="s">
        <v>633</v>
      </c>
      <c r="AZ205" s="30" t="s">
        <v>478</v>
      </c>
      <c r="BB205" s="56">
        <f>AV205+AW205</f>
        <v>0</v>
      </c>
      <c r="BC205" s="56">
        <f>H205/(100-BD205)*100</f>
        <v>0</v>
      </c>
      <c r="BD205" s="56">
        <v>0</v>
      </c>
      <c r="BE205" s="56" t="e">
        <f>#REF!</f>
        <v>#REF!</v>
      </c>
      <c r="BG205" s="56">
        <f>G205*AN205</f>
        <v>0</v>
      </c>
      <c r="BH205" s="56">
        <f>G205*AO205</f>
        <v>0</v>
      </c>
      <c r="BI205" s="56">
        <f>G205*H205</f>
        <v>0</v>
      </c>
      <c r="BJ205" s="56"/>
      <c r="BK205" s="56"/>
      <c r="BV205" s="56">
        <v>21</v>
      </c>
    </row>
    <row r="206" spans="1:74" ht="13.5" customHeight="1" x14ac:dyDescent="0.25">
      <c r="A206" s="10" t="s">
        <v>621</v>
      </c>
      <c r="B206" s="9" t="s">
        <v>262</v>
      </c>
      <c r="C206" s="9" t="s">
        <v>226</v>
      </c>
      <c r="D206" s="76" t="s">
        <v>53</v>
      </c>
      <c r="E206" s="77"/>
      <c r="F206" s="9" t="s">
        <v>517</v>
      </c>
      <c r="G206" s="56">
        <f>'Stavební rozpočet'!G525</f>
        <v>0.45900000000000002</v>
      </c>
      <c r="H206" s="56">
        <f>'Stavební rozpočet'!H525</f>
        <v>0</v>
      </c>
      <c r="I206" s="56">
        <f>G206*H206</f>
        <v>0</v>
      </c>
      <c r="J206" s="54" t="s">
        <v>501</v>
      </c>
      <c r="Y206" s="56">
        <f>IF(AP206="5",BI206,0)</f>
        <v>0</v>
      </c>
      <c r="AA206" s="56">
        <f>IF(AP206="1",BG206,0)</f>
        <v>0</v>
      </c>
      <c r="AB206" s="56">
        <f>IF(AP206="1",BH206,0)</f>
        <v>0</v>
      </c>
      <c r="AC206" s="56">
        <f>IF(AP206="7",BG206,0)</f>
        <v>0</v>
      </c>
      <c r="AD206" s="56">
        <f>IF(AP206="7",BH206,0)</f>
        <v>0</v>
      </c>
      <c r="AE206" s="56">
        <f>IF(AP206="2",BG206,0)</f>
        <v>0</v>
      </c>
      <c r="AF206" s="56">
        <f>IF(AP206="2",BH206,0)</f>
        <v>0</v>
      </c>
      <c r="AG206" s="56">
        <f>IF(AP206="0",BI206,0)</f>
        <v>0</v>
      </c>
      <c r="AH206" s="30" t="s">
        <v>262</v>
      </c>
      <c r="AI206" s="56">
        <f>IF(AM206=0,I206,0)</f>
        <v>0</v>
      </c>
      <c r="AJ206" s="56">
        <f>IF(AM206=15,I206,0)</f>
        <v>0</v>
      </c>
      <c r="AK206" s="56">
        <f>IF(AM206=21,I206,0)</f>
        <v>0</v>
      </c>
      <c r="AM206" s="56">
        <v>21</v>
      </c>
      <c r="AN206" s="56">
        <f>H206*0</f>
        <v>0</v>
      </c>
      <c r="AO206" s="56">
        <f>H206*(1-0)</f>
        <v>0</v>
      </c>
      <c r="AP206" s="41" t="s">
        <v>596</v>
      </c>
      <c r="AU206" s="56">
        <f>AV206+AW206</f>
        <v>0</v>
      </c>
      <c r="AV206" s="56">
        <f>G206*AN206</f>
        <v>0</v>
      </c>
      <c r="AW206" s="56">
        <f>G206*AO206</f>
        <v>0</v>
      </c>
      <c r="AX206" s="41" t="s">
        <v>465</v>
      </c>
      <c r="AY206" s="41" t="s">
        <v>633</v>
      </c>
      <c r="AZ206" s="30" t="s">
        <v>478</v>
      </c>
      <c r="BB206" s="56">
        <f>AV206+AW206</f>
        <v>0</v>
      </c>
      <c r="BC206" s="56">
        <f>H206/(100-BD206)*100</f>
        <v>0</v>
      </c>
      <c r="BD206" s="56">
        <v>0</v>
      </c>
      <c r="BE206" s="56" t="e">
        <f>#REF!</f>
        <v>#REF!</v>
      </c>
      <c r="BG206" s="56">
        <f>G206*AN206</f>
        <v>0</v>
      </c>
      <c r="BH206" s="56">
        <f>G206*AO206</f>
        <v>0</v>
      </c>
      <c r="BI206" s="56">
        <f>G206*H206</f>
        <v>0</v>
      </c>
      <c r="BJ206" s="56"/>
      <c r="BK206" s="56"/>
      <c r="BV206" s="56">
        <v>21</v>
      </c>
    </row>
    <row r="207" spans="1:74" ht="15" customHeight="1" x14ac:dyDescent="0.25">
      <c r="A207" s="53"/>
      <c r="D207" s="52" t="s">
        <v>254</v>
      </c>
      <c r="E207" s="37" t="s">
        <v>1185</v>
      </c>
      <c r="G207" s="21">
        <v>0.45900000000000002</v>
      </c>
      <c r="J207" s="48"/>
    </row>
    <row r="208" spans="1:74" ht="13.5" customHeight="1" x14ac:dyDescent="0.25">
      <c r="A208" s="45" t="s">
        <v>128</v>
      </c>
      <c r="B208" s="22" t="s">
        <v>262</v>
      </c>
      <c r="C208" s="22" t="s">
        <v>1115</v>
      </c>
      <c r="D208" s="134" t="s">
        <v>945</v>
      </c>
      <c r="E208" s="106"/>
      <c r="F208" s="22" t="s">
        <v>517</v>
      </c>
      <c r="G208" s="12">
        <f>'Stavební rozpočet'!G527</f>
        <v>21.329000000000001</v>
      </c>
      <c r="H208" s="12">
        <f>'Stavební rozpočet'!H527</f>
        <v>0</v>
      </c>
      <c r="I208" s="12">
        <f>G208*H208</f>
        <v>0</v>
      </c>
      <c r="J208" s="33" t="s">
        <v>501</v>
      </c>
      <c r="Y208" s="56">
        <f>IF(AP208="5",BI208,0)</f>
        <v>0</v>
      </c>
      <c r="AA208" s="56">
        <f>IF(AP208="1",BG208,0)</f>
        <v>0</v>
      </c>
      <c r="AB208" s="56">
        <f>IF(AP208="1",BH208,0)</f>
        <v>0</v>
      </c>
      <c r="AC208" s="56">
        <f>IF(AP208="7",BG208,0)</f>
        <v>0</v>
      </c>
      <c r="AD208" s="56">
        <f>IF(AP208="7",BH208,0)</f>
        <v>0</v>
      </c>
      <c r="AE208" s="56">
        <f>IF(AP208="2",BG208,0)</f>
        <v>0</v>
      </c>
      <c r="AF208" s="56">
        <f>IF(AP208="2",BH208,0)</f>
        <v>0</v>
      </c>
      <c r="AG208" s="56">
        <f>IF(AP208="0",BI208,0)</f>
        <v>0</v>
      </c>
      <c r="AH208" s="30" t="s">
        <v>262</v>
      </c>
      <c r="AI208" s="56">
        <f>IF(AM208=0,I208,0)</f>
        <v>0</v>
      </c>
      <c r="AJ208" s="56">
        <f>IF(AM208=15,I208,0)</f>
        <v>0</v>
      </c>
      <c r="AK208" s="56">
        <f>IF(AM208=21,I208,0)</f>
        <v>0</v>
      </c>
      <c r="AM208" s="56">
        <v>21</v>
      </c>
      <c r="AN208" s="56">
        <f>H208*0</f>
        <v>0</v>
      </c>
      <c r="AO208" s="56">
        <f>H208*(1-0)</f>
        <v>0</v>
      </c>
      <c r="AP208" s="41" t="s">
        <v>596</v>
      </c>
      <c r="AU208" s="56">
        <f>AV208+AW208</f>
        <v>0</v>
      </c>
      <c r="AV208" s="56">
        <f>G208*AN208</f>
        <v>0</v>
      </c>
      <c r="AW208" s="56">
        <f>G208*AO208</f>
        <v>0</v>
      </c>
      <c r="AX208" s="41" t="s">
        <v>465</v>
      </c>
      <c r="AY208" s="41" t="s">
        <v>633</v>
      </c>
      <c r="AZ208" s="30" t="s">
        <v>478</v>
      </c>
      <c r="BB208" s="56">
        <f>AV208+AW208</f>
        <v>0</v>
      </c>
      <c r="BC208" s="56">
        <f>H208/(100-BD208)*100</f>
        <v>0</v>
      </c>
      <c r="BD208" s="56">
        <v>0</v>
      </c>
      <c r="BE208" s="56" t="e">
        <f>#REF!</f>
        <v>#REF!</v>
      </c>
      <c r="BG208" s="56">
        <f>G208*AN208</f>
        <v>0</v>
      </c>
      <c r="BH208" s="56">
        <f>G208*AO208</f>
        <v>0</v>
      </c>
      <c r="BI208" s="56">
        <f>G208*H208</f>
        <v>0</v>
      </c>
      <c r="BJ208" s="56"/>
      <c r="BK208" s="56"/>
      <c r="BV208" s="56">
        <v>21</v>
      </c>
    </row>
    <row r="209" spans="1:10" ht="15" customHeight="1" x14ac:dyDescent="0.25">
      <c r="I209" s="34">
        <f>ROUND(I13+I27+I30+I38+I42+I47+I52+I66+I70+I78+I82+I85+I101+I134+I173+I183+I186+I192+I194+I196+I199,1)</f>
        <v>0</v>
      </c>
    </row>
    <row r="210" spans="1:10" ht="15" customHeight="1" x14ac:dyDescent="0.25">
      <c r="A210" s="46" t="s">
        <v>101</v>
      </c>
    </row>
    <row r="211" spans="1:10" ht="12.75" customHeight="1" x14ac:dyDescent="0.25">
      <c r="A211" s="76" t="s">
        <v>769</v>
      </c>
      <c r="B211" s="77"/>
      <c r="C211" s="77"/>
      <c r="D211" s="77"/>
      <c r="E211" s="77"/>
      <c r="F211" s="77"/>
      <c r="G211" s="77"/>
      <c r="H211" s="77"/>
      <c r="I211" s="77"/>
      <c r="J211" s="77"/>
    </row>
  </sheetData>
  <mergeCells count="152">
    <mergeCell ref="A1:J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D11:E11"/>
    <mergeCell ref="D12:E12"/>
    <mergeCell ref="D13:E13"/>
    <mergeCell ref="D14:E14"/>
    <mergeCell ref="D17:E17"/>
    <mergeCell ref="D18:E18"/>
    <mergeCell ref="H8:H9"/>
    <mergeCell ref="J2:J3"/>
    <mergeCell ref="J4:J5"/>
    <mergeCell ref="J6:J7"/>
    <mergeCell ref="J8:J9"/>
    <mergeCell ref="D10:E10"/>
    <mergeCell ref="I4:I5"/>
    <mergeCell ref="I6:I7"/>
    <mergeCell ref="I8:I9"/>
    <mergeCell ref="D2:E3"/>
    <mergeCell ref="D4:E5"/>
    <mergeCell ref="D6:E7"/>
    <mergeCell ref="D8:E9"/>
    <mergeCell ref="H2:H3"/>
    <mergeCell ref="H4:H5"/>
    <mergeCell ref="H6:H7"/>
    <mergeCell ref="D30:E30"/>
    <mergeCell ref="D31:E31"/>
    <mergeCell ref="D34:E34"/>
    <mergeCell ref="D36:E36"/>
    <mergeCell ref="D38:E38"/>
    <mergeCell ref="D39:E39"/>
    <mergeCell ref="D22:E22"/>
    <mergeCell ref="D24:E24"/>
    <mergeCell ref="D25:E25"/>
    <mergeCell ref="D26:J26"/>
    <mergeCell ref="D27:E27"/>
    <mergeCell ref="D28:E28"/>
    <mergeCell ref="D50:E50"/>
    <mergeCell ref="D52:E52"/>
    <mergeCell ref="D53:E53"/>
    <mergeCell ref="D54:E54"/>
    <mergeCell ref="D55:E55"/>
    <mergeCell ref="D59:E59"/>
    <mergeCell ref="D40:E40"/>
    <mergeCell ref="D42:E42"/>
    <mergeCell ref="D43:E43"/>
    <mergeCell ref="D46:E46"/>
    <mergeCell ref="D47:E47"/>
    <mergeCell ref="D48:E48"/>
    <mergeCell ref="D72:J72"/>
    <mergeCell ref="D75:E75"/>
    <mergeCell ref="D76:J76"/>
    <mergeCell ref="D77:E77"/>
    <mergeCell ref="D78:E78"/>
    <mergeCell ref="D79:E79"/>
    <mergeCell ref="D61:E61"/>
    <mergeCell ref="D62:J62"/>
    <mergeCell ref="D66:E66"/>
    <mergeCell ref="D67:E67"/>
    <mergeCell ref="D70:E70"/>
    <mergeCell ref="D71:E71"/>
    <mergeCell ref="D86:E86"/>
    <mergeCell ref="D87:E87"/>
    <mergeCell ref="D89:E89"/>
    <mergeCell ref="D91:E91"/>
    <mergeCell ref="D93:E93"/>
    <mergeCell ref="D94:E94"/>
    <mergeCell ref="D80:E80"/>
    <mergeCell ref="D81:E81"/>
    <mergeCell ref="D82:E82"/>
    <mergeCell ref="D83:E83"/>
    <mergeCell ref="D84:J84"/>
    <mergeCell ref="D85:E85"/>
    <mergeCell ref="D105:E105"/>
    <mergeCell ref="D107:E107"/>
    <mergeCell ref="D109:E109"/>
    <mergeCell ref="D111:E111"/>
    <mergeCell ref="D113:E113"/>
    <mergeCell ref="D114:E114"/>
    <mergeCell ref="D96:E96"/>
    <mergeCell ref="D98:E98"/>
    <mergeCell ref="D99:E99"/>
    <mergeCell ref="D101:E101"/>
    <mergeCell ref="D102:E102"/>
    <mergeCell ref="D103:E103"/>
    <mergeCell ref="D126:E126"/>
    <mergeCell ref="D128:E128"/>
    <mergeCell ref="D130:E130"/>
    <mergeCell ref="D131:E131"/>
    <mergeCell ref="D133:E133"/>
    <mergeCell ref="D134:E134"/>
    <mergeCell ref="D116:E116"/>
    <mergeCell ref="D118:E118"/>
    <mergeCell ref="D119:E119"/>
    <mergeCell ref="D121:E121"/>
    <mergeCell ref="D122:E122"/>
    <mergeCell ref="D124:E124"/>
    <mergeCell ref="D144:E144"/>
    <mergeCell ref="D146:E146"/>
    <mergeCell ref="D148:E148"/>
    <mergeCell ref="D150:E150"/>
    <mergeCell ref="D152:E152"/>
    <mergeCell ref="D153:E153"/>
    <mergeCell ref="D135:E135"/>
    <mergeCell ref="D136:E136"/>
    <mergeCell ref="D138:E138"/>
    <mergeCell ref="D140:E140"/>
    <mergeCell ref="D141:E141"/>
    <mergeCell ref="D143:E143"/>
    <mergeCell ref="D165:E165"/>
    <mergeCell ref="D167:E167"/>
    <mergeCell ref="D169:E169"/>
    <mergeCell ref="D171:E171"/>
    <mergeCell ref="D173:E173"/>
    <mergeCell ref="D174:E174"/>
    <mergeCell ref="D155:E155"/>
    <mergeCell ref="D157:E157"/>
    <mergeCell ref="D158:E158"/>
    <mergeCell ref="D160:E160"/>
    <mergeCell ref="D162:E162"/>
    <mergeCell ref="D163:E163"/>
    <mergeCell ref="D187:E187"/>
    <mergeCell ref="D188:E188"/>
    <mergeCell ref="D190:E190"/>
    <mergeCell ref="D191:E191"/>
    <mergeCell ref="D192:E192"/>
    <mergeCell ref="D193:E193"/>
    <mergeCell ref="D176:E176"/>
    <mergeCell ref="D178:E178"/>
    <mergeCell ref="D180:E180"/>
    <mergeCell ref="D183:E183"/>
    <mergeCell ref="D184:E184"/>
    <mergeCell ref="D186:E186"/>
    <mergeCell ref="D202:E202"/>
    <mergeCell ref="D204:E204"/>
    <mergeCell ref="D205:E205"/>
    <mergeCell ref="D206:E206"/>
    <mergeCell ref="D208:E208"/>
    <mergeCell ref="A211:J211"/>
    <mergeCell ref="D194:E194"/>
    <mergeCell ref="D195:E195"/>
    <mergeCell ref="D196:E196"/>
    <mergeCell ref="D197:E197"/>
    <mergeCell ref="D199:E199"/>
    <mergeCell ref="D200:E200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I35"/>
  <sheetViews>
    <sheetView showOutlineSymbols="0" workbookViewId="0">
      <selection activeCell="F6" sqref="F6:G7"/>
    </sheetView>
  </sheetViews>
  <sheetFormatPr defaultColWidth="14.1640625" defaultRowHeight="15" customHeight="1" x14ac:dyDescent="0.25"/>
  <cols>
    <col min="1" max="1" width="10.6640625"/>
    <col min="2" max="2" width="15"/>
    <col min="3" max="3" width="31.6640625"/>
    <col min="4" max="4" width="11.6640625"/>
    <col min="5" max="5" width="16.33203125"/>
    <col min="6" max="6" width="31.6640625"/>
    <col min="7" max="7" width="10.6640625"/>
    <col min="8" max="8" width="15"/>
    <col min="9" max="9" width="31.6640625"/>
  </cols>
  <sheetData>
    <row r="1" spans="1:9" ht="54.75" customHeight="1" x14ac:dyDescent="0.25">
      <c r="A1" s="110" t="s">
        <v>854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/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/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/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/>
      <c r="G8" s="77"/>
      <c r="H8" s="77" t="s">
        <v>1122</v>
      </c>
      <c r="I8" s="100">
        <v>48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/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2" spans="1:9" ht="22.5" customHeight="1" x14ac:dyDescent="0.25">
      <c r="A12" s="103" t="s">
        <v>178</v>
      </c>
      <c r="B12" s="103"/>
      <c r="C12" s="103"/>
      <c r="D12" s="103"/>
      <c r="E12" s="103"/>
      <c r="F12" s="103"/>
      <c r="G12" s="103"/>
      <c r="H12" s="103"/>
      <c r="I12" s="103"/>
    </row>
    <row r="13" spans="1:9" ht="26.25" customHeight="1" x14ac:dyDescent="0.25">
      <c r="A13" s="2" t="s">
        <v>993</v>
      </c>
      <c r="B13" s="93" t="s">
        <v>137</v>
      </c>
      <c r="C13" s="94"/>
      <c r="D13" s="51" t="s">
        <v>192</v>
      </c>
      <c r="E13" s="93" t="s">
        <v>406</v>
      </c>
      <c r="F13" s="94"/>
      <c r="G13" s="51" t="s">
        <v>710</v>
      </c>
      <c r="H13" s="93" t="s">
        <v>195</v>
      </c>
      <c r="I13" s="94"/>
    </row>
    <row r="14" spans="1:9" ht="15" customHeight="1" x14ac:dyDescent="0.25">
      <c r="A14" s="61" t="s">
        <v>417</v>
      </c>
      <c r="B14" s="3" t="s">
        <v>280</v>
      </c>
      <c r="C14" s="60">
        <f>SUM('Stavební rozpočet (SO 03)'!AA12:AA720)</f>
        <v>0</v>
      </c>
      <c r="D14" s="85" t="s">
        <v>791</v>
      </c>
      <c r="E14" s="86"/>
      <c r="F14" s="60">
        <f>'VORN objektu (SO 03)'!I15</f>
        <v>0</v>
      </c>
      <c r="G14" s="85" t="s">
        <v>118</v>
      </c>
      <c r="H14" s="86"/>
      <c r="I14" s="36">
        <f>'VORN objektu (SO 03)'!I21</f>
        <v>0</v>
      </c>
    </row>
    <row r="15" spans="1:9" ht="15" customHeight="1" x14ac:dyDescent="0.25">
      <c r="A15" s="59" t="s">
        <v>769</v>
      </c>
      <c r="B15" s="3" t="s">
        <v>201</v>
      </c>
      <c r="C15" s="60">
        <f>SUM('Stavební rozpočet (SO 03)'!AB12:AB720)</f>
        <v>0</v>
      </c>
      <c r="D15" s="85" t="s">
        <v>113</v>
      </c>
      <c r="E15" s="86"/>
      <c r="F15" s="60">
        <f>'VORN objektu (SO 03)'!I16</f>
        <v>0</v>
      </c>
      <c r="G15" s="85" t="s">
        <v>878</v>
      </c>
      <c r="H15" s="86"/>
      <c r="I15" s="36">
        <f>'VORN objektu (SO 03)'!I22</f>
        <v>0</v>
      </c>
    </row>
    <row r="16" spans="1:9" ht="15" customHeight="1" x14ac:dyDescent="0.25">
      <c r="A16" s="61" t="s">
        <v>110</v>
      </c>
      <c r="B16" s="3" t="s">
        <v>280</v>
      </c>
      <c r="C16" s="60">
        <f>SUM('Stavební rozpočet (SO 03)'!AC12:AC720)</f>
        <v>0</v>
      </c>
      <c r="D16" s="85" t="s">
        <v>819</v>
      </c>
      <c r="E16" s="86"/>
      <c r="F16" s="60">
        <f>'VORN objektu (SO 03)'!I17</f>
        <v>0</v>
      </c>
      <c r="G16" s="85" t="s">
        <v>1076</v>
      </c>
      <c r="H16" s="86"/>
      <c r="I16" s="36">
        <f>'VORN objektu (SO 03)'!I23</f>
        <v>0</v>
      </c>
    </row>
    <row r="17" spans="1:9" ht="15" customHeight="1" x14ac:dyDescent="0.25">
      <c r="A17" s="59" t="s">
        <v>769</v>
      </c>
      <c r="B17" s="3" t="s">
        <v>201</v>
      </c>
      <c r="C17" s="60">
        <f>SUM('Stavební rozpočet (SO 03)'!AD12:AD720)</f>
        <v>0</v>
      </c>
      <c r="D17" s="85" t="s">
        <v>769</v>
      </c>
      <c r="E17" s="86"/>
      <c r="F17" s="36" t="s">
        <v>769</v>
      </c>
      <c r="G17" s="85" t="s">
        <v>595</v>
      </c>
      <c r="H17" s="86"/>
      <c r="I17" s="36">
        <f>'VORN objektu (SO 03)'!I24</f>
        <v>0</v>
      </c>
    </row>
    <row r="18" spans="1:9" ht="15" customHeight="1" x14ac:dyDescent="0.25">
      <c r="A18" s="61" t="s">
        <v>340</v>
      </c>
      <c r="B18" s="3" t="s">
        <v>280</v>
      </c>
      <c r="C18" s="60">
        <f>SUM('Stavební rozpočet (SO 03)'!AE12:AE720)</f>
        <v>0</v>
      </c>
      <c r="D18" s="85" t="s">
        <v>769</v>
      </c>
      <c r="E18" s="86"/>
      <c r="F18" s="36" t="s">
        <v>769</v>
      </c>
      <c r="G18" s="85" t="s">
        <v>722</v>
      </c>
      <c r="H18" s="86"/>
      <c r="I18" s="36">
        <f>'VORN objektu (SO 03)'!I25</f>
        <v>0</v>
      </c>
    </row>
    <row r="19" spans="1:9" ht="15" customHeight="1" x14ac:dyDescent="0.25">
      <c r="A19" s="59" t="s">
        <v>769</v>
      </c>
      <c r="B19" s="3" t="s">
        <v>201</v>
      </c>
      <c r="C19" s="60">
        <f>SUM('Stavební rozpočet (SO 03)'!AF12:AF720)</f>
        <v>0</v>
      </c>
      <c r="D19" s="85" t="s">
        <v>769</v>
      </c>
      <c r="E19" s="86"/>
      <c r="F19" s="36" t="s">
        <v>769</v>
      </c>
      <c r="G19" s="85" t="s">
        <v>1105</v>
      </c>
      <c r="H19" s="86"/>
      <c r="I19" s="36">
        <f>'VORN objektu (SO 03)'!I26</f>
        <v>0</v>
      </c>
    </row>
    <row r="20" spans="1:9" ht="15" customHeight="1" x14ac:dyDescent="0.25">
      <c r="A20" s="92" t="s">
        <v>87</v>
      </c>
      <c r="B20" s="91"/>
      <c r="C20" s="60">
        <f>SUM('Stavební rozpočet (SO 03)'!AG12:AG720)</f>
        <v>0</v>
      </c>
      <c r="D20" s="85" t="s">
        <v>769</v>
      </c>
      <c r="E20" s="86"/>
      <c r="F20" s="36" t="s">
        <v>769</v>
      </c>
      <c r="G20" s="85" t="s">
        <v>769</v>
      </c>
      <c r="H20" s="86"/>
      <c r="I20" s="36" t="s">
        <v>769</v>
      </c>
    </row>
    <row r="21" spans="1:9" ht="15" customHeight="1" x14ac:dyDescent="0.25">
      <c r="A21" s="95" t="s">
        <v>1104</v>
      </c>
      <c r="B21" s="96"/>
      <c r="C21" s="38">
        <f>SUM('Stavební rozpočet (SO 03)'!Y12:Y720)</f>
        <v>0</v>
      </c>
      <c r="D21" s="72" t="s">
        <v>769</v>
      </c>
      <c r="E21" s="87"/>
      <c r="F21" s="29" t="s">
        <v>769</v>
      </c>
      <c r="G21" s="72" t="s">
        <v>769</v>
      </c>
      <c r="H21" s="87"/>
      <c r="I21" s="29" t="s">
        <v>769</v>
      </c>
    </row>
    <row r="22" spans="1:9" ht="16.5" customHeight="1" x14ac:dyDescent="0.25">
      <c r="A22" s="97" t="s">
        <v>208</v>
      </c>
      <c r="B22" s="89"/>
      <c r="C22" s="42">
        <f>ROUND(SUM(C14:C21),1)</f>
        <v>0</v>
      </c>
      <c r="D22" s="88" t="s">
        <v>580</v>
      </c>
      <c r="E22" s="89"/>
      <c r="F22" s="42">
        <f>SUM(F14:F21)</f>
        <v>0</v>
      </c>
      <c r="G22" s="88" t="s">
        <v>1124</v>
      </c>
      <c r="H22" s="89"/>
      <c r="I22" s="42">
        <f>SUM(I14:I21)</f>
        <v>0</v>
      </c>
    </row>
    <row r="23" spans="1:9" ht="15" customHeight="1" x14ac:dyDescent="0.25">
      <c r="G23" s="92" t="s">
        <v>672</v>
      </c>
      <c r="H23" s="91"/>
      <c r="I23" s="60">
        <f>'VORN objektu (SO 03)'!I45</f>
        <v>0</v>
      </c>
    </row>
    <row r="25" spans="1:9" ht="15" customHeight="1" x14ac:dyDescent="0.25">
      <c r="A25" s="81" t="s">
        <v>457</v>
      </c>
      <c r="B25" s="82"/>
      <c r="C25" s="62">
        <f>ROUND(SUM('Stavební rozpočet (SO 03)'!AI12:AI720),1)</f>
        <v>0</v>
      </c>
    </row>
    <row r="26" spans="1:9" ht="15" customHeight="1" x14ac:dyDescent="0.25">
      <c r="A26" s="83" t="s">
        <v>30</v>
      </c>
      <c r="B26" s="84"/>
      <c r="C26" s="6">
        <f>ROUND(SUM('Stavební rozpočet (SO 03)'!AJ12:AJ720),1)</f>
        <v>0</v>
      </c>
      <c r="D26" s="82" t="s">
        <v>239</v>
      </c>
      <c r="E26" s="82"/>
      <c r="F26" s="62">
        <f>ROUND(C26*(15/100),2)</f>
        <v>0</v>
      </c>
      <c r="G26" s="82" t="s">
        <v>156</v>
      </c>
      <c r="H26" s="82"/>
      <c r="I26" s="62">
        <f>ROUND(SUM(C25:C27),1)</f>
        <v>0</v>
      </c>
    </row>
    <row r="27" spans="1:9" ht="15" customHeight="1" x14ac:dyDescent="0.25">
      <c r="A27" s="83" t="s">
        <v>59</v>
      </c>
      <c r="B27" s="84"/>
      <c r="C27" s="6">
        <f>ROUND(SUM('Stavební rozpočet (SO 03)'!AK12:AK720),1)</f>
        <v>0</v>
      </c>
      <c r="D27" s="84" t="s">
        <v>826</v>
      </c>
      <c r="E27" s="84"/>
      <c r="F27" s="6">
        <f>ROUND(C27*(21/100),2)</f>
        <v>0</v>
      </c>
      <c r="G27" s="84" t="s">
        <v>452</v>
      </c>
      <c r="H27" s="84"/>
      <c r="I27" s="6">
        <f>ROUND(SUM(F26:F27)+I26,1)</f>
        <v>0</v>
      </c>
    </row>
    <row r="29" spans="1:9" ht="15" customHeight="1" x14ac:dyDescent="0.25">
      <c r="A29" s="78" t="s">
        <v>16</v>
      </c>
      <c r="B29" s="70"/>
      <c r="C29" s="71"/>
      <c r="D29" s="70" t="s">
        <v>1057</v>
      </c>
      <c r="E29" s="70"/>
      <c r="F29" s="71"/>
      <c r="G29" s="70" t="s">
        <v>755</v>
      </c>
      <c r="H29" s="70"/>
      <c r="I29" s="71"/>
    </row>
    <row r="30" spans="1:9" ht="15" customHeight="1" x14ac:dyDescent="0.25">
      <c r="A30" s="79" t="s">
        <v>769</v>
      </c>
      <c r="B30" s="72"/>
      <c r="C30" s="73"/>
      <c r="D30" s="72" t="s">
        <v>769</v>
      </c>
      <c r="E30" s="72"/>
      <c r="F30" s="73"/>
      <c r="G30" s="72" t="s">
        <v>769</v>
      </c>
      <c r="H30" s="72"/>
      <c r="I30" s="73"/>
    </row>
    <row r="31" spans="1:9" ht="15" customHeight="1" x14ac:dyDescent="0.25">
      <c r="A31" s="79" t="s">
        <v>769</v>
      </c>
      <c r="B31" s="72"/>
      <c r="C31" s="73"/>
      <c r="D31" s="72" t="s">
        <v>769</v>
      </c>
      <c r="E31" s="72"/>
      <c r="F31" s="73"/>
      <c r="G31" s="72" t="s">
        <v>769</v>
      </c>
      <c r="H31" s="72"/>
      <c r="I31" s="73"/>
    </row>
    <row r="32" spans="1:9" ht="15" customHeight="1" x14ac:dyDescent="0.25">
      <c r="A32" s="79" t="s">
        <v>769</v>
      </c>
      <c r="B32" s="72"/>
      <c r="C32" s="73"/>
      <c r="D32" s="72" t="s">
        <v>769</v>
      </c>
      <c r="E32" s="72"/>
      <c r="F32" s="73"/>
      <c r="G32" s="72" t="s">
        <v>769</v>
      </c>
      <c r="H32" s="72"/>
      <c r="I32" s="73"/>
    </row>
    <row r="33" spans="1:9" ht="15" customHeight="1" x14ac:dyDescent="0.25">
      <c r="A33" s="80" t="s">
        <v>207</v>
      </c>
      <c r="B33" s="74"/>
      <c r="C33" s="75"/>
      <c r="D33" s="74" t="s">
        <v>207</v>
      </c>
      <c r="E33" s="74"/>
      <c r="F33" s="75"/>
      <c r="G33" s="74" t="s">
        <v>207</v>
      </c>
      <c r="H33" s="74"/>
      <c r="I33" s="75"/>
    </row>
    <row r="34" spans="1:9" ht="15" customHeight="1" x14ac:dyDescent="0.25">
      <c r="A34" s="46" t="s">
        <v>101</v>
      </c>
    </row>
    <row r="35" spans="1:9" ht="12.75" customHeight="1" x14ac:dyDescent="0.25">
      <c r="A35" s="76" t="s">
        <v>769</v>
      </c>
      <c r="B35" s="77"/>
      <c r="C35" s="77"/>
      <c r="D35" s="77"/>
      <c r="E35" s="77"/>
      <c r="F35" s="77"/>
      <c r="G35" s="77"/>
      <c r="H35" s="77"/>
      <c r="I35" s="77"/>
    </row>
  </sheetData>
  <mergeCells count="80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I2:I3"/>
    <mergeCell ref="I4:I5"/>
    <mergeCell ref="I6:I7"/>
    <mergeCell ref="I8:I9"/>
    <mergeCell ref="I10:I11"/>
    <mergeCell ref="B13:C13"/>
    <mergeCell ref="E13:F13"/>
    <mergeCell ref="H13:I13"/>
    <mergeCell ref="A20:B20"/>
    <mergeCell ref="A21:B21"/>
    <mergeCell ref="D14:E14"/>
    <mergeCell ref="D15:E15"/>
    <mergeCell ref="D16:E16"/>
    <mergeCell ref="D17:E17"/>
    <mergeCell ref="G14:H14"/>
    <mergeCell ref="G15:H15"/>
    <mergeCell ref="G16:H16"/>
    <mergeCell ref="G17:H17"/>
    <mergeCell ref="G18:H18"/>
    <mergeCell ref="A25:B25"/>
    <mergeCell ref="D18:E18"/>
    <mergeCell ref="D19:E19"/>
    <mergeCell ref="D20:E20"/>
    <mergeCell ref="D21:E21"/>
    <mergeCell ref="D22:E22"/>
    <mergeCell ref="A22:B22"/>
    <mergeCell ref="G19:H19"/>
    <mergeCell ref="G20:H20"/>
    <mergeCell ref="G21:H21"/>
    <mergeCell ref="G22:H22"/>
    <mergeCell ref="G23:H23"/>
    <mergeCell ref="A26:B26"/>
    <mergeCell ref="A27:B27"/>
    <mergeCell ref="D26:E26"/>
    <mergeCell ref="D27:E27"/>
    <mergeCell ref="G26:H26"/>
    <mergeCell ref="G27:H27"/>
    <mergeCell ref="A35:I35"/>
    <mergeCell ref="A29:C29"/>
    <mergeCell ref="A30:C30"/>
    <mergeCell ref="A31:C31"/>
    <mergeCell ref="A32:C32"/>
    <mergeCell ref="A33:C33"/>
    <mergeCell ref="D29:F29"/>
    <mergeCell ref="D30:F30"/>
    <mergeCell ref="D31:F31"/>
    <mergeCell ref="D32:F32"/>
    <mergeCell ref="D33:F33"/>
    <mergeCell ref="G29:I29"/>
    <mergeCell ref="G30:I30"/>
    <mergeCell ref="G31:I31"/>
    <mergeCell ref="G32:I32"/>
    <mergeCell ref="G33:I33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I45"/>
  <sheetViews>
    <sheetView showOutlineSymbols="0" workbookViewId="0">
      <selection activeCell="A45" sqref="A45:E45"/>
    </sheetView>
  </sheetViews>
  <sheetFormatPr defaultColWidth="14.1640625" defaultRowHeight="15" customHeight="1" x14ac:dyDescent="0.25"/>
  <cols>
    <col min="1" max="1" width="10.6640625"/>
    <col min="2" max="2" width="15"/>
    <col min="3" max="3" width="26.6640625"/>
    <col min="4" max="4" width="11.6640625"/>
    <col min="5" max="5" width="16.33203125"/>
    <col min="6" max="6" width="26.6640625"/>
    <col min="7" max="7" width="10.6640625"/>
    <col min="8" max="8" width="20"/>
    <col min="9" max="9" width="26.6640625"/>
  </cols>
  <sheetData>
    <row r="1" spans="1:9" ht="54.75" customHeight="1" x14ac:dyDescent="0.25">
      <c r="A1" s="110" t="s">
        <v>681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 t="e">
        <f>'Stavební rozpočet'!#REF!</f>
        <v>#REF!</v>
      </c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 t="e">
        <f>'Stavební rozpočet'!#REF!</f>
        <v>#REF!</v>
      </c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 t="e">
        <f>'Stavební rozpočet'!#REF!</f>
        <v>#REF!</v>
      </c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 t="str">
        <f>'Stavební rozpočet'!H6</f>
        <v xml:space="preserve"> </v>
      </c>
      <c r="G8" s="77"/>
      <c r="H8" s="77" t="s">
        <v>1122</v>
      </c>
      <c r="I8" s="100">
        <v>48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 t="e">
        <f>'Stavební rozpočet'!#REF!</f>
        <v>#REF!</v>
      </c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3" spans="1:9" ht="15.75" customHeight="1" x14ac:dyDescent="0.25">
      <c r="A13" s="125" t="s">
        <v>419</v>
      </c>
      <c r="B13" s="125"/>
      <c r="C13" s="125"/>
      <c r="D13" s="125"/>
      <c r="E13" s="125"/>
    </row>
    <row r="14" spans="1:9" ht="15" customHeight="1" x14ac:dyDescent="0.25">
      <c r="A14" s="126" t="s">
        <v>1233</v>
      </c>
      <c r="B14" s="127"/>
      <c r="C14" s="127"/>
      <c r="D14" s="127"/>
      <c r="E14" s="128"/>
      <c r="F14" s="67" t="s">
        <v>1144</v>
      </c>
      <c r="G14" s="67" t="s">
        <v>972</v>
      </c>
      <c r="H14" s="67" t="s">
        <v>272</v>
      </c>
      <c r="I14" s="67" t="s">
        <v>1144</v>
      </c>
    </row>
    <row r="15" spans="1:9" ht="15" customHeight="1" x14ac:dyDescent="0.25">
      <c r="A15" s="115" t="s">
        <v>791</v>
      </c>
      <c r="B15" s="106"/>
      <c r="C15" s="106"/>
      <c r="D15" s="106"/>
      <c r="E15" s="102"/>
      <c r="F15" s="16">
        <v>0</v>
      </c>
      <c r="G15" s="43" t="s">
        <v>769</v>
      </c>
      <c r="H15" s="43" t="s">
        <v>769</v>
      </c>
      <c r="I15" s="16">
        <f>F15</f>
        <v>0</v>
      </c>
    </row>
    <row r="16" spans="1:9" ht="15" customHeight="1" x14ac:dyDescent="0.25">
      <c r="A16" s="115" t="s">
        <v>113</v>
      </c>
      <c r="B16" s="106"/>
      <c r="C16" s="106"/>
      <c r="D16" s="106"/>
      <c r="E16" s="102"/>
      <c r="F16" s="16">
        <v>0</v>
      </c>
      <c r="G16" s="43" t="s">
        <v>769</v>
      </c>
      <c r="H16" s="43" t="s">
        <v>769</v>
      </c>
      <c r="I16" s="16">
        <f>F16</f>
        <v>0</v>
      </c>
    </row>
    <row r="17" spans="1:9" ht="15" customHeight="1" x14ac:dyDescent="0.25">
      <c r="A17" s="113" t="s">
        <v>819</v>
      </c>
      <c r="B17" s="77"/>
      <c r="C17" s="77"/>
      <c r="D17" s="77"/>
      <c r="E17" s="99"/>
      <c r="F17" s="32">
        <v>0</v>
      </c>
      <c r="G17" s="18" t="s">
        <v>769</v>
      </c>
      <c r="H17" s="18" t="s">
        <v>769</v>
      </c>
      <c r="I17" s="32">
        <f>F17</f>
        <v>0</v>
      </c>
    </row>
    <row r="18" spans="1:9" ht="15" customHeight="1" x14ac:dyDescent="0.25">
      <c r="A18" s="116" t="s">
        <v>1184</v>
      </c>
      <c r="B18" s="117"/>
      <c r="C18" s="117"/>
      <c r="D18" s="117"/>
      <c r="E18" s="118"/>
      <c r="F18" s="5" t="s">
        <v>769</v>
      </c>
      <c r="G18" s="26" t="s">
        <v>769</v>
      </c>
      <c r="H18" s="26" t="s">
        <v>769</v>
      </c>
      <c r="I18" s="25">
        <f>SUM(I15:I17)</f>
        <v>0</v>
      </c>
    </row>
    <row r="20" spans="1:9" ht="15" customHeight="1" x14ac:dyDescent="0.25">
      <c r="A20" s="126" t="s">
        <v>195</v>
      </c>
      <c r="B20" s="127"/>
      <c r="C20" s="127"/>
      <c r="D20" s="127"/>
      <c r="E20" s="128"/>
      <c r="F20" s="67" t="s">
        <v>1144</v>
      </c>
      <c r="G20" s="67" t="s">
        <v>972</v>
      </c>
      <c r="H20" s="67" t="s">
        <v>272</v>
      </c>
      <c r="I20" s="67" t="s">
        <v>1144</v>
      </c>
    </row>
    <row r="21" spans="1:9" ht="15" customHeight="1" x14ac:dyDescent="0.25">
      <c r="A21" s="115" t="s">
        <v>118</v>
      </c>
      <c r="B21" s="106"/>
      <c r="C21" s="106"/>
      <c r="D21" s="106"/>
      <c r="E21" s="102"/>
      <c r="F21" s="16">
        <v>0</v>
      </c>
      <c r="G21" s="43" t="s">
        <v>769</v>
      </c>
      <c r="H21" s="43" t="s">
        <v>769</v>
      </c>
      <c r="I21" s="16">
        <f t="shared" ref="I21:I26" si="0">F21</f>
        <v>0</v>
      </c>
    </row>
    <row r="22" spans="1:9" ht="15" customHeight="1" x14ac:dyDescent="0.25">
      <c r="A22" s="115" t="s">
        <v>878</v>
      </c>
      <c r="B22" s="106"/>
      <c r="C22" s="106"/>
      <c r="D22" s="106"/>
      <c r="E22" s="102"/>
      <c r="F22" s="16">
        <v>0</v>
      </c>
      <c r="G22" s="43" t="s">
        <v>769</v>
      </c>
      <c r="H22" s="43" t="s">
        <v>769</v>
      </c>
      <c r="I22" s="16">
        <f t="shared" si="0"/>
        <v>0</v>
      </c>
    </row>
    <row r="23" spans="1:9" ht="15" customHeight="1" x14ac:dyDescent="0.25">
      <c r="A23" s="115" t="s">
        <v>1076</v>
      </c>
      <c r="B23" s="106"/>
      <c r="C23" s="106"/>
      <c r="D23" s="106"/>
      <c r="E23" s="102"/>
      <c r="F23" s="16">
        <v>0</v>
      </c>
      <c r="G23" s="43" t="s">
        <v>769</v>
      </c>
      <c r="H23" s="43" t="s">
        <v>769</v>
      </c>
      <c r="I23" s="16">
        <f t="shared" si="0"/>
        <v>0</v>
      </c>
    </row>
    <row r="24" spans="1:9" ht="15" customHeight="1" x14ac:dyDescent="0.25">
      <c r="A24" s="115" t="s">
        <v>595</v>
      </c>
      <c r="B24" s="106"/>
      <c r="C24" s="106"/>
      <c r="D24" s="106"/>
      <c r="E24" s="102"/>
      <c r="F24" s="16">
        <v>0</v>
      </c>
      <c r="G24" s="43" t="s">
        <v>769</v>
      </c>
      <c r="H24" s="43" t="s">
        <v>769</v>
      </c>
      <c r="I24" s="16">
        <f t="shared" si="0"/>
        <v>0</v>
      </c>
    </row>
    <row r="25" spans="1:9" ht="15" customHeight="1" x14ac:dyDescent="0.25">
      <c r="A25" s="115" t="s">
        <v>722</v>
      </c>
      <c r="B25" s="106"/>
      <c r="C25" s="106"/>
      <c r="D25" s="106"/>
      <c r="E25" s="102"/>
      <c r="F25" s="16">
        <v>0</v>
      </c>
      <c r="G25" s="43" t="s">
        <v>769</v>
      </c>
      <c r="H25" s="43" t="s">
        <v>769</v>
      </c>
      <c r="I25" s="16">
        <f t="shared" si="0"/>
        <v>0</v>
      </c>
    </row>
    <row r="26" spans="1:9" ht="15" customHeight="1" x14ac:dyDescent="0.25">
      <c r="A26" s="113" t="s">
        <v>1105</v>
      </c>
      <c r="B26" s="77"/>
      <c r="C26" s="77"/>
      <c r="D26" s="77"/>
      <c r="E26" s="99"/>
      <c r="F26" s="32">
        <v>0</v>
      </c>
      <c r="G26" s="18" t="s">
        <v>769</v>
      </c>
      <c r="H26" s="18" t="s">
        <v>769</v>
      </c>
      <c r="I26" s="32">
        <f t="shared" si="0"/>
        <v>0</v>
      </c>
    </row>
    <row r="27" spans="1:9" ht="15" customHeight="1" x14ac:dyDescent="0.25">
      <c r="A27" s="116" t="s">
        <v>453</v>
      </c>
      <c r="B27" s="117"/>
      <c r="C27" s="117"/>
      <c r="D27" s="117"/>
      <c r="E27" s="118"/>
      <c r="F27" s="5" t="s">
        <v>769</v>
      </c>
      <c r="G27" s="26" t="s">
        <v>769</v>
      </c>
      <c r="H27" s="26" t="s">
        <v>769</v>
      </c>
      <c r="I27" s="25">
        <f>SUM(I21:I26)</f>
        <v>0</v>
      </c>
    </row>
    <row r="29" spans="1:9" ht="15.75" customHeight="1" x14ac:dyDescent="0.25">
      <c r="A29" s="119" t="s">
        <v>1153</v>
      </c>
      <c r="B29" s="120"/>
      <c r="C29" s="120"/>
      <c r="D29" s="120"/>
      <c r="E29" s="121"/>
      <c r="F29" s="122">
        <f>I18+I27</f>
        <v>0</v>
      </c>
      <c r="G29" s="123"/>
      <c r="H29" s="123"/>
      <c r="I29" s="124"/>
    </row>
    <row r="33" spans="1:9" ht="15.75" customHeight="1" x14ac:dyDescent="0.25">
      <c r="A33" s="125" t="s">
        <v>36</v>
      </c>
      <c r="B33" s="125"/>
      <c r="C33" s="125"/>
      <c r="D33" s="125"/>
      <c r="E33" s="125"/>
    </row>
    <row r="34" spans="1:9" ht="15" customHeight="1" x14ac:dyDescent="0.25">
      <c r="A34" s="126" t="s">
        <v>22</v>
      </c>
      <c r="B34" s="127"/>
      <c r="C34" s="127"/>
      <c r="D34" s="127"/>
      <c r="E34" s="128"/>
      <c r="F34" s="67" t="s">
        <v>1144</v>
      </c>
      <c r="G34" s="67" t="s">
        <v>972</v>
      </c>
      <c r="H34" s="67" t="s">
        <v>272</v>
      </c>
      <c r="I34" s="67" t="s">
        <v>1144</v>
      </c>
    </row>
    <row r="35" spans="1:9" ht="15" customHeight="1" x14ac:dyDescent="0.25">
      <c r="A35" s="115" t="s">
        <v>531</v>
      </c>
      <c r="B35" s="106"/>
      <c r="C35" s="106"/>
      <c r="D35" s="106"/>
      <c r="E35" s="102"/>
      <c r="F35" s="16">
        <f>SUM('Stavební rozpočet'!BL12:BL720)</f>
        <v>0</v>
      </c>
      <c r="G35" s="43" t="s">
        <v>769</v>
      </c>
      <c r="H35" s="43" t="s">
        <v>769</v>
      </c>
      <c r="I35" s="16">
        <f t="shared" ref="I35:I44" si="1">F35</f>
        <v>0</v>
      </c>
    </row>
    <row r="36" spans="1:9" ht="15" customHeight="1" x14ac:dyDescent="0.25">
      <c r="A36" s="115" t="s">
        <v>951</v>
      </c>
      <c r="B36" s="106"/>
      <c r="C36" s="106"/>
      <c r="D36" s="106"/>
      <c r="E36" s="102"/>
      <c r="F36" s="16">
        <f>SUM('Stavební rozpočet'!BM12:BM720)</f>
        <v>0</v>
      </c>
      <c r="G36" s="43" t="s">
        <v>769</v>
      </c>
      <c r="H36" s="43" t="s">
        <v>769</v>
      </c>
      <c r="I36" s="16">
        <f t="shared" si="1"/>
        <v>0</v>
      </c>
    </row>
    <row r="37" spans="1:9" ht="15" customHeight="1" x14ac:dyDescent="0.25">
      <c r="A37" s="115" t="s">
        <v>118</v>
      </c>
      <c r="B37" s="106"/>
      <c r="C37" s="106"/>
      <c r="D37" s="106"/>
      <c r="E37" s="102"/>
      <c r="F37" s="16">
        <f>SUM('Stavební rozpočet'!BN12:BN720)</f>
        <v>0</v>
      </c>
      <c r="G37" s="43" t="s">
        <v>769</v>
      </c>
      <c r="H37" s="43" t="s">
        <v>769</v>
      </c>
      <c r="I37" s="16">
        <f t="shared" si="1"/>
        <v>0</v>
      </c>
    </row>
    <row r="38" spans="1:9" ht="15" customHeight="1" x14ac:dyDescent="0.25">
      <c r="A38" s="115" t="s">
        <v>910</v>
      </c>
      <c r="B38" s="106"/>
      <c r="C38" s="106"/>
      <c r="D38" s="106"/>
      <c r="E38" s="102"/>
      <c r="F38" s="16">
        <f>SUM('Stavební rozpočet'!BO12:BO720)</f>
        <v>0</v>
      </c>
      <c r="G38" s="43" t="s">
        <v>769</v>
      </c>
      <c r="H38" s="43" t="s">
        <v>769</v>
      </c>
      <c r="I38" s="16">
        <f t="shared" si="1"/>
        <v>0</v>
      </c>
    </row>
    <row r="39" spans="1:9" ht="15" customHeight="1" x14ac:dyDescent="0.25">
      <c r="A39" s="115" t="s">
        <v>1074</v>
      </c>
      <c r="B39" s="106"/>
      <c r="C39" s="106"/>
      <c r="D39" s="106"/>
      <c r="E39" s="102"/>
      <c r="F39" s="16">
        <f>SUM('Stavební rozpočet'!BP12:BP720)</f>
        <v>0</v>
      </c>
      <c r="G39" s="43" t="s">
        <v>769</v>
      </c>
      <c r="H39" s="43" t="s">
        <v>769</v>
      </c>
      <c r="I39" s="16">
        <f t="shared" si="1"/>
        <v>0</v>
      </c>
    </row>
    <row r="40" spans="1:9" ht="15" customHeight="1" x14ac:dyDescent="0.25">
      <c r="A40" s="115" t="s">
        <v>1076</v>
      </c>
      <c r="B40" s="106"/>
      <c r="C40" s="106"/>
      <c r="D40" s="106"/>
      <c r="E40" s="102"/>
      <c r="F40" s="16">
        <f>SUM('Stavební rozpočet'!BQ12:BQ720)</f>
        <v>0</v>
      </c>
      <c r="G40" s="43" t="s">
        <v>769</v>
      </c>
      <c r="H40" s="43" t="s">
        <v>769</v>
      </c>
      <c r="I40" s="16">
        <f t="shared" si="1"/>
        <v>0</v>
      </c>
    </row>
    <row r="41" spans="1:9" ht="15" customHeight="1" x14ac:dyDescent="0.25">
      <c r="A41" s="115" t="s">
        <v>595</v>
      </c>
      <c r="B41" s="106"/>
      <c r="C41" s="106"/>
      <c r="D41" s="106"/>
      <c r="E41" s="102"/>
      <c r="F41" s="16">
        <f>SUM('Stavební rozpočet'!BR12:BR720)</f>
        <v>0</v>
      </c>
      <c r="G41" s="43" t="s">
        <v>769</v>
      </c>
      <c r="H41" s="43" t="s">
        <v>769</v>
      </c>
      <c r="I41" s="16">
        <f t="shared" si="1"/>
        <v>0</v>
      </c>
    </row>
    <row r="42" spans="1:9" ht="15" customHeight="1" x14ac:dyDescent="0.25">
      <c r="A42" s="115" t="s">
        <v>1244</v>
      </c>
      <c r="B42" s="106"/>
      <c r="C42" s="106"/>
      <c r="D42" s="106"/>
      <c r="E42" s="102"/>
      <c r="F42" s="16">
        <f>SUM('Stavební rozpočet'!BS12:BS720)</f>
        <v>0</v>
      </c>
      <c r="G42" s="43" t="s">
        <v>769</v>
      </c>
      <c r="H42" s="43" t="s">
        <v>769</v>
      </c>
      <c r="I42" s="16">
        <f t="shared" si="1"/>
        <v>0</v>
      </c>
    </row>
    <row r="43" spans="1:9" ht="15" customHeight="1" x14ac:dyDescent="0.25">
      <c r="A43" s="115" t="s">
        <v>292</v>
      </c>
      <c r="B43" s="106"/>
      <c r="C43" s="106"/>
      <c r="D43" s="106"/>
      <c r="E43" s="102"/>
      <c r="F43" s="16">
        <f>SUM('Stavební rozpočet'!BT12:BT720)</f>
        <v>0</v>
      </c>
      <c r="G43" s="43" t="s">
        <v>769</v>
      </c>
      <c r="H43" s="43" t="s">
        <v>769</v>
      </c>
      <c r="I43" s="16">
        <f t="shared" si="1"/>
        <v>0</v>
      </c>
    </row>
    <row r="44" spans="1:9" ht="15" customHeight="1" x14ac:dyDescent="0.25">
      <c r="A44" s="113" t="s">
        <v>1053</v>
      </c>
      <c r="B44" s="77"/>
      <c r="C44" s="77"/>
      <c r="D44" s="77"/>
      <c r="E44" s="99"/>
      <c r="F44" s="32">
        <f>SUM('Stavební rozpočet'!BU12:BU720)</f>
        <v>0</v>
      </c>
      <c r="G44" s="18" t="s">
        <v>769</v>
      </c>
      <c r="H44" s="18" t="s">
        <v>769</v>
      </c>
      <c r="I44" s="32">
        <f t="shared" si="1"/>
        <v>0</v>
      </c>
    </row>
    <row r="45" spans="1:9" ht="15" customHeight="1" x14ac:dyDescent="0.25">
      <c r="A45" s="116" t="s">
        <v>852</v>
      </c>
      <c r="B45" s="117"/>
      <c r="C45" s="117"/>
      <c r="D45" s="117"/>
      <c r="E45" s="118"/>
      <c r="F45" s="5" t="s">
        <v>769</v>
      </c>
      <c r="G45" s="26" t="s">
        <v>769</v>
      </c>
      <c r="H45" s="26" t="s">
        <v>769</v>
      </c>
      <c r="I45" s="25">
        <f>SUM(I35:I44)</f>
        <v>0</v>
      </c>
    </row>
  </sheetData>
  <mergeCells count="60">
    <mergeCell ref="A10:B11"/>
    <mergeCell ref="E2:E3"/>
    <mergeCell ref="E4:E5"/>
    <mergeCell ref="E6:E7"/>
    <mergeCell ref="E8:E9"/>
    <mergeCell ref="A1:I1"/>
    <mergeCell ref="A2:B3"/>
    <mergeCell ref="A4:B5"/>
    <mergeCell ref="A6:B7"/>
    <mergeCell ref="A8:B9"/>
    <mergeCell ref="F10:G11"/>
    <mergeCell ref="E10:E11"/>
    <mergeCell ref="H2:H3"/>
    <mergeCell ref="H4:H5"/>
    <mergeCell ref="H6:H7"/>
    <mergeCell ref="H8:H9"/>
    <mergeCell ref="H10:H11"/>
    <mergeCell ref="A20:E20"/>
    <mergeCell ref="I2:I3"/>
    <mergeCell ref="I4:I5"/>
    <mergeCell ref="I6:I7"/>
    <mergeCell ref="I8:I9"/>
    <mergeCell ref="I10:I11"/>
    <mergeCell ref="A13:E13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A14:E14"/>
    <mergeCell ref="A15:E15"/>
    <mergeCell ref="A16:E16"/>
    <mergeCell ref="A17:E17"/>
    <mergeCell ref="A18:E18"/>
    <mergeCell ref="A35:E35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BV139"/>
  <sheetViews>
    <sheetView showOutlineSymbols="0" workbookViewId="0">
      <pane ySplit="11" topLeftCell="A12" activePane="bottomLeft" state="frozenSplit"/>
      <selection activeCell="A139" sqref="A139:K139"/>
      <selection pane="bottomLeft" activeCell="L9" sqref="L8:L9"/>
    </sheetView>
  </sheetViews>
  <sheetFormatPr defaultColWidth="14.1640625" defaultRowHeight="15" customHeight="1" x14ac:dyDescent="0.25"/>
  <cols>
    <col min="1" max="1" width="4.6640625"/>
    <col min="2" max="2" width="8.83203125"/>
    <col min="3" max="3" width="20.83203125"/>
    <col min="4" max="4" width="50"/>
    <col min="5" max="5" width="41.6640625"/>
    <col min="6" max="6" width="5"/>
    <col min="7" max="7" width="15"/>
    <col min="8" max="8" width="14"/>
    <col min="9" max="9" width="18.33203125" customWidth="1"/>
    <col min="10" max="10" width="15.6640625"/>
    <col min="24" max="74" width="14.1640625" hidden="1"/>
  </cols>
  <sheetData>
    <row r="1" spans="1:74" ht="54.75" customHeight="1" x14ac:dyDescent="0.25">
      <c r="A1" s="111" t="s">
        <v>175</v>
      </c>
      <c r="B1" s="111"/>
      <c r="C1" s="111"/>
      <c r="D1" s="111"/>
      <c r="E1" s="111"/>
      <c r="F1" s="111"/>
      <c r="G1" s="111"/>
      <c r="H1" s="111"/>
      <c r="I1" s="111"/>
      <c r="J1" s="111"/>
      <c r="AR1" s="14">
        <f>SUM(AI1:AI2)</f>
        <v>0</v>
      </c>
      <c r="AS1" s="14">
        <f>SUM(AJ1:AJ2)</f>
        <v>0</v>
      </c>
      <c r="AT1" s="14">
        <f>SUM(AK1:AK2)</f>
        <v>0</v>
      </c>
    </row>
    <row r="2" spans="1:74" ht="15" customHeight="1" x14ac:dyDescent="0.25">
      <c r="A2" s="112" t="s">
        <v>86</v>
      </c>
      <c r="B2" s="105"/>
      <c r="C2" s="105"/>
      <c r="D2" s="107" t="str">
        <f>'Stavební rozpočet'!D2</f>
        <v>JSL13 Předklášteří - obnova vodovodního řadu ul. Komenského, ul. Krátká</v>
      </c>
      <c r="E2" s="108"/>
      <c r="F2" s="105" t="s">
        <v>6</v>
      </c>
      <c r="G2" s="105"/>
      <c r="H2" s="104" t="str">
        <f>'Stavební rozpočet'!H2</f>
        <v xml:space="preserve"> </v>
      </c>
      <c r="I2" s="104" t="s">
        <v>924</v>
      </c>
      <c r="J2" s="98"/>
    </row>
    <row r="3" spans="1:74" ht="15" customHeight="1" x14ac:dyDescent="0.25">
      <c r="A3" s="113"/>
      <c r="B3" s="77"/>
      <c r="C3" s="77"/>
      <c r="D3" s="109"/>
      <c r="E3" s="109"/>
      <c r="F3" s="77"/>
      <c r="G3" s="77"/>
      <c r="H3" s="77"/>
      <c r="I3" s="77"/>
      <c r="J3" s="99"/>
    </row>
    <row r="4" spans="1:74" ht="15" customHeight="1" x14ac:dyDescent="0.25">
      <c r="A4" s="114" t="s">
        <v>610</v>
      </c>
      <c r="B4" s="77"/>
      <c r="C4" s="77"/>
      <c r="D4" s="76" t="str">
        <f>'Stavební rozpočet'!D4</f>
        <v xml:space="preserve"> </v>
      </c>
      <c r="E4" s="77"/>
      <c r="F4" s="77" t="s">
        <v>986</v>
      </c>
      <c r="G4" s="77"/>
      <c r="H4" s="76" t="str">
        <f>'Stavební rozpočet'!H4</f>
        <v>28.09.2023</v>
      </c>
      <c r="I4" s="76" t="s">
        <v>767</v>
      </c>
      <c r="J4" s="99"/>
    </row>
    <row r="5" spans="1:74" ht="15" customHeight="1" x14ac:dyDescent="0.25">
      <c r="A5" s="113"/>
      <c r="B5" s="77"/>
      <c r="C5" s="77"/>
      <c r="D5" s="77"/>
      <c r="E5" s="77"/>
      <c r="F5" s="77"/>
      <c r="G5" s="77"/>
      <c r="H5" s="77"/>
      <c r="I5" s="77"/>
      <c r="J5" s="99"/>
    </row>
    <row r="6" spans="1:74" ht="15" customHeight="1" x14ac:dyDescent="0.25">
      <c r="A6" s="114" t="s">
        <v>104</v>
      </c>
      <c r="B6" s="77"/>
      <c r="C6" s="77"/>
      <c r="D6" s="76" t="str">
        <f>'Stavební rozpočet'!D6</f>
        <v>Předklášteří</v>
      </c>
      <c r="E6" s="77"/>
      <c r="F6" s="77" t="s">
        <v>359</v>
      </c>
      <c r="G6" s="77"/>
      <c r="H6" s="76" t="str">
        <f>'Stavební rozpočet'!H6</f>
        <v xml:space="preserve"> </v>
      </c>
      <c r="I6" s="76" t="s">
        <v>967</v>
      </c>
      <c r="J6" s="99"/>
    </row>
    <row r="7" spans="1:74" ht="15" customHeight="1" x14ac:dyDescent="0.25">
      <c r="A7" s="113"/>
      <c r="B7" s="77"/>
      <c r="C7" s="77"/>
      <c r="D7" s="77"/>
      <c r="E7" s="77"/>
      <c r="F7" s="77"/>
      <c r="G7" s="77"/>
      <c r="H7" s="77"/>
      <c r="I7" s="77"/>
      <c r="J7" s="99"/>
    </row>
    <row r="8" spans="1:74" ht="15" customHeight="1" x14ac:dyDescent="0.25">
      <c r="A8" s="114" t="s">
        <v>546</v>
      </c>
      <c r="B8" s="77"/>
      <c r="C8" s="77"/>
      <c r="D8" s="76" t="str">
        <f>'Stavební rozpočet'!D8</f>
        <v xml:space="preserve"> </v>
      </c>
      <c r="E8" s="77"/>
      <c r="F8" s="77" t="s">
        <v>624</v>
      </c>
      <c r="G8" s="77"/>
      <c r="H8" s="76" t="str">
        <f>'Stavební rozpočet'!H8</f>
        <v>28.09.2023</v>
      </c>
      <c r="I8" s="76" t="s">
        <v>733</v>
      </c>
      <c r="J8" s="99"/>
    </row>
    <row r="9" spans="1:74" ht="15" customHeight="1" x14ac:dyDescent="0.25">
      <c r="A9" s="113"/>
      <c r="B9" s="77"/>
      <c r="C9" s="77"/>
      <c r="D9" s="77"/>
      <c r="E9" s="77"/>
      <c r="F9" s="77"/>
      <c r="G9" s="77"/>
      <c r="H9" s="77"/>
      <c r="I9" s="77"/>
      <c r="J9" s="99"/>
    </row>
    <row r="10" spans="1:74" ht="15" customHeight="1" x14ac:dyDescent="0.25">
      <c r="A10" s="4" t="s">
        <v>93</v>
      </c>
      <c r="B10" s="13" t="s">
        <v>821</v>
      </c>
      <c r="C10" s="13" t="s">
        <v>368</v>
      </c>
      <c r="D10" s="140" t="s">
        <v>768</v>
      </c>
      <c r="E10" s="141"/>
      <c r="F10" s="13" t="s">
        <v>391</v>
      </c>
      <c r="G10" s="1" t="s">
        <v>665</v>
      </c>
      <c r="H10" s="49" t="s">
        <v>357</v>
      </c>
      <c r="I10" s="8" t="s">
        <v>712</v>
      </c>
      <c r="J10" s="7" t="s">
        <v>302</v>
      </c>
      <c r="BJ10" s="30" t="s">
        <v>449</v>
      </c>
      <c r="BK10" s="40" t="s">
        <v>589</v>
      </c>
      <c r="BV10" s="40" t="s">
        <v>1224</v>
      </c>
    </row>
    <row r="11" spans="1:74" ht="15" customHeight="1" x14ac:dyDescent="0.25">
      <c r="A11" s="65" t="s">
        <v>1027</v>
      </c>
      <c r="B11" s="39" t="s">
        <v>1027</v>
      </c>
      <c r="C11" s="39" t="s">
        <v>1027</v>
      </c>
      <c r="D11" s="130" t="s">
        <v>1118</v>
      </c>
      <c r="E11" s="131"/>
      <c r="F11" s="39" t="s">
        <v>1027</v>
      </c>
      <c r="G11" s="39" t="s">
        <v>1027</v>
      </c>
      <c r="H11" s="69" t="s">
        <v>1061</v>
      </c>
      <c r="I11" s="17" t="s">
        <v>114</v>
      </c>
      <c r="J11" s="11" t="s">
        <v>282</v>
      </c>
      <c r="Y11" s="30" t="s">
        <v>866</v>
      </c>
      <c r="Z11" s="30" t="s">
        <v>683</v>
      </c>
      <c r="AA11" s="30" t="s">
        <v>1143</v>
      </c>
      <c r="AB11" s="30" t="s">
        <v>319</v>
      </c>
      <c r="AC11" s="30" t="s">
        <v>939</v>
      </c>
      <c r="AD11" s="30" t="s">
        <v>415</v>
      </c>
      <c r="AE11" s="30" t="s">
        <v>998</v>
      </c>
      <c r="AF11" s="30" t="s">
        <v>487</v>
      </c>
      <c r="AG11" s="30" t="s">
        <v>288</v>
      </c>
      <c r="BG11" s="30" t="s">
        <v>867</v>
      </c>
      <c r="BH11" s="30" t="s">
        <v>1126</v>
      </c>
      <c r="BI11" s="30" t="s">
        <v>1209</v>
      </c>
    </row>
    <row r="12" spans="1:74" ht="15" customHeight="1" x14ac:dyDescent="0.25">
      <c r="A12" s="27" t="s">
        <v>769</v>
      </c>
      <c r="B12" s="28" t="s">
        <v>1212</v>
      </c>
      <c r="C12" s="28" t="s">
        <v>769</v>
      </c>
      <c r="D12" s="132" t="s">
        <v>763</v>
      </c>
      <c r="E12" s="133"/>
      <c r="F12" s="23" t="s">
        <v>1027</v>
      </c>
      <c r="G12" s="23" t="s">
        <v>1027</v>
      </c>
      <c r="H12" s="23" t="s">
        <v>1027</v>
      </c>
      <c r="I12" s="14">
        <f>I13+I24+I30+I38+I45+I50+I71+I74+I81+I94+I102+I112+I117+I121+I127+I129</f>
        <v>0</v>
      </c>
      <c r="J12" s="44" t="s">
        <v>769</v>
      </c>
    </row>
    <row r="13" spans="1:74" ht="15" customHeight="1" x14ac:dyDescent="0.25">
      <c r="A13" s="27" t="s">
        <v>769</v>
      </c>
      <c r="B13" s="28" t="s">
        <v>1212</v>
      </c>
      <c r="C13" s="28" t="s">
        <v>917</v>
      </c>
      <c r="D13" s="132" t="s">
        <v>611</v>
      </c>
      <c r="E13" s="133"/>
      <c r="F13" s="23" t="s">
        <v>1027</v>
      </c>
      <c r="G13" s="23" t="s">
        <v>1027</v>
      </c>
      <c r="H13" s="23" t="s">
        <v>1027</v>
      </c>
      <c r="I13" s="14">
        <f>SUM(I14:I22)</f>
        <v>0</v>
      </c>
      <c r="J13" s="44" t="s">
        <v>769</v>
      </c>
      <c r="AH13" s="30" t="s">
        <v>1212</v>
      </c>
      <c r="AR13" s="14">
        <f>SUM(AI14:AI22)</f>
        <v>0</v>
      </c>
      <c r="AS13" s="14">
        <f>SUM(AJ14:AJ22)</f>
        <v>0</v>
      </c>
      <c r="AT13" s="14">
        <f>SUM(AK14:AK22)</f>
        <v>0</v>
      </c>
    </row>
    <row r="14" spans="1:74" ht="13.5" customHeight="1" x14ac:dyDescent="0.25">
      <c r="A14" s="10" t="s">
        <v>1109</v>
      </c>
      <c r="B14" s="9" t="s">
        <v>1212</v>
      </c>
      <c r="C14" s="9" t="s">
        <v>373</v>
      </c>
      <c r="D14" s="76" t="s">
        <v>885</v>
      </c>
      <c r="E14" s="77"/>
      <c r="F14" s="9" t="s">
        <v>1095</v>
      </c>
      <c r="G14" s="56">
        <f>'Stavební rozpočet'!G530</f>
        <v>11.7</v>
      </c>
      <c r="H14" s="56">
        <f>'Stavební rozpočet'!H530</f>
        <v>0</v>
      </c>
      <c r="I14" s="56">
        <f>G14*H14</f>
        <v>0</v>
      </c>
      <c r="J14" s="54" t="s">
        <v>501</v>
      </c>
      <c r="Y14" s="56">
        <f>IF(AP14="5",BI14,0)</f>
        <v>0</v>
      </c>
      <c r="AA14" s="56">
        <f>IF(AP14="1",BG14,0)</f>
        <v>0</v>
      </c>
      <c r="AB14" s="56">
        <f>IF(AP14="1",BH14,0)</f>
        <v>0</v>
      </c>
      <c r="AC14" s="56">
        <f>IF(AP14="7",BG14,0)</f>
        <v>0</v>
      </c>
      <c r="AD14" s="56">
        <f>IF(AP14="7",BH14,0)</f>
        <v>0</v>
      </c>
      <c r="AE14" s="56">
        <f>IF(AP14="2",BG14,0)</f>
        <v>0</v>
      </c>
      <c r="AF14" s="56">
        <f>IF(AP14="2",BH14,0)</f>
        <v>0</v>
      </c>
      <c r="AG14" s="56">
        <f>IF(AP14="0",BI14,0)</f>
        <v>0</v>
      </c>
      <c r="AH14" s="30" t="s">
        <v>1212</v>
      </c>
      <c r="AI14" s="56">
        <f>IF(AM14=0,I14,0)</f>
        <v>0</v>
      </c>
      <c r="AJ14" s="56">
        <f>IF(AM14=15,I14,0)</f>
        <v>0</v>
      </c>
      <c r="AK14" s="56">
        <f>IF(AM14=21,I14,0)</f>
        <v>0</v>
      </c>
      <c r="AM14" s="56">
        <v>21</v>
      </c>
      <c r="AN14" s="56">
        <f>H14*0</f>
        <v>0</v>
      </c>
      <c r="AO14" s="56">
        <f>H14*(1-0)</f>
        <v>0</v>
      </c>
      <c r="AP14" s="41" t="s">
        <v>1109</v>
      </c>
      <c r="AU14" s="56">
        <f>AV14+AW14</f>
        <v>0</v>
      </c>
      <c r="AV14" s="56">
        <f>G14*AN14</f>
        <v>0</v>
      </c>
      <c r="AW14" s="56">
        <f>G14*AO14</f>
        <v>0</v>
      </c>
      <c r="AX14" s="41" t="s">
        <v>124</v>
      </c>
      <c r="AY14" s="41" t="s">
        <v>404</v>
      </c>
      <c r="AZ14" s="30" t="s">
        <v>1193</v>
      </c>
      <c r="BB14" s="56">
        <f>AV14+AW14</f>
        <v>0</v>
      </c>
      <c r="BC14" s="56">
        <f>H14/(100-BD14)*100</f>
        <v>0</v>
      </c>
      <c r="BD14" s="56">
        <v>0</v>
      </c>
      <c r="BE14" s="56" t="e">
        <f>#REF!</f>
        <v>#REF!</v>
      </c>
      <c r="BG14" s="56">
        <f>G14*AN14</f>
        <v>0</v>
      </c>
      <c r="BH14" s="56">
        <f>G14*AO14</f>
        <v>0</v>
      </c>
      <c r="BI14" s="56">
        <f>G14*H14</f>
        <v>0</v>
      </c>
      <c r="BJ14" s="56"/>
      <c r="BK14" s="56">
        <v>11</v>
      </c>
      <c r="BV14" s="56">
        <v>21</v>
      </c>
    </row>
    <row r="15" spans="1:74" ht="15" customHeight="1" x14ac:dyDescent="0.25">
      <c r="A15" s="53"/>
      <c r="D15" s="52" t="s">
        <v>787</v>
      </c>
      <c r="E15" s="37" t="s">
        <v>715</v>
      </c>
      <c r="G15" s="21">
        <v>0.9</v>
      </c>
      <c r="J15" s="48"/>
    </row>
    <row r="16" spans="1:74" ht="15" customHeight="1" x14ac:dyDescent="0.25">
      <c r="A16" s="53"/>
      <c r="D16" s="52" t="s">
        <v>314</v>
      </c>
      <c r="E16" s="37" t="s">
        <v>425</v>
      </c>
      <c r="G16" s="21">
        <v>2.6</v>
      </c>
      <c r="J16" s="48"/>
    </row>
    <row r="17" spans="1:74" ht="15" customHeight="1" x14ac:dyDescent="0.25">
      <c r="A17" s="53"/>
      <c r="D17" s="52" t="s">
        <v>1069</v>
      </c>
      <c r="E17" s="37" t="s">
        <v>159</v>
      </c>
      <c r="G17" s="21">
        <v>6.5000000000000009</v>
      </c>
      <c r="J17" s="48"/>
    </row>
    <row r="18" spans="1:74" ht="15" customHeight="1" x14ac:dyDescent="0.25">
      <c r="A18" s="53"/>
      <c r="D18" s="52" t="s">
        <v>893</v>
      </c>
      <c r="E18" s="37" t="s">
        <v>80</v>
      </c>
      <c r="G18" s="21">
        <v>1.7000000000000002</v>
      </c>
      <c r="J18" s="48"/>
    </row>
    <row r="19" spans="1:74" ht="13.5" customHeight="1" x14ac:dyDescent="0.25">
      <c r="A19" s="10" t="s">
        <v>766</v>
      </c>
      <c r="B19" s="9" t="s">
        <v>1212</v>
      </c>
      <c r="C19" s="9" t="s">
        <v>980</v>
      </c>
      <c r="D19" s="76" t="s">
        <v>283</v>
      </c>
      <c r="E19" s="77"/>
      <c r="F19" s="9" t="s">
        <v>1095</v>
      </c>
      <c r="G19" s="56">
        <f>'Stavební rozpočet'!G535</f>
        <v>16</v>
      </c>
      <c r="H19" s="56">
        <f>'Stavební rozpočet'!H535</f>
        <v>0</v>
      </c>
      <c r="I19" s="56">
        <f>G19*H19</f>
        <v>0</v>
      </c>
      <c r="J19" s="54" t="s">
        <v>501</v>
      </c>
      <c r="Y19" s="56">
        <f>IF(AP19="5",BI19,0)</f>
        <v>0</v>
      </c>
      <c r="AA19" s="56">
        <f>IF(AP19="1",BG19,0)</f>
        <v>0</v>
      </c>
      <c r="AB19" s="56">
        <f>IF(AP19="1",BH19,0)</f>
        <v>0</v>
      </c>
      <c r="AC19" s="56">
        <f>IF(AP19="7",BG19,0)</f>
        <v>0</v>
      </c>
      <c r="AD19" s="56">
        <f>IF(AP19="7",BH19,0)</f>
        <v>0</v>
      </c>
      <c r="AE19" s="56">
        <f>IF(AP19="2",BG19,0)</f>
        <v>0</v>
      </c>
      <c r="AF19" s="56">
        <f>IF(AP19="2",BH19,0)</f>
        <v>0</v>
      </c>
      <c r="AG19" s="56">
        <f>IF(AP19="0",BI19,0)</f>
        <v>0</v>
      </c>
      <c r="AH19" s="30" t="s">
        <v>1212</v>
      </c>
      <c r="AI19" s="56">
        <f>IF(AM19=0,I19,0)</f>
        <v>0</v>
      </c>
      <c r="AJ19" s="56">
        <f>IF(AM19=15,I19,0)</f>
        <v>0</v>
      </c>
      <c r="AK19" s="56">
        <f>IF(AM19=21,I19,0)</f>
        <v>0</v>
      </c>
      <c r="AM19" s="56">
        <v>21</v>
      </c>
      <c r="AN19" s="56">
        <f>H19*0</f>
        <v>0</v>
      </c>
      <c r="AO19" s="56">
        <f>H19*(1-0)</f>
        <v>0</v>
      </c>
      <c r="AP19" s="41" t="s">
        <v>1109</v>
      </c>
      <c r="AU19" s="56">
        <f>AV19+AW19</f>
        <v>0</v>
      </c>
      <c r="AV19" s="56">
        <f>G19*AN19</f>
        <v>0</v>
      </c>
      <c r="AW19" s="56">
        <f>G19*AO19</f>
        <v>0</v>
      </c>
      <c r="AX19" s="41" t="s">
        <v>124</v>
      </c>
      <c r="AY19" s="41" t="s">
        <v>404</v>
      </c>
      <c r="AZ19" s="30" t="s">
        <v>1193</v>
      </c>
      <c r="BB19" s="56">
        <f>AV19+AW19</f>
        <v>0</v>
      </c>
      <c r="BC19" s="56">
        <f>H19/(100-BD19)*100</f>
        <v>0</v>
      </c>
      <c r="BD19" s="56">
        <v>0</v>
      </c>
      <c r="BE19" s="56" t="e">
        <f>#REF!</f>
        <v>#REF!</v>
      </c>
      <c r="BG19" s="56">
        <f>G19*AN19</f>
        <v>0</v>
      </c>
      <c r="BH19" s="56">
        <f>G19*AO19</f>
        <v>0</v>
      </c>
      <c r="BI19" s="56">
        <f>G19*H19</f>
        <v>0</v>
      </c>
      <c r="BJ19" s="56"/>
      <c r="BK19" s="56">
        <v>11</v>
      </c>
      <c r="BV19" s="56">
        <v>21</v>
      </c>
    </row>
    <row r="20" spans="1:74" ht="13.5" customHeight="1" x14ac:dyDescent="0.25">
      <c r="A20" s="10" t="s">
        <v>952</v>
      </c>
      <c r="B20" s="9" t="s">
        <v>1212</v>
      </c>
      <c r="C20" s="9" t="s">
        <v>1158</v>
      </c>
      <c r="D20" s="76" t="s">
        <v>480</v>
      </c>
      <c r="E20" s="77"/>
      <c r="F20" s="9" t="s">
        <v>1095</v>
      </c>
      <c r="G20" s="56">
        <f>'Stavební rozpočet'!G536</f>
        <v>3.5</v>
      </c>
      <c r="H20" s="56">
        <f>'Stavební rozpočet'!H536</f>
        <v>0</v>
      </c>
      <c r="I20" s="56">
        <f>G20*H20</f>
        <v>0</v>
      </c>
      <c r="J20" s="54" t="s">
        <v>501</v>
      </c>
      <c r="Y20" s="56">
        <f>IF(AP20="5",BI20,0)</f>
        <v>0</v>
      </c>
      <c r="AA20" s="56">
        <f>IF(AP20="1",BG20,0)</f>
        <v>0</v>
      </c>
      <c r="AB20" s="56">
        <f>IF(AP20="1",BH20,0)</f>
        <v>0</v>
      </c>
      <c r="AC20" s="56">
        <f>IF(AP20="7",BG20,0)</f>
        <v>0</v>
      </c>
      <c r="AD20" s="56">
        <f>IF(AP20="7",BH20,0)</f>
        <v>0</v>
      </c>
      <c r="AE20" s="56">
        <f>IF(AP20="2",BG20,0)</f>
        <v>0</v>
      </c>
      <c r="AF20" s="56">
        <f>IF(AP20="2",BH20,0)</f>
        <v>0</v>
      </c>
      <c r="AG20" s="56">
        <f>IF(AP20="0",BI20,0)</f>
        <v>0</v>
      </c>
      <c r="AH20" s="30" t="s">
        <v>1212</v>
      </c>
      <c r="AI20" s="56">
        <f>IF(AM20=0,I20,0)</f>
        <v>0</v>
      </c>
      <c r="AJ20" s="56">
        <f>IF(AM20=15,I20,0)</f>
        <v>0</v>
      </c>
      <c r="AK20" s="56">
        <f>IF(AM20=21,I20,0)</f>
        <v>0</v>
      </c>
      <c r="AM20" s="56">
        <v>21</v>
      </c>
      <c r="AN20" s="56">
        <f>H20*0</f>
        <v>0</v>
      </c>
      <c r="AO20" s="56">
        <f>H20*(1-0)</f>
        <v>0</v>
      </c>
      <c r="AP20" s="41" t="s">
        <v>1109</v>
      </c>
      <c r="AU20" s="56">
        <f>AV20+AW20</f>
        <v>0</v>
      </c>
      <c r="AV20" s="56">
        <f>G20*AN20</f>
        <v>0</v>
      </c>
      <c r="AW20" s="56">
        <f>G20*AO20</f>
        <v>0</v>
      </c>
      <c r="AX20" s="41" t="s">
        <v>124</v>
      </c>
      <c r="AY20" s="41" t="s">
        <v>404</v>
      </c>
      <c r="AZ20" s="30" t="s">
        <v>1193</v>
      </c>
      <c r="BB20" s="56">
        <f>AV20+AW20</f>
        <v>0</v>
      </c>
      <c r="BC20" s="56">
        <f>H20/(100-BD20)*100</f>
        <v>0</v>
      </c>
      <c r="BD20" s="56">
        <v>0</v>
      </c>
      <c r="BE20" s="56" t="e">
        <f>#REF!</f>
        <v>#REF!</v>
      </c>
      <c r="BG20" s="56">
        <f>G20*AN20</f>
        <v>0</v>
      </c>
      <c r="BH20" s="56">
        <f>G20*AO20</f>
        <v>0</v>
      </c>
      <c r="BI20" s="56">
        <f>G20*H20</f>
        <v>0</v>
      </c>
      <c r="BJ20" s="56"/>
      <c r="BK20" s="56">
        <v>11</v>
      </c>
      <c r="BV20" s="56">
        <v>21</v>
      </c>
    </row>
    <row r="21" spans="1:74" ht="13.5" customHeight="1" x14ac:dyDescent="0.25">
      <c r="A21" s="10" t="s">
        <v>127</v>
      </c>
      <c r="B21" s="9" t="s">
        <v>1212</v>
      </c>
      <c r="C21" s="9" t="s">
        <v>790</v>
      </c>
      <c r="D21" s="76" t="s">
        <v>1040</v>
      </c>
      <c r="E21" s="77"/>
      <c r="F21" s="9" t="s">
        <v>909</v>
      </c>
      <c r="G21" s="56">
        <f>'Stavební rozpočet'!G537</f>
        <v>8</v>
      </c>
      <c r="H21" s="56">
        <f>'Stavební rozpočet'!H537</f>
        <v>0</v>
      </c>
      <c r="I21" s="56">
        <f>G21*H21</f>
        <v>0</v>
      </c>
      <c r="J21" s="54" t="s">
        <v>501</v>
      </c>
      <c r="Y21" s="56">
        <f>IF(AP21="5",BI21,0)</f>
        <v>0</v>
      </c>
      <c r="AA21" s="56">
        <f>IF(AP21="1",BG21,0)</f>
        <v>0</v>
      </c>
      <c r="AB21" s="56">
        <f>IF(AP21="1",BH21,0)</f>
        <v>0</v>
      </c>
      <c r="AC21" s="56">
        <f>IF(AP21="7",BG21,0)</f>
        <v>0</v>
      </c>
      <c r="AD21" s="56">
        <f>IF(AP21="7",BH21,0)</f>
        <v>0</v>
      </c>
      <c r="AE21" s="56">
        <f>IF(AP21="2",BG21,0)</f>
        <v>0</v>
      </c>
      <c r="AF21" s="56">
        <f>IF(AP21="2",BH21,0)</f>
        <v>0</v>
      </c>
      <c r="AG21" s="56">
        <f>IF(AP21="0",BI21,0)</f>
        <v>0</v>
      </c>
      <c r="AH21" s="30" t="s">
        <v>1212</v>
      </c>
      <c r="AI21" s="56">
        <f>IF(AM21=0,I21,0)</f>
        <v>0</v>
      </c>
      <c r="AJ21" s="56">
        <f>IF(AM21=15,I21,0)</f>
        <v>0</v>
      </c>
      <c r="AK21" s="56">
        <f>IF(AM21=21,I21,0)</f>
        <v>0</v>
      </c>
      <c r="AM21" s="56">
        <v>21</v>
      </c>
      <c r="AN21" s="56">
        <f>H21*0</f>
        <v>0</v>
      </c>
      <c r="AO21" s="56">
        <f>H21*(1-0)</f>
        <v>0</v>
      </c>
      <c r="AP21" s="41" t="s">
        <v>1109</v>
      </c>
      <c r="AU21" s="56">
        <f>AV21+AW21</f>
        <v>0</v>
      </c>
      <c r="AV21" s="56">
        <f>G21*AN21</f>
        <v>0</v>
      </c>
      <c r="AW21" s="56">
        <f>G21*AO21</f>
        <v>0</v>
      </c>
      <c r="AX21" s="41" t="s">
        <v>124</v>
      </c>
      <c r="AY21" s="41" t="s">
        <v>404</v>
      </c>
      <c r="AZ21" s="30" t="s">
        <v>1193</v>
      </c>
      <c r="BB21" s="56">
        <f>AV21+AW21</f>
        <v>0</v>
      </c>
      <c r="BC21" s="56">
        <f>H21/(100-BD21)*100</f>
        <v>0</v>
      </c>
      <c r="BD21" s="56">
        <v>0</v>
      </c>
      <c r="BE21" s="56" t="e">
        <f>#REF!</f>
        <v>#REF!</v>
      </c>
      <c r="BG21" s="56">
        <f>G21*AN21</f>
        <v>0</v>
      </c>
      <c r="BH21" s="56">
        <f>G21*AO21</f>
        <v>0</v>
      </c>
      <c r="BI21" s="56">
        <f>G21*H21</f>
        <v>0</v>
      </c>
      <c r="BJ21" s="56"/>
      <c r="BK21" s="56">
        <v>11</v>
      </c>
      <c r="BV21" s="56">
        <v>21</v>
      </c>
    </row>
    <row r="22" spans="1:74" ht="13.5" customHeight="1" x14ac:dyDescent="0.25">
      <c r="A22" s="10" t="s">
        <v>596</v>
      </c>
      <c r="B22" s="9" t="s">
        <v>1212</v>
      </c>
      <c r="C22" s="9" t="s">
        <v>804</v>
      </c>
      <c r="D22" s="76" t="s">
        <v>697</v>
      </c>
      <c r="E22" s="77"/>
      <c r="F22" s="9" t="s">
        <v>909</v>
      </c>
      <c r="G22" s="56">
        <f>'Stavební rozpočet'!G538</f>
        <v>3</v>
      </c>
      <c r="H22" s="56">
        <f>'Stavební rozpočet'!H538</f>
        <v>0</v>
      </c>
      <c r="I22" s="56">
        <f>G22*H22</f>
        <v>0</v>
      </c>
      <c r="J22" s="54" t="s">
        <v>501</v>
      </c>
      <c r="Y22" s="56">
        <f>IF(AP22="5",BI22,0)</f>
        <v>0</v>
      </c>
      <c r="AA22" s="56">
        <f>IF(AP22="1",BG22,0)</f>
        <v>0</v>
      </c>
      <c r="AB22" s="56">
        <f>IF(AP22="1",BH22,0)</f>
        <v>0</v>
      </c>
      <c r="AC22" s="56">
        <f>IF(AP22="7",BG22,0)</f>
        <v>0</v>
      </c>
      <c r="AD22" s="56">
        <f>IF(AP22="7",BH22,0)</f>
        <v>0</v>
      </c>
      <c r="AE22" s="56">
        <f>IF(AP22="2",BG22,0)</f>
        <v>0</v>
      </c>
      <c r="AF22" s="56">
        <f>IF(AP22="2",BH22,0)</f>
        <v>0</v>
      </c>
      <c r="AG22" s="56">
        <f>IF(AP22="0",BI22,0)</f>
        <v>0</v>
      </c>
      <c r="AH22" s="30" t="s">
        <v>1212</v>
      </c>
      <c r="AI22" s="56">
        <f>IF(AM22=0,I22,0)</f>
        <v>0</v>
      </c>
      <c r="AJ22" s="56">
        <f>IF(AM22=15,I22,0)</f>
        <v>0</v>
      </c>
      <c r="AK22" s="56">
        <f>IF(AM22=21,I22,0)</f>
        <v>0</v>
      </c>
      <c r="AM22" s="56">
        <v>21</v>
      </c>
      <c r="AN22" s="56">
        <f>H22*0.341992238033635</f>
        <v>0</v>
      </c>
      <c r="AO22" s="56">
        <f>H22*(1-0.341992238033635)</f>
        <v>0</v>
      </c>
      <c r="AP22" s="41" t="s">
        <v>1109</v>
      </c>
      <c r="AU22" s="56">
        <f>AV22+AW22</f>
        <v>0</v>
      </c>
      <c r="AV22" s="56">
        <f>G22*AN22</f>
        <v>0</v>
      </c>
      <c r="AW22" s="56">
        <f>G22*AO22</f>
        <v>0</v>
      </c>
      <c r="AX22" s="41" t="s">
        <v>124</v>
      </c>
      <c r="AY22" s="41" t="s">
        <v>404</v>
      </c>
      <c r="AZ22" s="30" t="s">
        <v>1193</v>
      </c>
      <c r="BB22" s="56">
        <f>AV22+AW22</f>
        <v>0</v>
      </c>
      <c r="BC22" s="56">
        <f>H22/(100-BD22)*100</f>
        <v>0</v>
      </c>
      <c r="BD22" s="56">
        <v>0</v>
      </c>
      <c r="BE22" s="56" t="e">
        <f>#REF!</f>
        <v>#REF!</v>
      </c>
      <c r="BG22" s="56">
        <f>G22*AN22</f>
        <v>0</v>
      </c>
      <c r="BH22" s="56">
        <f>G22*AO22</f>
        <v>0</v>
      </c>
      <c r="BI22" s="56">
        <f>G22*H22</f>
        <v>0</v>
      </c>
      <c r="BJ22" s="56"/>
      <c r="BK22" s="56">
        <v>11</v>
      </c>
      <c r="BV22" s="56">
        <v>21</v>
      </c>
    </row>
    <row r="23" spans="1:74" ht="15" customHeight="1" x14ac:dyDescent="0.25">
      <c r="A23" s="53"/>
      <c r="D23" s="52" t="s">
        <v>952</v>
      </c>
      <c r="E23" s="37" t="s">
        <v>709</v>
      </c>
      <c r="G23" s="21">
        <v>3.0000000000000004</v>
      </c>
      <c r="J23" s="48"/>
    </row>
    <row r="24" spans="1:74" ht="15" customHeight="1" x14ac:dyDescent="0.25">
      <c r="A24" s="27" t="s">
        <v>769</v>
      </c>
      <c r="B24" s="28" t="s">
        <v>1212</v>
      </c>
      <c r="C24" s="28" t="s">
        <v>815</v>
      </c>
      <c r="D24" s="132" t="s">
        <v>276</v>
      </c>
      <c r="E24" s="133"/>
      <c r="F24" s="23" t="s">
        <v>1027</v>
      </c>
      <c r="G24" s="23" t="s">
        <v>1027</v>
      </c>
      <c r="H24" s="23" t="s">
        <v>1027</v>
      </c>
      <c r="I24" s="14">
        <f>SUM(I25:I28)</f>
        <v>0</v>
      </c>
      <c r="J24" s="44" t="s">
        <v>769</v>
      </c>
      <c r="AH24" s="30" t="s">
        <v>1212</v>
      </c>
      <c r="AR24" s="14">
        <f>SUM(AI25:AI28)</f>
        <v>0</v>
      </c>
      <c r="AS24" s="14">
        <f>SUM(AJ25:AJ28)</f>
        <v>0</v>
      </c>
      <c r="AT24" s="14">
        <f>SUM(AK25:AK28)</f>
        <v>0</v>
      </c>
    </row>
    <row r="25" spans="1:74" ht="13.5" customHeight="1" x14ac:dyDescent="0.25">
      <c r="A25" s="10" t="s">
        <v>177</v>
      </c>
      <c r="B25" s="9" t="s">
        <v>1212</v>
      </c>
      <c r="C25" s="9" t="s">
        <v>383</v>
      </c>
      <c r="D25" s="76" t="s">
        <v>76</v>
      </c>
      <c r="E25" s="77"/>
      <c r="F25" s="9" t="s">
        <v>1079</v>
      </c>
      <c r="G25" s="56">
        <f>'Stavební rozpočet'!G541</f>
        <v>7</v>
      </c>
      <c r="H25" s="56">
        <f>'Stavební rozpočet'!H541</f>
        <v>0</v>
      </c>
      <c r="I25" s="56">
        <f>G25*H25</f>
        <v>0</v>
      </c>
      <c r="J25" s="54" t="s">
        <v>501</v>
      </c>
      <c r="Y25" s="56">
        <f>IF(AP25="5",BI25,0)</f>
        <v>0</v>
      </c>
      <c r="AA25" s="56">
        <f>IF(AP25="1",BG25,0)</f>
        <v>0</v>
      </c>
      <c r="AB25" s="56">
        <f>IF(AP25="1",BH25,0)</f>
        <v>0</v>
      </c>
      <c r="AC25" s="56">
        <f>IF(AP25="7",BG25,0)</f>
        <v>0</v>
      </c>
      <c r="AD25" s="56">
        <f>IF(AP25="7",BH25,0)</f>
        <v>0</v>
      </c>
      <c r="AE25" s="56">
        <f>IF(AP25="2",BG25,0)</f>
        <v>0</v>
      </c>
      <c r="AF25" s="56">
        <f>IF(AP25="2",BH25,0)</f>
        <v>0</v>
      </c>
      <c r="AG25" s="56">
        <f>IF(AP25="0",BI25,0)</f>
        <v>0</v>
      </c>
      <c r="AH25" s="30" t="s">
        <v>1212</v>
      </c>
      <c r="AI25" s="56">
        <f>IF(AM25=0,I25,0)</f>
        <v>0</v>
      </c>
      <c r="AJ25" s="56">
        <f>IF(AM25=15,I25,0)</f>
        <v>0</v>
      </c>
      <c r="AK25" s="56">
        <f>IF(AM25=21,I25,0)</f>
        <v>0</v>
      </c>
      <c r="AM25" s="56">
        <v>21</v>
      </c>
      <c r="AN25" s="56">
        <f>H25*0</f>
        <v>0</v>
      </c>
      <c r="AO25" s="56">
        <f>H25*(1-0)</f>
        <v>0</v>
      </c>
      <c r="AP25" s="41" t="s">
        <v>1109</v>
      </c>
      <c r="AU25" s="56">
        <f>AV25+AW25</f>
        <v>0</v>
      </c>
      <c r="AV25" s="56">
        <f>G25*AN25</f>
        <v>0</v>
      </c>
      <c r="AW25" s="56">
        <f>G25*AO25</f>
        <v>0</v>
      </c>
      <c r="AX25" s="41" t="s">
        <v>569</v>
      </c>
      <c r="AY25" s="41" t="s">
        <v>404</v>
      </c>
      <c r="AZ25" s="30" t="s">
        <v>1193</v>
      </c>
      <c r="BB25" s="56">
        <f>AV25+AW25</f>
        <v>0</v>
      </c>
      <c r="BC25" s="56">
        <f>H25/(100-BD25)*100</f>
        <v>0</v>
      </c>
      <c r="BD25" s="56">
        <v>0</v>
      </c>
      <c r="BE25" s="56" t="e">
        <f>#REF!</f>
        <v>#REF!</v>
      </c>
      <c r="BG25" s="56">
        <f>G25*AN25</f>
        <v>0</v>
      </c>
      <c r="BH25" s="56">
        <f>G25*AO25</f>
        <v>0</v>
      </c>
      <c r="BI25" s="56">
        <f>G25*H25</f>
        <v>0</v>
      </c>
      <c r="BJ25" s="56"/>
      <c r="BK25" s="56">
        <v>12</v>
      </c>
      <c r="BV25" s="56">
        <v>21</v>
      </c>
    </row>
    <row r="26" spans="1:74" ht="15" customHeight="1" x14ac:dyDescent="0.25">
      <c r="A26" s="53"/>
      <c r="D26" s="52" t="s">
        <v>1165</v>
      </c>
      <c r="E26" s="37" t="s">
        <v>1140</v>
      </c>
      <c r="G26" s="21">
        <v>4</v>
      </c>
      <c r="J26" s="48"/>
    </row>
    <row r="27" spans="1:74" ht="15" customHeight="1" x14ac:dyDescent="0.25">
      <c r="A27" s="53"/>
      <c r="D27" s="52" t="s">
        <v>374</v>
      </c>
      <c r="E27" s="37" t="s">
        <v>709</v>
      </c>
      <c r="G27" s="21">
        <v>3.0000000000000004</v>
      </c>
      <c r="J27" s="48"/>
    </row>
    <row r="28" spans="1:74" ht="13.5" customHeight="1" x14ac:dyDescent="0.25">
      <c r="A28" s="10" t="s">
        <v>1114</v>
      </c>
      <c r="B28" s="9" t="s">
        <v>1212</v>
      </c>
      <c r="C28" s="9" t="s">
        <v>1004</v>
      </c>
      <c r="D28" s="76" t="s">
        <v>284</v>
      </c>
      <c r="E28" s="77"/>
      <c r="F28" s="9" t="s">
        <v>1079</v>
      </c>
      <c r="G28" s="56">
        <f>'Stavební rozpočet'!G544</f>
        <v>1.6</v>
      </c>
      <c r="H28" s="56">
        <f>'Stavební rozpočet'!H544</f>
        <v>0</v>
      </c>
      <c r="I28" s="56">
        <f>G28*H28</f>
        <v>0</v>
      </c>
      <c r="J28" s="54" t="s">
        <v>501</v>
      </c>
      <c r="Y28" s="56">
        <f>IF(AP28="5",BI28,0)</f>
        <v>0</v>
      </c>
      <c r="AA28" s="56">
        <f>IF(AP28="1",BG28,0)</f>
        <v>0</v>
      </c>
      <c r="AB28" s="56">
        <f>IF(AP28="1",BH28,0)</f>
        <v>0</v>
      </c>
      <c r="AC28" s="56">
        <f>IF(AP28="7",BG28,0)</f>
        <v>0</v>
      </c>
      <c r="AD28" s="56">
        <f>IF(AP28="7",BH28,0)</f>
        <v>0</v>
      </c>
      <c r="AE28" s="56">
        <f>IF(AP28="2",BG28,0)</f>
        <v>0</v>
      </c>
      <c r="AF28" s="56">
        <f>IF(AP28="2",BH28,0)</f>
        <v>0</v>
      </c>
      <c r="AG28" s="56">
        <f>IF(AP28="0",BI28,0)</f>
        <v>0</v>
      </c>
      <c r="AH28" s="30" t="s">
        <v>1212</v>
      </c>
      <c r="AI28" s="56">
        <f>IF(AM28=0,I28,0)</f>
        <v>0</v>
      </c>
      <c r="AJ28" s="56">
        <f>IF(AM28=15,I28,0)</f>
        <v>0</v>
      </c>
      <c r="AK28" s="56">
        <f>IF(AM28=21,I28,0)</f>
        <v>0</v>
      </c>
      <c r="AM28" s="56">
        <v>21</v>
      </c>
      <c r="AN28" s="56">
        <f>H28*0</f>
        <v>0</v>
      </c>
      <c r="AO28" s="56">
        <f>H28*(1-0)</f>
        <v>0</v>
      </c>
      <c r="AP28" s="41" t="s">
        <v>1109</v>
      </c>
      <c r="AU28" s="56">
        <f>AV28+AW28</f>
        <v>0</v>
      </c>
      <c r="AV28" s="56">
        <f>G28*AN28</f>
        <v>0</v>
      </c>
      <c r="AW28" s="56">
        <f>G28*AO28</f>
        <v>0</v>
      </c>
      <c r="AX28" s="41" t="s">
        <v>569</v>
      </c>
      <c r="AY28" s="41" t="s">
        <v>404</v>
      </c>
      <c r="AZ28" s="30" t="s">
        <v>1193</v>
      </c>
      <c r="BB28" s="56">
        <f>AV28+AW28</f>
        <v>0</v>
      </c>
      <c r="BC28" s="56">
        <f>H28/(100-BD28)*100</f>
        <v>0</v>
      </c>
      <c r="BD28" s="56">
        <v>0</v>
      </c>
      <c r="BE28" s="56" t="e">
        <f>#REF!</f>
        <v>#REF!</v>
      </c>
      <c r="BG28" s="56">
        <f>G28*AN28</f>
        <v>0</v>
      </c>
      <c r="BH28" s="56">
        <f>G28*AO28</f>
        <v>0</v>
      </c>
      <c r="BI28" s="56">
        <f>G28*H28</f>
        <v>0</v>
      </c>
      <c r="BJ28" s="56"/>
      <c r="BK28" s="56">
        <v>12</v>
      </c>
      <c r="BV28" s="56">
        <v>21</v>
      </c>
    </row>
    <row r="29" spans="1:74" ht="15" customHeight="1" x14ac:dyDescent="0.25">
      <c r="A29" s="53"/>
      <c r="D29" s="52" t="s">
        <v>1060</v>
      </c>
      <c r="E29" s="37" t="s">
        <v>769</v>
      </c>
      <c r="G29" s="21">
        <v>1.6</v>
      </c>
      <c r="J29" s="48"/>
    </row>
    <row r="30" spans="1:74" ht="15" customHeight="1" x14ac:dyDescent="0.25">
      <c r="A30" s="27" t="s">
        <v>769</v>
      </c>
      <c r="B30" s="28" t="s">
        <v>1212</v>
      </c>
      <c r="C30" s="28" t="s">
        <v>333</v>
      </c>
      <c r="D30" s="132" t="s">
        <v>7</v>
      </c>
      <c r="E30" s="133"/>
      <c r="F30" s="23" t="s">
        <v>1027</v>
      </c>
      <c r="G30" s="23" t="s">
        <v>1027</v>
      </c>
      <c r="H30" s="23" t="s">
        <v>1027</v>
      </c>
      <c r="I30" s="14">
        <f>SUM(I31:I36)</f>
        <v>0</v>
      </c>
      <c r="J30" s="44" t="s">
        <v>769</v>
      </c>
      <c r="AH30" s="30" t="s">
        <v>1212</v>
      </c>
      <c r="AR30" s="14">
        <f>SUM(AI31:AI36)</f>
        <v>0</v>
      </c>
      <c r="AS30" s="14">
        <f>SUM(AJ31:AJ36)</f>
        <v>0</v>
      </c>
      <c r="AT30" s="14">
        <f>SUM(AK31:AK36)</f>
        <v>0</v>
      </c>
    </row>
    <row r="31" spans="1:74" ht="13.5" customHeight="1" x14ac:dyDescent="0.25">
      <c r="A31" s="10" t="s">
        <v>874</v>
      </c>
      <c r="B31" s="9" t="s">
        <v>1212</v>
      </c>
      <c r="C31" s="9" t="s">
        <v>264</v>
      </c>
      <c r="D31" s="76" t="s">
        <v>117</v>
      </c>
      <c r="E31" s="77"/>
      <c r="F31" s="9" t="s">
        <v>1079</v>
      </c>
      <c r="G31" s="56">
        <f>'Stavební rozpočet'!G547</f>
        <v>29.582999999999998</v>
      </c>
      <c r="H31" s="56">
        <f>'Stavební rozpočet'!H547</f>
        <v>0</v>
      </c>
      <c r="I31" s="56">
        <f>G31*H31</f>
        <v>0</v>
      </c>
      <c r="J31" s="54" t="s">
        <v>501</v>
      </c>
      <c r="Y31" s="56">
        <f>IF(AP31="5",BI31,0)</f>
        <v>0</v>
      </c>
      <c r="AA31" s="56">
        <f>IF(AP31="1",BG31,0)</f>
        <v>0</v>
      </c>
      <c r="AB31" s="56">
        <f>IF(AP31="1",BH31,0)</f>
        <v>0</v>
      </c>
      <c r="AC31" s="56">
        <f>IF(AP31="7",BG31,0)</f>
        <v>0</v>
      </c>
      <c r="AD31" s="56">
        <f>IF(AP31="7",BH31,0)</f>
        <v>0</v>
      </c>
      <c r="AE31" s="56">
        <f>IF(AP31="2",BG31,0)</f>
        <v>0</v>
      </c>
      <c r="AF31" s="56">
        <f>IF(AP31="2",BH31,0)</f>
        <v>0</v>
      </c>
      <c r="AG31" s="56">
        <f>IF(AP31="0",BI31,0)</f>
        <v>0</v>
      </c>
      <c r="AH31" s="30" t="s">
        <v>1212</v>
      </c>
      <c r="AI31" s="56">
        <f>IF(AM31=0,I31,0)</f>
        <v>0</v>
      </c>
      <c r="AJ31" s="56">
        <f>IF(AM31=15,I31,0)</f>
        <v>0</v>
      </c>
      <c r="AK31" s="56">
        <f>IF(AM31=21,I31,0)</f>
        <v>0</v>
      </c>
      <c r="AM31" s="56">
        <v>21</v>
      </c>
      <c r="AN31" s="56">
        <f>H31*0</f>
        <v>0</v>
      </c>
      <c r="AO31" s="56">
        <f>H31*(1-0)</f>
        <v>0</v>
      </c>
      <c r="AP31" s="41" t="s">
        <v>1109</v>
      </c>
      <c r="AU31" s="56">
        <f>AV31+AW31</f>
        <v>0</v>
      </c>
      <c r="AV31" s="56">
        <f>G31*AN31</f>
        <v>0</v>
      </c>
      <c r="AW31" s="56">
        <f>G31*AO31</f>
        <v>0</v>
      </c>
      <c r="AX31" s="41" t="s">
        <v>1001</v>
      </c>
      <c r="AY31" s="41" t="s">
        <v>404</v>
      </c>
      <c r="AZ31" s="30" t="s">
        <v>1193</v>
      </c>
      <c r="BB31" s="56">
        <f>AV31+AW31</f>
        <v>0</v>
      </c>
      <c r="BC31" s="56">
        <f>H31/(100-BD31)*100</f>
        <v>0</v>
      </c>
      <c r="BD31" s="56">
        <v>0</v>
      </c>
      <c r="BE31" s="56" t="e">
        <f>#REF!</f>
        <v>#REF!</v>
      </c>
      <c r="BG31" s="56">
        <f>G31*AN31</f>
        <v>0</v>
      </c>
      <c r="BH31" s="56">
        <f>G31*AO31</f>
        <v>0</v>
      </c>
      <c r="BI31" s="56">
        <f>G31*H31</f>
        <v>0</v>
      </c>
      <c r="BJ31" s="56"/>
      <c r="BK31" s="56">
        <v>13</v>
      </c>
      <c r="BV31" s="56">
        <v>21</v>
      </c>
    </row>
    <row r="32" spans="1:74" ht="15" customHeight="1" x14ac:dyDescent="0.25">
      <c r="A32" s="53"/>
      <c r="D32" s="52" t="s">
        <v>440</v>
      </c>
      <c r="E32" s="37" t="s">
        <v>715</v>
      </c>
      <c r="G32" s="21">
        <v>1.3050000000000002</v>
      </c>
      <c r="J32" s="48"/>
    </row>
    <row r="33" spans="1:74" ht="15" customHeight="1" x14ac:dyDescent="0.25">
      <c r="A33" s="53"/>
      <c r="D33" s="52" t="s">
        <v>651</v>
      </c>
      <c r="E33" s="37" t="s">
        <v>425</v>
      </c>
      <c r="G33" s="21">
        <v>8.09</v>
      </c>
      <c r="J33" s="48"/>
    </row>
    <row r="34" spans="1:74" ht="15" customHeight="1" x14ac:dyDescent="0.25">
      <c r="A34" s="53"/>
      <c r="D34" s="52" t="s">
        <v>732</v>
      </c>
      <c r="E34" s="37" t="s">
        <v>159</v>
      </c>
      <c r="G34" s="21">
        <v>9.4250000000000007</v>
      </c>
      <c r="J34" s="48"/>
    </row>
    <row r="35" spans="1:74" ht="15" customHeight="1" x14ac:dyDescent="0.25">
      <c r="A35" s="53"/>
      <c r="D35" s="52" t="s">
        <v>1204</v>
      </c>
      <c r="E35" s="37" t="s">
        <v>80</v>
      </c>
      <c r="G35" s="21">
        <v>10.763000000000002</v>
      </c>
      <c r="J35" s="48"/>
    </row>
    <row r="36" spans="1:74" ht="13.5" customHeight="1" x14ac:dyDescent="0.25">
      <c r="A36" s="10" t="s">
        <v>423</v>
      </c>
      <c r="B36" s="9" t="s">
        <v>1212</v>
      </c>
      <c r="C36" s="9" t="s">
        <v>802</v>
      </c>
      <c r="D36" s="76" t="s">
        <v>97</v>
      </c>
      <c r="E36" s="77"/>
      <c r="F36" s="9" t="s">
        <v>1079</v>
      </c>
      <c r="G36" s="56">
        <f>'Stavební rozpočet'!G552</f>
        <v>12.172000000000001</v>
      </c>
      <c r="H36" s="56">
        <f>'Stavební rozpočet'!H552</f>
        <v>0</v>
      </c>
      <c r="I36" s="56">
        <f>G36*H36</f>
        <v>0</v>
      </c>
      <c r="J36" s="54" t="s">
        <v>501</v>
      </c>
      <c r="Y36" s="56">
        <f>IF(AP36="5",BI36,0)</f>
        <v>0</v>
      </c>
      <c r="AA36" s="56">
        <f>IF(AP36="1",BG36,0)</f>
        <v>0</v>
      </c>
      <c r="AB36" s="56">
        <f>IF(AP36="1",BH36,0)</f>
        <v>0</v>
      </c>
      <c r="AC36" s="56">
        <f>IF(AP36="7",BG36,0)</f>
        <v>0</v>
      </c>
      <c r="AD36" s="56">
        <f>IF(AP36="7",BH36,0)</f>
        <v>0</v>
      </c>
      <c r="AE36" s="56">
        <f>IF(AP36="2",BG36,0)</f>
        <v>0</v>
      </c>
      <c r="AF36" s="56">
        <f>IF(AP36="2",BH36,0)</f>
        <v>0</v>
      </c>
      <c r="AG36" s="56">
        <f>IF(AP36="0",BI36,0)</f>
        <v>0</v>
      </c>
      <c r="AH36" s="30" t="s">
        <v>1212</v>
      </c>
      <c r="AI36" s="56">
        <f>IF(AM36=0,I36,0)</f>
        <v>0</v>
      </c>
      <c r="AJ36" s="56">
        <f>IF(AM36=15,I36,0)</f>
        <v>0</v>
      </c>
      <c r="AK36" s="56">
        <f>IF(AM36=21,I36,0)</f>
        <v>0</v>
      </c>
      <c r="AM36" s="56">
        <v>21</v>
      </c>
      <c r="AN36" s="56">
        <f>H36*0</f>
        <v>0</v>
      </c>
      <c r="AO36" s="56">
        <f>H36*(1-0)</f>
        <v>0</v>
      </c>
      <c r="AP36" s="41" t="s">
        <v>1109</v>
      </c>
      <c r="AU36" s="56">
        <f>AV36+AW36</f>
        <v>0</v>
      </c>
      <c r="AV36" s="56">
        <f>G36*AN36</f>
        <v>0</v>
      </c>
      <c r="AW36" s="56">
        <f>G36*AO36</f>
        <v>0</v>
      </c>
      <c r="AX36" s="41" t="s">
        <v>1001</v>
      </c>
      <c r="AY36" s="41" t="s">
        <v>404</v>
      </c>
      <c r="AZ36" s="30" t="s">
        <v>1193</v>
      </c>
      <c r="BB36" s="56">
        <f>AV36+AW36</f>
        <v>0</v>
      </c>
      <c r="BC36" s="56">
        <f>H36/(100-BD36)*100</f>
        <v>0</v>
      </c>
      <c r="BD36" s="56">
        <v>0</v>
      </c>
      <c r="BE36" s="56" t="e">
        <f>#REF!</f>
        <v>#REF!</v>
      </c>
      <c r="BG36" s="56">
        <f>G36*AN36</f>
        <v>0</v>
      </c>
      <c r="BH36" s="56">
        <f>G36*AO36</f>
        <v>0</v>
      </c>
      <c r="BI36" s="56">
        <f>G36*H36</f>
        <v>0</v>
      </c>
      <c r="BJ36" s="56"/>
      <c r="BK36" s="56">
        <v>13</v>
      </c>
      <c r="BV36" s="56">
        <v>21</v>
      </c>
    </row>
    <row r="37" spans="1:74" ht="15" customHeight="1" x14ac:dyDescent="0.25">
      <c r="A37" s="53"/>
      <c r="D37" s="52" t="s">
        <v>671</v>
      </c>
      <c r="E37" s="37" t="s">
        <v>769</v>
      </c>
      <c r="G37" s="21">
        <v>12.172000000000001</v>
      </c>
      <c r="J37" s="48"/>
    </row>
    <row r="38" spans="1:74" ht="15" customHeight="1" x14ac:dyDescent="0.25">
      <c r="A38" s="27" t="s">
        <v>769</v>
      </c>
      <c r="B38" s="28" t="s">
        <v>1212</v>
      </c>
      <c r="C38" s="28" t="s">
        <v>442</v>
      </c>
      <c r="D38" s="132" t="s">
        <v>957</v>
      </c>
      <c r="E38" s="133"/>
      <c r="F38" s="23" t="s">
        <v>1027</v>
      </c>
      <c r="G38" s="23" t="s">
        <v>1027</v>
      </c>
      <c r="H38" s="23" t="s">
        <v>1027</v>
      </c>
      <c r="I38" s="14">
        <f>SUM(I39:I44)</f>
        <v>0</v>
      </c>
      <c r="J38" s="44" t="s">
        <v>769</v>
      </c>
      <c r="AH38" s="30" t="s">
        <v>1212</v>
      </c>
      <c r="AR38" s="14">
        <f>SUM(AI39:AI44)</f>
        <v>0</v>
      </c>
      <c r="AS38" s="14">
        <f>SUM(AJ39:AJ44)</f>
        <v>0</v>
      </c>
      <c r="AT38" s="14">
        <f>SUM(AK39:AK44)</f>
        <v>0</v>
      </c>
    </row>
    <row r="39" spans="1:74" ht="13.5" customHeight="1" x14ac:dyDescent="0.25">
      <c r="A39" s="10" t="s">
        <v>640</v>
      </c>
      <c r="B39" s="9" t="s">
        <v>1212</v>
      </c>
      <c r="C39" s="9" t="s">
        <v>1218</v>
      </c>
      <c r="D39" s="76" t="s">
        <v>247</v>
      </c>
      <c r="E39" s="77"/>
      <c r="F39" s="9" t="s">
        <v>1095</v>
      </c>
      <c r="G39" s="56">
        <f>'Stavební rozpočet'!G555</f>
        <v>71.097999999999999</v>
      </c>
      <c r="H39" s="56">
        <f>'Stavební rozpočet'!H555</f>
        <v>0</v>
      </c>
      <c r="I39" s="56">
        <f>G39*H39</f>
        <v>0</v>
      </c>
      <c r="J39" s="54" t="s">
        <v>501</v>
      </c>
      <c r="Y39" s="56">
        <f>IF(AP39="5",BI39,0)</f>
        <v>0</v>
      </c>
      <c r="AA39" s="56">
        <f>IF(AP39="1",BG39,0)</f>
        <v>0</v>
      </c>
      <c r="AB39" s="56">
        <f>IF(AP39="1",BH39,0)</f>
        <v>0</v>
      </c>
      <c r="AC39" s="56">
        <f>IF(AP39="7",BG39,0)</f>
        <v>0</v>
      </c>
      <c r="AD39" s="56">
        <f>IF(AP39="7",BH39,0)</f>
        <v>0</v>
      </c>
      <c r="AE39" s="56">
        <f>IF(AP39="2",BG39,0)</f>
        <v>0</v>
      </c>
      <c r="AF39" s="56">
        <f>IF(AP39="2",BH39,0)</f>
        <v>0</v>
      </c>
      <c r="AG39" s="56">
        <f>IF(AP39="0",BI39,0)</f>
        <v>0</v>
      </c>
      <c r="AH39" s="30" t="s">
        <v>1212</v>
      </c>
      <c r="AI39" s="56">
        <f>IF(AM39=0,I39,0)</f>
        <v>0</v>
      </c>
      <c r="AJ39" s="56">
        <f>IF(AM39=15,I39,0)</f>
        <v>0</v>
      </c>
      <c r="AK39" s="56">
        <f>IF(AM39=21,I39,0)</f>
        <v>0</v>
      </c>
      <c r="AM39" s="56">
        <v>21</v>
      </c>
      <c r="AN39" s="56">
        <f>H39*0.085202855767985</f>
        <v>0</v>
      </c>
      <c r="AO39" s="56">
        <f>H39*(1-0.085202855767985)</f>
        <v>0</v>
      </c>
      <c r="AP39" s="41" t="s">
        <v>1109</v>
      </c>
      <c r="AU39" s="56">
        <f>AV39+AW39</f>
        <v>0</v>
      </c>
      <c r="AV39" s="56">
        <f>G39*AN39</f>
        <v>0</v>
      </c>
      <c r="AW39" s="56">
        <f>G39*AO39</f>
        <v>0</v>
      </c>
      <c r="AX39" s="41" t="s">
        <v>784</v>
      </c>
      <c r="AY39" s="41" t="s">
        <v>404</v>
      </c>
      <c r="AZ39" s="30" t="s">
        <v>1193</v>
      </c>
      <c r="BB39" s="56">
        <f>AV39+AW39</f>
        <v>0</v>
      </c>
      <c r="BC39" s="56">
        <f>H39/(100-BD39)*100</f>
        <v>0</v>
      </c>
      <c r="BD39" s="56">
        <v>0</v>
      </c>
      <c r="BE39" s="56" t="e">
        <f>#REF!</f>
        <v>#REF!</v>
      </c>
      <c r="BG39" s="56">
        <f>G39*AN39</f>
        <v>0</v>
      </c>
      <c r="BH39" s="56">
        <f>G39*AO39</f>
        <v>0</v>
      </c>
      <c r="BI39" s="56">
        <f>G39*H39</f>
        <v>0</v>
      </c>
      <c r="BJ39" s="56"/>
      <c r="BK39" s="56">
        <v>15</v>
      </c>
      <c r="BV39" s="56">
        <v>21</v>
      </c>
    </row>
    <row r="40" spans="1:74" ht="15" customHeight="1" x14ac:dyDescent="0.25">
      <c r="A40" s="53"/>
      <c r="D40" s="52" t="s">
        <v>2</v>
      </c>
      <c r="E40" s="37" t="s">
        <v>715</v>
      </c>
      <c r="G40" s="21">
        <v>3.4200000000000004</v>
      </c>
      <c r="J40" s="48"/>
    </row>
    <row r="41" spans="1:74" ht="15" customHeight="1" x14ac:dyDescent="0.25">
      <c r="A41" s="53"/>
      <c r="D41" s="52" t="s">
        <v>820</v>
      </c>
      <c r="E41" s="37" t="s">
        <v>425</v>
      </c>
      <c r="G41" s="21">
        <v>19</v>
      </c>
      <c r="J41" s="48"/>
    </row>
    <row r="42" spans="1:74" ht="15" customHeight="1" x14ac:dyDescent="0.25">
      <c r="A42" s="53"/>
      <c r="D42" s="52" t="s">
        <v>703</v>
      </c>
      <c r="E42" s="37" t="s">
        <v>159</v>
      </c>
      <c r="G42" s="21">
        <v>24.700000000000003</v>
      </c>
      <c r="J42" s="48"/>
    </row>
    <row r="43" spans="1:74" ht="15" customHeight="1" x14ac:dyDescent="0.25">
      <c r="A43" s="53"/>
      <c r="D43" s="52" t="s">
        <v>564</v>
      </c>
      <c r="E43" s="37" t="s">
        <v>80</v>
      </c>
      <c r="G43" s="21">
        <v>23.978000000000002</v>
      </c>
      <c r="J43" s="48"/>
    </row>
    <row r="44" spans="1:74" ht="13.5" customHeight="1" x14ac:dyDescent="0.25">
      <c r="A44" s="10" t="s">
        <v>917</v>
      </c>
      <c r="B44" s="9" t="s">
        <v>1212</v>
      </c>
      <c r="C44" s="9" t="s">
        <v>748</v>
      </c>
      <c r="D44" s="76" t="s">
        <v>1080</v>
      </c>
      <c r="E44" s="77"/>
      <c r="F44" s="9" t="s">
        <v>1095</v>
      </c>
      <c r="G44" s="56">
        <f>'Stavební rozpočet'!G560</f>
        <v>71.097999999999999</v>
      </c>
      <c r="H44" s="56">
        <f>'Stavební rozpočet'!H560</f>
        <v>0</v>
      </c>
      <c r="I44" s="56">
        <f>G44*H44</f>
        <v>0</v>
      </c>
      <c r="J44" s="54" t="s">
        <v>501</v>
      </c>
      <c r="Y44" s="56">
        <f>IF(AP44="5",BI44,0)</f>
        <v>0</v>
      </c>
      <c r="AA44" s="56">
        <f>IF(AP44="1",BG44,0)</f>
        <v>0</v>
      </c>
      <c r="AB44" s="56">
        <f>IF(AP44="1",BH44,0)</f>
        <v>0</v>
      </c>
      <c r="AC44" s="56">
        <f>IF(AP44="7",BG44,0)</f>
        <v>0</v>
      </c>
      <c r="AD44" s="56">
        <f>IF(AP44="7",BH44,0)</f>
        <v>0</v>
      </c>
      <c r="AE44" s="56">
        <f>IF(AP44="2",BG44,0)</f>
        <v>0</v>
      </c>
      <c r="AF44" s="56">
        <f>IF(AP44="2",BH44,0)</f>
        <v>0</v>
      </c>
      <c r="AG44" s="56">
        <f>IF(AP44="0",BI44,0)</f>
        <v>0</v>
      </c>
      <c r="AH44" s="30" t="s">
        <v>1212</v>
      </c>
      <c r="AI44" s="56">
        <f>IF(AM44=0,I44,0)</f>
        <v>0</v>
      </c>
      <c r="AJ44" s="56">
        <f>IF(AM44=15,I44,0)</f>
        <v>0</v>
      </c>
      <c r="AK44" s="56">
        <f>IF(AM44=21,I44,0)</f>
        <v>0</v>
      </c>
      <c r="AM44" s="56">
        <v>21</v>
      </c>
      <c r="AN44" s="56">
        <f>H44*0</f>
        <v>0</v>
      </c>
      <c r="AO44" s="56">
        <f>H44*(1-0)</f>
        <v>0</v>
      </c>
      <c r="AP44" s="41" t="s">
        <v>1109</v>
      </c>
      <c r="AU44" s="56">
        <f>AV44+AW44</f>
        <v>0</v>
      </c>
      <c r="AV44" s="56">
        <f>G44*AN44</f>
        <v>0</v>
      </c>
      <c r="AW44" s="56">
        <f>G44*AO44</f>
        <v>0</v>
      </c>
      <c r="AX44" s="41" t="s">
        <v>784</v>
      </c>
      <c r="AY44" s="41" t="s">
        <v>404</v>
      </c>
      <c r="AZ44" s="30" t="s">
        <v>1193</v>
      </c>
      <c r="BB44" s="56">
        <f>AV44+AW44</f>
        <v>0</v>
      </c>
      <c r="BC44" s="56">
        <f>H44/(100-BD44)*100</f>
        <v>0</v>
      </c>
      <c r="BD44" s="56">
        <v>0</v>
      </c>
      <c r="BE44" s="56" t="e">
        <f>#REF!</f>
        <v>#REF!</v>
      </c>
      <c r="BG44" s="56">
        <f>G44*AN44</f>
        <v>0</v>
      </c>
      <c r="BH44" s="56">
        <f>G44*AO44</f>
        <v>0</v>
      </c>
      <c r="BI44" s="56">
        <f>G44*H44</f>
        <v>0</v>
      </c>
      <c r="BJ44" s="56"/>
      <c r="BK44" s="56">
        <v>15</v>
      </c>
      <c r="BV44" s="56">
        <v>21</v>
      </c>
    </row>
    <row r="45" spans="1:74" ht="15" customHeight="1" x14ac:dyDescent="0.25">
      <c r="A45" s="27" t="s">
        <v>769</v>
      </c>
      <c r="B45" s="28" t="s">
        <v>1212</v>
      </c>
      <c r="C45" s="28" t="s">
        <v>107</v>
      </c>
      <c r="D45" s="132" t="s">
        <v>916</v>
      </c>
      <c r="E45" s="133"/>
      <c r="F45" s="23" t="s">
        <v>1027</v>
      </c>
      <c r="G45" s="23" t="s">
        <v>1027</v>
      </c>
      <c r="H45" s="23" t="s">
        <v>1027</v>
      </c>
      <c r="I45" s="14">
        <f>SUM(I46:I48)</f>
        <v>0</v>
      </c>
      <c r="J45" s="44" t="s">
        <v>769</v>
      </c>
      <c r="AH45" s="30" t="s">
        <v>1212</v>
      </c>
      <c r="AR45" s="14">
        <f>SUM(AI46:AI48)</f>
        <v>0</v>
      </c>
      <c r="AS45" s="14">
        <f>SUM(AJ46:AJ48)</f>
        <v>0</v>
      </c>
      <c r="AT45" s="14">
        <f>SUM(AK46:AK48)</f>
        <v>0</v>
      </c>
    </row>
    <row r="46" spans="1:74" ht="13.5" customHeight="1" x14ac:dyDescent="0.25">
      <c r="A46" s="10" t="s">
        <v>815</v>
      </c>
      <c r="B46" s="9" t="s">
        <v>1212</v>
      </c>
      <c r="C46" s="9" t="s">
        <v>12</v>
      </c>
      <c r="D46" s="76" t="s">
        <v>919</v>
      </c>
      <c r="E46" s="77"/>
      <c r="F46" s="9" t="s">
        <v>1079</v>
      </c>
      <c r="G46" s="56">
        <f>'Stavební rozpočet'!G562</f>
        <v>19.994</v>
      </c>
      <c r="H46" s="56">
        <f>'Stavební rozpočet'!H562</f>
        <v>0</v>
      </c>
      <c r="I46" s="56">
        <f>G46*H46</f>
        <v>0</v>
      </c>
      <c r="J46" s="54" t="s">
        <v>501</v>
      </c>
      <c r="Y46" s="56">
        <f>IF(AP46="5",BI46,0)</f>
        <v>0</v>
      </c>
      <c r="AA46" s="56">
        <f>IF(AP46="1",BG46,0)</f>
        <v>0</v>
      </c>
      <c r="AB46" s="56">
        <f>IF(AP46="1",BH46,0)</f>
        <v>0</v>
      </c>
      <c r="AC46" s="56">
        <f>IF(AP46="7",BG46,0)</f>
        <v>0</v>
      </c>
      <c r="AD46" s="56">
        <f>IF(AP46="7",BH46,0)</f>
        <v>0</v>
      </c>
      <c r="AE46" s="56">
        <f>IF(AP46="2",BG46,0)</f>
        <v>0</v>
      </c>
      <c r="AF46" s="56">
        <f>IF(AP46="2",BH46,0)</f>
        <v>0</v>
      </c>
      <c r="AG46" s="56">
        <f>IF(AP46="0",BI46,0)</f>
        <v>0</v>
      </c>
      <c r="AH46" s="30" t="s">
        <v>1212</v>
      </c>
      <c r="AI46" s="56">
        <f>IF(AM46=0,I46,0)</f>
        <v>0</v>
      </c>
      <c r="AJ46" s="56">
        <f>IF(AM46=15,I46,0)</f>
        <v>0</v>
      </c>
      <c r="AK46" s="56">
        <f>IF(AM46=21,I46,0)</f>
        <v>0</v>
      </c>
      <c r="AM46" s="56">
        <v>21</v>
      </c>
      <c r="AN46" s="56">
        <f>H46*0</f>
        <v>0</v>
      </c>
      <c r="AO46" s="56">
        <f>H46*(1-0)</f>
        <v>0</v>
      </c>
      <c r="AP46" s="41" t="s">
        <v>1109</v>
      </c>
      <c r="AU46" s="56">
        <f>AV46+AW46</f>
        <v>0</v>
      </c>
      <c r="AV46" s="56">
        <f>G46*AN46</f>
        <v>0</v>
      </c>
      <c r="AW46" s="56">
        <f>G46*AO46</f>
        <v>0</v>
      </c>
      <c r="AX46" s="41" t="s">
        <v>1028</v>
      </c>
      <c r="AY46" s="41" t="s">
        <v>404</v>
      </c>
      <c r="AZ46" s="30" t="s">
        <v>1193</v>
      </c>
      <c r="BB46" s="56">
        <f>AV46+AW46</f>
        <v>0</v>
      </c>
      <c r="BC46" s="56">
        <f>H46/(100-BD46)*100</f>
        <v>0</v>
      </c>
      <c r="BD46" s="56">
        <v>0</v>
      </c>
      <c r="BE46" s="56" t="e">
        <f>#REF!</f>
        <v>#REF!</v>
      </c>
      <c r="BG46" s="56">
        <f>G46*AN46</f>
        <v>0</v>
      </c>
      <c r="BH46" s="56">
        <f>G46*AO46</f>
        <v>0</v>
      </c>
      <c r="BI46" s="56">
        <f>G46*H46</f>
        <v>0</v>
      </c>
      <c r="BJ46" s="56"/>
      <c r="BK46" s="56">
        <v>16</v>
      </c>
      <c r="BV46" s="56">
        <v>21</v>
      </c>
    </row>
    <row r="47" spans="1:74" ht="15" customHeight="1" x14ac:dyDescent="0.25">
      <c r="A47" s="53"/>
      <c r="D47" s="52" t="s">
        <v>49</v>
      </c>
      <c r="E47" s="37" t="s">
        <v>769</v>
      </c>
      <c r="G47" s="21">
        <v>19.994000000000003</v>
      </c>
      <c r="J47" s="48"/>
    </row>
    <row r="48" spans="1:74" ht="13.5" customHeight="1" x14ac:dyDescent="0.25">
      <c r="A48" s="10" t="s">
        <v>333</v>
      </c>
      <c r="B48" s="9" t="s">
        <v>1212</v>
      </c>
      <c r="C48" s="9" t="s">
        <v>521</v>
      </c>
      <c r="D48" s="76" t="s">
        <v>602</v>
      </c>
      <c r="E48" s="77"/>
      <c r="F48" s="9" t="s">
        <v>1079</v>
      </c>
      <c r="G48" s="56">
        <f>'Stavební rozpočet'!G564</f>
        <v>199.94</v>
      </c>
      <c r="H48" s="56">
        <f>'Stavební rozpočet'!H564</f>
        <v>0</v>
      </c>
      <c r="I48" s="56">
        <f>G48*H48</f>
        <v>0</v>
      </c>
      <c r="J48" s="54" t="s">
        <v>501</v>
      </c>
      <c r="Y48" s="56">
        <f>IF(AP48="5",BI48,0)</f>
        <v>0</v>
      </c>
      <c r="AA48" s="56">
        <f>IF(AP48="1",BG48,0)</f>
        <v>0</v>
      </c>
      <c r="AB48" s="56">
        <f>IF(AP48="1",BH48,0)</f>
        <v>0</v>
      </c>
      <c r="AC48" s="56">
        <f>IF(AP48="7",BG48,0)</f>
        <v>0</v>
      </c>
      <c r="AD48" s="56">
        <f>IF(AP48="7",BH48,0)</f>
        <v>0</v>
      </c>
      <c r="AE48" s="56">
        <f>IF(AP48="2",BG48,0)</f>
        <v>0</v>
      </c>
      <c r="AF48" s="56">
        <f>IF(AP48="2",BH48,0)</f>
        <v>0</v>
      </c>
      <c r="AG48" s="56">
        <f>IF(AP48="0",BI48,0)</f>
        <v>0</v>
      </c>
      <c r="AH48" s="30" t="s">
        <v>1212</v>
      </c>
      <c r="AI48" s="56">
        <f>IF(AM48=0,I48,0)</f>
        <v>0</v>
      </c>
      <c r="AJ48" s="56">
        <f>IF(AM48=15,I48,0)</f>
        <v>0</v>
      </c>
      <c r="AK48" s="56">
        <f>IF(AM48=21,I48,0)</f>
        <v>0</v>
      </c>
      <c r="AM48" s="56">
        <v>21</v>
      </c>
      <c r="AN48" s="56">
        <f>H48*0</f>
        <v>0</v>
      </c>
      <c r="AO48" s="56">
        <f>H48*(1-0)</f>
        <v>0</v>
      </c>
      <c r="AP48" s="41" t="s">
        <v>1109</v>
      </c>
      <c r="AU48" s="56">
        <f>AV48+AW48</f>
        <v>0</v>
      </c>
      <c r="AV48" s="56">
        <f>G48*AN48</f>
        <v>0</v>
      </c>
      <c r="AW48" s="56">
        <f>G48*AO48</f>
        <v>0</v>
      </c>
      <c r="AX48" s="41" t="s">
        <v>1028</v>
      </c>
      <c r="AY48" s="41" t="s">
        <v>404</v>
      </c>
      <c r="AZ48" s="30" t="s">
        <v>1193</v>
      </c>
      <c r="BB48" s="56">
        <f>AV48+AW48</f>
        <v>0</v>
      </c>
      <c r="BC48" s="56">
        <f>H48/(100-BD48)*100</f>
        <v>0</v>
      </c>
      <c r="BD48" s="56">
        <v>0</v>
      </c>
      <c r="BE48" s="56" t="e">
        <f>#REF!</f>
        <v>#REF!</v>
      </c>
      <c r="BG48" s="56">
        <f>G48*AN48</f>
        <v>0</v>
      </c>
      <c r="BH48" s="56">
        <f>G48*AO48</f>
        <v>0</v>
      </c>
      <c r="BI48" s="56">
        <f>G48*H48</f>
        <v>0</v>
      </c>
      <c r="BJ48" s="56"/>
      <c r="BK48" s="56">
        <v>16</v>
      </c>
      <c r="BV48" s="56">
        <v>21</v>
      </c>
    </row>
    <row r="49" spans="1:74" ht="15" customHeight="1" x14ac:dyDescent="0.25">
      <c r="A49" s="53"/>
      <c r="D49" s="52" t="s">
        <v>832</v>
      </c>
      <c r="E49" s="37" t="s">
        <v>446</v>
      </c>
      <c r="G49" s="21">
        <v>199.94000000000003</v>
      </c>
      <c r="J49" s="48"/>
    </row>
    <row r="50" spans="1:74" ht="15" customHeight="1" x14ac:dyDescent="0.25">
      <c r="A50" s="27" t="s">
        <v>769</v>
      </c>
      <c r="B50" s="28" t="s">
        <v>1212</v>
      </c>
      <c r="C50" s="28" t="s">
        <v>774</v>
      </c>
      <c r="D50" s="132" t="s">
        <v>150</v>
      </c>
      <c r="E50" s="133"/>
      <c r="F50" s="23" t="s">
        <v>1027</v>
      </c>
      <c r="G50" s="23" t="s">
        <v>1027</v>
      </c>
      <c r="H50" s="23" t="s">
        <v>1027</v>
      </c>
      <c r="I50" s="14">
        <f>SUM(I51:I66)</f>
        <v>0</v>
      </c>
      <c r="J50" s="44" t="s">
        <v>769</v>
      </c>
      <c r="AH50" s="30" t="s">
        <v>1212</v>
      </c>
      <c r="AR50" s="14">
        <f>SUM(AI51:AI66)</f>
        <v>0</v>
      </c>
      <c r="AS50" s="14">
        <f>SUM(AJ51:AJ66)</f>
        <v>0</v>
      </c>
      <c r="AT50" s="14">
        <f>SUM(AK51:AK66)</f>
        <v>0</v>
      </c>
    </row>
    <row r="51" spans="1:74" ht="13.5" customHeight="1" x14ac:dyDescent="0.25">
      <c r="A51" s="10" t="s">
        <v>654</v>
      </c>
      <c r="B51" s="9" t="s">
        <v>1212</v>
      </c>
      <c r="C51" s="9" t="s">
        <v>356</v>
      </c>
      <c r="D51" s="76" t="s">
        <v>1089</v>
      </c>
      <c r="E51" s="77"/>
      <c r="F51" s="9" t="s">
        <v>1079</v>
      </c>
      <c r="G51" s="56">
        <f>'Stavební rozpočet'!G567</f>
        <v>19.994</v>
      </c>
      <c r="H51" s="56">
        <f>'Stavební rozpočet'!H567</f>
        <v>0</v>
      </c>
      <c r="I51" s="56">
        <f>G51*H51</f>
        <v>0</v>
      </c>
      <c r="J51" s="54" t="s">
        <v>501</v>
      </c>
      <c r="Y51" s="56">
        <f>IF(AP51="5",BI51,0)</f>
        <v>0</v>
      </c>
      <c r="AA51" s="56">
        <f>IF(AP51="1",BG51,0)</f>
        <v>0</v>
      </c>
      <c r="AB51" s="56">
        <f>IF(AP51="1",BH51,0)</f>
        <v>0</v>
      </c>
      <c r="AC51" s="56">
        <f>IF(AP51="7",BG51,0)</f>
        <v>0</v>
      </c>
      <c r="AD51" s="56">
        <f>IF(AP51="7",BH51,0)</f>
        <v>0</v>
      </c>
      <c r="AE51" s="56">
        <f>IF(AP51="2",BG51,0)</f>
        <v>0</v>
      </c>
      <c r="AF51" s="56">
        <f>IF(AP51="2",BH51,0)</f>
        <v>0</v>
      </c>
      <c r="AG51" s="56">
        <f>IF(AP51="0",BI51,0)</f>
        <v>0</v>
      </c>
      <c r="AH51" s="30" t="s">
        <v>1212</v>
      </c>
      <c r="AI51" s="56">
        <f>IF(AM51=0,I51,0)</f>
        <v>0</v>
      </c>
      <c r="AJ51" s="56">
        <f>IF(AM51=15,I51,0)</f>
        <v>0</v>
      </c>
      <c r="AK51" s="56">
        <f>IF(AM51=21,I51,0)</f>
        <v>0</v>
      </c>
      <c r="AM51" s="56">
        <v>21</v>
      </c>
      <c r="AN51" s="56">
        <f>H51*0</f>
        <v>0</v>
      </c>
      <c r="AO51" s="56">
        <f>H51*(1-0)</f>
        <v>0</v>
      </c>
      <c r="AP51" s="41" t="s">
        <v>1109</v>
      </c>
      <c r="AU51" s="56">
        <f>AV51+AW51</f>
        <v>0</v>
      </c>
      <c r="AV51" s="56">
        <f>G51*AN51</f>
        <v>0</v>
      </c>
      <c r="AW51" s="56">
        <f>G51*AO51</f>
        <v>0</v>
      </c>
      <c r="AX51" s="41" t="s">
        <v>223</v>
      </c>
      <c r="AY51" s="41" t="s">
        <v>404</v>
      </c>
      <c r="AZ51" s="30" t="s">
        <v>1193</v>
      </c>
      <c r="BB51" s="56">
        <f>AV51+AW51</f>
        <v>0</v>
      </c>
      <c r="BC51" s="56">
        <f>H51/(100-BD51)*100</f>
        <v>0</v>
      </c>
      <c r="BD51" s="56">
        <v>0</v>
      </c>
      <c r="BE51" s="56" t="e">
        <f>#REF!</f>
        <v>#REF!</v>
      </c>
      <c r="BG51" s="56">
        <f>G51*AN51</f>
        <v>0</v>
      </c>
      <c r="BH51" s="56">
        <f>G51*AO51</f>
        <v>0</v>
      </c>
      <c r="BI51" s="56">
        <f>G51*H51</f>
        <v>0</v>
      </c>
      <c r="BJ51" s="56"/>
      <c r="BK51" s="56">
        <v>17</v>
      </c>
      <c r="BV51" s="56">
        <v>21</v>
      </c>
    </row>
    <row r="52" spans="1:74" ht="13.5" customHeight="1" x14ac:dyDescent="0.25">
      <c r="A52" s="10" t="s">
        <v>442</v>
      </c>
      <c r="B52" s="9" t="s">
        <v>1212</v>
      </c>
      <c r="C52" s="9" t="s">
        <v>756</v>
      </c>
      <c r="D52" s="76" t="s">
        <v>1192</v>
      </c>
      <c r="E52" s="77"/>
      <c r="F52" s="9" t="s">
        <v>1079</v>
      </c>
      <c r="G52" s="56">
        <f>'Stavební rozpočet'!G568</f>
        <v>19.994</v>
      </c>
      <c r="H52" s="56">
        <f>'Stavební rozpočet'!H568</f>
        <v>0</v>
      </c>
      <c r="I52" s="56">
        <f>G52*H52</f>
        <v>0</v>
      </c>
      <c r="J52" s="54" t="s">
        <v>501</v>
      </c>
      <c r="Y52" s="56">
        <f>IF(AP52="5",BI52,0)</f>
        <v>0</v>
      </c>
      <c r="AA52" s="56">
        <f>IF(AP52="1",BG52,0)</f>
        <v>0</v>
      </c>
      <c r="AB52" s="56">
        <f>IF(AP52="1",BH52,0)</f>
        <v>0</v>
      </c>
      <c r="AC52" s="56">
        <f>IF(AP52="7",BG52,0)</f>
        <v>0</v>
      </c>
      <c r="AD52" s="56">
        <f>IF(AP52="7",BH52,0)</f>
        <v>0</v>
      </c>
      <c r="AE52" s="56">
        <f>IF(AP52="2",BG52,0)</f>
        <v>0</v>
      </c>
      <c r="AF52" s="56">
        <f>IF(AP52="2",BH52,0)</f>
        <v>0</v>
      </c>
      <c r="AG52" s="56">
        <f>IF(AP52="0",BI52,0)</f>
        <v>0</v>
      </c>
      <c r="AH52" s="30" t="s">
        <v>1212</v>
      </c>
      <c r="AI52" s="56">
        <f>IF(AM52=0,I52,0)</f>
        <v>0</v>
      </c>
      <c r="AJ52" s="56">
        <f>IF(AM52=15,I52,0)</f>
        <v>0</v>
      </c>
      <c r="AK52" s="56">
        <f>IF(AM52=21,I52,0)</f>
        <v>0</v>
      </c>
      <c r="AM52" s="56">
        <v>21</v>
      </c>
      <c r="AN52" s="56">
        <f>H52*0</f>
        <v>0</v>
      </c>
      <c r="AO52" s="56">
        <f>H52*(1-0)</f>
        <v>0</v>
      </c>
      <c r="AP52" s="41" t="s">
        <v>1109</v>
      </c>
      <c r="AU52" s="56">
        <f>AV52+AW52</f>
        <v>0</v>
      </c>
      <c r="AV52" s="56">
        <f>G52*AN52</f>
        <v>0</v>
      </c>
      <c r="AW52" s="56">
        <f>G52*AO52</f>
        <v>0</v>
      </c>
      <c r="AX52" s="41" t="s">
        <v>223</v>
      </c>
      <c r="AY52" s="41" t="s">
        <v>404</v>
      </c>
      <c r="AZ52" s="30" t="s">
        <v>1193</v>
      </c>
      <c r="BB52" s="56">
        <f>AV52+AW52</f>
        <v>0</v>
      </c>
      <c r="BC52" s="56">
        <f>H52/(100-BD52)*100</f>
        <v>0</v>
      </c>
      <c r="BD52" s="56">
        <v>0</v>
      </c>
      <c r="BE52" s="56" t="e">
        <f>#REF!</f>
        <v>#REF!</v>
      </c>
      <c r="BG52" s="56">
        <f>G52*AN52</f>
        <v>0</v>
      </c>
      <c r="BH52" s="56">
        <f>G52*AO52</f>
        <v>0</v>
      </c>
      <c r="BI52" s="56">
        <f>G52*H52</f>
        <v>0</v>
      </c>
      <c r="BJ52" s="56"/>
      <c r="BK52" s="56">
        <v>17</v>
      </c>
      <c r="BV52" s="56">
        <v>21</v>
      </c>
    </row>
    <row r="53" spans="1:74" ht="13.5" customHeight="1" x14ac:dyDescent="0.25">
      <c r="A53" s="10" t="s">
        <v>107</v>
      </c>
      <c r="B53" s="9" t="s">
        <v>1212</v>
      </c>
      <c r="C53" s="9" t="s">
        <v>810</v>
      </c>
      <c r="D53" s="76" t="s">
        <v>587</v>
      </c>
      <c r="E53" s="77"/>
      <c r="F53" s="9" t="s">
        <v>1079</v>
      </c>
      <c r="G53" s="56">
        <f>'Stavební rozpočet'!G569</f>
        <v>21.5</v>
      </c>
      <c r="H53" s="56">
        <f>'Stavební rozpočet'!H569</f>
        <v>0</v>
      </c>
      <c r="I53" s="56">
        <f>G53*H53</f>
        <v>0</v>
      </c>
      <c r="J53" s="54" t="s">
        <v>501</v>
      </c>
      <c r="Y53" s="56">
        <f>IF(AP53="5",BI53,0)</f>
        <v>0</v>
      </c>
      <c r="AA53" s="56">
        <f>IF(AP53="1",BG53,0)</f>
        <v>0</v>
      </c>
      <c r="AB53" s="56">
        <f>IF(AP53="1",BH53,0)</f>
        <v>0</v>
      </c>
      <c r="AC53" s="56">
        <f>IF(AP53="7",BG53,0)</f>
        <v>0</v>
      </c>
      <c r="AD53" s="56">
        <f>IF(AP53="7",BH53,0)</f>
        <v>0</v>
      </c>
      <c r="AE53" s="56">
        <f>IF(AP53="2",BG53,0)</f>
        <v>0</v>
      </c>
      <c r="AF53" s="56">
        <f>IF(AP53="2",BH53,0)</f>
        <v>0</v>
      </c>
      <c r="AG53" s="56">
        <f>IF(AP53="0",BI53,0)</f>
        <v>0</v>
      </c>
      <c r="AH53" s="30" t="s">
        <v>1212</v>
      </c>
      <c r="AI53" s="56">
        <f>IF(AM53=0,I53,0)</f>
        <v>0</v>
      </c>
      <c r="AJ53" s="56">
        <f>IF(AM53=15,I53,0)</f>
        <v>0</v>
      </c>
      <c r="AK53" s="56">
        <f>IF(AM53=21,I53,0)</f>
        <v>0</v>
      </c>
      <c r="AM53" s="56">
        <v>21</v>
      </c>
      <c r="AN53" s="56">
        <f>H53*0</f>
        <v>0</v>
      </c>
      <c r="AO53" s="56">
        <f>H53*(1-0)</f>
        <v>0</v>
      </c>
      <c r="AP53" s="41" t="s">
        <v>1109</v>
      </c>
      <c r="AU53" s="56">
        <f>AV53+AW53</f>
        <v>0</v>
      </c>
      <c r="AV53" s="56">
        <f>G53*AN53</f>
        <v>0</v>
      </c>
      <c r="AW53" s="56">
        <f>G53*AO53</f>
        <v>0</v>
      </c>
      <c r="AX53" s="41" t="s">
        <v>223</v>
      </c>
      <c r="AY53" s="41" t="s">
        <v>404</v>
      </c>
      <c r="AZ53" s="30" t="s">
        <v>1193</v>
      </c>
      <c r="BB53" s="56">
        <f>AV53+AW53</f>
        <v>0</v>
      </c>
      <c r="BC53" s="56">
        <f>H53/(100-BD53)*100</f>
        <v>0</v>
      </c>
      <c r="BD53" s="56">
        <v>0</v>
      </c>
      <c r="BE53" s="56" t="e">
        <f>#REF!</f>
        <v>#REF!</v>
      </c>
      <c r="BG53" s="56">
        <f>G53*AN53</f>
        <v>0</v>
      </c>
      <c r="BH53" s="56">
        <f>G53*AO53</f>
        <v>0</v>
      </c>
      <c r="BI53" s="56">
        <f>G53*H53</f>
        <v>0</v>
      </c>
      <c r="BJ53" s="56"/>
      <c r="BK53" s="56">
        <v>17</v>
      </c>
      <c r="BV53" s="56">
        <v>21</v>
      </c>
    </row>
    <row r="54" spans="1:74" ht="15" customHeight="1" x14ac:dyDescent="0.25">
      <c r="A54" s="53"/>
      <c r="D54" s="52" t="s">
        <v>932</v>
      </c>
      <c r="E54" s="37" t="s">
        <v>715</v>
      </c>
      <c r="G54" s="21">
        <v>0.91600000000000004</v>
      </c>
      <c r="J54" s="48"/>
    </row>
    <row r="55" spans="1:74" ht="15" customHeight="1" x14ac:dyDescent="0.25">
      <c r="A55" s="53"/>
      <c r="D55" s="52" t="s">
        <v>358</v>
      </c>
      <c r="E55" s="37" t="s">
        <v>425</v>
      </c>
      <c r="G55" s="21">
        <v>5.9300000000000006</v>
      </c>
      <c r="J55" s="48"/>
    </row>
    <row r="56" spans="1:74" ht="15" customHeight="1" x14ac:dyDescent="0.25">
      <c r="A56" s="53"/>
      <c r="D56" s="52" t="s">
        <v>1189</v>
      </c>
      <c r="E56" s="37" t="s">
        <v>159</v>
      </c>
      <c r="G56" s="21">
        <v>6.6170000000000009</v>
      </c>
      <c r="J56" s="48"/>
    </row>
    <row r="57" spans="1:74" ht="15" customHeight="1" x14ac:dyDescent="0.25">
      <c r="A57" s="53"/>
      <c r="D57" s="52" t="s">
        <v>11</v>
      </c>
      <c r="E57" s="37" t="s">
        <v>80</v>
      </c>
      <c r="G57" s="21">
        <v>8.0370000000000008</v>
      </c>
      <c r="J57" s="48"/>
    </row>
    <row r="58" spans="1:74" ht="13.5" customHeight="1" x14ac:dyDescent="0.25">
      <c r="A58" s="57" t="s">
        <v>774</v>
      </c>
      <c r="B58" s="50" t="s">
        <v>1212</v>
      </c>
      <c r="C58" s="50" t="s">
        <v>98</v>
      </c>
      <c r="D58" s="135" t="s">
        <v>615</v>
      </c>
      <c r="E58" s="136"/>
      <c r="F58" s="50" t="s">
        <v>517</v>
      </c>
      <c r="G58" s="31">
        <f>'Stavební rozpočet'!G574</f>
        <v>24.12</v>
      </c>
      <c r="H58" s="31">
        <f>'Stavební rozpočet'!H574</f>
        <v>0</v>
      </c>
      <c r="I58" s="31">
        <f>G58*H58</f>
        <v>0</v>
      </c>
      <c r="J58" s="47" t="s">
        <v>422</v>
      </c>
      <c r="Y58" s="56">
        <f>IF(AP58="5",BI58,0)</f>
        <v>0</v>
      </c>
      <c r="AA58" s="56">
        <f>IF(AP58="1",BG58,0)</f>
        <v>0</v>
      </c>
      <c r="AB58" s="56">
        <f>IF(AP58="1",BH58,0)</f>
        <v>0</v>
      </c>
      <c r="AC58" s="56">
        <f>IF(AP58="7",BG58,0)</f>
        <v>0</v>
      </c>
      <c r="AD58" s="56">
        <f>IF(AP58="7",BH58,0)</f>
        <v>0</v>
      </c>
      <c r="AE58" s="56">
        <f>IF(AP58="2",BG58,0)</f>
        <v>0</v>
      </c>
      <c r="AF58" s="56">
        <f>IF(AP58="2",BH58,0)</f>
        <v>0</v>
      </c>
      <c r="AG58" s="56">
        <f>IF(AP58="0",BI58,0)</f>
        <v>0</v>
      </c>
      <c r="AH58" s="30" t="s">
        <v>1212</v>
      </c>
      <c r="AI58" s="31">
        <f>IF(AM58=0,I58,0)</f>
        <v>0</v>
      </c>
      <c r="AJ58" s="31">
        <f>IF(AM58=15,I58,0)</f>
        <v>0</v>
      </c>
      <c r="AK58" s="31">
        <f>IF(AM58=21,I58,0)</f>
        <v>0</v>
      </c>
      <c r="AM58" s="56">
        <v>21</v>
      </c>
      <c r="AN58" s="56">
        <f>H58*1</f>
        <v>0</v>
      </c>
      <c r="AO58" s="56">
        <f>H58*(1-1)</f>
        <v>0</v>
      </c>
      <c r="AP58" s="58" t="s">
        <v>1109</v>
      </c>
      <c r="AU58" s="56">
        <f>AV58+AW58</f>
        <v>0</v>
      </c>
      <c r="AV58" s="56">
        <f>G58*AN58</f>
        <v>0</v>
      </c>
      <c r="AW58" s="56">
        <f>G58*AO58</f>
        <v>0</v>
      </c>
      <c r="AX58" s="41" t="s">
        <v>223</v>
      </c>
      <c r="AY58" s="41" t="s">
        <v>404</v>
      </c>
      <c r="AZ58" s="30" t="s">
        <v>1193</v>
      </c>
      <c r="BB58" s="56">
        <f>AV58+AW58</f>
        <v>0</v>
      </c>
      <c r="BC58" s="56">
        <f>H58/(100-BD58)*100</f>
        <v>0</v>
      </c>
      <c r="BD58" s="56">
        <v>0</v>
      </c>
      <c r="BE58" s="56" t="e">
        <f>#REF!</f>
        <v>#REF!</v>
      </c>
      <c r="BG58" s="31">
        <f>G58*AN58</f>
        <v>0</v>
      </c>
      <c r="BH58" s="31">
        <f>G58*AO58</f>
        <v>0</v>
      </c>
      <c r="BI58" s="31">
        <f>G58*H58</f>
        <v>0</v>
      </c>
      <c r="BJ58" s="31"/>
      <c r="BK58" s="56">
        <v>17</v>
      </c>
      <c r="BV58" s="56">
        <v>21</v>
      </c>
    </row>
    <row r="59" spans="1:74" ht="15" customHeight="1" x14ac:dyDescent="0.25">
      <c r="A59" s="53"/>
      <c r="D59" s="52" t="s">
        <v>994</v>
      </c>
      <c r="E59" s="37" t="s">
        <v>769</v>
      </c>
      <c r="G59" s="21">
        <v>24.12</v>
      </c>
      <c r="J59" s="48"/>
    </row>
    <row r="60" spans="1:74" ht="13.5" customHeight="1" x14ac:dyDescent="0.25">
      <c r="A60" s="10" t="s">
        <v>882</v>
      </c>
      <c r="B60" s="9" t="s">
        <v>1212</v>
      </c>
      <c r="C60" s="9" t="s">
        <v>969</v>
      </c>
      <c r="D60" s="76" t="s">
        <v>39</v>
      </c>
      <c r="E60" s="77"/>
      <c r="F60" s="9" t="s">
        <v>1079</v>
      </c>
      <c r="G60" s="56">
        <f>'Stavební rozpočet'!G576</f>
        <v>5.2460000000000004</v>
      </c>
      <c r="H60" s="56">
        <f>'Stavební rozpočet'!H576</f>
        <v>0</v>
      </c>
      <c r="I60" s="56">
        <f>G60*H60</f>
        <v>0</v>
      </c>
      <c r="J60" s="54" t="s">
        <v>501</v>
      </c>
      <c r="Y60" s="56">
        <f>IF(AP60="5",BI60,0)</f>
        <v>0</v>
      </c>
      <c r="AA60" s="56">
        <f>IF(AP60="1",BG60,0)</f>
        <v>0</v>
      </c>
      <c r="AB60" s="56">
        <f>IF(AP60="1",BH60,0)</f>
        <v>0</v>
      </c>
      <c r="AC60" s="56">
        <f>IF(AP60="7",BG60,0)</f>
        <v>0</v>
      </c>
      <c r="AD60" s="56">
        <f>IF(AP60="7",BH60,0)</f>
        <v>0</v>
      </c>
      <c r="AE60" s="56">
        <f>IF(AP60="2",BG60,0)</f>
        <v>0</v>
      </c>
      <c r="AF60" s="56">
        <f>IF(AP60="2",BH60,0)</f>
        <v>0</v>
      </c>
      <c r="AG60" s="56">
        <f>IF(AP60="0",BI60,0)</f>
        <v>0</v>
      </c>
      <c r="AH60" s="30" t="s">
        <v>1212</v>
      </c>
      <c r="AI60" s="56">
        <f>IF(AM60=0,I60,0)</f>
        <v>0</v>
      </c>
      <c r="AJ60" s="56">
        <f>IF(AM60=15,I60,0)</f>
        <v>0</v>
      </c>
      <c r="AK60" s="56">
        <f>IF(AM60=21,I60,0)</f>
        <v>0</v>
      </c>
      <c r="AM60" s="56">
        <v>21</v>
      </c>
      <c r="AN60" s="56">
        <f>H60*0.517504991595982</f>
        <v>0</v>
      </c>
      <c r="AO60" s="56">
        <f>H60*(1-0.517504991595982)</f>
        <v>0</v>
      </c>
      <c r="AP60" s="41" t="s">
        <v>1109</v>
      </c>
      <c r="AU60" s="56">
        <f>AV60+AW60</f>
        <v>0</v>
      </c>
      <c r="AV60" s="56">
        <f>G60*AN60</f>
        <v>0</v>
      </c>
      <c r="AW60" s="56">
        <f>G60*AO60</f>
        <v>0</v>
      </c>
      <c r="AX60" s="41" t="s">
        <v>223</v>
      </c>
      <c r="AY60" s="41" t="s">
        <v>404</v>
      </c>
      <c r="AZ60" s="30" t="s">
        <v>1193</v>
      </c>
      <c r="BB60" s="56">
        <f>AV60+AW60</f>
        <v>0</v>
      </c>
      <c r="BC60" s="56">
        <f>H60/(100-BD60)*100</f>
        <v>0</v>
      </c>
      <c r="BD60" s="56">
        <v>0</v>
      </c>
      <c r="BE60" s="56" t="e">
        <f>#REF!</f>
        <v>#REF!</v>
      </c>
      <c r="BG60" s="56">
        <f>G60*AN60</f>
        <v>0</v>
      </c>
      <c r="BH60" s="56">
        <f>G60*AO60</f>
        <v>0</v>
      </c>
      <c r="BI60" s="56">
        <f>G60*H60</f>
        <v>0</v>
      </c>
      <c r="BJ60" s="56"/>
      <c r="BK60" s="56">
        <v>17</v>
      </c>
      <c r="BV60" s="56">
        <v>21</v>
      </c>
    </row>
    <row r="61" spans="1:74" ht="13.5" customHeight="1" x14ac:dyDescent="0.25">
      <c r="A61" s="53"/>
      <c r="C61" s="66" t="s">
        <v>578</v>
      </c>
      <c r="D61" s="137" t="s">
        <v>0</v>
      </c>
      <c r="E61" s="138"/>
      <c r="F61" s="138"/>
      <c r="G61" s="138"/>
      <c r="H61" s="138"/>
      <c r="I61" s="138"/>
      <c r="J61" s="139"/>
    </row>
    <row r="62" spans="1:74" ht="15" customHeight="1" x14ac:dyDescent="0.25">
      <c r="A62" s="53"/>
      <c r="D62" s="52" t="s">
        <v>303</v>
      </c>
      <c r="E62" s="37" t="s">
        <v>715</v>
      </c>
      <c r="G62" s="21">
        <v>0.29900000000000004</v>
      </c>
      <c r="J62" s="48"/>
    </row>
    <row r="63" spans="1:74" ht="15" customHeight="1" x14ac:dyDescent="0.25">
      <c r="A63" s="53"/>
      <c r="D63" s="52" t="s">
        <v>119</v>
      </c>
      <c r="E63" s="37" t="s">
        <v>425</v>
      </c>
      <c r="G63" s="21">
        <v>1.6600000000000001</v>
      </c>
      <c r="J63" s="48"/>
    </row>
    <row r="64" spans="1:74" ht="15" customHeight="1" x14ac:dyDescent="0.25">
      <c r="A64" s="53"/>
      <c r="D64" s="52" t="s">
        <v>279</v>
      </c>
      <c r="E64" s="37" t="s">
        <v>159</v>
      </c>
      <c r="G64" s="21">
        <v>2.1580000000000004</v>
      </c>
      <c r="J64" s="48"/>
    </row>
    <row r="65" spans="1:74" ht="15" customHeight="1" x14ac:dyDescent="0.25">
      <c r="A65" s="53"/>
      <c r="D65" s="52" t="s">
        <v>290</v>
      </c>
      <c r="E65" s="37" t="s">
        <v>80</v>
      </c>
      <c r="G65" s="21">
        <v>1.129</v>
      </c>
      <c r="J65" s="48"/>
    </row>
    <row r="66" spans="1:74" ht="13.5" customHeight="1" x14ac:dyDescent="0.25">
      <c r="A66" s="10" t="s">
        <v>706</v>
      </c>
      <c r="B66" s="9" t="s">
        <v>1212</v>
      </c>
      <c r="C66" s="9" t="s">
        <v>810</v>
      </c>
      <c r="D66" s="76" t="s">
        <v>587</v>
      </c>
      <c r="E66" s="77"/>
      <c r="F66" s="9" t="s">
        <v>1079</v>
      </c>
      <c r="G66" s="56">
        <f>'Stavební rozpočet'!G582</f>
        <v>11.911</v>
      </c>
      <c r="H66" s="56">
        <f>'Stavební rozpočet'!H582</f>
        <v>0</v>
      </c>
      <c r="I66" s="56">
        <f>G66*H66</f>
        <v>0</v>
      </c>
      <c r="J66" s="54" t="s">
        <v>501</v>
      </c>
      <c r="Y66" s="56">
        <f>IF(AP66="5",BI66,0)</f>
        <v>0</v>
      </c>
      <c r="AA66" s="56">
        <f>IF(AP66="1",BG66,0)</f>
        <v>0</v>
      </c>
      <c r="AB66" s="56">
        <f>IF(AP66="1",BH66,0)</f>
        <v>0</v>
      </c>
      <c r="AC66" s="56">
        <f>IF(AP66="7",BG66,0)</f>
        <v>0</v>
      </c>
      <c r="AD66" s="56">
        <f>IF(AP66="7",BH66,0)</f>
        <v>0</v>
      </c>
      <c r="AE66" s="56">
        <f>IF(AP66="2",BG66,0)</f>
        <v>0</v>
      </c>
      <c r="AF66" s="56">
        <f>IF(AP66="2",BH66,0)</f>
        <v>0</v>
      </c>
      <c r="AG66" s="56">
        <f>IF(AP66="0",BI66,0)</f>
        <v>0</v>
      </c>
      <c r="AH66" s="30" t="s">
        <v>1212</v>
      </c>
      <c r="AI66" s="56">
        <f>IF(AM66=0,I66,0)</f>
        <v>0</v>
      </c>
      <c r="AJ66" s="56">
        <f>IF(AM66=15,I66,0)</f>
        <v>0</v>
      </c>
      <c r="AK66" s="56">
        <f>IF(AM66=21,I66,0)</f>
        <v>0</v>
      </c>
      <c r="AM66" s="56">
        <v>21</v>
      </c>
      <c r="AN66" s="56">
        <f>H66*0</f>
        <v>0</v>
      </c>
      <c r="AO66" s="56">
        <f>H66*(1-0)</f>
        <v>0</v>
      </c>
      <c r="AP66" s="41" t="s">
        <v>1109</v>
      </c>
      <c r="AU66" s="56">
        <f>AV66+AW66</f>
        <v>0</v>
      </c>
      <c r="AV66" s="56">
        <f>G66*AN66</f>
        <v>0</v>
      </c>
      <c r="AW66" s="56">
        <f>G66*AO66</f>
        <v>0</v>
      </c>
      <c r="AX66" s="41" t="s">
        <v>223</v>
      </c>
      <c r="AY66" s="41" t="s">
        <v>404</v>
      </c>
      <c r="AZ66" s="30" t="s">
        <v>1193</v>
      </c>
      <c r="BB66" s="56">
        <f>AV66+AW66</f>
        <v>0</v>
      </c>
      <c r="BC66" s="56">
        <f>H66/(100-BD66)*100</f>
        <v>0</v>
      </c>
      <c r="BD66" s="56">
        <v>0</v>
      </c>
      <c r="BE66" s="56" t="e">
        <f>#REF!</f>
        <v>#REF!</v>
      </c>
      <c r="BG66" s="56">
        <f>G66*AN66</f>
        <v>0</v>
      </c>
      <c r="BH66" s="56">
        <f>G66*AO66</f>
        <v>0</v>
      </c>
      <c r="BI66" s="56">
        <f>G66*H66</f>
        <v>0</v>
      </c>
      <c r="BJ66" s="56"/>
      <c r="BK66" s="56">
        <v>17</v>
      </c>
      <c r="BV66" s="56">
        <v>21</v>
      </c>
    </row>
    <row r="67" spans="1:74" ht="15" customHeight="1" x14ac:dyDescent="0.25">
      <c r="A67" s="53"/>
      <c r="D67" s="52" t="s">
        <v>932</v>
      </c>
      <c r="E67" s="37" t="s">
        <v>715</v>
      </c>
      <c r="G67" s="21">
        <v>0.91600000000000004</v>
      </c>
      <c r="J67" s="48"/>
    </row>
    <row r="68" spans="1:74" ht="15" customHeight="1" x14ac:dyDescent="0.25">
      <c r="A68" s="53"/>
      <c r="D68" s="52" t="s">
        <v>983</v>
      </c>
      <c r="E68" s="37" t="s">
        <v>425</v>
      </c>
      <c r="G68" s="21">
        <v>2.6470000000000002</v>
      </c>
      <c r="J68" s="48"/>
    </row>
    <row r="69" spans="1:74" ht="15" customHeight="1" x14ac:dyDescent="0.25">
      <c r="A69" s="53"/>
      <c r="D69" s="52" t="s">
        <v>1189</v>
      </c>
      <c r="E69" s="37" t="s">
        <v>159</v>
      </c>
      <c r="G69" s="21">
        <v>6.6170000000000009</v>
      </c>
      <c r="J69" s="48"/>
    </row>
    <row r="70" spans="1:74" ht="15" customHeight="1" x14ac:dyDescent="0.25">
      <c r="A70" s="53"/>
      <c r="D70" s="52" t="s">
        <v>364</v>
      </c>
      <c r="E70" s="37" t="s">
        <v>80</v>
      </c>
      <c r="G70" s="21">
        <v>1.7310000000000001</v>
      </c>
      <c r="J70" s="48"/>
    </row>
    <row r="71" spans="1:74" ht="15" customHeight="1" x14ac:dyDescent="0.25">
      <c r="A71" s="27" t="s">
        <v>769</v>
      </c>
      <c r="B71" s="28" t="s">
        <v>1212</v>
      </c>
      <c r="C71" s="28" t="s">
        <v>882</v>
      </c>
      <c r="D71" s="132" t="s">
        <v>1127</v>
      </c>
      <c r="E71" s="133"/>
      <c r="F71" s="23" t="s">
        <v>1027</v>
      </c>
      <c r="G71" s="23" t="s">
        <v>1027</v>
      </c>
      <c r="H71" s="23" t="s">
        <v>1027</v>
      </c>
      <c r="I71" s="14">
        <f>SUM(I72:I73)</f>
        <v>0</v>
      </c>
      <c r="J71" s="44" t="s">
        <v>769</v>
      </c>
      <c r="AH71" s="30" t="s">
        <v>1212</v>
      </c>
      <c r="AR71" s="14">
        <f>SUM(AI72:AI73)</f>
        <v>0</v>
      </c>
      <c r="AS71" s="14">
        <f>SUM(AJ72:AJ73)</f>
        <v>0</v>
      </c>
      <c r="AT71" s="14">
        <f>SUM(AK72:AK73)</f>
        <v>0</v>
      </c>
    </row>
    <row r="72" spans="1:74" ht="13.5" customHeight="1" x14ac:dyDescent="0.25">
      <c r="A72" s="10" t="s">
        <v>61</v>
      </c>
      <c r="B72" s="9" t="s">
        <v>1212</v>
      </c>
      <c r="C72" s="9" t="s">
        <v>573</v>
      </c>
      <c r="D72" s="76" t="s">
        <v>904</v>
      </c>
      <c r="E72" s="77"/>
      <c r="F72" s="9" t="s">
        <v>1095</v>
      </c>
      <c r="G72" s="56">
        <f>'Stavební rozpočet'!G588</f>
        <v>16</v>
      </c>
      <c r="H72" s="56">
        <f>'Stavební rozpočet'!H588</f>
        <v>0</v>
      </c>
      <c r="I72" s="56">
        <f>G72*H72</f>
        <v>0</v>
      </c>
      <c r="J72" s="54" t="s">
        <v>501</v>
      </c>
      <c r="Y72" s="56">
        <f>IF(AP72="5",BI72,0)</f>
        <v>0</v>
      </c>
      <c r="AA72" s="56">
        <f>IF(AP72="1",BG72,0)</f>
        <v>0</v>
      </c>
      <c r="AB72" s="56">
        <f>IF(AP72="1",BH72,0)</f>
        <v>0</v>
      </c>
      <c r="AC72" s="56">
        <f>IF(AP72="7",BG72,0)</f>
        <v>0</v>
      </c>
      <c r="AD72" s="56">
        <f>IF(AP72="7",BH72,0)</f>
        <v>0</v>
      </c>
      <c r="AE72" s="56">
        <f>IF(AP72="2",BG72,0)</f>
        <v>0</v>
      </c>
      <c r="AF72" s="56">
        <f>IF(AP72="2",BH72,0)</f>
        <v>0</v>
      </c>
      <c r="AG72" s="56">
        <f>IF(AP72="0",BI72,0)</f>
        <v>0</v>
      </c>
      <c r="AH72" s="30" t="s">
        <v>1212</v>
      </c>
      <c r="AI72" s="56">
        <f>IF(AM72=0,I72,0)</f>
        <v>0</v>
      </c>
      <c r="AJ72" s="56">
        <f>IF(AM72=15,I72,0)</f>
        <v>0</v>
      </c>
      <c r="AK72" s="56">
        <f>IF(AM72=21,I72,0)</f>
        <v>0</v>
      </c>
      <c r="AM72" s="56">
        <v>21</v>
      </c>
      <c r="AN72" s="56">
        <f>H72*0</f>
        <v>0</v>
      </c>
      <c r="AO72" s="56">
        <f>H72*(1-0)</f>
        <v>0</v>
      </c>
      <c r="AP72" s="41" t="s">
        <v>1109</v>
      </c>
      <c r="AU72" s="56">
        <f>AV72+AW72</f>
        <v>0</v>
      </c>
      <c r="AV72" s="56">
        <f>G72*AN72</f>
        <v>0</v>
      </c>
      <c r="AW72" s="56">
        <f>G72*AO72</f>
        <v>0</v>
      </c>
      <c r="AX72" s="41" t="s">
        <v>557</v>
      </c>
      <c r="AY72" s="41" t="s">
        <v>404</v>
      </c>
      <c r="AZ72" s="30" t="s">
        <v>1193</v>
      </c>
      <c r="BB72" s="56">
        <f>AV72+AW72</f>
        <v>0</v>
      </c>
      <c r="BC72" s="56">
        <f>H72/(100-BD72)*100</f>
        <v>0</v>
      </c>
      <c r="BD72" s="56">
        <v>0</v>
      </c>
      <c r="BE72" s="56" t="e">
        <f>#REF!</f>
        <v>#REF!</v>
      </c>
      <c r="BG72" s="56">
        <f>G72*AN72</f>
        <v>0</v>
      </c>
      <c r="BH72" s="56">
        <f>G72*AO72</f>
        <v>0</v>
      </c>
      <c r="BI72" s="56">
        <f>G72*H72</f>
        <v>0</v>
      </c>
      <c r="BJ72" s="56"/>
      <c r="BK72" s="56">
        <v>18</v>
      </c>
      <c r="BV72" s="56">
        <v>21</v>
      </c>
    </row>
    <row r="73" spans="1:74" ht="13.5" customHeight="1" x14ac:dyDescent="0.25">
      <c r="A73" s="10" t="s">
        <v>786</v>
      </c>
      <c r="B73" s="9" t="s">
        <v>1212</v>
      </c>
      <c r="C73" s="9" t="s">
        <v>1102</v>
      </c>
      <c r="D73" s="76" t="s">
        <v>4</v>
      </c>
      <c r="E73" s="77"/>
      <c r="F73" s="9" t="s">
        <v>1095</v>
      </c>
      <c r="G73" s="56">
        <f>'Stavební rozpočet'!G589</f>
        <v>16</v>
      </c>
      <c r="H73" s="56">
        <f>'Stavební rozpočet'!H589</f>
        <v>0</v>
      </c>
      <c r="I73" s="56">
        <f>G73*H73</f>
        <v>0</v>
      </c>
      <c r="J73" s="54" t="s">
        <v>501</v>
      </c>
      <c r="Y73" s="56">
        <f>IF(AP73="5",BI73,0)</f>
        <v>0</v>
      </c>
      <c r="AA73" s="56">
        <f>IF(AP73="1",BG73,0)</f>
        <v>0</v>
      </c>
      <c r="AB73" s="56">
        <f>IF(AP73="1",BH73,0)</f>
        <v>0</v>
      </c>
      <c r="AC73" s="56">
        <f>IF(AP73="7",BG73,0)</f>
        <v>0</v>
      </c>
      <c r="AD73" s="56">
        <f>IF(AP73="7",BH73,0)</f>
        <v>0</v>
      </c>
      <c r="AE73" s="56">
        <f>IF(AP73="2",BG73,0)</f>
        <v>0</v>
      </c>
      <c r="AF73" s="56">
        <f>IF(AP73="2",BH73,0)</f>
        <v>0</v>
      </c>
      <c r="AG73" s="56">
        <f>IF(AP73="0",BI73,0)</f>
        <v>0</v>
      </c>
      <c r="AH73" s="30" t="s">
        <v>1212</v>
      </c>
      <c r="AI73" s="56">
        <f>IF(AM73=0,I73,0)</f>
        <v>0</v>
      </c>
      <c r="AJ73" s="56">
        <f>IF(AM73=15,I73,0)</f>
        <v>0</v>
      </c>
      <c r="AK73" s="56">
        <f>IF(AM73=21,I73,0)</f>
        <v>0</v>
      </c>
      <c r="AM73" s="56">
        <v>21</v>
      </c>
      <c r="AN73" s="56">
        <f>H73*0.211652620007329</f>
        <v>0</v>
      </c>
      <c r="AO73" s="56">
        <f>H73*(1-0.211652620007329)</f>
        <v>0</v>
      </c>
      <c r="AP73" s="41" t="s">
        <v>1109</v>
      </c>
      <c r="AU73" s="56">
        <f>AV73+AW73</f>
        <v>0</v>
      </c>
      <c r="AV73" s="56">
        <f>G73*AN73</f>
        <v>0</v>
      </c>
      <c r="AW73" s="56">
        <f>G73*AO73</f>
        <v>0</v>
      </c>
      <c r="AX73" s="41" t="s">
        <v>557</v>
      </c>
      <c r="AY73" s="41" t="s">
        <v>404</v>
      </c>
      <c r="AZ73" s="30" t="s">
        <v>1193</v>
      </c>
      <c r="BB73" s="56">
        <f>AV73+AW73</f>
        <v>0</v>
      </c>
      <c r="BC73" s="56">
        <f>H73/(100-BD73)*100</f>
        <v>0</v>
      </c>
      <c r="BD73" s="56">
        <v>0</v>
      </c>
      <c r="BE73" s="56" t="e">
        <f>#REF!</f>
        <v>#REF!</v>
      </c>
      <c r="BG73" s="56">
        <f>G73*AN73</f>
        <v>0</v>
      </c>
      <c r="BH73" s="56">
        <f>G73*AO73</f>
        <v>0</v>
      </c>
      <c r="BI73" s="56">
        <f>G73*H73</f>
        <v>0</v>
      </c>
      <c r="BJ73" s="56"/>
      <c r="BK73" s="56">
        <v>18</v>
      </c>
      <c r="BV73" s="56">
        <v>21</v>
      </c>
    </row>
    <row r="74" spans="1:74" ht="15" customHeight="1" x14ac:dyDescent="0.25">
      <c r="A74" s="27" t="s">
        <v>769</v>
      </c>
      <c r="B74" s="28" t="s">
        <v>1212</v>
      </c>
      <c r="C74" s="28" t="s">
        <v>393</v>
      </c>
      <c r="D74" s="132" t="s">
        <v>860</v>
      </c>
      <c r="E74" s="133"/>
      <c r="F74" s="23" t="s">
        <v>1027</v>
      </c>
      <c r="G74" s="23" t="s">
        <v>1027</v>
      </c>
      <c r="H74" s="23" t="s">
        <v>1027</v>
      </c>
      <c r="I74" s="14">
        <f>SUM(I75:I75)</f>
        <v>0</v>
      </c>
      <c r="J74" s="44" t="s">
        <v>769</v>
      </c>
      <c r="AH74" s="30" t="s">
        <v>1212</v>
      </c>
      <c r="AR74" s="14">
        <f>SUM(AI75:AI75)</f>
        <v>0</v>
      </c>
      <c r="AS74" s="14">
        <f>SUM(AJ75:AJ75)</f>
        <v>0</v>
      </c>
      <c r="AT74" s="14">
        <f>SUM(AK75:AK75)</f>
        <v>0</v>
      </c>
    </row>
    <row r="75" spans="1:74" ht="13.5" customHeight="1" x14ac:dyDescent="0.25">
      <c r="A75" s="10" t="s">
        <v>1065</v>
      </c>
      <c r="B75" s="9" t="s">
        <v>1212</v>
      </c>
      <c r="C75" s="9" t="s">
        <v>1039</v>
      </c>
      <c r="D75" s="76" t="s">
        <v>335</v>
      </c>
      <c r="E75" s="77"/>
      <c r="F75" s="9" t="s">
        <v>1079</v>
      </c>
      <c r="G75" s="56">
        <f>'Stavební rozpočet'!G591</f>
        <v>1.58</v>
      </c>
      <c r="H75" s="56">
        <f>'Stavební rozpočet'!H591</f>
        <v>0</v>
      </c>
      <c r="I75" s="56">
        <f>G75*H75</f>
        <v>0</v>
      </c>
      <c r="J75" s="54" t="s">
        <v>501</v>
      </c>
      <c r="Y75" s="56">
        <f>IF(AP75="5",BI75,0)</f>
        <v>0</v>
      </c>
      <c r="AA75" s="56">
        <f>IF(AP75="1",BG75,0)</f>
        <v>0</v>
      </c>
      <c r="AB75" s="56">
        <f>IF(AP75="1",BH75,0)</f>
        <v>0</v>
      </c>
      <c r="AC75" s="56">
        <f>IF(AP75="7",BG75,0)</f>
        <v>0</v>
      </c>
      <c r="AD75" s="56">
        <f>IF(AP75="7",BH75,0)</f>
        <v>0</v>
      </c>
      <c r="AE75" s="56">
        <f>IF(AP75="2",BG75,0)</f>
        <v>0</v>
      </c>
      <c r="AF75" s="56">
        <f>IF(AP75="2",BH75,0)</f>
        <v>0</v>
      </c>
      <c r="AG75" s="56">
        <f>IF(AP75="0",BI75,0)</f>
        <v>0</v>
      </c>
      <c r="AH75" s="30" t="s">
        <v>1212</v>
      </c>
      <c r="AI75" s="56">
        <f>IF(AM75=0,I75,0)</f>
        <v>0</v>
      </c>
      <c r="AJ75" s="56">
        <f>IF(AM75=15,I75,0)</f>
        <v>0</v>
      </c>
      <c r="AK75" s="56">
        <f>IF(AM75=21,I75,0)</f>
        <v>0</v>
      </c>
      <c r="AM75" s="56">
        <v>21</v>
      </c>
      <c r="AN75" s="56">
        <f>H75*0.464149430974765</f>
        <v>0</v>
      </c>
      <c r="AO75" s="56">
        <f>H75*(1-0.464149430974765)</f>
        <v>0</v>
      </c>
      <c r="AP75" s="41" t="s">
        <v>1109</v>
      </c>
      <c r="AU75" s="56">
        <f>AV75+AW75</f>
        <v>0</v>
      </c>
      <c r="AV75" s="56">
        <f>G75*AN75</f>
        <v>0</v>
      </c>
      <c r="AW75" s="56">
        <f>G75*AO75</f>
        <v>0</v>
      </c>
      <c r="AX75" s="41" t="s">
        <v>547</v>
      </c>
      <c r="AY75" s="41" t="s">
        <v>220</v>
      </c>
      <c r="AZ75" s="30" t="s">
        <v>1193</v>
      </c>
      <c r="BB75" s="56">
        <f>AV75+AW75</f>
        <v>0</v>
      </c>
      <c r="BC75" s="56">
        <f>H75/(100-BD75)*100</f>
        <v>0</v>
      </c>
      <c r="BD75" s="56">
        <v>0</v>
      </c>
      <c r="BE75" s="56" t="e">
        <f>#REF!</f>
        <v>#REF!</v>
      </c>
      <c r="BG75" s="56">
        <f>G75*AN75</f>
        <v>0</v>
      </c>
      <c r="BH75" s="56">
        <f>G75*AO75</f>
        <v>0</v>
      </c>
      <c r="BI75" s="56">
        <f>G75*H75</f>
        <v>0</v>
      </c>
      <c r="BJ75" s="56"/>
      <c r="BK75" s="56">
        <v>45</v>
      </c>
      <c r="BV75" s="56">
        <v>21</v>
      </c>
    </row>
    <row r="76" spans="1:74" ht="13.5" customHeight="1" x14ac:dyDescent="0.25">
      <c r="A76" s="53"/>
      <c r="C76" s="66" t="s">
        <v>578</v>
      </c>
      <c r="D76" s="137" t="s">
        <v>304</v>
      </c>
      <c r="E76" s="138"/>
      <c r="F76" s="138"/>
      <c r="G76" s="138"/>
      <c r="H76" s="138"/>
      <c r="I76" s="138"/>
      <c r="J76" s="139"/>
    </row>
    <row r="77" spans="1:74" ht="15" customHeight="1" x14ac:dyDescent="0.25">
      <c r="A77" s="53"/>
      <c r="D77" s="52" t="s">
        <v>775</v>
      </c>
      <c r="E77" s="37" t="s">
        <v>715</v>
      </c>
      <c r="G77" s="21">
        <v>9.0000000000000011E-2</v>
      </c>
      <c r="J77" s="48"/>
    </row>
    <row r="78" spans="1:74" ht="15" customHeight="1" x14ac:dyDescent="0.25">
      <c r="A78" s="53"/>
      <c r="D78" s="52" t="s">
        <v>402</v>
      </c>
      <c r="E78" s="37" t="s">
        <v>425</v>
      </c>
      <c r="G78" s="21">
        <v>0.5</v>
      </c>
      <c r="J78" s="48"/>
    </row>
    <row r="79" spans="1:74" ht="15" customHeight="1" x14ac:dyDescent="0.25">
      <c r="A79" s="53"/>
      <c r="D79" s="52" t="s">
        <v>684</v>
      </c>
      <c r="E79" s="37" t="s">
        <v>159</v>
      </c>
      <c r="G79" s="21">
        <v>0.65</v>
      </c>
      <c r="J79" s="48"/>
    </row>
    <row r="80" spans="1:74" ht="15" customHeight="1" x14ac:dyDescent="0.25">
      <c r="A80" s="53"/>
      <c r="D80" s="52" t="s">
        <v>287</v>
      </c>
      <c r="E80" s="37" t="s">
        <v>80</v>
      </c>
      <c r="G80" s="21">
        <v>0.34</v>
      </c>
      <c r="J80" s="48"/>
    </row>
    <row r="81" spans="1:74" ht="15" customHeight="1" x14ac:dyDescent="0.25">
      <c r="A81" s="27" t="s">
        <v>769</v>
      </c>
      <c r="B81" s="28" t="s">
        <v>1212</v>
      </c>
      <c r="C81" s="28" t="s">
        <v>700</v>
      </c>
      <c r="D81" s="132" t="s">
        <v>739</v>
      </c>
      <c r="E81" s="133"/>
      <c r="F81" s="23" t="s">
        <v>1027</v>
      </c>
      <c r="G81" s="23" t="s">
        <v>1027</v>
      </c>
      <c r="H81" s="23" t="s">
        <v>1027</v>
      </c>
      <c r="I81" s="14">
        <f>SUM(I82:I88)</f>
        <v>0</v>
      </c>
      <c r="J81" s="44" t="s">
        <v>769</v>
      </c>
      <c r="AH81" s="30" t="s">
        <v>1212</v>
      </c>
      <c r="AR81" s="14">
        <f>SUM(AI82:AI88)</f>
        <v>0</v>
      </c>
      <c r="AS81" s="14">
        <f>SUM(AJ82:AJ88)</f>
        <v>0</v>
      </c>
      <c r="AT81" s="14">
        <f>SUM(AK82:AK88)</f>
        <v>0</v>
      </c>
    </row>
    <row r="82" spans="1:74" ht="13.5" customHeight="1" x14ac:dyDescent="0.25">
      <c r="A82" s="10" t="s">
        <v>500</v>
      </c>
      <c r="B82" s="9" t="s">
        <v>1212</v>
      </c>
      <c r="C82" s="9" t="s">
        <v>555</v>
      </c>
      <c r="D82" s="76" t="s">
        <v>1063</v>
      </c>
      <c r="E82" s="77"/>
      <c r="F82" s="9" t="s">
        <v>1095</v>
      </c>
      <c r="G82" s="56">
        <f>'Stavební rozpočet'!G598</f>
        <v>11.7</v>
      </c>
      <c r="H82" s="56">
        <f>'Stavební rozpočet'!H598</f>
        <v>0</v>
      </c>
      <c r="I82" s="56">
        <f>G82*H82</f>
        <v>0</v>
      </c>
      <c r="J82" s="54" t="s">
        <v>501</v>
      </c>
      <c r="Y82" s="56">
        <f>IF(AP82="5",BI82,0)</f>
        <v>0</v>
      </c>
      <c r="AA82" s="56">
        <f>IF(AP82="1",BG82,0)</f>
        <v>0</v>
      </c>
      <c r="AB82" s="56">
        <f>IF(AP82="1",BH82,0)</f>
        <v>0</v>
      </c>
      <c r="AC82" s="56">
        <f>IF(AP82="7",BG82,0)</f>
        <v>0</v>
      </c>
      <c r="AD82" s="56">
        <f>IF(AP82="7",BH82,0)</f>
        <v>0</v>
      </c>
      <c r="AE82" s="56">
        <f>IF(AP82="2",BG82,0)</f>
        <v>0</v>
      </c>
      <c r="AF82" s="56">
        <f>IF(AP82="2",BH82,0)</f>
        <v>0</v>
      </c>
      <c r="AG82" s="56">
        <f>IF(AP82="0",BI82,0)</f>
        <v>0</v>
      </c>
      <c r="AH82" s="30" t="s">
        <v>1212</v>
      </c>
      <c r="AI82" s="56">
        <f>IF(AM82=0,I82,0)</f>
        <v>0</v>
      </c>
      <c r="AJ82" s="56">
        <f>IF(AM82=15,I82,0)</f>
        <v>0</v>
      </c>
      <c r="AK82" s="56">
        <f>IF(AM82=21,I82,0)</f>
        <v>0</v>
      </c>
      <c r="AM82" s="56">
        <v>21</v>
      </c>
      <c r="AN82" s="56">
        <f>H82*0.825254917504831</f>
        <v>0</v>
      </c>
      <c r="AO82" s="56">
        <f>H82*(1-0.825254917504831)</f>
        <v>0</v>
      </c>
      <c r="AP82" s="41" t="s">
        <v>1109</v>
      </c>
      <c r="AU82" s="56">
        <f>AV82+AW82</f>
        <v>0</v>
      </c>
      <c r="AV82" s="56">
        <f>G82*AN82</f>
        <v>0</v>
      </c>
      <c r="AW82" s="56">
        <f>G82*AO82</f>
        <v>0</v>
      </c>
      <c r="AX82" s="41" t="s">
        <v>1152</v>
      </c>
      <c r="AY82" s="41" t="s">
        <v>1097</v>
      </c>
      <c r="AZ82" s="30" t="s">
        <v>1193</v>
      </c>
      <c r="BB82" s="56">
        <f>AV82+AW82</f>
        <v>0</v>
      </c>
      <c r="BC82" s="56">
        <f>H82/(100-BD82)*100</f>
        <v>0</v>
      </c>
      <c r="BD82" s="56">
        <v>0</v>
      </c>
      <c r="BE82" s="56" t="e">
        <f>#REF!</f>
        <v>#REF!</v>
      </c>
      <c r="BG82" s="56">
        <f>G82*AN82</f>
        <v>0</v>
      </c>
      <c r="BH82" s="56">
        <f>G82*AO82</f>
        <v>0</v>
      </c>
      <c r="BI82" s="56">
        <f>G82*H82</f>
        <v>0</v>
      </c>
      <c r="BJ82" s="56"/>
      <c r="BK82" s="56">
        <v>56</v>
      </c>
      <c r="BV82" s="56">
        <v>21</v>
      </c>
    </row>
    <row r="83" spans="1:74" ht="13.5" customHeight="1" x14ac:dyDescent="0.25">
      <c r="A83" s="53"/>
      <c r="C83" s="66" t="s">
        <v>578</v>
      </c>
      <c r="D83" s="137" t="s">
        <v>216</v>
      </c>
      <c r="E83" s="138"/>
      <c r="F83" s="138"/>
      <c r="G83" s="138"/>
      <c r="H83" s="138"/>
      <c r="I83" s="138"/>
      <c r="J83" s="139"/>
    </row>
    <row r="84" spans="1:74" ht="15" customHeight="1" x14ac:dyDescent="0.25">
      <c r="A84" s="53"/>
      <c r="D84" s="52" t="s">
        <v>787</v>
      </c>
      <c r="E84" s="37" t="s">
        <v>715</v>
      </c>
      <c r="G84" s="21">
        <v>0.9</v>
      </c>
      <c r="J84" s="48"/>
    </row>
    <row r="85" spans="1:74" ht="15" customHeight="1" x14ac:dyDescent="0.25">
      <c r="A85" s="53"/>
      <c r="D85" s="52" t="s">
        <v>314</v>
      </c>
      <c r="E85" s="37" t="s">
        <v>425</v>
      </c>
      <c r="G85" s="21">
        <v>2.6</v>
      </c>
      <c r="J85" s="48"/>
    </row>
    <row r="86" spans="1:74" ht="15" customHeight="1" x14ac:dyDescent="0.25">
      <c r="A86" s="53"/>
      <c r="D86" s="52" t="s">
        <v>1069</v>
      </c>
      <c r="E86" s="37" t="s">
        <v>159</v>
      </c>
      <c r="G86" s="21">
        <v>6.5000000000000009</v>
      </c>
      <c r="J86" s="48"/>
    </row>
    <row r="87" spans="1:74" ht="15" customHeight="1" x14ac:dyDescent="0.25">
      <c r="A87" s="53"/>
      <c r="D87" s="52" t="s">
        <v>893</v>
      </c>
      <c r="E87" s="37" t="s">
        <v>80</v>
      </c>
      <c r="G87" s="21">
        <v>1.7000000000000002</v>
      </c>
      <c r="J87" s="48"/>
    </row>
    <row r="88" spans="1:74" ht="13.5" customHeight="1" x14ac:dyDescent="0.25">
      <c r="A88" s="10" t="s">
        <v>112</v>
      </c>
      <c r="B88" s="9" t="s">
        <v>1212</v>
      </c>
      <c r="C88" s="9" t="s">
        <v>842</v>
      </c>
      <c r="D88" s="76" t="s">
        <v>301</v>
      </c>
      <c r="E88" s="77"/>
      <c r="F88" s="9" t="s">
        <v>1095</v>
      </c>
      <c r="G88" s="56">
        <f>'Stavební rozpočet'!G604</f>
        <v>11.7</v>
      </c>
      <c r="H88" s="56">
        <f>'Stavební rozpočet'!H604</f>
        <v>0</v>
      </c>
      <c r="I88" s="56">
        <f>G88*H88</f>
        <v>0</v>
      </c>
      <c r="J88" s="54" t="s">
        <v>501</v>
      </c>
      <c r="Y88" s="56">
        <f>IF(AP88="5",BI88,0)</f>
        <v>0</v>
      </c>
      <c r="AA88" s="56">
        <f>IF(AP88="1",BG88,0)</f>
        <v>0</v>
      </c>
      <c r="AB88" s="56">
        <f>IF(AP88="1",BH88,0)</f>
        <v>0</v>
      </c>
      <c r="AC88" s="56">
        <f>IF(AP88="7",BG88,0)</f>
        <v>0</v>
      </c>
      <c r="AD88" s="56">
        <f>IF(AP88="7",BH88,0)</f>
        <v>0</v>
      </c>
      <c r="AE88" s="56">
        <f>IF(AP88="2",BG88,0)</f>
        <v>0</v>
      </c>
      <c r="AF88" s="56">
        <f>IF(AP88="2",BH88,0)</f>
        <v>0</v>
      </c>
      <c r="AG88" s="56">
        <f>IF(AP88="0",BI88,0)</f>
        <v>0</v>
      </c>
      <c r="AH88" s="30" t="s">
        <v>1212</v>
      </c>
      <c r="AI88" s="56">
        <f>IF(AM88=0,I88,0)</f>
        <v>0</v>
      </c>
      <c r="AJ88" s="56">
        <f>IF(AM88=15,I88,0)</f>
        <v>0</v>
      </c>
      <c r="AK88" s="56">
        <f>IF(AM88=21,I88,0)</f>
        <v>0</v>
      </c>
      <c r="AM88" s="56">
        <v>21</v>
      </c>
      <c r="AN88" s="56">
        <f>H88*0.853653467120588</f>
        <v>0</v>
      </c>
      <c r="AO88" s="56">
        <f>H88*(1-0.853653467120588)</f>
        <v>0</v>
      </c>
      <c r="AP88" s="41" t="s">
        <v>1109</v>
      </c>
      <c r="AU88" s="56">
        <f>AV88+AW88</f>
        <v>0</v>
      </c>
      <c r="AV88" s="56">
        <f>G88*AN88</f>
        <v>0</v>
      </c>
      <c r="AW88" s="56">
        <f>G88*AO88</f>
        <v>0</v>
      </c>
      <c r="AX88" s="41" t="s">
        <v>1152</v>
      </c>
      <c r="AY88" s="41" t="s">
        <v>1097</v>
      </c>
      <c r="AZ88" s="30" t="s">
        <v>1193</v>
      </c>
      <c r="BB88" s="56">
        <f>AV88+AW88</f>
        <v>0</v>
      </c>
      <c r="BC88" s="56">
        <f>H88/(100-BD88)*100</f>
        <v>0</v>
      </c>
      <c r="BD88" s="56">
        <v>0</v>
      </c>
      <c r="BE88" s="56" t="e">
        <f>#REF!</f>
        <v>#REF!</v>
      </c>
      <c r="BG88" s="56">
        <f>G88*AN88</f>
        <v>0</v>
      </c>
      <c r="BH88" s="56">
        <f>G88*AO88</f>
        <v>0</v>
      </c>
      <c r="BI88" s="56">
        <f>G88*H88</f>
        <v>0</v>
      </c>
      <c r="BJ88" s="56"/>
      <c r="BK88" s="56">
        <v>56</v>
      </c>
      <c r="BV88" s="56">
        <v>21</v>
      </c>
    </row>
    <row r="89" spans="1:74" ht="13.5" customHeight="1" x14ac:dyDescent="0.25">
      <c r="A89" s="53"/>
      <c r="C89" s="66" t="s">
        <v>578</v>
      </c>
      <c r="D89" s="137" t="s">
        <v>868</v>
      </c>
      <c r="E89" s="138"/>
      <c r="F89" s="138"/>
      <c r="G89" s="138"/>
      <c r="H89" s="138"/>
      <c r="I89" s="138"/>
      <c r="J89" s="139"/>
    </row>
    <row r="90" spans="1:74" ht="15" customHeight="1" x14ac:dyDescent="0.25">
      <c r="A90" s="53"/>
      <c r="D90" s="52" t="s">
        <v>787</v>
      </c>
      <c r="E90" s="37" t="s">
        <v>715</v>
      </c>
      <c r="G90" s="21">
        <v>0.9</v>
      </c>
      <c r="J90" s="48"/>
    </row>
    <row r="91" spans="1:74" ht="15" customHeight="1" x14ac:dyDescent="0.25">
      <c r="A91" s="53"/>
      <c r="D91" s="52" t="s">
        <v>314</v>
      </c>
      <c r="E91" s="37" t="s">
        <v>425</v>
      </c>
      <c r="G91" s="21">
        <v>2.6</v>
      </c>
      <c r="J91" s="48"/>
    </row>
    <row r="92" spans="1:74" ht="15" customHeight="1" x14ac:dyDescent="0.25">
      <c r="A92" s="53"/>
      <c r="D92" s="52" t="s">
        <v>1069</v>
      </c>
      <c r="E92" s="37" t="s">
        <v>159</v>
      </c>
      <c r="G92" s="21">
        <v>6.5000000000000009</v>
      </c>
      <c r="J92" s="48"/>
    </row>
    <row r="93" spans="1:74" ht="15" customHeight="1" x14ac:dyDescent="0.25">
      <c r="A93" s="53"/>
      <c r="D93" s="52" t="s">
        <v>893</v>
      </c>
      <c r="E93" s="37" t="s">
        <v>80</v>
      </c>
      <c r="G93" s="21">
        <v>1.7000000000000002</v>
      </c>
      <c r="J93" s="48"/>
    </row>
    <row r="94" spans="1:74" ht="15" customHeight="1" x14ac:dyDescent="0.25">
      <c r="A94" s="27" t="s">
        <v>769</v>
      </c>
      <c r="B94" s="28" t="s">
        <v>1212</v>
      </c>
      <c r="C94" s="28" t="s">
        <v>512</v>
      </c>
      <c r="D94" s="132" t="s">
        <v>1047</v>
      </c>
      <c r="E94" s="133"/>
      <c r="F94" s="23" t="s">
        <v>1027</v>
      </c>
      <c r="G94" s="23" t="s">
        <v>1027</v>
      </c>
      <c r="H94" s="23" t="s">
        <v>1027</v>
      </c>
      <c r="I94" s="14">
        <f>SUM(I95:I100)</f>
        <v>0</v>
      </c>
      <c r="J94" s="44" t="s">
        <v>769</v>
      </c>
      <c r="AH94" s="30" t="s">
        <v>1212</v>
      </c>
      <c r="AR94" s="14">
        <f>SUM(AI95:AI100)</f>
        <v>0</v>
      </c>
      <c r="AS94" s="14">
        <f>SUM(AJ95:AJ100)</f>
        <v>0</v>
      </c>
      <c r="AT94" s="14">
        <f>SUM(AK95:AK100)</f>
        <v>0</v>
      </c>
    </row>
    <row r="95" spans="1:74" ht="13.5" customHeight="1" x14ac:dyDescent="0.25">
      <c r="A95" s="10" t="s">
        <v>273</v>
      </c>
      <c r="B95" s="9" t="s">
        <v>1212</v>
      </c>
      <c r="C95" s="9" t="s">
        <v>848</v>
      </c>
      <c r="D95" s="76" t="s">
        <v>750</v>
      </c>
      <c r="E95" s="77"/>
      <c r="F95" s="9" t="s">
        <v>1095</v>
      </c>
      <c r="G95" s="56">
        <f>'Stavební rozpočet'!G611</f>
        <v>16</v>
      </c>
      <c r="H95" s="56">
        <f>'Stavební rozpočet'!H611</f>
        <v>0</v>
      </c>
      <c r="I95" s="56">
        <f>G95*H95</f>
        <v>0</v>
      </c>
      <c r="J95" s="54" t="s">
        <v>501</v>
      </c>
      <c r="Y95" s="56">
        <f>IF(AP95="5",BI95,0)</f>
        <v>0</v>
      </c>
      <c r="AA95" s="56">
        <f>IF(AP95="1",BG95,0)</f>
        <v>0</v>
      </c>
      <c r="AB95" s="56">
        <f>IF(AP95="1",BH95,0)</f>
        <v>0</v>
      </c>
      <c r="AC95" s="56">
        <f>IF(AP95="7",BG95,0)</f>
        <v>0</v>
      </c>
      <c r="AD95" s="56">
        <f>IF(AP95="7",BH95,0)</f>
        <v>0</v>
      </c>
      <c r="AE95" s="56">
        <f>IF(AP95="2",BG95,0)</f>
        <v>0</v>
      </c>
      <c r="AF95" s="56">
        <f>IF(AP95="2",BH95,0)</f>
        <v>0</v>
      </c>
      <c r="AG95" s="56">
        <f>IF(AP95="0",BI95,0)</f>
        <v>0</v>
      </c>
      <c r="AH95" s="30" t="s">
        <v>1212</v>
      </c>
      <c r="AI95" s="56">
        <f>IF(AM95=0,I95,0)</f>
        <v>0</v>
      </c>
      <c r="AJ95" s="56">
        <f>IF(AM95=15,I95,0)</f>
        <v>0</v>
      </c>
      <c r="AK95" s="56">
        <f>IF(AM95=21,I95,0)</f>
        <v>0</v>
      </c>
      <c r="AM95" s="56">
        <v>21</v>
      </c>
      <c r="AN95" s="56">
        <f>H95*0.0616990291262136</f>
        <v>0</v>
      </c>
      <c r="AO95" s="56">
        <f>H95*(1-0.0616990291262136)</f>
        <v>0</v>
      </c>
      <c r="AP95" s="41" t="s">
        <v>1109</v>
      </c>
      <c r="AU95" s="56">
        <f>AV95+AW95</f>
        <v>0</v>
      </c>
      <c r="AV95" s="56">
        <f>G95*AN95</f>
        <v>0</v>
      </c>
      <c r="AW95" s="56">
        <f>G95*AO95</f>
        <v>0</v>
      </c>
      <c r="AX95" s="41" t="s">
        <v>1100</v>
      </c>
      <c r="AY95" s="41" t="s">
        <v>1097</v>
      </c>
      <c r="AZ95" s="30" t="s">
        <v>1193</v>
      </c>
      <c r="BB95" s="56">
        <f>AV95+AW95</f>
        <v>0</v>
      </c>
      <c r="BC95" s="56">
        <f>H95/(100-BD95)*100</f>
        <v>0</v>
      </c>
      <c r="BD95" s="56">
        <v>0</v>
      </c>
      <c r="BE95" s="56" t="e">
        <f>#REF!</f>
        <v>#REF!</v>
      </c>
      <c r="BG95" s="56">
        <f>G95*AN95</f>
        <v>0</v>
      </c>
      <c r="BH95" s="56">
        <f>G95*AO95</f>
        <v>0</v>
      </c>
      <c r="BI95" s="56">
        <f>G95*H95</f>
        <v>0</v>
      </c>
      <c r="BJ95" s="56"/>
      <c r="BK95" s="56">
        <v>59</v>
      </c>
      <c r="BV95" s="56">
        <v>21</v>
      </c>
    </row>
    <row r="96" spans="1:74" ht="13.5" customHeight="1" x14ac:dyDescent="0.25">
      <c r="A96" s="10" t="s">
        <v>142</v>
      </c>
      <c r="B96" s="9" t="s">
        <v>1212</v>
      </c>
      <c r="C96" s="9" t="s">
        <v>447</v>
      </c>
      <c r="D96" s="76" t="s">
        <v>728</v>
      </c>
      <c r="E96" s="77"/>
      <c r="F96" s="9" t="s">
        <v>1095</v>
      </c>
      <c r="G96" s="56">
        <f>'Stavební rozpočet'!G612</f>
        <v>3.5</v>
      </c>
      <c r="H96" s="56">
        <f>'Stavební rozpočet'!H612</f>
        <v>0</v>
      </c>
      <c r="I96" s="56">
        <f>G96*H96</f>
        <v>0</v>
      </c>
      <c r="J96" s="54" t="s">
        <v>501</v>
      </c>
      <c r="Y96" s="56">
        <f>IF(AP96="5",BI96,0)</f>
        <v>0</v>
      </c>
      <c r="AA96" s="56">
        <f>IF(AP96="1",BG96,0)</f>
        <v>0</v>
      </c>
      <c r="AB96" s="56">
        <f>IF(AP96="1",BH96,0)</f>
        <v>0</v>
      </c>
      <c r="AC96" s="56">
        <f>IF(AP96="7",BG96,0)</f>
        <v>0</v>
      </c>
      <c r="AD96" s="56">
        <f>IF(AP96="7",BH96,0)</f>
        <v>0</v>
      </c>
      <c r="AE96" s="56">
        <f>IF(AP96="2",BG96,0)</f>
        <v>0</v>
      </c>
      <c r="AF96" s="56">
        <f>IF(AP96="2",BH96,0)</f>
        <v>0</v>
      </c>
      <c r="AG96" s="56">
        <f>IF(AP96="0",BI96,0)</f>
        <v>0</v>
      </c>
      <c r="AH96" s="30" t="s">
        <v>1212</v>
      </c>
      <c r="AI96" s="56">
        <f>IF(AM96=0,I96,0)</f>
        <v>0</v>
      </c>
      <c r="AJ96" s="56">
        <f>IF(AM96=15,I96,0)</f>
        <v>0</v>
      </c>
      <c r="AK96" s="56">
        <f>IF(AM96=21,I96,0)</f>
        <v>0</v>
      </c>
      <c r="AM96" s="56">
        <v>21</v>
      </c>
      <c r="AN96" s="56">
        <f>H96*0.17168284789644</f>
        <v>0</v>
      </c>
      <c r="AO96" s="56">
        <f>H96*(1-0.17168284789644)</f>
        <v>0</v>
      </c>
      <c r="AP96" s="41" t="s">
        <v>1109</v>
      </c>
      <c r="AU96" s="56">
        <f>AV96+AW96</f>
        <v>0</v>
      </c>
      <c r="AV96" s="56">
        <f>G96*AN96</f>
        <v>0</v>
      </c>
      <c r="AW96" s="56">
        <f>G96*AO96</f>
        <v>0</v>
      </c>
      <c r="AX96" s="41" t="s">
        <v>1100</v>
      </c>
      <c r="AY96" s="41" t="s">
        <v>1097</v>
      </c>
      <c r="AZ96" s="30" t="s">
        <v>1193</v>
      </c>
      <c r="BB96" s="56">
        <f>AV96+AW96</f>
        <v>0</v>
      </c>
      <c r="BC96" s="56">
        <f>H96/(100-BD96)*100</f>
        <v>0</v>
      </c>
      <c r="BD96" s="56">
        <v>0</v>
      </c>
      <c r="BE96" s="56" t="e">
        <f>#REF!</f>
        <v>#REF!</v>
      </c>
      <c r="BG96" s="56">
        <f>G96*AN96</f>
        <v>0</v>
      </c>
      <c r="BH96" s="56">
        <f>G96*AO96</f>
        <v>0</v>
      </c>
      <c r="BI96" s="56">
        <f>G96*H96</f>
        <v>0</v>
      </c>
      <c r="BJ96" s="56"/>
      <c r="BK96" s="56">
        <v>59</v>
      </c>
      <c r="BV96" s="56">
        <v>21</v>
      </c>
    </row>
    <row r="97" spans="1:74" ht="13.5" customHeight="1" x14ac:dyDescent="0.25">
      <c r="A97" s="57" t="s">
        <v>1091</v>
      </c>
      <c r="B97" s="50" t="s">
        <v>1212</v>
      </c>
      <c r="C97" s="50" t="s">
        <v>742</v>
      </c>
      <c r="D97" s="135" t="s">
        <v>144</v>
      </c>
      <c r="E97" s="136"/>
      <c r="F97" s="50" t="s">
        <v>1095</v>
      </c>
      <c r="G97" s="31">
        <f>'Stavební rozpočet'!G613</f>
        <v>0.35</v>
      </c>
      <c r="H97" s="31">
        <f>'Stavební rozpočet'!H613</f>
        <v>0</v>
      </c>
      <c r="I97" s="31">
        <f>G97*H97</f>
        <v>0</v>
      </c>
      <c r="J97" s="47" t="s">
        <v>501</v>
      </c>
      <c r="Y97" s="56">
        <f>IF(AP97="5",BI97,0)</f>
        <v>0</v>
      </c>
      <c r="AA97" s="56">
        <f>IF(AP97="1",BG97,0)</f>
        <v>0</v>
      </c>
      <c r="AB97" s="56">
        <f>IF(AP97="1",BH97,0)</f>
        <v>0</v>
      </c>
      <c r="AC97" s="56">
        <f>IF(AP97="7",BG97,0)</f>
        <v>0</v>
      </c>
      <c r="AD97" s="56">
        <f>IF(AP97="7",BH97,0)</f>
        <v>0</v>
      </c>
      <c r="AE97" s="56">
        <f>IF(AP97="2",BG97,0)</f>
        <v>0</v>
      </c>
      <c r="AF97" s="56">
        <f>IF(AP97="2",BH97,0)</f>
        <v>0</v>
      </c>
      <c r="AG97" s="56">
        <f>IF(AP97="0",BI97,0)</f>
        <v>0</v>
      </c>
      <c r="AH97" s="30" t="s">
        <v>1212</v>
      </c>
      <c r="AI97" s="31">
        <f>IF(AM97=0,I97,0)</f>
        <v>0</v>
      </c>
      <c r="AJ97" s="31">
        <f>IF(AM97=15,I97,0)</f>
        <v>0</v>
      </c>
      <c r="AK97" s="31">
        <f>IF(AM97=21,I97,0)</f>
        <v>0</v>
      </c>
      <c r="AM97" s="56">
        <v>21</v>
      </c>
      <c r="AN97" s="56">
        <f>H97*1</f>
        <v>0</v>
      </c>
      <c r="AO97" s="56">
        <f>H97*(1-1)</f>
        <v>0</v>
      </c>
      <c r="AP97" s="58" t="s">
        <v>1109</v>
      </c>
      <c r="AU97" s="56">
        <f>AV97+AW97</f>
        <v>0</v>
      </c>
      <c r="AV97" s="56">
        <f>G97*AN97</f>
        <v>0</v>
      </c>
      <c r="AW97" s="56">
        <f>G97*AO97</f>
        <v>0</v>
      </c>
      <c r="AX97" s="41" t="s">
        <v>1100</v>
      </c>
      <c r="AY97" s="41" t="s">
        <v>1097</v>
      </c>
      <c r="AZ97" s="30" t="s">
        <v>1193</v>
      </c>
      <c r="BB97" s="56">
        <f>AV97+AW97</f>
        <v>0</v>
      </c>
      <c r="BC97" s="56">
        <f>H97/(100-BD97)*100</f>
        <v>0</v>
      </c>
      <c r="BD97" s="56">
        <v>0</v>
      </c>
      <c r="BE97" s="56" t="e">
        <f>#REF!</f>
        <v>#REF!</v>
      </c>
      <c r="BG97" s="31">
        <f>G97*AN97</f>
        <v>0</v>
      </c>
      <c r="BH97" s="31">
        <f>G97*AO97</f>
        <v>0</v>
      </c>
      <c r="BI97" s="31">
        <f>G97*H97</f>
        <v>0</v>
      </c>
      <c r="BJ97" s="31"/>
      <c r="BK97" s="56">
        <v>59</v>
      </c>
      <c r="BV97" s="56">
        <v>21</v>
      </c>
    </row>
    <row r="98" spans="1:74" ht="15" customHeight="1" x14ac:dyDescent="0.25">
      <c r="A98" s="53"/>
      <c r="D98" s="52" t="s">
        <v>618</v>
      </c>
      <c r="E98" s="37" t="s">
        <v>412</v>
      </c>
      <c r="G98" s="21">
        <v>0.35000000000000003</v>
      </c>
      <c r="J98" s="48"/>
    </row>
    <row r="99" spans="1:74" ht="13.5" customHeight="1" x14ac:dyDescent="0.25">
      <c r="A99" s="10" t="s">
        <v>1201</v>
      </c>
      <c r="B99" s="9" t="s">
        <v>1212</v>
      </c>
      <c r="C99" s="9" t="s">
        <v>761</v>
      </c>
      <c r="D99" s="76" t="s">
        <v>299</v>
      </c>
      <c r="E99" s="77"/>
      <c r="F99" s="9" t="s">
        <v>1095</v>
      </c>
      <c r="G99" s="56">
        <f>'Stavební rozpočet'!G615</f>
        <v>3</v>
      </c>
      <c r="H99" s="56">
        <f>'Stavební rozpočet'!H615</f>
        <v>0</v>
      </c>
      <c r="I99" s="56">
        <f>G99*H99</f>
        <v>0</v>
      </c>
      <c r="J99" s="54" t="s">
        <v>501</v>
      </c>
      <c r="Y99" s="56">
        <f>IF(AP99="5",BI99,0)</f>
        <v>0</v>
      </c>
      <c r="AA99" s="56">
        <f>IF(AP99="1",BG99,0)</f>
        <v>0</v>
      </c>
      <c r="AB99" s="56">
        <f>IF(AP99="1",BH99,0)</f>
        <v>0</v>
      </c>
      <c r="AC99" s="56">
        <f>IF(AP99="7",BG99,0)</f>
        <v>0</v>
      </c>
      <c r="AD99" s="56">
        <f>IF(AP99="7",BH99,0)</f>
        <v>0</v>
      </c>
      <c r="AE99" s="56">
        <f>IF(AP99="2",BG99,0)</f>
        <v>0</v>
      </c>
      <c r="AF99" s="56">
        <f>IF(AP99="2",BH99,0)</f>
        <v>0</v>
      </c>
      <c r="AG99" s="56">
        <f>IF(AP99="0",BI99,0)</f>
        <v>0</v>
      </c>
      <c r="AH99" s="30" t="s">
        <v>1212</v>
      </c>
      <c r="AI99" s="56">
        <f>IF(AM99=0,I99,0)</f>
        <v>0</v>
      </c>
      <c r="AJ99" s="56">
        <f>IF(AM99=15,I99,0)</f>
        <v>0</v>
      </c>
      <c r="AK99" s="56">
        <f>IF(AM99=21,I99,0)</f>
        <v>0</v>
      </c>
      <c r="AM99" s="56">
        <v>21</v>
      </c>
      <c r="AN99" s="56">
        <f>H99*0.113940774487472</f>
        <v>0</v>
      </c>
      <c r="AO99" s="56">
        <f>H99*(1-0.113940774487472)</f>
        <v>0</v>
      </c>
      <c r="AP99" s="41" t="s">
        <v>1109</v>
      </c>
      <c r="AU99" s="56">
        <f>AV99+AW99</f>
        <v>0</v>
      </c>
      <c r="AV99" s="56">
        <f>G99*AN99</f>
        <v>0</v>
      </c>
      <c r="AW99" s="56">
        <f>G99*AO99</f>
        <v>0</v>
      </c>
      <c r="AX99" s="41" t="s">
        <v>1100</v>
      </c>
      <c r="AY99" s="41" t="s">
        <v>1097</v>
      </c>
      <c r="AZ99" s="30" t="s">
        <v>1193</v>
      </c>
      <c r="BB99" s="56">
        <f>AV99+AW99</f>
        <v>0</v>
      </c>
      <c r="BC99" s="56">
        <f>H99/(100-BD99)*100</f>
        <v>0</v>
      </c>
      <c r="BD99" s="56">
        <v>0</v>
      </c>
      <c r="BE99" s="56" t="e">
        <f>#REF!</f>
        <v>#REF!</v>
      </c>
      <c r="BG99" s="56">
        <f>G99*AN99</f>
        <v>0</v>
      </c>
      <c r="BH99" s="56">
        <f>G99*AO99</f>
        <v>0</v>
      </c>
      <c r="BI99" s="56">
        <f>G99*H99</f>
        <v>0</v>
      </c>
      <c r="BJ99" s="56"/>
      <c r="BK99" s="56">
        <v>59</v>
      </c>
      <c r="BV99" s="56">
        <v>21</v>
      </c>
    </row>
    <row r="100" spans="1:74" ht="13.5" customHeight="1" x14ac:dyDescent="0.25">
      <c r="A100" s="57" t="s">
        <v>89</v>
      </c>
      <c r="B100" s="50" t="s">
        <v>1212</v>
      </c>
      <c r="C100" s="50" t="s">
        <v>696</v>
      </c>
      <c r="D100" s="135" t="s">
        <v>231</v>
      </c>
      <c r="E100" s="136"/>
      <c r="F100" s="50" t="s">
        <v>1095</v>
      </c>
      <c r="G100" s="31">
        <f>'Stavební rozpočet'!G616</f>
        <v>0.3</v>
      </c>
      <c r="H100" s="31">
        <f>'Stavební rozpočet'!H616</f>
        <v>0</v>
      </c>
      <c r="I100" s="31">
        <f>G100*H100</f>
        <v>0</v>
      </c>
      <c r="J100" s="47" t="s">
        <v>501</v>
      </c>
      <c r="Y100" s="56">
        <f>IF(AP100="5",BI100,0)</f>
        <v>0</v>
      </c>
      <c r="AA100" s="56">
        <f>IF(AP100="1",BG100,0)</f>
        <v>0</v>
      </c>
      <c r="AB100" s="56">
        <f>IF(AP100="1",BH100,0)</f>
        <v>0</v>
      </c>
      <c r="AC100" s="56">
        <f>IF(AP100="7",BG100,0)</f>
        <v>0</v>
      </c>
      <c r="AD100" s="56">
        <f>IF(AP100="7",BH100,0)</f>
        <v>0</v>
      </c>
      <c r="AE100" s="56">
        <f>IF(AP100="2",BG100,0)</f>
        <v>0</v>
      </c>
      <c r="AF100" s="56">
        <f>IF(AP100="2",BH100,0)</f>
        <v>0</v>
      </c>
      <c r="AG100" s="56">
        <f>IF(AP100="0",BI100,0)</f>
        <v>0</v>
      </c>
      <c r="AH100" s="30" t="s">
        <v>1212</v>
      </c>
      <c r="AI100" s="31">
        <f>IF(AM100=0,I100,0)</f>
        <v>0</v>
      </c>
      <c r="AJ100" s="31">
        <f>IF(AM100=15,I100,0)</f>
        <v>0</v>
      </c>
      <c r="AK100" s="31">
        <f>IF(AM100=21,I100,0)</f>
        <v>0</v>
      </c>
      <c r="AM100" s="56">
        <v>21</v>
      </c>
      <c r="AN100" s="56">
        <f>H100*1</f>
        <v>0</v>
      </c>
      <c r="AO100" s="56">
        <f>H100*(1-1)</f>
        <v>0</v>
      </c>
      <c r="AP100" s="58" t="s">
        <v>1109</v>
      </c>
      <c r="AU100" s="56">
        <f>AV100+AW100</f>
        <v>0</v>
      </c>
      <c r="AV100" s="56">
        <f>G100*AN100</f>
        <v>0</v>
      </c>
      <c r="AW100" s="56">
        <f>G100*AO100</f>
        <v>0</v>
      </c>
      <c r="AX100" s="41" t="s">
        <v>1100</v>
      </c>
      <c r="AY100" s="41" t="s">
        <v>1097</v>
      </c>
      <c r="AZ100" s="30" t="s">
        <v>1193</v>
      </c>
      <c r="BB100" s="56">
        <f>AV100+AW100</f>
        <v>0</v>
      </c>
      <c r="BC100" s="56">
        <f>H100/(100-BD100)*100</f>
        <v>0</v>
      </c>
      <c r="BD100" s="56">
        <v>0</v>
      </c>
      <c r="BE100" s="56" t="e">
        <f>#REF!</f>
        <v>#REF!</v>
      </c>
      <c r="BG100" s="31">
        <f>G100*AN100</f>
        <v>0</v>
      </c>
      <c r="BH100" s="31">
        <f>G100*AO100</f>
        <v>0</v>
      </c>
      <c r="BI100" s="31">
        <f>G100*H100</f>
        <v>0</v>
      </c>
      <c r="BJ100" s="31"/>
      <c r="BK100" s="56">
        <v>59</v>
      </c>
      <c r="BV100" s="56">
        <v>21</v>
      </c>
    </row>
    <row r="101" spans="1:74" ht="15" customHeight="1" x14ac:dyDescent="0.25">
      <c r="A101" s="53"/>
      <c r="D101" s="52" t="s">
        <v>1032</v>
      </c>
      <c r="E101" s="37" t="s">
        <v>412</v>
      </c>
      <c r="G101" s="21">
        <v>0.30000000000000004</v>
      </c>
      <c r="J101" s="48"/>
    </row>
    <row r="102" spans="1:74" ht="15" customHeight="1" x14ac:dyDescent="0.25">
      <c r="A102" s="27" t="s">
        <v>769</v>
      </c>
      <c r="B102" s="28" t="s">
        <v>1212</v>
      </c>
      <c r="C102" s="28" t="s">
        <v>55</v>
      </c>
      <c r="D102" s="132" t="s">
        <v>90</v>
      </c>
      <c r="E102" s="133"/>
      <c r="F102" s="23" t="s">
        <v>1027</v>
      </c>
      <c r="G102" s="23" t="s">
        <v>1027</v>
      </c>
      <c r="H102" s="23" t="s">
        <v>1027</v>
      </c>
      <c r="I102" s="14">
        <f>SUM(I103:I110)</f>
        <v>0</v>
      </c>
      <c r="J102" s="44" t="s">
        <v>769</v>
      </c>
      <c r="AH102" s="30" t="s">
        <v>1212</v>
      </c>
      <c r="AR102" s="14">
        <f>SUM(AI103:AI110)</f>
        <v>0</v>
      </c>
      <c r="AS102" s="14">
        <f>SUM(AJ103:AJ110)</f>
        <v>0</v>
      </c>
      <c r="AT102" s="14">
        <f>SUM(AK103:AK110)</f>
        <v>0</v>
      </c>
    </row>
    <row r="103" spans="1:74" ht="13.5" customHeight="1" x14ac:dyDescent="0.25">
      <c r="A103" s="10" t="s">
        <v>717</v>
      </c>
      <c r="B103" s="9" t="s">
        <v>1212</v>
      </c>
      <c r="C103" s="9" t="s">
        <v>1013</v>
      </c>
      <c r="D103" s="76" t="s">
        <v>795</v>
      </c>
      <c r="E103" s="77"/>
      <c r="F103" s="9" t="s">
        <v>909</v>
      </c>
      <c r="G103" s="56">
        <f>'Stavební rozpočet'!G619</f>
        <v>21</v>
      </c>
      <c r="H103" s="56">
        <f>'Stavební rozpočet'!H619</f>
        <v>0</v>
      </c>
      <c r="I103" s="56">
        <f>G103*H103</f>
        <v>0</v>
      </c>
      <c r="J103" s="54" t="s">
        <v>501</v>
      </c>
      <c r="Y103" s="56">
        <f>IF(AP103="5",BI103,0)</f>
        <v>0</v>
      </c>
      <c r="AA103" s="56">
        <f>IF(AP103="1",BG103,0)</f>
        <v>0</v>
      </c>
      <c r="AB103" s="56">
        <f>IF(AP103="1",BH103,0)</f>
        <v>0</v>
      </c>
      <c r="AC103" s="56">
        <f>IF(AP103="7",BG103,0)</f>
        <v>0</v>
      </c>
      <c r="AD103" s="56">
        <f>IF(AP103="7",BH103,0)</f>
        <v>0</v>
      </c>
      <c r="AE103" s="56">
        <f>IF(AP103="2",BG103,0)</f>
        <v>0</v>
      </c>
      <c r="AF103" s="56">
        <f>IF(AP103="2",BH103,0)</f>
        <v>0</v>
      </c>
      <c r="AG103" s="56">
        <f>IF(AP103="0",BI103,0)</f>
        <v>0</v>
      </c>
      <c r="AH103" s="30" t="s">
        <v>1212</v>
      </c>
      <c r="AI103" s="56">
        <f>IF(AM103=0,I103,0)</f>
        <v>0</v>
      </c>
      <c r="AJ103" s="56">
        <f>IF(AM103=15,I103,0)</f>
        <v>0</v>
      </c>
      <c r="AK103" s="56">
        <f>IF(AM103=21,I103,0)</f>
        <v>0</v>
      </c>
      <c r="AM103" s="56">
        <v>21</v>
      </c>
      <c r="AN103" s="56">
        <f>H103*0</f>
        <v>0</v>
      </c>
      <c r="AO103" s="56">
        <f>H103*(1-0)</f>
        <v>0</v>
      </c>
      <c r="AP103" s="41" t="s">
        <v>1109</v>
      </c>
      <c r="AU103" s="56">
        <f>AV103+AW103</f>
        <v>0</v>
      </c>
      <c r="AV103" s="56">
        <f>G103*AN103</f>
        <v>0</v>
      </c>
      <c r="AW103" s="56">
        <f>G103*AO103</f>
        <v>0</v>
      </c>
      <c r="AX103" s="41" t="s">
        <v>77</v>
      </c>
      <c r="AY103" s="41" t="s">
        <v>395</v>
      </c>
      <c r="AZ103" s="30" t="s">
        <v>1193</v>
      </c>
      <c r="BB103" s="56">
        <f>AV103+AW103</f>
        <v>0</v>
      </c>
      <c r="BC103" s="56">
        <f>H103/(100-BD103)*100</f>
        <v>0</v>
      </c>
      <c r="BD103" s="56">
        <v>0</v>
      </c>
      <c r="BE103" s="56" t="e">
        <f>#REF!</f>
        <v>#REF!</v>
      </c>
      <c r="BG103" s="56">
        <f>G103*AN103</f>
        <v>0</v>
      </c>
      <c r="BH103" s="56">
        <f>G103*AO103</f>
        <v>0</v>
      </c>
      <c r="BI103" s="56">
        <f>G103*H103</f>
        <v>0</v>
      </c>
      <c r="BJ103" s="56"/>
      <c r="BK103" s="56">
        <v>87</v>
      </c>
      <c r="BV103" s="56">
        <v>21</v>
      </c>
    </row>
    <row r="104" spans="1:74" ht="13.5" customHeight="1" x14ac:dyDescent="0.25">
      <c r="A104" s="57" t="s">
        <v>657</v>
      </c>
      <c r="B104" s="50" t="s">
        <v>1212</v>
      </c>
      <c r="C104" s="50" t="s">
        <v>360</v>
      </c>
      <c r="D104" s="135" t="s">
        <v>1174</v>
      </c>
      <c r="E104" s="136"/>
      <c r="F104" s="50" t="s">
        <v>909</v>
      </c>
      <c r="G104" s="31">
        <f>'Stavební rozpočet'!G620</f>
        <v>21</v>
      </c>
      <c r="H104" s="31">
        <f>'Stavební rozpočet'!H620</f>
        <v>0</v>
      </c>
      <c r="I104" s="31">
        <f>G104*H104</f>
        <v>0</v>
      </c>
      <c r="J104" s="47" t="s">
        <v>769</v>
      </c>
      <c r="Y104" s="56">
        <f>IF(AP104="5",BI104,0)</f>
        <v>0</v>
      </c>
      <c r="AA104" s="56">
        <f>IF(AP104="1",BG104,0)</f>
        <v>0</v>
      </c>
      <c r="AB104" s="56">
        <f>IF(AP104="1",BH104,0)</f>
        <v>0</v>
      </c>
      <c r="AC104" s="56">
        <f>IF(AP104="7",BG104,0)</f>
        <v>0</v>
      </c>
      <c r="AD104" s="56">
        <f>IF(AP104="7",BH104,0)</f>
        <v>0</v>
      </c>
      <c r="AE104" s="56">
        <f>IF(AP104="2",BG104,0)</f>
        <v>0</v>
      </c>
      <c r="AF104" s="56">
        <f>IF(AP104="2",BH104,0)</f>
        <v>0</v>
      </c>
      <c r="AG104" s="56">
        <f>IF(AP104="0",BI104,0)</f>
        <v>0</v>
      </c>
      <c r="AH104" s="30" t="s">
        <v>1212</v>
      </c>
      <c r="AI104" s="31">
        <f>IF(AM104=0,I104,0)</f>
        <v>0</v>
      </c>
      <c r="AJ104" s="31">
        <f>IF(AM104=15,I104,0)</f>
        <v>0</v>
      </c>
      <c r="AK104" s="31">
        <f>IF(AM104=21,I104,0)</f>
        <v>0</v>
      </c>
      <c r="AM104" s="56">
        <v>21</v>
      </c>
      <c r="AN104" s="56">
        <f>H104*1</f>
        <v>0</v>
      </c>
      <c r="AO104" s="56">
        <f>H104*(1-1)</f>
        <v>0</v>
      </c>
      <c r="AP104" s="58" t="s">
        <v>1109</v>
      </c>
      <c r="AU104" s="56">
        <f>AV104+AW104</f>
        <v>0</v>
      </c>
      <c r="AV104" s="56">
        <f>G104*AN104</f>
        <v>0</v>
      </c>
      <c r="AW104" s="56">
        <f>G104*AO104</f>
        <v>0</v>
      </c>
      <c r="AX104" s="41" t="s">
        <v>77</v>
      </c>
      <c r="AY104" s="41" t="s">
        <v>395</v>
      </c>
      <c r="AZ104" s="30" t="s">
        <v>1193</v>
      </c>
      <c r="BB104" s="56">
        <f>AV104+AW104</f>
        <v>0</v>
      </c>
      <c r="BC104" s="56">
        <f>H104/(100-BD104)*100</f>
        <v>0</v>
      </c>
      <c r="BD104" s="56">
        <v>0</v>
      </c>
      <c r="BE104" s="56" t="e">
        <f>#REF!</f>
        <v>#REF!</v>
      </c>
      <c r="BG104" s="31">
        <f>G104*AN104</f>
        <v>0</v>
      </c>
      <c r="BH104" s="31">
        <f>G104*AO104</f>
        <v>0</v>
      </c>
      <c r="BI104" s="31">
        <f>G104*H104</f>
        <v>0</v>
      </c>
      <c r="BJ104" s="31"/>
      <c r="BK104" s="56">
        <v>87</v>
      </c>
      <c r="BV104" s="56">
        <v>21</v>
      </c>
    </row>
    <row r="105" spans="1:74" ht="15" customHeight="1" x14ac:dyDescent="0.25">
      <c r="A105" s="53"/>
      <c r="D105" s="52" t="s">
        <v>786</v>
      </c>
      <c r="E105" s="37" t="s">
        <v>825</v>
      </c>
      <c r="G105" s="21">
        <v>21</v>
      </c>
      <c r="J105" s="48"/>
    </row>
    <row r="106" spans="1:74" ht="13.5" customHeight="1" x14ac:dyDescent="0.25">
      <c r="A106" s="10" t="s">
        <v>922</v>
      </c>
      <c r="B106" s="9" t="s">
        <v>1212</v>
      </c>
      <c r="C106" s="9" t="s">
        <v>943</v>
      </c>
      <c r="D106" s="76" t="s">
        <v>551</v>
      </c>
      <c r="E106" s="77"/>
      <c r="F106" s="9" t="s">
        <v>275</v>
      </c>
      <c r="G106" s="56">
        <f>'Stavební rozpočet'!G622</f>
        <v>4</v>
      </c>
      <c r="H106" s="56">
        <f>'Stavební rozpočet'!H622</f>
        <v>0</v>
      </c>
      <c r="I106" s="56">
        <f>G106*H106</f>
        <v>0</v>
      </c>
      <c r="J106" s="54" t="s">
        <v>501</v>
      </c>
      <c r="Y106" s="56">
        <f>IF(AP106="5",BI106,0)</f>
        <v>0</v>
      </c>
      <c r="AA106" s="56">
        <f>IF(AP106="1",BG106,0)</f>
        <v>0</v>
      </c>
      <c r="AB106" s="56">
        <f>IF(AP106="1",BH106,0)</f>
        <v>0</v>
      </c>
      <c r="AC106" s="56">
        <f>IF(AP106="7",BG106,0)</f>
        <v>0</v>
      </c>
      <c r="AD106" s="56">
        <f>IF(AP106="7",BH106,0)</f>
        <v>0</v>
      </c>
      <c r="AE106" s="56">
        <f>IF(AP106="2",BG106,0)</f>
        <v>0</v>
      </c>
      <c r="AF106" s="56">
        <f>IF(AP106="2",BH106,0)</f>
        <v>0</v>
      </c>
      <c r="AG106" s="56">
        <f>IF(AP106="0",BI106,0)</f>
        <v>0</v>
      </c>
      <c r="AH106" s="30" t="s">
        <v>1212</v>
      </c>
      <c r="AI106" s="56">
        <f>IF(AM106=0,I106,0)</f>
        <v>0</v>
      </c>
      <c r="AJ106" s="56">
        <f>IF(AM106=15,I106,0)</f>
        <v>0</v>
      </c>
      <c r="AK106" s="56">
        <f>IF(AM106=21,I106,0)</f>
        <v>0</v>
      </c>
      <c r="AM106" s="56">
        <v>21</v>
      </c>
      <c r="AN106" s="56">
        <f>H106*0</f>
        <v>0</v>
      </c>
      <c r="AO106" s="56">
        <f>H106*(1-0)</f>
        <v>0</v>
      </c>
      <c r="AP106" s="41" t="s">
        <v>1109</v>
      </c>
      <c r="AU106" s="56">
        <f>AV106+AW106</f>
        <v>0</v>
      </c>
      <c r="AV106" s="56">
        <f>G106*AN106</f>
        <v>0</v>
      </c>
      <c r="AW106" s="56">
        <f>G106*AO106</f>
        <v>0</v>
      </c>
      <c r="AX106" s="41" t="s">
        <v>77</v>
      </c>
      <c r="AY106" s="41" t="s">
        <v>395</v>
      </c>
      <c r="AZ106" s="30" t="s">
        <v>1193</v>
      </c>
      <c r="BB106" s="56">
        <f>AV106+AW106</f>
        <v>0</v>
      </c>
      <c r="BC106" s="56">
        <f>H106/(100-BD106)*100</f>
        <v>0</v>
      </c>
      <c r="BD106" s="56">
        <v>0</v>
      </c>
      <c r="BE106" s="56" t="e">
        <f>#REF!</f>
        <v>#REF!</v>
      </c>
      <c r="BG106" s="56">
        <f>G106*AN106</f>
        <v>0</v>
      </c>
      <c r="BH106" s="56">
        <f>G106*AO106</f>
        <v>0</v>
      </c>
      <c r="BI106" s="56">
        <f>G106*H106</f>
        <v>0</v>
      </c>
      <c r="BJ106" s="56"/>
      <c r="BK106" s="56">
        <v>87</v>
      </c>
      <c r="BV106" s="56">
        <v>21</v>
      </c>
    </row>
    <row r="107" spans="1:74" ht="13.5" customHeight="1" x14ac:dyDescent="0.25">
      <c r="A107" s="57" t="s">
        <v>232</v>
      </c>
      <c r="B107" s="50" t="s">
        <v>1212</v>
      </c>
      <c r="C107" s="50" t="s">
        <v>20</v>
      </c>
      <c r="D107" s="135" t="s">
        <v>1148</v>
      </c>
      <c r="E107" s="136"/>
      <c r="F107" s="50" t="s">
        <v>275</v>
      </c>
      <c r="G107" s="31">
        <f>'Stavební rozpočet'!G623</f>
        <v>4</v>
      </c>
      <c r="H107" s="31">
        <f>'Stavební rozpočet'!H623</f>
        <v>0</v>
      </c>
      <c r="I107" s="31">
        <f>G107*H107</f>
        <v>0</v>
      </c>
      <c r="J107" s="47" t="s">
        <v>422</v>
      </c>
      <c r="Y107" s="56">
        <f>IF(AP107="5",BI107,0)</f>
        <v>0</v>
      </c>
      <c r="AA107" s="56">
        <f>IF(AP107="1",BG107,0)</f>
        <v>0</v>
      </c>
      <c r="AB107" s="56">
        <f>IF(AP107="1",BH107,0)</f>
        <v>0</v>
      </c>
      <c r="AC107" s="56">
        <f>IF(AP107="7",BG107,0)</f>
        <v>0</v>
      </c>
      <c r="AD107" s="56">
        <f>IF(AP107="7",BH107,0)</f>
        <v>0</v>
      </c>
      <c r="AE107" s="56">
        <f>IF(AP107="2",BG107,0)</f>
        <v>0</v>
      </c>
      <c r="AF107" s="56">
        <f>IF(AP107="2",BH107,0)</f>
        <v>0</v>
      </c>
      <c r="AG107" s="56">
        <f>IF(AP107="0",BI107,0)</f>
        <v>0</v>
      </c>
      <c r="AH107" s="30" t="s">
        <v>1212</v>
      </c>
      <c r="AI107" s="31">
        <f>IF(AM107=0,I107,0)</f>
        <v>0</v>
      </c>
      <c r="AJ107" s="31">
        <f>IF(AM107=15,I107,0)</f>
        <v>0</v>
      </c>
      <c r="AK107" s="31">
        <f>IF(AM107=21,I107,0)</f>
        <v>0</v>
      </c>
      <c r="AM107" s="56">
        <v>21</v>
      </c>
      <c r="AN107" s="56">
        <f>H107*1</f>
        <v>0</v>
      </c>
      <c r="AO107" s="56">
        <f>H107*(1-1)</f>
        <v>0</v>
      </c>
      <c r="AP107" s="58" t="s">
        <v>1109</v>
      </c>
      <c r="AU107" s="56">
        <f>AV107+AW107</f>
        <v>0</v>
      </c>
      <c r="AV107" s="56">
        <f>G107*AN107</f>
        <v>0</v>
      </c>
      <c r="AW107" s="56">
        <f>G107*AO107</f>
        <v>0</v>
      </c>
      <c r="AX107" s="41" t="s">
        <v>77</v>
      </c>
      <c r="AY107" s="41" t="s">
        <v>395</v>
      </c>
      <c r="AZ107" s="30" t="s">
        <v>1193</v>
      </c>
      <c r="BB107" s="56">
        <f>AV107+AW107</f>
        <v>0</v>
      </c>
      <c r="BC107" s="56">
        <f>H107/(100-BD107)*100</f>
        <v>0</v>
      </c>
      <c r="BD107" s="56">
        <v>0</v>
      </c>
      <c r="BE107" s="56" t="e">
        <f>#REF!</f>
        <v>#REF!</v>
      </c>
      <c r="BG107" s="31">
        <f>G107*AN107</f>
        <v>0</v>
      </c>
      <c r="BH107" s="31">
        <f>G107*AO107</f>
        <v>0</v>
      </c>
      <c r="BI107" s="31">
        <f>G107*H107</f>
        <v>0</v>
      </c>
      <c r="BJ107" s="31"/>
      <c r="BK107" s="56">
        <v>87</v>
      </c>
      <c r="BV107" s="56">
        <v>21</v>
      </c>
    </row>
    <row r="108" spans="1:74" ht="15" customHeight="1" x14ac:dyDescent="0.25">
      <c r="A108" s="53"/>
      <c r="D108" s="52" t="s">
        <v>127</v>
      </c>
      <c r="E108" s="37" t="s">
        <v>285</v>
      </c>
      <c r="G108" s="21">
        <v>4</v>
      </c>
      <c r="J108" s="48"/>
    </row>
    <row r="109" spans="1:74" ht="13.5" customHeight="1" x14ac:dyDescent="0.25">
      <c r="A109" s="10" t="s">
        <v>1229</v>
      </c>
      <c r="B109" s="9" t="s">
        <v>1212</v>
      </c>
      <c r="C109" s="9" t="s">
        <v>189</v>
      </c>
      <c r="D109" s="76" t="s">
        <v>1050</v>
      </c>
      <c r="E109" s="77"/>
      <c r="F109" s="9" t="s">
        <v>275</v>
      </c>
      <c r="G109" s="56">
        <f>'Stavební rozpočet'!G625</f>
        <v>8</v>
      </c>
      <c r="H109" s="56">
        <f>'Stavební rozpočet'!H625</f>
        <v>0</v>
      </c>
      <c r="I109" s="56">
        <f>G109*H109</f>
        <v>0</v>
      </c>
      <c r="J109" s="54" t="s">
        <v>501</v>
      </c>
      <c r="Y109" s="56">
        <f>IF(AP109="5",BI109,0)</f>
        <v>0</v>
      </c>
      <c r="AA109" s="56">
        <f>IF(AP109="1",BG109,0)</f>
        <v>0</v>
      </c>
      <c r="AB109" s="56">
        <f>IF(AP109="1",BH109,0)</f>
        <v>0</v>
      </c>
      <c r="AC109" s="56">
        <f>IF(AP109="7",BG109,0)</f>
        <v>0</v>
      </c>
      <c r="AD109" s="56">
        <f>IF(AP109="7",BH109,0)</f>
        <v>0</v>
      </c>
      <c r="AE109" s="56">
        <f>IF(AP109="2",BG109,0)</f>
        <v>0</v>
      </c>
      <c r="AF109" s="56">
        <f>IF(AP109="2",BH109,0)</f>
        <v>0</v>
      </c>
      <c r="AG109" s="56">
        <f>IF(AP109="0",BI109,0)</f>
        <v>0</v>
      </c>
      <c r="AH109" s="30" t="s">
        <v>1212</v>
      </c>
      <c r="AI109" s="56">
        <f>IF(AM109=0,I109,0)</f>
        <v>0</v>
      </c>
      <c r="AJ109" s="56">
        <f>IF(AM109=15,I109,0)</f>
        <v>0</v>
      </c>
      <c r="AK109" s="56">
        <f>IF(AM109=21,I109,0)</f>
        <v>0</v>
      </c>
      <c r="AM109" s="56">
        <v>21</v>
      </c>
      <c r="AN109" s="56">
        <f>H109*0</f>
        <v>0</v>
      </c>
      <c r="AO109" s="56">
        <f>H109*(1-0)</f>
        <v>0</v>
      </c>
      <c r="AP109" s="41" t="s">
        <v>1109</v>
      </c>
      <c r="AU109" s="56">
        <f>AV109+AW109</f>
        <v>0</v>
      </c>
      <c r="AV109" s="56">
        <f>G109*AN109</f>
        <v>0</v>
      </c>
      <c r="AW109" s="56">
        <f>G109*AO109</f>
        <v>0</v>
      </c>
      <c r="AX109" s="41" t="s">
        <v>77</v>
      </c>
      <c r="AY109" s="41" t="s">
        <v>395</v>
      </c>
      <c r="AZ109" s="30" t="s">
        <v>1193</v>
      </c>
      <c r="BB109" s="56">
        <f>AV109+AW109</f>
        <v>0</v>
      </c>
      <c r="BC109" s="56">
        <f>H109/(100-BD109)*100</f>
        <v>0</v>
      </c>
      <c r="BD109" s="56">
        <v>0</v>
      </c>
      <c r="BE109" s="56" t="e">
        <f>#REF!</f>
        <v>#REF!</v>
      </c>
      <c r="BG109" s="56">
        <f>G109*AN109</f>
        <v>0</v>
      </c>
      <c r="BH109" s="56">
        <f>G109*AO109</f>
        <v>0</v>
      </c>
      <c r="BI109" s="56">
        <f>G109*H109</f>
        <v>0</v>
      </c>
      <c r="BJ109" s="56"/>
      <c r="BK109" s="56">
        <v>87</v>
      </c>
      <c r="BV109" s="56">
        <v>21</v>
      </c>
    </row>
    <row r="110" spans="1:74" ht="13.5" customHeight="1" x14ac:dyDescent="0.25">
      <c r="A110" s="57" t="s">
        <v>982</v>
      </c>
      <c r="B110" s="50" t="s">
        <v>1212</v>
      </c>
      <c r="C110" s="50" t="s">
        <v>123</v>
      </c>
      <c r="D110" s="135" t="s">
        <v>648</v>
      </c>
      <c r="E110" s="136"/>
      <c r="F110" s="50" t="s">
        <v>275</v>
      </c>
      <c r="G110" s="31">
        <f>'Stavební rozpočet'!G626</f>
        <v>8</v>
      </c>
      <c r="H110" s="31">
        <f>'Stavební rozpočet'!H626</f>
        <v>0</v>
      </c>
      <c r="I110" s="31">
        <f>G110*H110</f>
        <v>0</v>
      </c>
      <c r="J110" s="47" t="s">
        <v>501</v>
      </c>
      <c r="Y110" s="56">
        <f>IF(AP110="5",BI110,0)</f>
        <v>0</v>
      </c>
      <c r="AA110" s="56">
        <f>IF(AP110="1",BG110,0)</f>
        <v>0</v>
      </c>
      <c r="AB110" s="56">
        <f>IF(AP110="1",BH110,0)</f>
        <v>0</v>
      </c>
      <c r="AC110" s="56">
        <f>IF(AP110="7",BG110,0)</f>
        <v>0</v>
      </c>
      <c r="AD110" s="56">
        <f>IF(AP110="7",BH110,0)</f>
        <v>0</v>
      </c>
      <c r="AE110" s="56">
        <f>IF(AP110="2",BG110,0)</f>
        <v>0</v>
      </c>
      <c r="AF110" s="56">
        <f>IF(AP110="2",BH110,0)</f>
        <v>0</v>
      </c>
      <c r="AG110" s="56">
        <f>IF(AP110="0",BI110,0)</f>
        <v>0</v>
      </c>
      <c r="AH110" s="30" t="s">
        <v>1212</v>
      </c>
      <c r="AI110" s="31">
        <f>IF(AM110=0,I110,0)</f>
        <v>0</v>
      </c>
      <c r="AJ110" s="31">
        <f>IF(AM110=15,I110,0)</f>
        <v>0</v>
      </c>
      <c r="AK110" s="31">
        <f>IF(AM110=21,I110,0)</f>
        <v>0</v>
      </c>
      <c r="AM110" s="56">
        <v>21</v>
      </c>
      <c r="AN110" s="56">
        <f>H110*1</f>
        <v>0</v>
      </c>
      <c r="AO110" s="56">
        <f>H110*(1-1)</f>
        <v>0</v>
      </c>
      <c r="AP110" s="58" t="s">
        <v>1109</v>
      </c>
      <c r="AU110" s="56">
        <f>AV110+AW110</f>
        <v>0</v>
      </c>
      <c r="AV110" s="56">
        <f>G110*AN110</f>
        <v>0</v>
      </c>
      <c r="AW110" s="56">
        <f>G110*AO110</f>
        <v>0</v>
      </c>
      <c r="AX110" s="41" t="s">
        <v>77</v>
      </c>
      <c r="AY110" s="41" t="s">
        <v>395</v>
      </c>
      <c r="AZ110" s="30" t="s">
        <v>1193</v>
      </c>
      <c r="BB110" s="56">
        <f>AV110+AW110</f>
        <v>0</v>
      </c>
      <c r="BC110" s="56">
        <f>H110/(100-BD110)*100</f>
        <v>0</v>
      </c>
      <c r="BD110" s="56">
        <v>0</v>
      </c>
      <c r="BE110" s="56" t="e">
        <f>#REF!</f>
        <v>#REF!</v>
      </c>
      <c r="BG110" s="31">
        <f>G110*AN110</f>
        <v>0</v>
      </c>
      <c r="BH110" s="31">
        <f>G110*AO110</f>
        <v>0</v>
      </c>
      <c r="BI110" s="31">
        <f>G110*H110</f>
        <v>0</v>
      </c>
      <c r="BJ110" s="31"/>
      <c r="BK110" s="56">
        <v>87</v>
      </c>
      <c r="BV110" s="56">
        <v>21</v>
      </c>
    </row>
    <row r="111" spans="1:74" ht="15" customHeight="1" x14ac:dyDescent="0.25">
      <c r="A111" s="53"/>
      <c r="D111" s="52" t="s">
        <v>874</v>
      </c>
      <c r="E111" s="37" t="s">
        <v>56</v>
      </c>
      <c r="G111" s="21">
        <v>8</v>
      </c>
      <c r="J111" s="48"/>
    </row>
    <row r="112" spans="1:74" ht="15" customHeight="1" x14ac:dyDescent="0.25">
      <c r="A112" s="27" t="s">
        <v>769</v>
      </c>
      <c r="B112" s="28" t="s">
        <v>1212</v>
      </c>
      <c r="C112" s="28" t="s">
        <v>1171</v>
      </c>
      <c r="D112" s="132" t="s">
        <v>719</v>
      </c>
      <c r="E112" s="133"/>
      <c r="F112" s="23" t="s">
        <v>1027</v>
      </c>
      <c r="G112" s="23" t="s">
        <v>1027</v>
      </c>
      <c r="H112" s="23" t="s">
        <v>1027</v>
      </c>
      <c r="I112" s="14">
        <f>SUM(I113:I115)</f>
        <v>0</v>
      </c>
      <c r="J112" s="44" t="s">
        <v>769</v>
      </c>
      <c r="AH112" s="30" t="s">
        <v>1212</v>
      </c>
      <c r="AR112" s="14">
        <f>SUM(AI113:AI115)</f>
        <v>0</v>
      </c>
      <c r="AS112" s="14">
        <f>SUM(AJ113:AJ115)</f>
        <v>0</v>
      </c>
      <c r="AT112" s="14">
        <f>SUM(AK113:AK115)</f>
        <v>0</v>
      </c>
    </row>
    <row r="113" spans="1:74" ht="13.5" customHeight="1" x14ac:dyDescent="0.25">
      <c r="A113" s="10" t="s">
        <v>647</v>
      </c>
      <c r="B113" s="9" t="s">
        <v>1212</v>
      </c>
      <c r="C113" s="9" t="s">
        <v>202</v>
      </c>
      <c r="D113" s="76" t="s">
        <v>1178</v>
      </c>
      <c r="E113" s="77"/>
      <c r="F113" s="9" t="s">
        <v>909</v>
      </c>
      <c r="G113" s="56">
        <f>'Stavební rozpočet'!G629</f>
        <v>23</v>
      </c>
      <c r="H113" s="56">
        <f>'Stavební rozpočet'!H629</f>
        <v>0</v>
      </c>
      <c r="I113" s="56">
        <f>G113*H113</f>
        <v>0</v>
      </c>
      <c r="J113" s="54" t="s">
        <v>501</v>
      </c>
      <c r="Y113" s="56">
        <f>IF(AP113="5",BI113,0)</f>
        <v>0</v>
      </c>
      <c r="AA113" s="56">
        <f>IF(AP113="1",BG113,0)</f>
        <v>0</v>
      </c>
      <c r="AB113" s="56">
        <f>IF(AP113="1",BH113,0)</f>
        <v>0</v>
      </c>
      <c r="AC113" s="56">
        <f>IF(AP113="7",BG113,0)</f>
        <v>0</v>
      </c>
      <c r="AD113" s="56">
        <f>IF(AP113="7",BH113,0)</f>
        <v>0</v>
      </c>
      <c r="AE113" s="56">
        <f>IF(AP113="2",BG113,0)</f>
        <v>0</v>
      </c>
      <c r="AF113" s="56">
        <f>IF(AP113="2",BH113,0)</f>
        <v>0</v>
      </c>
      <c r="AG113" s="56">
        <f>IF(AP113="0",BI113,0)</f>
        <v>0</v>
      </c>
      <c r="AH113" s="30" t="s">
        <v>1212</v>
      </c>
      <c r="AI113" s="56">
        <f>IF(AM113=0,I113,0)</f>
        <v>0</v>
      </c>
      <c r="AJ113" s="56">
        <f>IF(AM113=15,I113,0)</f>
        <v>0</v>
      </c>
      <c r="AK113" s="56">
        <f>IF(AM113=21,I113,0)</f>
        <v>0</v>
      </c>
      <c r="AM113" s="56">
        <v>21</v>
      </c>
      <c r="AN113" s="56">
        <f>H113*0.354017965525613</f>
        <v>0</v>
      </c>
      <c r="AO113" s="56">
        <f>H113*(1-0.354017965525613)</f>
        <v>0</v>
      </c>
      <c r="AP113" s="41" t="s">
        <v>1109</v>
      </c>
      <c r="AU113" s="56">
        <f>AV113+AW113</f>
        <v>0</v>
      </c>
      <c r="AV113" s="56">
        <f>G113*AN113</f>
        <v>0</v>
      </c>
      <c r="AW113" s="56">
        <f>G113*AO113</f>
        <v>0</v>
      </c>
      <c r="AX113" s="41" t="s">
        <v>95</v>
      </c>
      <c r="AY113" s="41" t="s">
        <v>395</v>
      </c>
      <c r="AZ113" s="30" t="s">
        <v>1193</v>
      </c>
      <c r="BB113" s="56">
        <f>AV113+AW113</f>
        <v>0</v>
      </c>
      <c r="BC113" s="56">
        <f>H113/(100-BD113)*100</f>
        <v>0</v>
      </c>
      <c r="BD113" s="56">
        <v>0</v>
      </c>
      <c r="BE113" s="56" t="e">
        <f>#REF!</f>
        <v>#REF!</v>
      </c>
      <c r="BG113" s="56">
        <f>G113*AN113</f>
        <v>0</v>
      </c>
      <c r="BH113" s="56">
        <f>G113*AO113</f>
        <v>0</v>
      </c>
      <c r="BI113" s="56">
        <f>G113*H113</f>
        <v>0</v>
      </c>
      <c r="BJ113" s="56"/>
      <c r="BK113" s="56">
        <v>89</v>
      </c>
      <c r="BV113" s="56">
        <v>21</v>
      </c>
    </row>
    <row r="114" spans="1:74" ht="15" customHeight="1" x14ac:dyDescent="0.25">
      <c r="A114" s="53"/>
      <c r="D114" s="52" t="s">
        <v>500</v>
      </c>
      <c r="E114" s="37" t="s">
        <v>100</v>
      </c>
      <c r="G114" s="21">
        <v>23.000000000000004</v>
      </c>
      <c r="J114" s="48"/>
    </row>
    <row r="115" spans="1:74" ht="13.5" customHeight="1" x14ac:dyDescent="0.25">
      <c r="A115" s="10" t="s">
        <v>1093</v>
      </c>
      <c r="B115" s="9" t="s">
        <v>1212</v>
      </c>
      <c r="C115" s="9" t="s">
        <v>3</v>
      </c>
      <c r="D115" s="76" t="s">
        <v>1222</v>
      </c>
      <c r="E115" s="77"/>
      <c r="F115" s="9" t="s">
        <v>909</v>
      </c>
      <c r="G115" s="56">
        <f>'Stavební rozpočet'!G631</f>
        <v>31</v>
      </c>
      <c r="H115" s="56">
        <f>'Stavební rozpočet'!H631</f>
        <v>0</v>
      </c>
      <c r="I115" s="56">
        <f>G115*H115</f>
        <v>0</v>
      </c>
      <c r="J115" s="54" t="s">
        <v>501</v>
      </c>
      <c r="Y115" s="56">
        <f>IF(AP115="5",BI115,0)</f>
        <v>0</v>
      </c>
      <c r="AA115" s="56">
        <f>IF(AP115="1",BG115,0)</f>
        <v>0</v>
      </c>
      <c r="AB115" s="56">
        <f>IF(AP115="1",BH115,0)</f>
        <v>0</v>
      </c>
      <c r="AC115" s="56">
        <f>IF(AP115="7",BG115,0)</f>
        <v>0</v>
      </c>
      <c r="AD115" s="56">
        <f>IF(AP115="7",BH115,0)</f>
        <v>0</v>
      </c>
      <c r="AE115" s="56">
        <f>IF(AP115="2",BG115,0)</f>
        <v>0</v>
      </c>
      <c r="AF115" s="56">
        <f>IF(AP115="2",BH115,0)</f>
        <v>0</v>
      </c>
      <c r="AG115" s="56">
        <f>IF(AP115="0",BI115,0)</f>
        <v>0</v>
      </c>
      <c r="AH115" s="30" t="s">
        <v>1212</v>
      </c>
      <c r="AI115" s="56">
        <f>IF(AM115=0,I115,0)</f>
        <v>0</v>
      </c>
      <c r="AJ115" s="56">
        <f>IF(AM115=15,I115,0)</f>
        <v>0</v>
      </c>
      <c r="AK115" s="56">
        <f>IF(AM115=21,I115,0)</f>
        <v>0</v>
      </c>
      <c r="AM115" s="56">
        <v>21</v>
      </c>
      <c r="AN115" s="56">
        <f>H115*0.568157094127408</f>
        <v>0</v>
      </c>
      <c r="AO115" s="56">
        <f>H115*(1-0.568157094127408)</f>
        <v>0</v>
      </c>
      <c r="AP115" s="41" t="s">
        <v>1109</v>
      </c>
      <c r="AU115" s="56">
        <f>AV115+AW115</f>
        <v>0</v>
      </c>
      <c r="AV115" s="56">
        <f>G115*AN115</f>
        <v>0</v>
      </c>
      <c r="AW115" s="56">
        <f>G115*AO115</f>
        <v>0</v>
      </c>
      <c r="AX115" s="41" t="s">
        <v>95</v>
      </c>
      <c r="AY115" s="41" t="s">
        <v>395</v>
      </c>
      <c r="AZ115" s="30" t="s">
        <v>1193</v>
      </c>
      <c r="BB115" s="56">
        <f>AV115+AW115</f>
        <v>0</v>
      </c>
      <c r="BC115" s="56">
        <f>H115/(100-BD115)*100</f>
        <v>0</v>
      </c>
      <c r="BD115" s="56">
        <v>0</v>
      </c>
      <c r="BE115" s="56" t="e">
        <f>#REF!</f>
        <v>#REF!</v>
      </c>
      <c r="BG115" s="56">
        <f>G115*AN115</f>
        <v>0</v>
      </c>
      <c r="BH115" s="56">
        <f>G115*AO115</f>
        <v>0</v>
      </c>
      <c r="BI115" s="56">
        <f>G115*H115</f>
        <v>0</v>
      </c>
      <c r="BJ115" s="56"/>
      <c r="BK115" s="56">
        <v>89</v>
      </c>
      <c r="BV115" s="56">
        <v>21</v>
      </c>
    </row>
    <row r="116" spans="1:74" ht="15" customHeight="1" x14ac:dyDescent="0.25">
      <c r="A116" s="53"/>
      <c r="D116" s="52" t="s">
        <v>657</v>
      </c>
      <c r="E116" s="37" t="s">
        <v>757</v>
      </c>
      <c r="G116" s="21">
        <v>31.000000000000004</v>
      </c>
      <c r="J116" s="48"/>
    </row>
    <row r="117" spans="1:74" ht="15" customHeight="1" x14ac:dyDescent="0.25">
      <c r="A117" s="27" t="s">
        <v>769</v>
      </c>
      <c r="B117" s="28" t="s">
        <v>1212</v>
      </c>
      <c r="C117" s="28" t="s">
        <v>54</v>
      </c>
      <c r="D117" s="132" t="s">
        <v>403</v>
      </c>
      <c r="E117" s="133"/>
      <c r="F117" s="23" t="s">
        <v>1027</v>
      </c>
      <c r="G117" s="23" t="s">
        <v>1027</v>
      </c>
      <c r="H117" s="23" t="s">
        <v>1027</v>
      </c>
      <c r="I117" s="14">
        <f>SUM(I118:I119)</f>
        <v>0</v>
      </c>
      <c r="J117" s="44" t="s">
        <v>769</v>
      </c>
      <c r="AH117" s="30" t="s">
        <v>1212</v>
      </c>
      <c r="AR117" s="14">
        <f>SUM(AI118:AI119)</f>
        <v>0</v>
      </c>
      <c r="AS117" s="14">
        <f>SUM(AJ118:AJ119)</f>
        <v>0</v>
      </c>
      <c r="AT117" s="14">
        <f>SUM(AK118:AK119)</f>
        <v>0</v>
      </c>
    </row>
    <row r="118" spans="1:74" ht="13.5" customHeight="1" x14ac:dyDescent="0.25">
      <c r="A118" s="10" t="s">
        <v>669</v>
      </c>
      <c r="B118" s="9" t="s">
        <v>1212</v>
      </c>
      <c r="C118" s="9" t="s">
        <v>673</v>
      </c>
      <c r="D118" s="76" t="s">
        <v>151</v>
      </c>
      <c r="E118" s="77"/>
      <c r="F118" s="9" t="s">
        <v>909</v>
      </c>
      <c r="G118" s="56">
        <f>'Stavební rozpočet'!G634</f>
        <v>8</v>
      </c>
      <c r="H118" s="56">
        <f>'Stavební rozpočet'!H634</f>
        <v>0</v>
      </c>
      <c r="I118" s="56">
        <f>G118*H118</f>
        <v>0</v>
      </c>
      <c r="J118" s="54" t="s">
        <v>501</v>
      </c>
      <c r="Y118" s="56">
        <f>IF(AP118="5",BI118,0)</f>
        <v>0</v>
      </c>
      <c r="AA118" s="56">
        <f>IF(AP118="1",BG118,0)</f>
        <v>0</v>
      </c>
      <c r="AB118" s="56">
        <f>IF(AP118="1",BH118,0)</f>
        <v>0</v>
      </c>
      <c r="AC118" s="56">
        <f>IF(AP118="7",BG118,0)</f>
        <v>0</v>
      </c>
      <c r="AD118" s="56">
        <f>IF(AP118="7",BH118,0)</f>
        <v>0</v>
      </c>
      <c r="AE118" s="56">
        <f>IF(AP118="2",BG118,0)</f>
        <v>0</v>
      </c>
      <c r="AF118" s="56">
        <f>IF(AP118="2",BH118,0)</f>
        <v>0</v>
      </c>
      <c r="AG118" s="56">
        <f>IF(AP118="0",BI118,0)</f>
        <v>0</v>
      </c>
      <c r="AH118" s="30" t="s">
        <v>1212</v>
      </c>
      <c r="AI118" s="56">
        <f>IF(AM118=0,I118,0)</f>
        <v>0</v>
      </c>
      <c r="AJ118" s="56">
        <f>IF(AM118=15,I118,0)</f>
        <v>0</v>
      </c>
      <c r="AK118" s="56">
        <f>IF(AM118=21,I118,0)</f>
        <v>0</v>
      </c>
      <c r="AM118" s="56">
        <v>21</v>
      </c>
      <c r="AN118" s="56">
        <f>H118*0.648824940047962</f>
        <v>0</v>
      </c>
      <c r="AO118" s="56">
        <f>H118*(1-0.648824940047962)</f>
        <v>0</v>
      </c>
      <c r="AP118" s="41" t="s">
        <v>1109</v>
      </c>
      <c r="AU118" s="56">
        <f>AV118+AW118</f>
        <v>0</v>
      </c>
      <c r="AV118" s="56">
        <f>G118*AN118</f>
        <v>0</v>
      </c>
      <c r="AW118" s="56">
        <f>G118*AO118</f>
        <v>0</v>
      </c>
      <c r="AX118" s="41" t="s">
        <v>1085</v>
      </c>
      <c r="AY118" s="41" t="s">
        <v>495</v>
      </c>
      <c r="AZ118" s="30" t="s">
        <v>1193</v>
      </c>
      <c r="BB118" s="56">
        <f>AV118+AW118</f>
        <v>0</v>
      </c>
      <c r="BC118" s="56">
        <f>H118/(100-BD118)*100</f>
        <v>0</v>
      </c>
      <c r="BD118" s="56">
        <v>0</v>
      </c>
      <c r="BE118" s="56" t="e">
        <f>#REF!</f>
        <v>#REF!</v>
      </c>
      <c r="BG118" s="56">
        <f>G118*AN118</f>
        <v>0</v>
      </c>
      <c r="BH118" s="56">
        <f>G118*AO118</f>
        <v>0</v>
      </c>
      <c r="BI118" s="56">
        <f>G118*H118</f>
        <v>0</v>
      </c>
      <c r="BJ118" s="56"/>
      <c r="BK118" s="56">
        <v>91</v>
      </c>
      <c r="BV118" s="56">
        <v>21</v>
      </c>
    </row>
    <row r="119" spans="1:74" ht="13.5" customHeight="1" x14ac:dyDescent="0.25">
      <c r="A119" s="57" t="s">
        <v>716</v>
      </c>
      <c r="B119" s="50" t="s">
        <v>1212</v>
      </c>
      <c r="C119" s="50" t="s">
        <v>1133</v>
      </c>
      <c r="D119" s="135" t="s">
        <v>1086</v>
      </c>
      <c r="E119" s="136"/>
      <c r="F119" s="50" t="s">
        <v>275</v>
      </c>
      <c r="G119" s="31">
        <f>'Stavební rozpočet'!G635</f>
        <v>1</v>
      </c>
      <c r="H119" s="31">
        <f>'Stavební rozpočet'!H635</f>
        <v>0</v>
      </c>
      <c r="I119" s="31">
        <f>G119*H119</f>
        <v>0</v>
      </c>
      <c r="J119" s="47" t="s">
        <v>501</v>
      </c>
      <c r="Y119" s="56">
        <f>IF(AP119="5",BI119,0)</f>
        <v>0</v>
      </c>
      <c r="AA119" s="56">
        <f>IF(AP119="1",BG119,0)</f>
        <v>0</v>
      </c>
      <c r="AB119" s="56">
        <f>IF(AP119="1",BH119,0)</f>
        <v>0</v>
      </c>
      <c r="AC119" s="56">
        <f>IF(AP119="7",BG119,0)</f>
        <v>0</v>
      </c>
      <c r="AD119" s="56">
        <f>IF(AP119="7",BH119,0)</f>
        <v>0</v>
      </c>
      <c r="AE119" s="56">
        <f>IF(AP119="2",BG119,0)</f>
        <v>0</v>
      </c>
      <c r="AF119" s="56">
        <f>IF(AP119="2",BH119,0)</f>
        <v>0</v>
      </c>
      <c r="AG119" s="56">
        <f>IF(AP119="0",BI119,0)</f>
        <v>0</v>
      </c>
      <c r="AH119" s="30" t="s">
        <v>1212</v>
      </c>
      <c r="AI119" s="31">
        <f>IF(AM119=0,I119,0)</f>
        <v>0</v>
      </c>
      <c r="AJ119" s="31">
        <f>IF(AM119=15,I119,0)</f>
        <v>0</v>
      </c>
      <c r="AK119" s="31">
        <f>IF(AM119=21,I119,0)</f>
        <v>0</v>
      </c>
      <c r="AM119" s="56">
        <v>21</v>
      </c>
      <c r="AN119" s="56">
        <f>H119*1</f>
        <v>0</v>
      </c>
      <c r="AO119" s="56">
        <f>H119*(1-1)</f>
        <v>0</v>
      </c>
      <c r="AP119" s="58" t="s">
        <v>1109</v>
      </c>
      <c r="AU119" s="56">
        <f>AV119+AW119</f>
        <v>0</v>
      </c>
      <c r="AV119" s="56">
        <f>G119*AN119</f>
        <v>0</v>
      </c>
      <c r="AW119" s="56">
        <f>G119*AO119</f>
        <v>0</v>
      </c>
      <c r="AX119" s="41" t="s">
        <v>1085</v>
      </c>
      <c r="AY119" s="41" t="s">
        <v>495</v>
      </c>
      <c r="AZ119" s="30" t="s">
        <v>1193</v>
      </c>
      <c r="BB119" s="56">
        <f>AV119+AW119</f>
        <v>0</v>
      </c>
      <c r="BC119" s="56">
        <f>H119/(100-BD119)*100</f>
        <v>0</v>
      </c>
      <c r="BD119" s="56">
        <v>0</v>
      </c>
      <c r="BE119" s="56" t="e">
        <f>#REF!</f>
        <v>#REF!</v>
      </c>
      <c r="BG119" s="31">
        <f>G119*AN119</f>
        <v>0</v>
      </c>
      <c r="BH119" s="31">
        <f>G119*AO119</f>
        <v>0</v>
      </c>
      <c r="BI119" s="31">
        <f>G119*H119</f>
        <v>0</v>
      </c>
      <c r="BJ119" s="31"/>
      <c r="BK119" s="56">
        <v>91</v>
      </c>
      <c r="BV119" s="56">
        <v>21</v>
      </c>
    </row>
    <row r="120" spans="1:74" ht="15" customHeight="1" x14ac:dyDescent="0.25">
      <c r="A120" s="53"/>
      <c r="D120" s="52" t="s">
        <v>1109</v>
      </c>
      <c r="E120" s="37" t="s">
        <v>412</v>
      </c>
      <c r="G120" s="21">
        <v>1</v>
      </c>
      <c r="J120" s="48"/>
    </row>
    <row r="121" spans="1:74" ht="15" customHeight="1" x14ac:dyDescent="0.25">
      <c r="A121" s="27" t="s">
        <v>769</v>
      </c>
      <c r="B121" s="28" t="s">
        <v>1212</v>
      </c>
      <c r="C121" s="28" t="s">
        <v>128</v>
      </c>
      <c r="D121" s="132" t="s">
        <v>1225</v>
      </c>
      <c r="E121" s="133"/>
      <c r="F121" s="23" t="s">
        <v>1027</v>
      </c>
      <c r="G121" s="23" t="s">
        <v>1027</v>
      </c>
      <c r="H121" s="23" t="s">
        <v>1027</v>
      </c>
      <c r="I121" s="14">
        <f>SUM(I122:I126)</f>
        <v>0</v>
      </c>
      <c r="J121" s="44" t="s">
        <v>769</v>
      </c>
      <c r="AH121" s="30" t="s">
        <v>1212</v>
      </c>
      <c r="AR121" s="14">
        <f>SUM(AI122:AI126)</f>
        <v>0</v>
      </c>
      <c r="AS121" s="14">
        <f>SUM(AJ122:AJ126)</f>
        <v>0</v>
      </c>
      <c r="AT121" s="14">
        <f>SUM(AK122:AK126)</f>
        <v>0</v>
      </c>
    </row>
    <row r="122" spans="1:74" ht="13.5" customHeight="1" x14ac:dyDescent="0.25">
      <c r="A122" s="10" t="s">
        <v>394</v>
      </c>
      <c r="B122" s="9" t="s">
        <v>1212</v>
      </c>
      <c r="C122" s="9" t="s">
        <v>138</v>
      </c>
      <c r="D122" s="76" t="s">
        <v>372</v>
      </c>
      <c r="E122" s="77"/>
      <c r="F122" s="9" t="s">
        <v>1095</v>
      </c>
      <c r="G122" s="56">
        <f>'Stavební rozpočet'!G638</f>
        <v>6.5</v>
      </c>
      <c r="H122" s="56">
        <f>'Stavební rozpočet'!H638</f>
        <v>0</v>
      </c>
      <c r="I122" s="56">
        <f>G122*H122</f>
        <v>0</v>
      </c>
      <c r="J122" s="54" t="s">
        <v>501</v>
      </c>
      <c r="Y122" s="56">
        <f>IF(AP122="5",BI122,0)</f>
        <v>0</v>
      </c>
      <c r="AA122" s="56">
        <f>IF(AP122="1",BG122,0)</f>
        <v>0</v>
      </c>
      <c r="AB122" s="56">
        <f>IF(AP122="1",BH122,0)</f>
        <v>0</v>
      </c>
      <c r="AC122" s="56">
        <f>IF(AP122="7",BG122,0)</f>
        <v>0</v>
      </c>
      <c r="AD122" s="56">
        <f>IF(AP122="7",BH122,0)</f>
        <v>0</v>
      </c>
      <c r="AE122" s="56">
        <f>IF(AP122="2",BG122,0)</f>
        <v>0</v>
      </c>
      <c r="AF122" s="56">
        <f>IF(AP122="2",BH122,0)</f>
        <v>0</v>
      </c>
      <c r="AG122" s="56">
        <f>IF(AP122="0",BI122,0)</f>
        <v>0</v>
      </c>
      <c r="AH122" s="30" t="s">
        <v>1212</v>
      </c>
      <c r="AI122" s="56">
        <f>IF(AM122=0,I122,0)</f>
        <v>0</v>
      </c>
      <c r="AJ122" s="56">
        <f>IF(AM122=15,I122,0)</f>
        <v>0</v>
      </c>
      <c r="AK122" s="56">
        <f>IF(AM122=21,I122,0)</f>
        <v>0</v>
      </c>
      <c r="AM122" s="56">
        <v>21</v>
      </c>
      <c r="AN122" s="56">
        <f>H122*0</f>
        <v>0</v>
      </c>
      <c r="AO122" s="56">
        <f>H122*(1-0)</f>
        <v>0</v>
      </c>
      <c r="AP122" s="41" t="s">
        <v>1109</v>
      </c>
      <c r="AU122" s="56">
        <f>AV122+AW122</f>
        <v>0</v>
      </c>
      <c r="AV122" s="56">
        <f>G122*AN122</f>
        <v>0</v>
      </c>
      <c r="AW122" s="56">
        <f>G122*AO122</f>
        <v>0</v>
      </c>
      <c r="AX122" s="41" t="s">
        <v>348</v>
      </c>
      <c r="AY122" s="41" t="s">
        <v>495</v>
      </c>
      <c r="AZ122" s="30" t="s">
        <v>1193</v>
      </c>
      <c r="BB122" s="56">
        <f>AV122+AW122</f>
        <v>0</v>
      </c>
      <c r="BC122" s="56">
        <f>H122/(100-BD122)*100</f>
        <v>0</v>
      </c>
      <c r="BD122" s="56">
        <v>0</v>
      </c>
      <c r="BE122" s="56" t="e">
        <f>#REF!</f>
        <v>#REF!</v>
      </c>
      <c r="BG122" s="56">
        <f>G122*AN122</f>
        <v>0</v>
      </c>
      <c r="BH122" s="56">
        <f>G122*AO122</f>
        <v>0</v>
      </c>
      <c r="BI122" s="56">
        <f>G122*H122</f>
        <v>0</v>
      </c>
      <c r="BJ122" s="56"/>
      <c r="BK122" s="56">
        <v>97</v>
      </c>
      <c r="BV122" s="56">
        <v>21</v>
      </c>
    </row>
    <row r="123" spans="1:74" ht="15" customHeight="1" x14ac:dyDescent="0.25">
      <c r="A123" s="53"/>
      <c r="D123" s="52" t="s">
        <v>952</v>
      </c>
      <c r="E123" s="37" t="s">
        <v>1253</v>
      </c>
      <c r="G123" s="21">
        <v>3.0000000000000004</v>
      </c>
      <c r="J123" s="48"/>
    </row>
    <row r="124" spans="1:74" ht="15" customHeight="1" x14ac:dyDescent="0.25">
      <c r="A124" s="53"/>
      <c r="D124" s="52" t="s">
        <v>689</v>
      </c>
      <c r="E124" s="37" t="s">
        <v>116</v>
      </c>
      <c r="G124" s="21">
        <v>3.5000000000000004</v>
      </c>
      <c r="J124" s="48"/>
    </row>
    <row r="125" spans="1:74" ht="13.5" customHeight="1" x14ac:dyDescent="0.25">
      <c r="A125" s="10" t="s">
        <v>1096</v>
      </c>
      <c r="B125" s="9" t="s">
        <v>1212</v>
      </c>
      <c r="C125" s="9" t="s">
        <v>565</v>
      </c>
      <c r="D125" s="76" t="s">
        <v>1036</v>
      </c>
      <c r="E125" s="77"/>
      <c r="F125" s="9" t="s">
        <v>1095</v>
      </c>
      <c r="G125" s="56">
        <f>'Stavební rozpočet'!G641</f>
        <v>16</v>
      </c>
      <c r="H125" s="56">
        <f>'Stavební rozpočet'!H641</f>
        <v>0</v>
      </c>
      <c r="I125" s="56">
        <f>G125*H125</f>
        <v>0</v>
      </c>
      <c r="J125" s="54" t="s">
        <v>501</v>
      </c>
      <c r="Y125" s="56">
        <f>IF(AP125="5",BI125,0)</f>
        <v>0</v>
      </c>
      <c r="AA125" s="56">
        <f>IF(AP125="1",BG125,0)</f>
        <v>0</v>
      </c>
      <c r="AB125" s="56">
        <f>IF(AP125="1",BH125,0)</f>
        <v>0</v>
      </c>
      <c r="AC125" s="56">
        <f>IF(AP125="7",BG125,0)</f>
        <v>0</v>
      </c>
      <c r="AD125" s="56">
        <f>IF(AP125="7",BH125,0)</f>
        <v>0</v>
      </c>
      <c r="AE125" s="56">
        <f>IF(AP125="2",BG125,0)</f>
        <v>0</v>
      </c>
      <c r="AF125" s="56">
        <f>IF(AP125="2",BH125,0)</f>
        <v>0</v>
      </c>
      <c r="AG125" s="56">
        <f>IF(AP125="0",BI125,0)</f>
        <v>0</v>
      </c>
      <c r="AH125" s="30" t="s">
        <v>1212</v>
      </c>
      <c r="AI125" s="56">
        <f>IF(AM125=0,I125,0)</f>
        <v>0</v>
      </c>
      <c r="AJ125" s="56">
        <f>IF(AM125=15,I125,0)</f>
        <v>0</v>
      </c>
      <c r="AK125" s="56">
        <f>IF(AM125=21,I125,0)</f>
        <v>0</v>
      </c>
      <c r="AM125" s="56">
        <v>21</v>
      </c>
      <c r="AN125" s="56">
        <f>H125*0</f>
        <v>0</v>
      </c>
      <c r="AO125" s="56">
        <f>H125*(1-0)</f>
        <v>0</v>
      </c>
      <c r="AP125" s="41" t="s">
        <v>1109</v>
      </c>
      <c r="AU125" s="56">
        <f>AV125+AW125</f>
        <v>0</v>
      </c>
      <c r="AV125" s="56">
        <f>G125*AN125</f>
        <v>0</v>
      </c>
      <c r="AW125" s="56">
        <f>G125*AO125</f>
        <v>0</v>
      </c>
      <c r="AX125" s="41" t="s">
        <v>348</v>
      </c>
      <c r="AY125" s="41" t="s">
        <v>495</v>
      </c>
      <c r="AZ125" s="30" t="s">
        <v>1193</v>
      </c>
      <c r="BB125" s="56">
        <f>AV125+AW125</f>
        <v>0</v>
      </c>
      <c r="BC125" s="56">
        <f>H125/(100-BD125)*100</f>
        <v>0</v>
      </c>
      <c r="BD125" s="56">
        <v>0</v>
      </c>
      <c r="BE125" s="56" t="e">
        <f>#REF!</f>
        <v>#REF!</v>
      </c>
      <c r="BG125" s="56">
        <f>G125*AN125</f>
        <v>0</v>
      </c>
      <c r="BH125" s="56">
        <f>G125*AO125</f>
        <v>0</v>
      </c>
      <c r="BI125" s="56">
        <f>G125*H125</f>
        <v>0</v>
      </c>
      <c r="BJ125" s="56"/>
      <c r="BK125" s="56">
        <v>97</v>
      </c>
      <c r="BV125" s="56">
        <v>21</v>
      </c>
    </row>
    <row r="126" spans="1:74" ht="13.5" customHeight="1" x14ac:dyDescent="0.25">
      <c r="A126" s="10" t="s">
        <v>196</v>
      </c>
      <c r="B126" s="9" t="s">
        <v>1212</v>
      </c>
      <c r="C126" s="9" t="s">
        <v>387</v>
      </c>
      <c r="D126" s="76" t="s">
        <v>1161</v>
      </c>
      <c r="E126" s="77"/>
      <c r="F126" s="9" t="s">
        <v>909</v>
      </c>
      <c r="G126" s="56">
        <f>'Stavební rozpočet'!G642</f>
        <v>7</v>
      </c>
      <c r="H126" s="56">
        <f>'Stavební rozpočet'!H642</f>
        <v>0</v>
      </c>
      <c r="I126" s="56">
        <f>G126*H126</f>
        <v>0</v>
      </c>
      <c r="J126" s="54" t="s">
        <v>501</v>
      </c>
      <c r="Y126" s="56">
        <f>IF(AP126="5",BI126,0)</f>
        <v>0</v>
      </c>
      <c r="AA126" s="56">
        <f>IF(AP126="1",BG126,0)</f>
        <v>0</v>
      </c>
      <c r="AB126" s="56">
        <f>IF(AP126="1",BH126,0)</f>
        <v>0</v>
      </c>
      <c r="AC126" s="56">
        <f>IF(AP126="7",BG126,0)</f>
        <v>0</v>
      </c>
      <c r="AD126" s="56">
        <f>IF(AP126="7",BH126,0)</f>
        <v>0</v>
      </c>
      <c r="AE126" s="56">
        <f>IF(AP126="2",BG126,0)</f>
        <v>0</v>
      </c>
      <c r="AF126" s="56">
        <f>IF(AP126="2",BH126,0)</f>
        <v>0</v>
      </c>
      <c r="AG126" s="56">
        <f>IF(AP126="0",BI126,0)</f>
        <v>0</v>
      </c>
      <c r="AH126" s="30" t="s">
        <v>1212</v>
      </c>
      <c r="AI126" s="56">
        <f>IF(AM126=0,I126,0)</f>
        <v>0</v>
      </c>
      <c r="AJ126" s="56">
        <f>IF(AM126=15,I126,0)</f>
        <v>0</v>
      </c>
      <c r="AK126" s="56">
        <f>IF(AM126=21,I126,0)</f>
        <v>0</v>
      </c>
      <c r="AM126" s="56">
        <v>21</v>
      </c>
      <c r="AN126" s="56">
        <f>H126*0</f>
        <v>0</v>
      </c>
      <c r="AO126" s="56">
        <f>H126*(1-0)</f>
        <v>0</v>
      </c>
      <c r="AP126" s="41" t="s">
        <v>1109</v>
      </c>
      <c r="AU126" s="56">
        <f>AV126+AW126</f>
        <v>0</v>
      </c>
      <c r="AV126" s="56">
        <f>G126*AN126</f>
        <v>0</v>
      </c>
      <c r="AW126" s="56">
        <f>G126*AO126</f>
        <v>0</v>
      </c>
      <c r="AX126" s="41" t="s">
        <v>348</v>
      </c>
      <c r="AY126" s="41" t="s">
        <v>495</v>
      </c>
      <c r="AZ126" s="30" t="s">
        <v>1193</v>
      </c>
      <c r="BB126" s="56">
        <f>AV126+AW126</f>
        <v>0</v>
      </c>
      <c r="BC126" s="56">
        <f>H126/(100-BD126)*100</f>
        <v>0</v>
      </c>
      <c r="BD126" s="56">
        <v>0</v>
      </c>
      <c r="BE126" s="56" t="e">
        <f>#REF!</f>
        <v>#REF!</v>
      </c>
      <c r="BG126" s="56">
        <f>G126*AN126</f>
        <v>0</v>
      </c>
      <c r="BH126" s="56">
        <f>G126*AO126</f>
        <v>0</v>
      </c>
      <c r="BI126" s="56">
        <f>G126*H126</f>
        <v>0</v>
      </c>
      <c r="BJ126" s="56"/>
      <c r="BK126" s="56">
        <v>97</v>
      </c>
      <c r="BV126" s="56">
        <v>21</v>
      </c>
    </row>
    <row r="127" spans="1:74" ht="15" customHeight="1" x14ac:dyDescent="0.25">
      <c r="A127" s="27" t="s">
        <v>769</v>
      </c>
      <c r="B127" s="28" t="s">
        <v>1212</v>
      </c>
      <c r="C127" s="28" t="s">
        <v>628</v>
      </c>
      <c r="D127" s="132" t="s">
        <v>606</v>
      </c>
      <c r="E127" s="133"/>
      <c r="F127" s="23" t="s">
        <v>1027</v>
      </c>
      <c r="G127" s="23" t="s">
        <v>1027</v>
      </c>
      <c r="H127" s="23" t="s">
        <v>1027</v>
      </c>
      <c r="I127" s="14">
        <f>SUM(I128:I128)</f>
        <v>0</v>
      </c>
      <c r="J127" s="44" t="s">
        <v>769</v>
      </c>
      <c r="AH127" s="30" t="s">
        <v>1212</v>
      </c>
      <c r="AR127" s="14">
        <f>SUM(AI128:AI128)</f>
        <v>0</v>
      </c>
      <c r="AS127" s="14">
        <f>SUM(AJ128:AJ128)</f>
        <v>0</v>
      </c>
      <c r="AT127" s="14">
        <f>SUM(AK128:AK128)</f>
        <v>0</v>
      </c>
    </row>
    <row r="128" spans="1:74" ht="13.5" customHeight="1" x14ac:dyDescent="0.25">
      <c r="A128" s="10" t="s">
        <v>370</v>
      </c>
      <c r="B128" s="9" t="s">
        <v>1212</v>
      </c>
      <c r="C128" s="9" t="s">
        <v>962</v>
      </c>
      <c r="D128" s="76" t="s">
        <v>754</v>
      </c>
      <c r="E128" s="77"/>
      <c r="F128" s="9" t="s">
        <v>517</v>
      </c>
      <c r="G128" s="56">
        <f>'Stavební rozpočet'!G644</f>
        <v>49.463000000000001</v>
      </c>
      <c r="H128" s="56">
        <f>'Stavební rozpočet'!H644</f>
        <v>0</v>
      </c>
      <c r="I128" s="56">
        <f>G128*H128</f>
        <v>0</v>
      </c>
      <c r="J128" s="54" t="s">
        <v>501</v>
      </c>
      <c r="Y128" s="56">
        <f>IF(AP128="5",BI128,0)</f>
        <v>0</v>
      </c>
      <c r="AA128" s="56">
        <f>IF(AP128="1",BG128,0)</f>
        <v>0</v>
      </c>
      <c r="AB128" s="56">
        <f>IF(AP128="1",BH128,0)</f>
        <v>0</v>
      </c>
      <c r="AC128" s="56">
        <f>IF(AP128="7",BG128,0)</f>
        <v>0</v>
      </c>
      <c r="AD128" s="56">
        <f>IF(AP128="7",BH128,0)</f>
        <v>0</v>
      </c>
      <c r="AE128" s="56">
        <f>IF(AP128="2",BG128,0)</f>
        <v>0</v>
      </c>
      <c r="AF128" s="56">
        <f>IF(AP128="2",BH128,0)</f>
        <v>0</v>
      </c>
      <c r="AG128" s="56">
        <f>IF(AP128="0",BI128,0)</f>
        <v>0</v>
      </c>
      <c r="AH128" s="30" t="s">
        <v>1212</v>
      </c>
      <c r="AI128" s="56">
        <f>IF(AM128=0,I128,0)</f>
        <v>0</v>
      </c>
      <c r="AJ128" s="56">
        <f>IF(AM128=15,I128,0)</f>
        <v>0</v>
      </c>
      <c r="AK128" s="56">
        <f>IF(AM128=21,I128,0)</f>
        <v>0</v>
      </c>
      <c r="AM128" s="56">
        <v>21</v>
      </c>
      <c r="AN128" s="56">
        <f>H128*0</f>
        <v>0</v>
      </c>
      <c r="AO128" s="56">
        <f>H128*(1-0)</f>
        <v>0</v>
      </c>
      <c r="AP128" s="41" t="s">
        <v>596</v>
      </c>
      <c r="AU128" s="56">
        <f>AV128+AW128</f>
        <v>0</v>
      </c>
      <c r="AV128" s="56">
        <f>G128*AN128</f>
        <v>0</v>
      </c>
      <c r="AW128" s="56">
        <f>G128*AO128</f>
        <v>0</v>
      </c>
      <c r="AX128" s="41" t="s">
        <v>345</v>
      </c>
      <c r="AY128" s="41" t="s">
        <v>495</v>
      </c>
      <c r="AZ128" s="30" t="s">
        <v>1193</v>
      </c>
      <c r="BB128" s="56">
        <f>AV128+AW128</f>
        <v>0</v>
      </c>
      <c r="BC128" s="56">
        <f>H128/(100-BD128)*100</f>
        <v>0</v>
      </c>
      <c r="BD128" s="56">
        <v>0</v>
      </c>
      <c r="BE128" s="56" t="e">
        <f>#REF!</f>
        <v>#REF!</v>
      </c>
      <c r="BG128" s="56">
        <f>G128*AN128</f>
        <v>0</v>
      </c>
      <c r="BH128" s="56">
        <f>G128*AO128</f>
        <v>0</v>
      </c>
      <c r="BI128" s="56">
        <f>G128*H128</f>
        <v>0</v>
      </c>
      <c r="BJ128" s="56"/>
      <c r="BK128" s="56"/>
      <c r="BV128" s="56">
        <v>21</v>
      </c>
    </row>
    <row r="129" spans="1:74" ht="15" customHeight="1" x14ac:dyDescent="0.25">
      <c r="A129" s="27" t="s">
        <v>769</v>
      </c>
      <c r="B129" s="28" t="s">
        <v>1212</v>
      </c>
      <c r="C129" s="28" t="s">
        <v>369</v>
      </c>
      <c r="D129" s="132" t="s">
        <v>485</v>
      </c>
      <c r="E129" s="133"/>
      <c r="F129" s="23" t="s">
        <v>1027</v>
      </c>
      <c r="G129" s="23" t="s">
        <v>1027</v>
      </c>
      <c r="H129" s="23" t="s">
        <v>1027</v>
      </c>
      <c r="I129" s="14">
        <f>SUM(I130:I136)</f>
        <v>0</v>
      </c>
      <c r="J129" s="44" t="s">
        <v>769</v>
      </c>
      <c r="AH129" s="30" t="s">
        <v>1212</v>
      </c>
      <c r="AR129" s="14">
        <f>SUM(AI130:AI136)</f>
        <v>0</v>
      </c>
      <c r="AS129" s="14">
        <f>SUM(AJ130:AJ136)</f>
        <v>0</v>
      </c>
      <c r="AT129" s="14">
        <f>SUM(AK130:AK136)</f>
        <v>0</v>
      </c>
    </row>
    <row r="130" spans="1:74" ht="13.5" customHeight="1" x14ac:dyDescent="0.25">
      <c r="A130" s="10" t="s">
        <v>491</v>
      </c>
      <c r="B130" s="9" t="s">
        <v>1212</v>
      </c>
      <c r="C130" s="9" t="s">
        <v>477</v>
      </c>
      <c r="D130" s="76" t="s">
        <v>1164</v>
      </c>
      <c r="E130" s="77"/>
      <c r="F130" s="9" t="s">
        <v>517</v>
      </c>
      <c r="G130" s="56">
        <f>'Stavební rozpočet'!G646</f>
        <v>9.1690000000000005</v>
      </c>
      <c r="H130" s="56">
        <f>'Stavební rozpočet'!H646</f>
        <v>0</v>
      </c>
      <c r="I130" s="56">
        <f>G130*H130</f>
        <v>0</v>
      </c>
      <c r="J130" s="54" t="s">
        <v>501</v>
      </c>
      <c r="Y130" s="56">
        <f>IF(AP130="5",BI130,0)</f>
        <v>0</v>
      </c>
      <c r="AA130" s="56">
        <f>IF(AP130="1",BG130,0)</f>
        <v>0</v>
      </c>
      <c r="AB130" s="56">
        <f>IF(AP130="1",BH130,0)</f>
        <v>0</v>
      </c>
      <c r="AC130" s="56">
        <f>IF(AP130="7",BG130,0)</f>
        <v>0</v>
      </c>
      <c r="AD130" s="56">
        <f>IF(AP130="7",BH130,0)</f>
        <v>0</v>
      </c>
      <c r="AE130" s="56">
        <f>IF(AP130="2",BG130,0)</f>
        <v>0</v>
      </c>
      <c r="AF130" s="56">
        <f>IF(AP130="2",BH130,0)</f>
        <v>0</v>
      </c>
      <c r="AG130" s="56">
        <f>IF(AP130="0",BI130,0)</f>
        <v>0</v>
      </c>
      <c r="AH130" s="30" t="s">
        <v>1212</v>
      </c>
      <c r="AI130" s="56">
        <f>IF(AM130=0,I130,0)</f>
        <v>0</v>
      </c>
      <c r="AJ130" s="56">
        <f>IF(AM130=15,I130,0)</f>
        <v>0</v>
      </c>
      <c r="AK130" s="56">
        <f>IF(AM130=21,I130,0)</f>
        <v>0</v>
      </c>
      <c r="AM130" s="56">
        <v>21</v>
      </c>
      <c r="AN130" s="56">
        <f>H130*0</f>
        <v>0</v>
      </c>
      <c r="AO130" s="56">
        <f>H130*(1-0)</f>
        <v>0</v>
      </c>
      <c r="AP130" s="41" t="s">
        <v>596</v>
      </c>
      <c r="AU130" s="56">
        <f>AV130+AW130</f>
        <v>0</v>
      </c>
      <c r="AV130" s="56">
        <f>G130*AN130</f>
        <v>0</v>
      </c>
      <c r="AW130" s="56">
        <f>G130*AO130</f>
        <v>0</v>
      </c>
      <c r="AX130" s="41" t="s">
        <v>465</v>
      </c>
      <c r="AY130" s="41" t="s">
        <v>495</v>
      </c>
      <c r="AZ130" s="30" t="s">
        <v>1193</v>
      </c>
      <c r="BB130" s="56">
        <f>AV130+AW130</f>
        <v>0</v>
      </c>
      <c r="BC130" s="56">
        <f>H130/(100-BD130)*100</f>
        <v>0</v>
      </c>
      <c r="BD130" s="56">
        <v>0</v>
      </c>
      <c r="BE130" s="56" t="e">
        <f>#REF!</f>
        <v>#REF!</v>
      </c>
      <c r="BG130" s="56">
        <f>G130*AN130</f>
        <v>0</v>
      </c>
      <c r="BH130" s="56">
        <f>G130*AO130</f>
        <v>0</v>
      </c>
      <c r="BI130" s="56">
        <f>G130*H130</f>
        <v>0</v>
      </c>
      <c r="BJ130" s="56"/>
      <c r="BK130" s="56"/>
      <c r="BV130" s="56">
        <v>21</v>
      </c>
    </row>
    <row r="131" spans="1:74" ht="15" customHeight="1" x14ac:dyDescent="0.25">
      <c r="A131" s="53"/>
      <c r="D131" s="52" t="s">
        <v>94</v>
      </c>
      <c r="E131" s="37" t="s">
        <v>769</v>
      </c>
      <c r="G131" s="21">
        <v>9.1690000000000005</v>
      </c>
      <c r="J131" s="48"/>
    </row>
    <row r="132" spans="1:74" ht="13.5" customHeight="1" x14ac:dyDescent="0.25">
      <c r="A132" s="10" t="s">
        <v>393</v>
      </c>
      <c r="B132" s="9" t="s">
        <v>1212</v>
      </c>
      <c r="C132" s="9" t="s">
        <v>544</v>
      </c>
      <c r="D132" s="76" t="s">
        <v>1052</v>
      </c>
      <c r="E132" s="77"/>
      <c r="F132" s="9" t="s">
        <v>517</v>
      </c>
      <c r="G132" s="56">
        <f>'Stavební rozpočet'!G648</f>
        <v>174.21100000000001</v>
      </c>
      <c r="H132" s="56">
        <f>'Stavební rozpočet'!H648</f>
        <v>0</v>
      </c>
      <c r="I132" s="56">
        <f>G132*H132</f>
        <v>0</v>
      </c>
      <c r="J132" s="54" t="s">
        <v>501</v>
      </c>
      <c r="Y132" s="56">
        <f>IF(AP132="5",BI132,0)</f>
        <v>0</v>
      </c>
      <c r="AA132" s="56">
        <f>IF(AP132="1",BG132,0)</f>
        <v>0</v>
      </c>
      <c r="AB132" s="56">
        <f>IF(AP132="1",BH132,0)</f>
        <v>0</v>
      </c>
      <c r="AC132" s="56">
        <f>IF(AP132="7",BG132,0)</f>
        <v>0</v>
      </c>
      <c r="AD132" s="56">
        <f>IF(AP132="7",BH132,0)</f>
        <v>0</v>
      </c>
      <c r="AE132" s="56">
        <f>IF(AP132="2",BG132,0)</f>
        <v>0</v>
      </c>
      <c r="AF132" s="56">
        <f>IF(AP132="2",BH132,0)</f>
        <v>0</v>
      </c>
      <c r="AG132" s="56">
        <f>IF(AP132="0",BI132,0)</f>
        <v>0</v>
      </c>
      <c r="AH132" s="30" t="s">
        <v>1212</v>
      </c>
      <c r="AI132" s="56">
        <f>IF(AM132=0,I132,0)</f>
        <v>0</v>
      </c>
      <c r="AJ132" s="56">
        <f>IF(AM132=15,I132,0)</f>
        <v>0</v>
      </c>
      <c r="AK132" s="56">
        <f>IF(AM132=21,I132,0)</f>
        <v>0</v>
      </c>
      <c r="AM132" s="56">
        <v>21</v>
      </c>
      <c r="AN132" s="56">
        <f>H132*0</f>
        <v>0</v>
      </c>
      <c r="AO132" s="56">
        <f>H132*(1-0)</f>
        <v>0</v>
      </c>
      <c r="AP132" s="41" t="s">
        <v>596</v>
      </c>
      <c r="AU132" s="56">
        <f>AV132+AW132</f>
        <v>0</v>
      </c>
      <c r="AV132" s="56">
        <f>G132*AN132</f>
        <v>0</v>
      </c>
      <c r="AW132" s="56">
        <f>G132*AO132</f>
        <v>0</v>
      </c>
      <c r="AX132" s="41" t="s">
        <v>465</v>
      </c>
      <c r="AY132" s="41" t="s">
        <v>495</v>
      </c>
      <c r="AZ132" s="30" t="s">
        <v>1193</v>
      </c>
      <c r="BB132" s="56">
        <f>AV132+AW132</f>
        <v>0</v>
      </c>
      <c r="BC132" s="56">
        <f>H132/(100-BD132)*100</f>
        <v>0</v>
      </c>
      <c r="BD132" s="56">
        <v>0</v>
      </c>
      <c r="BE132" s="56" t="e">
        <f>#REF!</f>
        <v>#REF!</v>
      </c>
      <c r="BG132" s="56">
        <f>G132*AN132</f>
        <v>0</v>
      </c>
      <c r="BH132" s="56">
        <f>G132*AO132</f>
        <v>0</v>
      </c>
      <c r="BI132" s="56">
        <f>G132*H132</f>
        <v>0</v>
      </c>
      <c r="BJ132" s="56"/>
      <c r="BK132" s="56"/>
      <c r="BV132" s="56">
        <v>21</v>
      </c>
    </row>
    <row r="133" spans="1:74" ht="15" customHeight="1" x14ac:dyDescent="0.25">
      <c r="A133" s="53"/>
      <c r="D133" s="52" t="s">
        <v>330</v>
      </c>
      <c r="E133" s="37" t="s">
        <v>446</v>
      </c>
      <c r="G133" s="21">
        <v>174.21100000000001</v>
      </c>
      <c r="J133" s="48"/>
    </row>
    <row r="134" spans="1:74" ht="13.5" customHeight="1" x14ac:dyDescent="0.25">
      <c r="A134" s="10" t="s">
        <v>886</v>
      </c>
      <c r="B134" s="9" t="s">
        <v>1212</v>
      </c>
      <c r="C134" s="9" t="s">
        <v>212</v>
      </c>
      <c r="D134" s="76" t="s">
        <v>675</v>
      </c>
      <c r="E134" s="77"/>
      <c r="F134" s="9" t="s">
        <v>517</v>
      </c>
      <c r="G134" s="56">
        <f>'Stavební rozpočet'!G650</f>
        <v>9.1690000000000005</v>
      </c>
      <c r="H134" s="56">
        <f>'Stavební rozpočet'!H650</f>
        <v>0</v>
      </c>
      <c r="I134" s="56">
        <f>G134*H134</f>
        <v>0</v>
      </c>
      <c r="J134" s="54" t="s">
        <v>501</v>
      </c>
      <c r="Y134" s="56">
        <f>IF(AP134="5",BI134,0)</f>
        <v>0</v>
      </c>
      <c r="AA134" s="56">
        <f>IF(AP134="1",BG134,0)</f>
        <v>0</v>
      </c>
      <c r="AB134" s="56">
        <f>IF(AP134="1",BH134,0)</f>
        <v>0</v>
      </c>
      <c r="AC134" s="56">
        <f>IF(AP134="7",BG134,0)</f>
        <v>0</v>
      </c>
      <c r="AD134" s="56">
        <f>IF(AP134="7",BH134,0)</f>
        <v>0</v>
      </c>
      <c r="AE134" s="56">
        <f>IF(AP134="2",BG134,0)</f>
        <v>0</v>
      </c>
      <c r="AF134" s="56">
        <f>IF(AP134="2",BH134,0)</f>
        <v>0</v>
      </c>
      <c r="AG134" s="56">
        <f>IF(AP134="0",BI134,0)</f>
        <v>0</v>
      </c>
      <c r="AH134" s="30" t="s">
        <v>1212</v>
      </c>
      <c r="AI134" s="56">
        <f>IF(AM134=0,I134,0)</f>
        <v>0</v>
      </c>
      <c r="AJ134" s="56">
        <f>IF(AM134=15,I134,0)</f>
        <v>0</v>
      </c>
      <c r="AK134" s="56">
        <f>IF(AM134=21,I134,0)</f>
        <v>0</v>
      </c>
      <c r="AM134" s="56">
        <v>21</v>
      </c>
      <c r="AN134" s="56">
        <f>H134*0</f>
        <v>0</v>
      </c>
      <c r="AO134" s="56">
        <f>H134*(1-0)</f>
        <v>0</v>
      </c>
      <c r="AP134" s="41" t="s">
        <v>596</v>
      </c>
      <c r="AU134" s="56">
        <f>AV134+AW134</f>
        <v>0</v>
      </c>
      <c r="AV134" s="56">
        <f>G134*AN134</f>
        <v>0</v>
      </c>
      <c r="AW134" s="56">
        <f>G134*AO134</f>
        <v>0</v>
      </c>
      <c r="AX134" s="41" t="s">
        <v>465</v>
      </c>
      <c r="AY134" s="41" t="s">
        <v>495</v>
      </c>
      <c r="AZ134" s="30" t="s">
        <v>1193</v>
      </c>
      <c r="BB134" s="56">
        <f>AV134+AW134</f>
        <v>0</v>
      </c>
      <c r="BC134" s="56">
        <f>H134/(100-BD134)*100</f>
        <v>0</v>
      </c>
      <c r="BD134" s="56">
        <v>0</v>
      </c>
      <c r="BE134" s="56" t="e">
        <f>#REF!</f>
        <v>#REF!</v>
      </c>
      <c r="BG134" s="56">
        <f>G134*AN134</f>
        <v>0</v>
      </c>
      <c r="BH134" s="56">
        <f>G134*AO134</f>
        <v>0</v>
      </c>
      <c r="BI134" s="56">
        <f>G134*H134</f>
        <v>0</v>
      </c>
      <c r="BJ134" s="56"/>
      <c r="BK134" s="56"/>
      <c r="BV134" s="56">
        <v>21</v>
      </c>
    </row>
    <row r="135" spans="1:74" ht="13.5" customHeight="1" x14ac:dyDescent="0.25">
      <c r="A135" s="10" t="s">
        <v>1139</v>
      </c>
      <c r="B135" s="9" t="s">
        <v>1212</v>
      </c>
      <c r="C135" s="9" t="s">
        <v>1115</v>
      </c>
      <c r="D135" s="76" t="s">
        <v>945</v>
      </c>
      <c r="E135" s="77"/>
      <c r="F135" s="9" t="s">
        <v>517</v>
      </c>
      <c r="G135" s="56">
        <f>'Stavební rozpočet'!G651</f>
        <v>9.0090000000000003</v>
      </c>
      <c r="H135" s="56">
        <f>'Stavební rozpočet'!H651</f>
        <v>0</v>
      </c>
      <c r="I135" s="56">
        <f>G135*H135</f>
        <v>0</v>
      </c>
      <c r="J135" s="54" t="s">
        <v>501</v>
      </c>
      <c r="Y135" s="56">
        <f>IF(AP135="5",BI135,0)</f>
        <v>0</v>
      </c>
      <c r="AA135" s="56">
        <f>IF(AP135="1",BG135,0)</f>
        <v>0</v>
      </c>
      <c r="AB135" s="56">
        <f>IF(AP135="1",BH135,0)</f>
        <v>0</v>
      </c>
      <c r="AC135" s="56">
        <f>IF(AP135="7",BG135,0)</f>
        <v>0</v>
      </c>
      <c r="AD135" s="56">
        <f>IF(AP135="7",BH135,0)</f>
        <v>0</v>
      </c>
      <c r="AE135" s="56">
        <f>IF(AP135="2",BG135,0)</f>
        <v>0</v>
      </c>
      <c r="AF135" s="56">
        <f>IF(AP135="2",BH135,0)</f>
        <v>0</v>
      </c>
      <c r="AG135" s="56">
        <f>IF(AP135="0",BI135,0)</f>
        <v>0</v>
      </c>
      <c r="AH135" s="30" t="s">
        <v>1212</v>
      </c>
      <c r="AI135" s="56">
        <f>IF(AM135=0,I135,0)</f>
        <v>0</v>
      </c>
      <c r="AJ135" s="56">
        <f>IF(AM135=15,I135,0)</f>
        <v>0</v>
      </c>
      <c r="AK135" s="56">
        <f>IF(AM135=21,I135,0)</f>
        <v>0</v>
      </c>
      <c r="AM135" s="56">
        <v>21</v>
      </c>
      <c r="AN135" s="56">
        <f>H135*0</f>
        <v>0</v>
      </c>
      <c r="AO135" s="56">
        <f>H135*(1-0)</f>
        <v>0</v>
      </c>
      <c r="AP135" s="41" t="s">
        <v>596</v>
      </c>
      <c r="AU135" s="56">
        <f>AV135+AW135</f>
        <v>0</v>
      </c>
      <c r="AV135" s="56">
        <f>G135*AN135</f>
        <v>0</v>
      </c>
      <c r="AW135" s="56">
        <f>G135*AO135</f>
        <v>0</v>
      </c>
      <c r="AX135" s="41" t="s">
        <v>465</v>
      </c>
      <c r="AY135" s="41" t="s">
        <v>495</v>
      </c>
      <c r="AZ135" s="30" t="s">
        <v>1193</v>
      </c>
      <c r="BB135" s="56">
        <f>AV135+AW135</f>
        <v>0</v>
      </c>
      <c r="BC135" s="56">
        <f>H135/(100-BD135)*100</f>
        <v>0</v>
      </c>
      <c r="BD135" s="56">
        <v>0</v>
      </c>
      <c r="BE135" s="56" t="e">
        <f>#REF!</f>
        <v>#REF!</v>
      </c>
      <c r="BG135" s="56">
        <f>G135*AN135</f>
        <v>0</v>
      </c>
      <c r="BH135" s="56">
        <f>G135*AO135</f>
        <v>0</v>
      </c>
      <c r="BI135" s="56">
        <f>G135*H135</f>
        <v>0</v>
      </c>
      <c r="BJ135" s="56"/>
      <c r="BK135" s="56"/>
      <c r="BV135" s="56">
        <v>21</v>
      </c>
    </row>
    <row r="136" spans="1:74" ht="13.5" customHeight="1" x14ac:dyDescent="0.25">
      <c r="A136" s="45" t="s">
        <v>88</v>
      </c>
      <c r="B136" s="22" t="s">
        <v>1212</v>
      </c>
      <c r="C136" s="22" t="s">
        <v>226</v>
      </c>
      <c r="D136" s="134" t="s">
        <v>53</v>
      </c>
      <c r="E136" s="106"/>
      <c r="F136" s="22" t="s">
        <v>517</v>
      </c>
      <c r="G136" s="12">
        <f>'Stavební rozpočet'!G652</f>
        <v>0.16</v>
      </c>
      <c r="H136" s="12">
        <f>'Stavební rozpočet'!H652</f>
        <v>0</v>
      </c>
      <c r="I136" s="12">
        <f>G136*H136</f>
        <v>0</v>
      </c>
      <c r="J136" s="33" t="s">
        <v>501</v>
      </c>
      <c r="Y136" s="56">
        <f>IF(AP136="5",BI136,0)</f>
        <v>0</v>
      </c>
      <c r="AA136" s="56">
        <f>IF(AP136="1",BG136,0)</f>
        <v>0</v>
      </c>
      <c r="AB136" s="56">
        <f>IF(AP136="1",BH136,0)</f>
        <v>0</v>
      </c>
      <c r="AC136" s="56">
        <f>IF(AP136="7",BG136,0)</f>
        <v>0</v>
      </c>
      <c r="AD136" s="56">
        <f>IF(AP136="7",BH136,0)</f>
        <v>0</v>
      </c>
      <c r="AE136" s="56">
        <f>IF(AP136="2",BG136,0)</f>
        <v>0</v>
      </c>
      <c r="AF136" s="56">
        <f>IF(AP136="2",BH136,0)</f>
        <v>0</v>
      </c>
      <c r="AG136" s="56">
        <f>IF(AP136="0",BI136,0)</f>
        <v>0</v>
      </c>
      <c r="AH136" s="30" t="s">
        <v>1212</v>
      </c>
      <c r="AI136" s="56">
        <f>IF(AM136=0,I136,0)</f>
        <v>0</v>
      </c>
      <c r="AJ136" s="56">
        <f>IF(AM136=15,I136,0)</f>
        <v>0</v>
      </c>
      <c r="AK136" s="56">
        <f>IF(AM136=21,I136,0)</f>
        <v>0</v>
      </c>
      <c r="AM136" s="56">
        <v>21</v>
      </c>
      <c r="AN136" s="56">
        <f>H136*0</f>
        <v>0</v>
      </c>
      <c r="AO136" s="56">
        <f>H136*(1-0)</f>
        <v>0</v>
      </c>
      <c r="AP136" s="41" t="s">
        <v>596</v>
      </c>
      <c r="AU136" s="56">
        <f>AV136+AW136</f>
        <v>0</v>
      </c>
      <c r="AV136" s="56">
        <f>G136*AN136</f>
        <v>0</v>
      </c>
      <c r="AW136" s="56">
        <f>G136*AO136</f>
        <v>0</v>
      </c>
      <c r="AX136" s="41" t="s">
        <v>465</v>
      </c>
      <c r="AY136" s="41" t="s">
        <v>495</v>
      </c>
      <c r="AZ136" s="30" t="s">
        <v>1193</v>
      </c>
      <c r="BB136" s="56">
        <f>AV136+AW136</f>
        <v>0</v>
      </c>
      <c r="BC136" s="56">
        <f>H136/(100-BD136)*100</f>
        <v>0</v>
      </c>
      <c r="BD136" s="56">
        <v>0</v>
      </c>
      <c r="BE136" s="56" t="e">
        <f>#REF!</f>
        <v>#REF!</v>
      </c>
      <c r="BG136" s="56">
        <f>G136*AN136</f>
        <v>0</v>
      </c>
      <c r="BH136" s="56">
        <f>G136*AO136</f>
        <v>0</v>
      </c>
      <c r="BI136" s="56">
        <f>G136*H136</f>
        <v>0</v>
      </c>
      <c r="BJ136" s="56"/>
      <c r="BK136" s="56"/>
      <c r="BV136" s="56">
        <v>21</v>
      </c>
    </row>
    <row r="137" spans="1:74" ht="15" customHeight="1" x14ac:dyDescent="0.25">
      <c r="I137" s="34">
        <f>ROUND(I13+I24+I30+I38+I45+I50+I71+I74+I81+I94+I102+I112+I117+I121+I127+I129,1)</f>
        <v>0</v>
      </c>
    </row>
    <row r="138" spans="1:74" ht="15" customHeight="1" x14ac:dyDescent="0.25">
      <c r="A138" s="46" t="s">
        <v>101</v>
      </c>
    </row>
    <row r="139" spans="1:74" ht="12.75" customHeight="1" x14ac:dyDescent="0.25">
      <c r="A139" s="76" t="s">
        <v>769</v>
      </c>
      <c r="B139" s="77"/>
      <c r="C139" s="77"/>
      <c r="D139" s="77"/>
      <c r="E139" s="77"/>
      <c r="F139" s="77"/>
      <c r="G139" s="77"/>
      <c r="H139" s="77"/>
      <c r="I139" s="77"/>
      <c r="J139" s="77"/>
    </row>
  </sheetData>
  <mergeCells count="97">
    <mergeCell ref="A8:C9"/>
    <mergeCell ref="F2:G3"/>
    <mergeCell ref="F4:G5"/>
    <mergeCell ref="F6:G7"/>
    <mergeCell ref="F8:G9"/>
    <mergeCell ref="H6:H7"/>
    <mergeCell ref="A1:J1"/>
    <mergeCell ref="A2:C3"/>
    <mergeCell ref="A4:C5"/>
    <mergeCell ref="A6:C7"/>
    <mergeCell ref="I2:I3"/>
    <mergeCell ref="D20:E20"/>
    <mergeCell ref="H8:H9"/>
    <mergeCell ref="J2:J3"/>
    <mergeCell ref="J4:J5"/>
    <mergeCell ref="J6:J7"/>
    <mergeCell ref="J8:J9"/>
    <mergeCell ref="D10:E10"/>
    <mergeCell ref="I4:I5"/>
    <mergeCell ref="I6:I7"/>
    <mergeCell ref="I8:I9"/>
    <mergeCell ref="D2:E3"/>
    <mergeCell ref="D4:E5"/>
    <mergeCell ref="D6:E7"/>
    <mergeCell ref="D8:E9"/>
    <mergeCell ref="H2:H3"/>
    <mergeCell ref="H4:H5"/>
    <mergeCell ref="D11:E11"/>
    <mergeCell ref="D12:E12"/>
    <mergeCell ref="D13:E13"/>
    <mergeCell ref="D14:E14"/>
    <mergeCell ref="D19:E19"/>
    <mergeCell ref="D45:E45"/>
    <mergeCell ref="D21:E21"/>
    <mergeCell ref="D22:E22"/>
    <mergeCell ref="D24:E24"/>
    <mergeCell ref="D25:E25"/>
    <mergeCell ref="D28:E28"/>
    <mergeCell ref="D30:E30"/>
    <mergeCell ref="D31:E31"/>
    <mergeCell ref="D36:E36"/>
    <mergeCell ref="D38:E38"/>
    <mergeCell ref="D39:E39"/>
    <mergeCell ref="D44:E44"/>
    <mergeCell ref="D72:E72"/>
    <mergeCell ref="D46:E46"/>
    <mergeCell ref="D48:E48"/>
    <mergeCell ref="D50:E50"/>
    <mergeCell ref="D51:E51"/>
    <mergeCell ref="D52:E52"/>
    <mergeCell ref="D53:E53"/>
    <mergeCell ref="D58:E58"/>
    <mergeCell ref="D60:E60"/>
    <mergeCell ref="D61:J61"/>
    <mergeCell ref="D66:E66"/>
    <mergeCell ref="D71:E71"/>
    <mergeCell ref="D96:E96"/>
    <mergeCell ref="D73:E73"/>
    <mergeCell ref="D74:E74"/>
    <mergeCell ref="D75:E75"/>
    <mergeCell ref="D76:J76"/>
    <mergeCell ref="D81:E81"/>
    <mergeCell ref="D82:E82"/>
    <mergeCell ref="D83:J83"/>
    <mergeCell ref="D88:E88"/>
    <mergeCell ref="D89:J89"/>
    <mergeCell ref="D94:E94"/>
    <mergeCell ref="D95:E95"/>
    <mergeCell ref="D113:E113"/>
    <mergeCell ref="D97:E97"/>
    <mergeCell ref="D99:E99"/>
    <mergeCell ref="D100:E100"/>
    <mergeCell ref="D102:E102"/>
    <mergeCell ref="D103:E103"/>
    <mergeCell ref="D104:E104"/>
    <mergeCell ref="D106:E106"/>
    <mergeCell ref="D107:E107"/>
    <mergeCell ref="D109:E109"/>
    <mergeCell ref="D110:E110"/>
    <mergeCell ref="D112:E112"/>
    <mergeCell ref="D130:E130"/>
    <mergeCell ref="D115:E115"/>
    <mergeCell ref="D117:E117"/>
    <mergeCell ref="D118:E118"/>
    <mergeCell ref="D119:E119"/>
    <mergeCell ref="D121:E121"/>
    <mergeCell ref="D122:E122"/>
    <mergeCell ref="D125:E125"/>
    <mergeCell ref="D126:E126"/>
    <mergeCell ref="D127:E127"/>
    <mergeCell ref="D128:E128"/>
    <mergeCell ref="D129:E129"/>
    <mergeCell ref="D132:E132"/>
    <mergeCell ref="D134:E134"/>
    <mergeCell ref="D135:E135"/>
    <mergeCell ref="D136:E136"/>
    <mergeCell ref="A139:J139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I35"/>
  <sheetViews>
    <sheetView showOutlineSymbols="0" workbookViewId="0">
      <selection activeCell="F6" sqref="F6:G7"/>
    </sheetView>
  </sheetViews>
  <sheetFormatPr defaultColWidth="14.1640625" defaultRowHeight="15" customHeight="1" x14ac:dyDescent="0.25"/>
  <cols>
    <col min="1" max="1" width="10.6640625"/>
    <col min="2" max="2" width="15"/>
    <col min="3" max="3" width="31.6640625"/>
    <col min="4" max="4" width="11.6640625"/>
    <col min="5" max="5" width="16.33203125"/>
    <col min="6" max="6" width="31.6640625"/>
    <col min="7" max="7" width="10.6640625"/>
    <col min="8" max="8" width="15"/>
    <col min="9" max="9" width="31.6640625"/>
  </cols>
  <sheetData>
    <row r="1" spans="1:9" ht="54.75" customHeight="1" x14ac:dyDescent="0.25">
      <c r="A1" s="110" t="s">
        <v>938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/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/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/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/>
      <c r="G8" s="77"/>
      <c r="H8" s="77" t="s">
        <v>1122</v>
      </c>
      <c r="I8" s="100">
        <v>25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/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2" spans="1:9" ht="22.5" customHeight="1" x14ac:dyDescent="0.25">
      <c r="A12" s="103" t="s">
        <v>178</v>
      </c>
      <c r="B12" s="103"/>
      <c r="C12" s="103"/>
      <c r="D12" s="103"/>
      <c r="E12" s="103"/>
      <c r="F12" s="103"/>
      <c r="G12" s="103"/>
      <c r="H12" s="103"/>
      <c r="I12" s="103"/>
    </row>
    <row r="13" spans="1:9" ht="26.25" customHeight="1" x14ac:dyDescent="0.25">
      <c r="A13" s="2" t="s">
        <v>993</v>
      </c>
      <c r="B13" s="93" t="s">
        <v>137</v>
      </c>
      <c r="C13" s="94"/>
      <c r="D13" s="51" t="s">
        <v>192</v>
      </c>
      <c r="E13" s="93" t="s">
        <v>406</v>
      </c>
      <c r="F13" s="94"/>
      <c r="G13" s="51" t="s">
        <v>710</v>
      </c>
      <c r="H13" s="93" t="s">
        <v>195</v>
      </c>
      <c r="I13" s="94"/>
    </row>
    <row r="14" spans="1:9" ht="15" customHeight="1" x14ac:dyDescent="0.25">
      <c r="A14" s="61" t="s">
        <v>417</v>
      </c>
      <c r="B14" s="3" t="s">
        <v>280</v>
      </c>
      <c r="C14" s="60">
        <f>SUM('Stavební rozpočet (SO 04)'!AA12:AA720)</f>
        <v>0</v>
      </c>
      <c r="D14" s="85" t="s">
        <v>791</v>
      </c>
      <c r="E14" s="86"/>
      <c r="F14" s="60">
        <f>'VORN objektu (SO 04)'!I15</f>
        <v>0</v>
      </c>
      <c r="G14" s="85" t="s">
        <v>118</v>
      </c>
      <c r="H14" s="86"/>
      <c r="I14" s="36">
        <f>'VORN objektu (SO 04)'!I21</f>
        <v>0</v>
      </c>
    </row>
    <row r="15" spans="1:9" ht="15" customHeight="1" x14ac:dyDescent="0.25">
      <c r="A15" s="59" t="s">
        <v>769</v>
      </c>
      <c r="B15" s="3" t="s">
        <v>201</v>
      </c>
      <c r="C15" s="60">
        <f>SUM('Stavební rozpočet (SO 04)'!AB12:AB720)</f>
        <v>0</v>
      </c>
      <c r="D15" s="85" t="s">
        <v>113</v>
      </c>
      <c r="E15" s="86"/>
      <c r="F15" s="60">
        <f>'VORN objektu (SO 04)'!I16</f>
        <v>0</v>
      </c>
      <c r="G15" s="85" t="s">
        <v>878</v>
      </c>
      <c r="H15" s="86"/>
      <c r="I15" s="36">
        <f>'VORN objektu (SO 04)'!I22</f>
        <v>0</v>
      </c>
    </row>
    <row r="16" spans="1:9" ht="15" customHeight="1" x14ac:dyDescent="0.25">
      <c r="A16" s="61" t="s">
        <v>110</v>
      </c>
      <c r="B16" s="3" t="s">
        <v>280</v>
      </c>
      <c r="C16" s="60">
        <f>SUM('Stavební rozpočet (SO 04)'!AC12:AC720)</f>
        <v>0</v>
      </c>
      <c r="D16" s="85" t="s">
        <v>819</v>
      </c>
      <c r="E16" s="86"/>
      <c r="F16" s="60">
        <f>'VORN objektu (SO 04)'!I17</f>
        <v>0</v>
      </c>
      <c r="G16" s="85" t="s">
        <v>1076</v>
      </c>
      <c r="H16" s="86"/>
      <c r="I16" s="36">
        <f>'VORN objektu (SO 04)'!I23</f>
        <v>0</v>
      </c>
    </row>
    <row r="17" spans="1:9" ht="15" customHeight="1" x14ac:dyDescent="0.25">
      <c r="A17" s="59" t="s">
        <v>769</v>
      </c>
      <c r="B17" s="3" t="s">
        <v>201</v>
      </c>
      <c r="C17" s="60">
        <f>SUM('Stavební rozpočet (SO 04)'!AD12:AD720)</f>
        <v>0</v>
      </c>
      <c r="D17" s="85" t="s">
        <v>769</v>
      </c>
      <c r="E17" s="86"/>
      <c r="F17" s="36" t="s">
        <v>769</v>
      </c>
      <c r="G17" s="85" t="s">
        <v>595</v>
      </c>
      <c r="H17" s="86"/>
      <c r="I17" s="36">
        <f>'VORN objektu (SO 04)'!I24</f>
        <v>0</v>
      </c>
    </row>
    <row r="18" spans="1:9" ht="15" customHeight="1" x14ac:dyDescent="0.25">
      <c r="A18" s="61" t="s">
        <v>340</v>
      </c>
      <c r="B18" s="3" t="s">
        <v>280</v>
      </c>
      <c r="C18" s="60">
        <f>SUM('Stavební rozpočet (SO 04)'!AE12:AE720)</f>
        <v>0</v>
      </c>
      <c r="D18" s="85" t="s">
        <v>769</v>
      </c>
      <c r="E18" s="86"/>
      <c r="F18" s="36" t="s">
        <v>769</v>
      </c>
      <c r="G18" s="85" t="s">
        <v>722</v>
      </c>
      <c r="H18" s="86"/>
      <c r="I18" s="36">
        <f>'VORN objektu (SO 04)'!I25</f>
        <v>0</v>
      </c>
    </row>
    <row r="19" spans="1:9" ht="15" customHeight="1" x14ac:dyDescent="0.25">
      <c r="A19" s="59" t="s">
        <v>769</v>
      </c>
      <c r="B19" s="3" t="s">
        <v>201</v>
      </c>
      <c r="C19" s="60">
        <f>SUM('Stavební rozpočet (SO 04)'!AF12:AF720)</f>
        <v>0</v>
      </c>
      <c r="D19" s="85" t="s">
        <v>769</v>
      </c>
      <c r="E19" s="86"/>
      <c r="F19" s="36" t="s">
        <v>769</v>
      </c>
      <c r="G19" s="85" t="s">
        <v>1105</v>
      </c>
      <c r="H19" s="86"/>
      <c r="I19" s="36">
        <f>'VORN objektu (SO 04)'!I26</f>
        <v>0</v>
      </c>
    </row>
    <row r="20" spans="1:9" ht="15" customHeight="1" x14ac:dyDescent="0.25">
      <c r="A20" s="92" t="s">
        <v>87</v>
      </c>
      <c r="B20" s="91"/>
      <c r="C20" s="60">
        <f>SUM('Stavební rozpočet (SO 04)'!AG12:AG720)</f>
        <v>0</v>
      </c>
      <c r="D20" s="85" t="s">
        <v>769</v>
      </c>
      <c r="E20" s="86"/>
      <c r="F20" s="36" t="s">
        <v>769</v>
      </c>
      <c r="G20" s="85" t="s">
        <v>769</v>
      </c>
      <c r="H20" s="86"/>
      <c r="I20" s="36" t="s">
        <v>769</v>
      </c>
    </row>
    <row r="21" spans="1:9" ht="15" customHeight="1" x14ac:dyDescent="0.25">
      <c r="A21" s="95" t="s">
        <v>1104</v>
      </c>
      <c r="B21" s="96"/>
      <c r="C21" s="38">
        <f>SUM('Stavební rozpočet (SO 04)'!Y12:Y720)</f>
        <v>0</v>
      </c>
      <c r="D21" s="72" t="s">
        <v>769</v>
      </c>
      <c r="E21" s="87"/>
      <c r="F21" s="29" t="s">
        <v>769</v>
      </c>
      <c r="G21" s="72" t="s">
        <v>769</v>
      </c>
      <c r="H21" s="87"/>
      <c r="I21" s="29" t="s">
        <v>769</v>
      </c>
    </row>
    <row r="22" spans="1:9" ht="16.5" customHeight="1" x14ac:dyDescent="0.25">
      <c r="A22" s="97" t="s">
        <v>208</v>
      </c>
      <c r="B22" s="89"/>
      <c r="C22" s="42">
        <f>ROUND(SUM(C14:C21),1)</f>
        <v>0</v>
      </c>
      <c r="D22" s="88" t="s">
        <v>580</v>
      </c>
      <c r="E22" s="89"/>
      <c r="F22" s="42">
        <f>SUM(F14:F21)</f>
        <v>0</v>
      </c>
      <c r="G22" s="88" t="s">
        <v>1124</v>
      </c>
      <c r="H22" s="89"/>
      <c r="I22" s="42">
        <f>SUM(I14:I21)</f>
        <v>0</v>
      </c>
    </row>
    <row r="23" spans="1:9" ht="15" customHeight="1" x14ac:dyDescent="0.25">
      <c r="G23" s="92" t="s">
        <v>672</v>
      </c>
      <c r="H23" s="91"/>
      <c r="I23" s="60">
        <f>'VORN objektu (SO 04)'!I45</f>
        <v>0</v>
      </c>
    </row>
    <row r="25" spans="1:9" ht="15" customHeight="1" x14ac:dyDescent="0.25">
      <c r="A25" s="81" t="s">
        <v>457</v>
      </c>
      <c r="B25" s="82"/>
      <c r="C25" s="62">
        <f>ROUND(SUM('Stavební rozpočet (SO 04)'!AI12:AI720),1)</f>
        <v>0</v>
      </c>
    </row>
    <row r="26" spans="1:9" ht="15" customHeight="1" x14ac:dyDescent="0.25">
      <c r="A26" s="83" t="s">
        <v>30</v>
      </c>
      <c r="B26" s="84"/>
      <c r="C26" s="6">
        <f>ROUND(SUM('Stavební rozpočet (SO 04)'!AJ12:AJ720),1)</f>
        <v>0</v>
      </c>
      <c r="D26" s="82" t="s">
        <v>239</v>
      </c>
      <c r="E26" s="82"/>
      <c r="F26" s="62">
        <f>ROUND(C26*(15/100),2)</f>
        <v>0</v>
      </c>
      <c r="G26" s="82" t="s">
        <v>156</v>
      </c>
      <c r="H26" s="82"/>
      <c r="I26" s="62">
        <f>ROUND(SUM(C25:C27),1)</f>
        <v>0</v>
      </c>
    </row>
    <row r="27" spans="1:9" ht="15" customHeight="1" x14ac:dyDescent="0.25">
      <c r="A27" s="83" t="s">
        <v>59</v>
      </c>
      <c r="B27" s="84"/>
      <c r="C27" s="6">
        <f>ROUND(SUM('Stavební rozpočet (SO 04)'!AK12:AK720),1)</f>
        <v>0</v>
      </c>
      <c r="D27" s="84" t="s">
        <v>826</v>
      </c>
      <c r="E27" s="84"/>
      <c r="F27" s="6">
        <f>ROUND(C27*(21/100),2)</f>
        <v>0</v>
      </c>
      <c r="G27" s="84" t="s">
        <v>452</v>
      </c>
      <c r="H27" s="84"/>
      <c r="I27" s="6">
        <f>ROUND(SUM(F26:F27)+I26,1)</f>
        <v>0</v>
      </c>
    </row>
    <row r="29" spans="1:9" ht="15" customHeight="1" x14ac:dyDescent="0.25">
      <c r="A29" s="78" t="s">
        <v>16</v>
      </c>
      <c r="B29" s="70"/>
      <c r="C29" s="71"/>
      <c r="D29" s="70" t="s">
        <v>1057</v>
      </c>
      <c r="E29" s="70"/>
      <c r="F29" s="71"/>
      <c r="G29" s="70" t="s">
        <v>755</v>
      </c>
      <c r="H29" s="70"/>
      <c r="I29" s="71"/>
    </row>
    <row r="30" spans="1:9" ht="15" customHeight="1" x14ac:dyDescent="0.25">
      <c r="A30" s="79" t="s">
        <v>769</v>
      </c>
      <c r="B30" s="72"/>
      <c r="C30" s="73"/>
      <c r="D30" s="72" t="s">
        <v>769</v>
      </c>
      <c r="E30" s="72"/>
      <c r="F30" s="73"/>
      <c r="G30" s="72" t="s">
        <v>769</v>
      </c>
      <c r="H30" s="72"/>
      <c r="I30" s="73"/>
    </row>
    <row r="31" spans="1:9" ht="15" customHeight="1" x14ac:dyDescent="0.25">
      <c r="A31" s="79" t="s">
        <v>769</v>
      </c>
      <c r="B31" s="72"/>
      <c r="C31" s="73"/>
      <c r="D31" s="72" t="s">
        <v>769</v>
      </c>
      <c r="E31" s="72"/>
      <c r="F31" s="73"/>
      <c r="G31" s="72" t="s">
        <v>769</v>
      </c>
      <c r="H31" s="72"/>
      <c r="I31" s="73"/>
    </row>
    <row r="32" spans="1:9" ht="15" customHeight="1" x14ac:dyDescent="0.25">
      <c r="A32" s="79" t="s">
        <v>769</v>
      </c>
      <c r="B32" s="72"/>
      <c r="C32" s="73"/>
      <c r="D32" s="72" t="s">
        <v>769</v>
      </c>
      <c r="E32" s="72"/>
      <c r="F32" s="73"/>
      <c r="G32" s="72" t="s">
        <v>769</v>
      </c>
      <c r="H32" s="72"/>
      <c r="I32" s="73"/>
    </row>
    <row r="33" spans="1:9" ht="15" customHeight="1" x14ac:dyDescent="0.25">
      <c r="A33" s="80" t="s">
        <v>207</v>
      </c>
      <c r="B33" s="74"/>
      <c r="C33" s="75"/>
      <c r="D33" s="74" t="s">
        <v>207</v>
      </c>
      <c r="E33" s="74"/>
      <c r="F33" s="75"/>
      <c r="G33" s="74" t="s">
        <v>207</v>
      </c>
      <c r="H33" s="74"/>
      <c r="I33" s="75"/>
    </row>
    <row r="34" spans="1:9" ht="15" customHeight="1" x14ac:dyDescent="0.25">
      <c r="A34" s="46" t="s">
        <v>101</v>
      </c>
    </row>
    <row r="35" spans="1:9" ht="12.75" customHeight="1" x14ac:dyDescent="0.25">
      <c r="A35" s="76" t="s">
        <v>769</v>
      </c>
      <c r="B35" s="77"/>
      <c r="C35" s="77"/>
      <c r="D35" s="77"/>
      <c r="E35" s="77"/>
      <c r="F35" s="77"/>
      <c r="G35" s="77"/>
      <c r="H35" s="77"/>
      <c r="I35" s="77"/>
    </row>
  </sheetData>
  <mergeCells count="80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I2:I3"/>
    <mergeCell ref="I4:I5"/>
    <mergeCell ref="I6:I7"/>
    <mergeCell ref="I8:I9"/>
    <mergeCell ref="I10:I11"/>
    <mergeCell ref="B13:C13"/>
    <mergeCell ref="E13:F13"/>
    <mergeCell ref="H13:I13"/>
    <mergeCell ref="A20:B20"/>
    <mergeCell ref="A21:B21"/>
    <mergeCell ref="D14:E14"/>
    <mergeCell ref="D15:E15"/>
    <mergeCell ref="D16:E16"/>
    <mergeCell ref="D17:E17"/>
    <mergeCell ref="G14:H14"/>
    <mergeCell ref="G15:H15"/>
    <mergeCell ref="G16:H16"/>
    <mergeCell ref="G17:H17"/>
    <mergeCell ref="G18:H18"/>
    <mergeCell ref="A25:B25"/>
    <mergeCell ref="D18:E18"/>
    <mergeCell ref="D19:E19"/>
    <mergeCell ref="D20:E20"/>
    <mergeCell ref="D21:E21"/>
    <mergeCell ref="D22:E22"/>
    <mergeCell ref="A22:B22"/>
    <mergeCell ref="G19:H19"/>
    <mergeCell ref="G20:H20"/>
    <mergeCell ref="G21:H21"/>
    <mergeCell ref="G22:H22"/>
    <mergeCell ref="G23:H23"/>
    <mergeCell ref="A26:B26"/>
    <mergeCell ref="A27:B27"/>
    <mergeCell ref="D26:E26"/>
    <mergeCell ref="D27:E27"/>
    <mergeCell ref="G26:H26"/>
    <mergeCell ref="G27:H27"/>
    <mergeCell ref="A35:I35"/>
    <mergeCell ref="A29:C29"/>
    <mergeCell ref="A30:C30"/>
    <mergeCell ref="A31:C31"/>
    <mergeCell ref="A32:C32"/>
    <mergeCell ref="A33:C33"/>
    <mergeCell ref="D29:F29"/>
    <mergeCell ref="D30:F30"/>
    <mergeCell ref="D31:F31"/>
    <mergeCell ref="D32:F32"/>
    <mergeCell ref="D33:F33"/>
    <mergeCell ref="G29:I29"/>
    <mergeCell ref="G30:I30"/>
    <mergeCell ref="G31:I31"/>
    <mergeCell ref="G32:I32"/>
    <mergeCell ref="G33:I33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I45"/>
  <sheetViews>
    <sheetView showOutlineSymbols="0" workbookViewId="0">
      <selection activeCell="A45" sqref="A45:E45"/>
    </sheetView>
  </sheetViews>
  <sheetFormatPr defaultColWidth="14.1640625" defaultRowHeight="15" customHeight="1" x14ac:dyDescent="0.25"/>
  <cols>
    <col min="1" max="1" width="10.6640625"/>
    <col min="2" max="2" width="15"/>
    <col min="3" max="3" width="26.6640625"/>
    <col min="4" max="4" width="11.6640625"/>
    <col min="5" max="5" width="16.33203125"/>
    <col min="6" max="6" width="26.6640625"/>
    <col min="7" max="7" width="10.6640625"/>
    <col min="8" max="8" width="20"/>
    <col min="9" max="9" width="26.6640625"/>
  </cols>
  <sheetData>
    <row r="1" spans="1:9" ht="54.75" customHeight="1" x14ac:dyDescent="0.25">
      <c r="A1" s="110" t="s">
        <v>29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 t="e">
        <f>'Stavební rozpočet'!#REF!</f>
        <v>#REF!</v>
      </c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 t="e">
        <f>'Stavební rozpočet'!#REF!</f>
        <v>#REF!</v>
      </c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 t="e">
        <f>'Stavební rozpočet'!#REF!</f>
        <v>#REF!</v>
      </c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 t="str">
        <f>'Stavební rozpočet'!H6</f>
        <v xml:space="preserve"> </v>
      </c>
      <c r="G8" s="77"/>
      <c r="H8" s="77" t="s">
        <v>1122</v>
      </c>
      <c r="I8" s="100">
        <v>25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 t="e">
        <f>'Stavební rozpočet'!#REF!</f>
        <v>#REF!</v>
      </c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3" spans="1:9" ht="15.75" customHeight="1" x14ac:dyDescent="0.25">
      <c r="A13" s="125" t="s">
        <v>419</v>
      </c>
      <c r="B13" s="125"/>
      <c r="C13" s="125"/>
      <c r="D13" s="125"/>
      <c r="E13" s="125"/>
    </row>
    <row r="14" spans="1:9" ht="15" customHeight="1" x14ac:dyDescent="0.25">
      <c r="A14" s="126" t="s">
        <v>1233</v>
      </c>
      <c r="B14" s="127"/>
      <c r="C14" s="127"/>
      <c r="D14" s="127"/>
      <c r="E14" s="128"/>
      <c r="F14" s="67" t="s">
        <v>1144</v>
      </c>
      <c r="G14" s="67" t="s">
        <v>972</v>
      </c>
      <c r="H14" s="67" t="s">
        <v>272</v>
      </c>
      <c r="I14" s="67" t="s">
        <v>1144</v>
      </c>
    </row>
    <row r="15" spans="1:9" ht="15" customHeight="1" x14ac:dyDescent="0.25">
      <c r="A15" s="115" t="s">
        <v>791</v>
      </c>
      <c r="B15" s="106"/>
      <c r="C15" s="106"/>
      <c r="D15" s="106"/>
      <c r="E15" s="102"/>
      <c r="F15" s="16">
        <v>0</v>
      </c>
      <c r="G15" s="43" t="s">
        <v>769</v>
      </c>
      <c r="H15" s="43" t="s">
        <v>769</v>
      </c>
      <c r="I15" s="16">
        <f>F15</f>
        <v>0</v>
      </c>
    </row>
    <row r="16" spans="1:9" ht="15" customHeight="1" x14ac:dyDescent="0.25">
      <c r="A16" s="115" t="s">
        <v>113</v>
      </c>
      <c r="B16" s="106"/>
      <c r="C16" s="106"/>
      <c r="D16" s="106"/>
      <c r="E16" s="102"/>
      <c r="F16" s="16">
        <v>0</v>
      </c>
      <c r="G16" s="43" t="s">
        <v>769</v>
      </c>
      <c r="H16" s="43" t="s">
        <v>769</v>
      </c>
      <c r="I16" s="16">
        <f>F16</f>
        <v>0</v>
      </c>
    </row>
    <row r="17" spans="1:9" ht="15" customHeight="1" x14ac:dyDescent="0.25">
      <c r="A17" s="113" t="s">
        <v>819</v>
      </c>
      <c r="B17" s="77"/>
      <c r="C17" s="77"/>
      <c r="D17" s="77"/>
      <c r="E17" s="99"/>
      <c r="F17" s="32">
        <v>0</v>
      </c>
      <c r="G17" s="18" t="s">
        <v>769</v>
      </c>
      <c r="H17" s="18" t="s">
        <v>769</v>
      </c>
      <c r="I17" s="32">
        <f>F17</f>
        <v>0</v>
      </c>
    </row>
    <row r="18" spans="1:9" ht="15" customHeight="1" x14ac:dyDescent="0.25">
      <c r="A18" s="116" t="s">
        <v>1184</v>
      </c>
      <c r="B18" s="117"/>
      <c r="C18" s="117"/>
      <c r="D18" s="117"/>
      <c r="E18" s="118"/>
      <c r="F18" s="5" t="s">
        <v>769</v>
      </c>
      <c r="G18" s="26" t="s">
        <v>769</v>
      </c>
      <c r="H18" s="26" t="s">
        <v>769</v>
      </c>
      <c r="I18" s="25">
        <f>SUM(I15:I17)</f>
        <v>0</v>
      </c>
    </row>
    <row r="20" spans="1:9" ht="15" customHeight="1" x14ac:dyDescent="0.25">
      <c r="A20" s="126" t="s">
        <v>195</v>
      </c>
      <c r="B20" s="127"/>
      <c r="C20" s="127"/>
      <c r="D20" s="127"/>
      <c r="E20" s="128"/>
      <c r="F20" s="67" t="s">
        <v>1144</v>
      </c>
      <c r="G20" s="67" t="s">
        <v>972</v>
      </c>
      <c r="H20" s="67" t="s">
        <v>272</v>
      </c>
      <c r="I20" s="67" t="s">
        <v>1144</v>
      </c>
    </row>
    <row r="21" spans="1:9" ht="15" customHeight="1" x14ac:dyDescent="0.25">
      <c r="A21" s="115" t="s">
        <v>118</v>
      </c>
      <c r="B21" s="106"/>
      <c r="C21" s="106"/>
      <c r="D21" s="106"/>
      <c r="E21" s="102"/>
      <c r="F21" s="16">
        <v>0</v>
      </c>
      <c r="G21" s="43" t="s">
        <v>769</v>
      </c>
      <c r="H21" s="43" t="s">
        <v>769</v>
      </c>
      <c r="I21" s="16">
        <f t="shared" ref="I21:I26" si="0">F21</f>
        <v>0</v>
      </c>
    </row>
    <row r="22" spans="1:9" ht="15" customHeight="1" x14ac:dyDescent="0.25">
      <c r="A22" s="115" t="s">
        <v>878</v>
      </c>
      <c r="B22" s="106"/>
      <c r="C22" s="106"/>
      <c r="D22" s="106"/>
      <c r="E22" s="102"/>
      <c r="F22" s="16">
        <v>0</v>
      </c>
      <c r="G22" s="43" t="s">
        <v>769</v>
      </c>
      <c r="H22" s="43" t="s">
        <v>769</v>
      </c>
      <c r="I22" s="16">
        <f t="shared" si="0"/>
        <v>0</v>
      </c>
    </row>
    <row r="23" spans="1:9" ht="15" customHeight="1" x14ac:dyDescent="0.25">
      <c r="A23" s="115" t="s">
        <v>1076</v>
      </c>
      <c r="B23" s="106"/>
      <c r="C23" s="106"/>
      <c r="D23" s="106"/>
      <c r="E23" s="102"/>
      <c r="F23" s="16">
        <v>0</v>
      </c>
      <c r="G23" s="43" t="s">
        <v>769</v>
      </c>
      <c r="H23" s="43" t="s">
        <v>769</v>
      </c>
      <c r="I23" s="16">
        <f t="shared" si="0"/>
        <v>0</v>
      </c>
    </row>
    <row r="24" spans="1:9" ht="15" customHeight="1" x14ac:dyDescent="0.25">
      <c r="A24" s="115" t="s">
        <v>595</v>
      </c>
      <c r="B24" s="106"/>
      <c r="C24" s="106"/>
      <c r="D24" s="106"/>
      <c r="E24" s="102"/>
      <c r="F24" s="16">
        <v>0</v>
      </c>
      <c r="G24" s="43" t="s">
        <v>769</v>
      </c>
      <c r="H24" s="43" t="s">
        <v>769</v>
      </c>
      <c r="I24" s="16">
        <f t="shared" si="0"/>
        <v>0</v>
      </c>
    </row>
    <row r="25" spans="1:9" ht="15" customHeight="1" x14ac:dyDescent="0.25">
      <c r="A25" s="115" t="s">
        <v>722</v>
      </c>
      <c r="B25" s="106"/>
      <c r="C25" s="106"/>
      <c r="D25" s="106"/>
      <c r="E25" s="102"/>
      <c r="F25" s="16">
        <v>0</v>
      </c>
      <c r="G25" s="43" t="s">
        <v>769</v>
      </c>
      <c r="H25" s="43" t="s">
        <v>769</v>
      </c>
      <c r="I25" s="16">
        <f t="shared" si="0"/>
        <v>0</v>
      </c>
    </row>
    <row r="26" spans="1:9" ht="15" customHeight="1" x14ac:dyDescent="0.25">
      <c r="A26" s="113" t="s">
        <v>1105</v>
      </c>
      <c r="B26" s="77"/>
      <c r="C26" s="77"/>
      <c r="D26" s="77"/>
      <c r="E26" s="99"/>
      <c r="F26" s="32">
        <v>0</v>
      </c>
      <c r="G26" s="18" t="s">
        <v>769</v>
      </c>
      <c r="H26" s="18" t="s">
        <v>769</v>
      </c>
      <c r="I26" s="32">
        <f t="shared" si="0"/>
        <v>0</v>
      </c>
    </row>
    <row r="27" spans="1:9" ht="15" customHeight="1" x14ac:dyDescent="0.25">
      <c r="A27" s="116" t="s">
        <v>453</v>
      </c>
      <c r="B27" s="117"/>
      <c r="C27" s="117"/>
      <c r="D27" s="117"/>
      <c r="E27" s="118"/>
      <c r="F27" s="5" t="s">
        <v>769</v>
      </c>
      <c r="G27" s="26" t="s">
        <v>769</v>
      </c>
      <c r="H27" s="26" t="s">
        <v>769</v>
      </c>
      <c r="I27" s="25">
        <f>SUM(I21:I26)</f>
        <v>0</v>
      </c>
    </row>
    <row r="29" spans="1:9" ht="15.75" customHeight="1" x14ac:dyDescent="0.25">
      <c r="A29" s="119" t="s">
        <v>1153</v>
      </c>
      <c r="B29" s="120"/>
      <c r="C29" s="120"/>
      <c r="D29" s="120"/>
      <c r="E29" s="121"/>
      <c r="F29" s="122">
        <f>I18+I27</f>
        <v>0</v>
      </c>
      <c r="G29" s="123"/>
      <c r="H29" s="123"/>
      <c r="I29" s="124"/>
    </row>
    <row r="33" spans="1:9" ht="15.75" customHeight="1" x14ac:dyDescent="0.25">
      <c r="A33" s="125" t="s">
        <v>36</v>
      </c>
      <c r="B33" s="125"/>
      <c r="C33" s="125"/>
      <c r="D33" s="125"/>
      <c r="E33" s="125"/>
    </row>
    <row r="34" spans="1:9" ht="15" customHeight="1" x14ac:dyDescent="0.25">
      <c r="A34" s="126" t="s">
        <v>22</v>
      </c>
      <c r="B34" s="127"/>
      <c r="C34" s="127"/>
      <c r="D34" s="127"/>
      <c r="E34" s="128"/>
      <c r="F34" s="67" t="s">
        <v>1144</v>
      </c>
      <c r="G34" s="67" t="s">
        <v>972</v>
      </c>
      <c r="H34" s="67" t="s">
        <v>272</v>
      </c>
      <c r="I34" s="67" t="s">
        <v>1144</v>
      </c>
    </row>
    <row r="35" spans="1:9" ht="15" customHeight="1" x14ac:dyDescent="0.25">
      <c r="A35" s="115" t="s">
        <v>531</v>
      </c>
      <c r="B35" s="106"/>
      <c r="C35" s="106"/>
      <c r="D35" s="106"/>
      <c r="E35" s="102"/>
      <c r="F35" s="16">
        <f>SUM('Stavební rozpočet'!BL12:BL720)</f>
        <v>0</v>
      </c>
      <c r="G35" s="43" t="s">
        <v>769</v>
      </c>
      <c r="H35" s="43" t="s">
        <v>769</v>
      </c>
      <c r="I35" s="16">
        <f t="shared" ref="I35:I44" si="1">F35</f>
        <v>0</v>
      </c>
    </row>
    <row r="36" spans="1:9" ht="15" customHeight="1" x14ac:dyDescent="0.25">
      <c r="A36" s="115" t="s">
        <v>951</v>
      </c>
      <c r="B36" s="106"/>
      <c r="C36" s="106"/>
      <c r="D36" s="106"/>
      <c r="E36" s="102"/>
      <c r="F36" s="16">
        <f>SUM('Stavební rozpočet'!BM12:BM720)</f>
        <v>0</v>
      </c>
      <c r="G36" s="43" t="s">
        <v>769</v>
      </c>
      <c r="H36" s="43" t="s">
        <v>769</v>
      </c>
      <c r="I36" s="16">
        <f t="shared" si="1"/>
        <v>0</v>
      </c>
    </row>
    <row r="37" spans="1:9" ht="15" customHeight="1" x14ac:dyDescent="0.25">
      <c r="A37" s="115" t="s">
        <v>118</v>
      </c>
      <c r="B37" s="106"/>
      <c r="C37" s="106"/>
      <c r="D37" s="106"/>
      <c r="E37" s="102"/>
      <c r="F37" s="16">
        <f>SUM('Stavební rozpočet'!BN12:BN720)</f>
        <v>0</v>
      </c>
      <c r="G37" s="43" t="s">
        <v>769</v>
      </c>
      <c r="H37" s="43" t="s">
        <v>769</v>
      </c>
      <c r="I37" s="16">
        <f t="shared" si="1"/>
        <v>0</v>
      </c>
    </row>
    <row r="38" spans="1:9" ht="15" customHeight="1" x14ac:dyDescent="0.25">
      <c r="A38" s="115" t="s">
        <v>910</v>
      </c>
      <c r="B38" s="106"/>
      <c r="C38" s="106"/>
      <c r="D38" s="106"/>
      <c r="E38" s="102"/>
      <c r="F38" s="16">
        <f>SUM('Stavební rozpočet'!BO12:BO720)</f>
        <v>0</v>
      </c>
      <c r="G38" s="43" t="s">
        <v>769</v>
      </c>
      <c r="H38" s="43" t="s">
        <v>769</v>
      </c>
      <c r="I38" s="16">
        <f t="shared" si="1"/>
        <v>0</v>
      </c>
    </row>
    <row r="39" spans="1:9" ht="15" customHeight="1" x14ac:dyDescent="0.25">
      <c r="A39" s="115" t="s">
        <v>1074</v>
      </c>
      <c r="B39" s="106"/>
      <c r="C39" s="106"/>
      <c r="D39" s="106"/>
      <c r="E39" s="102"/>
      <c r="F39" s="16">
        <f>SUM('Stavební rozpočet'!BP12:BP720)</f>
        <v>0</v>
      </c>
      <c r="G39" s="43" t="s">
        <v>769</v>
      </c>
      <c r="H39" s="43" t="s">
        <v>769</v>
      </c>
      <c r="I39" s="16">
        <f t="shared" si="1"/>
        <v>0</v>
      </c>
    </row>
    <row r="40" spans="1:9" ht="15" customHeight="1" x14ac:dyDescent="0.25">
      <c r="A40" s="115" t="s">
        <v>1076</v>
      </c>
      <c r="B40" s="106"/>
      <c r="C40" s="106"/>
      <c r="D40" s="106"/>
      <c r="E40" s="102"/>
      <c r="F40" s="16">
        <f>SUM('Stavební rozpočet'!BQ12:BQ720)</f>
        <v>0</v>
      </c>
      <c r="G40" s="43" t="s">
        <v>769</v>
      </c>
      <c r="H40" s="43" t="s">
        <v>769</v>
      </c>
      <c r="I40" s="16">
        <f t="shared" si="1"/>
        <v>0</v>
      </c>
    </row>
    <row r="41" spans="1:9" ht="15" customHeight="1" x14ac:dyDescent="0.25">
      <c r="A41" s="115" t="s">
        <v>595</v>
      </c>
      <c r="B41" s="106"/>
      <c r="C41" s="106"/>
      <c r="D41" s="106"/>
      <c r="E41" s="102"/>
      <c r="F41" s="16">
        <f>SUM('Stavební rozpočet'!BR12:BR720)</f>
        <v>0</v>
      </c>
      <c r="G41" s="43" t="s">
        <v>769</v>
      </c>
      <c r="H41" s="43" t="s">
        <v>769</v>
      </c>
      <c r="I41" s="16">
        <f t="shared" si="1"/>
        <v>0</v>
      </c>
    </row>
    <row r="42" spans="1:9" ht="15" customHeight="1" x14ac:dyDescent="0.25">
      <c r="A42" s="115" t="s">
        <v>1244</v>
      </c>
      <c r="B42" s="106"/>
      <c r="C42" s="106"/>
      <c r="D42" s="106"/>
      <c r="E42" s="102"/>
      <c r="F42" s="16">
        <f>SUM('Stavební rozpočet'!BS12:BS720)</f>
        <v>0</v>
      </c>
      <c r="G42" s="43" t="s">
        <v>769</v>
      </c>
      <c r="H42" s="43" t="s">
        <v>769</v>
      </c>
      <c r="I42" s="16">
        <f t="shared" si="1"/>
        <v>0</v>
      </c>
    </row>
    <row r="43" spans="1:9" ht="15" customHeight="1" x14ac:dyDescent="0.25">
      <c r="A43" s="115" t="s">
        <v>292</v>
      </c>
      <c r="B43" s="106"/>
      <c r="C43" s="106"/>
      <c r="D43" s="106"/>
      <c r="E43" s="102"/>
      <c r="F43" s="16">
        <f>SUM('Stavební rozpočet'!BT12:BT720)</f>
        <v>0</v>
      </c>
      <c r="G43" s="43" t="s">
        <v>769</v>
      </c>
      <c r="H43" s="43" t="s">
        <v>769</v>
      </c>
      <c r="I43" s="16">
        <f t="shared" si="1"/>
        <v>0</v>
      </c>
    </row>
    <row r="44" spans="1:9" ht="15" customHeight="1" x14ac:dyDescent="0.25">
      <c r="A44" s="113" t="s">
        <v>1053</v>
      </c>
      <c r="B44" s="77"/>
      <c r="C44" s="77"/>
      <c r="D44" s="77"/>
      <c r="E44" s="99"/>
      <c r="F44" s="32">
        <f>SUM('Stavební rozpočet'!BU12:BU720)</f>
        <v>0</v>
      </c>
      <c r="G44" s="18" t="s">
        <v>769</v>
      </c>
      <c r="H44" s="18" t="s">
        <v>769</v>
      </c>
      <c r="I44" s="32">
        <f t="shared" si="1"/>
        <v>0</v>
      </c>
    </row>
    <row r="45" spans="1:9" ht="15" customHeight="1" x14ac:dyDescent="0.25">
      <c r="A45" s="116" t="s">
        <v>852</v>
      </c>
      <c r="B45" s="117"/>
      <c r="C45" s="117"/>
      <c r="D45" s="117"/>
      <c r="E45" s="118"/>
      <c r="F45" s="5" t="s">
        <v>769</v>
      </c>
      <c r="G45" s="26" t="s">
        <v>769</v>
      </c>
      <c r="H45" s="26" t="s">
        <v>769</v>
      </c>
      <c r="I45" s="25">
        <f>SUM(I35:I44)</f>
        <v>0</v>
      </c>
    </row>
  </sheetData>
  <mergeCells count="60">
    <mergeCell ref="A10:B11"/>
    <mergeCell ref="E2:E3"/>
    <mergeCell ref="E4:E5"/>
    <mergeCell ref="E6:E7"/>
    <mergeCell ref="E8:E9"/>
    <mergeCell ref="A1:I1"/>
    <mergeCell ref="A2:B3"/>
    <mergeCell ref="A4:B5"/>
    <mergeCell ref="A6:B7"/>
    <mergeCell ref="A8:B9"/>
    <mergeCell ref="F10:G11"/>
    <mergeCell ref="E10:E11"/>
    <mergeCell ref="H2:H3"/>
    <mergeCell ref="H4:H5"/>
    <mergeCell ref="H6:H7"/>
    <mergeCell ref="H8:H9"/>
    <mergeCell ref="H10:H11"/>
    <mergeCell ref="A20:E20"/>
    <mergeCell ref="I2:I3"/>
    <mergeCell ref="I4:I5"/>
    <mergeCell ref="I6:I7"/>
    <mergeCell ref="I8:I9"/>
    <mergeCell ref="I10:I11"/>
    <mergeCell ref="A13:E13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A14:E14"/>
    <mergeCell ref="A15:E15"/>
    <mergeCell ref="A16:E16"/>
    <mergeCell ref="A17:E17"/>
    <mergeCell ref="A18:E18"/>
    <mergeCell ref="A35:E35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BV70"/>
  <sheetViews>
    <sheetView showOutlineSymbols="0" workbookViewId="0">
      <pane ySplit="11" topLeftCell="A12" activePane="bottomLeft" state="frozenSplit"/>
      <selection activeCell="A70" sqref="A70:K70"/>
      <selection pane="bottomLeft" activeCell="L15" sqref="L15"/>
    </sheetView>
  </sheetViews>
  <sheetFormatPr defaultColWidth="14.1640625" defaultRowHeight="15" customHeight="1" x14ac:dyDescent="0.25"/>
  <cols>
    <col min="1" max="1" width="4.6640625"/>
    <col min="2" max="2" width="8.83203125"/>
    <col min="3" max="3" width="20.83203125"/>
    <col min="4" max="4" width="16.1640625"/>
    <col min="5" max="5" width="41.6640625"/>
    <col min="6" max="6" width="5"/>
    <col min="7" max="7" width="15"/>
    <col min="8" max="8" width="14"/>
    <col min="9" max="9" width="18.33203125"/>
    <col min="10" max="10" width="15.6640625"/>
    <col min="24" max="74" width="14.1640625" hidden="1"/>
  </cols>
  <sheetData>
    <row r="1" spans="1:74" ht="54.75" customHeight="1" x14ac:dyDescent="0.25">
      <c r="A1" s="111" t="s">
        <v>78</v>
      </c>
      <c r="B1" s="111"/>
      <c r="C1" s="111"/>
      <c r="D1" s="111"/>
      <c r="E1" s="111"/>
      <c r="F1" s="111"/>
      <c r="G1" s="111"/>
      <c r="H1" s="111"/>
      <c r="I1" s="111"/>
      <c r="J1" s="111"/>
      <c r="AR1" s="14">
        <f>SUM(AI1:AI2)</f>
        <v>0</v>
      </c>
      <c r="AS1" s="14">
        <f>SUM(AJ1:AJ2)</f>
        <v>0</v>
      </c>
      <c r="AT1" s="14">
        <f>SUM(AK1:AK2)</f>
        <v>0</v>
      </c>
    </row>
    <row r="2" spans="1:74" ht="15" customHeight="1" x14ac:dyDescent="0.25">
      <c r="A2" s="112" t="s">
        <v>86</v>
      </c>
      <c r="B2" s="105"/>
      <c r="C2" s="105"/>
      <c r="D2" s="107" t="str">
        <f>'Stavební rozpočet'!D2</f>
        <v>JSL13 Předklášteří - obnova vodovodního řadu ul. Komenského, ul. Krátká</v>
      </c>
      <c r="E2" s="108"/>
      <c r="F2" s="105" t="s">
        <v>6</v>
      </c>
      <c r="G2" s="105"/>
      <c r="H2" s="104" t="str">
        <f>'Stavební rozpočet'!H2</f>
        <v xml:space="preserve"> </v>
      </c>
      <c r="I2" s="104" t="s">
        <v>924</v>
      </c>
      <c r="J2" s="98"/>
    </row>
    <row r="3" spans="1:74" ht="15" customHeight="1" x14ac:dyDescent="0.25">
      <c r="A3" s="113"/>
      <c r="B3" s="77"/>
      <c r="C3" s="77"/>
      <c r="D3" s="109"/>
      <c r="E3" s="109"/>
      <c r="F3" s="77"/>
      <c r="G3" s="77"/>
      <c r="H3" s="77"/>
      <c r="I3" s="77"/>
      <c r="J3" s="99"/>
    </row>
    <row r="4" spans="1:74" ht="15" customHeight="1" x14ac:dyDescent="0.25">
      <c r="A4" s="114" t="s">
        <v>610</v>
      </c>
      <c r="B4" s="77"/>
      <c r="C4" s="77"/>
      <c r="D4" s="76" t="str">
        <f>'Stavební rozpočet'!D4</f>
        <v xml:space="preserve"> </v>
      </c>
      <c r="E4" s="77"/>
      <c r="F4" s="77" t="s">
        <v>986</v>
      </c>
      <c r="G4" s="77"/>
      <c r="H4" s="76" t="str">
        <f>'Stavební rozpočet'!H4</f>
        <v>28.09.2023</v>
      </c>
      <c r="I4" s="76" t="s">
        <v>767</v>
      </c>
      <c r="J4" s="99"/>
    </row>
    <row r="5" spans="1:74" ht="15" customHeight="1" x14ac:dyDescent="0.25">
      <c r="A5" s="113"/>
      <c r="B5" s="77"/>
      <c r="C5" s="77"/>
      <c r="D5" s="77"/>
      <c r="E5" s="77"/>
      <c r="F5" s="77"/>
      <c r="G5" s="77"/>
      <c r="H5" s="77"/>
      <c r="I5" s="77"/>
      <c r="J5" s="99"/>
    </row>
    <row r="6" spans="1:74" ht="15" customHeight="1" x14ac:dyDescent="0.25">
      <c r="A6" s="114" t="s">
        <v>104</v>
      </c>
      <c r="B6" s="77"/>
      <c r="C6" s="77"/>
      <c r="D6" s="76" t="str">
        <f>'Stavební rozpočet'!D6</f>
        <v>Předklášteří</v>
      </c>
      <c r="E6" s="77"/>
      <c r="F6" s="77" t="s">
        <v>359</v>
      </c>
      <c r="G6" s="77"/>
      <c r="H6" s="76" t="str">
        <f>'Stavební rozpočet'!H6</f>
        <v xml:space="preserve"> </v>
      </c>
      <c r="I6" s="76" t="s">
        <v>967</v>
      </c>
      <c r="J6" s="99"/>
    </row>
    <row r="7" spans="1:74" ht="15" customHeight="1" x14ac:dyDescent="0.25">
      <c r="A7" s="113"/>
      <c r="B7" s="77"/>
      <c r="C7" s="77"/>
      <c r="D7" s="77"/>
      <c r="E7" s="77"/>
      <c r="F7" s="77"/>
      <c r="G7" s="77"/>
      <c r="H7" s="77"/>
      <c r="I7" s="77"/>
      <c r="J7" s="99"/>
    </row>
    <row r="8" spans="1:74" ht="15" customHeight="1" x14ac:dyDescent="0.25">
      <c r="A8" s="114" t="s">
        <v>546</v>
      </c>
      <c r="B8" s="77"/>
      <c r="C8" s="77"/>
      <c r="D8" s="76" t="str">
        <f>'Stavební rozpočet'!D8</f>
        <v xml:space="preserve"> </v>
      </c>
      <c r="E8" s="77"/>
      <c r="F8" s="77" t="s">
        <v>624</v>
      </c>
      <c r="G8" s="77"/>
      <c r="H8" s="76" t="str">
        <f>'Stavební rozpočet'!H8</f>
        <v>28.09.2023</v>
      </c>
      <c r="I8" s="76" t="s">
        <v>733</v>
      </c>
      <c r="J8" s="99"/>
    </row>
    <row r="9" spans="1:74" ht="15" customHeight="1" x14ac:dyDescent="0.25">
      <c r="A9" s="113"/>
      <c r="B9" s="77"/>
      <c r="C9" s="77"/>
      <c r="D9" s="77"/>
      <c r="E9" s="77"/>
      <c r="F9" s="77"/>
      <c r="G9" s="77"/>
      <c r="H9" s="77"/>
      <c r="I9" s="77"/>
      <c r="J9" s="99"/>
    </row>
    <row r="10" spans="1:74" ht="15" customHeight="1" x14ac:dyDescent="0.25">
      <c r="A10" s="4" t="s">
        <v>93</v>
      </c>
      <c r="B10" s="13" t="s">
        <v>821</v>
      </c>
      <c r="C10" s="13" t="s">
        <v>368</v>
      </c>
      <c r="D10" s="140" t="s">
        <v>768</v>
      </c>
      <c r="E10" s="141"/>
      <c r="F10" s="13" t="s">
        <v>391</v>
      </c>
      <c r="G10" s="1" t="s">
        <v>665</v>
      </c>
      <c r="H10" s="49" t="s">
        <v>357</v>
      </c>
      <c r="I10" s="8" t="s">
        <v>712</v>
      </c>
      <c r="J10" s="7" t="s">
        <v>302</v>
      </c>
      <c r="BJ10" s="30" t="s">
        <v>449</v>
      </c>
      <c r="BK10" s="40" t="s">
        <v>589</v>
      </c>
      <c r="BV10" s="40" t="s">
        <v>1224</v>
      </c>
    </row>
    <row r="11" spans="1:74" ht="15" customHeight="1" x14ac:dyDescent="0.25">
      <c r="A11" s="65" t="s">
        <v>1027</v>
      </c>
      <c r="B11" s="39" t="s">
        <v>1027</v>
      </c>
      <c r="C11" s="39" t="s">
        <v>1027</v>
      </c>
      <c r="D11" s="130" t="s">
        <v>1118</v>
      </c>
      <c r="E11" s="131"/>
      <c r="F11" s="39" t="s">
        <v>1027</v>
      </c>
      <c r="G11" s="39" t="s">
        <v>1027</v>
      </c>
      <c r="H11" s="69" t="s">
        <v>1061</v>
      </c>
      <c r="I11" s="17" t="s">
        <v>114</v>
      </c>
      <c r="J11" s="11" t="s">
        <v>282</v>
      </c>
      <c r="Y11" s="30" t="s">
        <v>866</v>
      </c>
      <c r="Z11" s="30" t="s">
        <v>683</v>
      </c>
      <c r="AA11" s="30" t="s">
        <v>1143</v>
      </c>
      <c r="AB11" s="30" t="s">
        <v>319</v>
      </c>
      <c r="AC11" s="30" t="s">
        <v>939</v>
      </c>
      <c r="AD11" s="30" t="s">
        <v>415</v>
      </c>
      <c r="AE11" s="30" t="s">
        <v>998</v>
      </c>
      <c r="AF11" s="30" t="s">
        <v>487</v>
      </c>
      <c r="AG11" s="30" t="s">
        <v>288</v>
      </c>
      <c r="BG11" s="30" t="s">
        <v>867</v>
      </c>
      <c r="BH11" s="30" t="s">
        <v>1126</v>
      </c>
      <c r="BI11" s="30" t="s">
        <v>1209</v>
      </c>
    </row>
    <row r="12" spans="1:74" ht="15" customHeight="1" x14ac:dyDescent="0.25">
      <c r="A12" s="27" t="s">
        <v>769</v>
      </c>
      <c r="B12" s="28" t="s">
        <v>439</v>
      </c>
      <c r="C12" s="28" t="s">
        <v>769</v>
      </c>
      <c r="D12" s="132" t="s">
        <v>574</v>
      </c>
      <c r="E12" s="133"/>
      <c r="F12" s="23" t="s">
        <v>1027</v>
      </c>
      <c r="G12" s="23" t="s">
        <v>1027</v>
      </c>
      <c r="H12" s="23" t="s">
        <v>1027</v>
      </c>
      <c r="I12" s="14">
        <f>I13+I16+I21+I26+I32+I37+I42+I45+I49+I52+I56+I64+I66</f>
        <v>0</v>
      </c>
      <c r="J12" s="44" t="s">
        <v>769</v>
      </c>
    </row>
    <row r="13" spans="1:74" ht="15" customHeight="1" x14ac:dyDescent="0.25">
      <c r="A13" s="27" t="s">
        <v>769</v>
      </c>
      <c r="B13" s="28" t="s">
        <v>439</v>
      </c>
      <c r="C13" s="28" t="s">
        <v>815</v>
      </c>
      <c r="D13" s="132" t="s">
        <v>276</v>
      </c>
      <c r="E13" s="133"/>
      <c r="F13" s="23" t="s">
        <v>1027</v>
      </c>
      <c r="G13" s="23" t="s">
        <v>1027</v>
      </c>
      <c r="H13" s="23" t="s">
        <v>1027</v>
      </c>
      <c r="I13" s="14">
        <f>SUM(I14:I14)</f>
        <v>0</v>
      </c>
      <c r="J13" s="44" t="s">
        <v>769</v>
      </c>
      <c r="AH13" s="30" t="s">
        <v>439</v>
      </c>
      <c r="AR13" s="14">
        <f>SUM(AI14:AI14)</f>
        <v>0</v>
      </c>
      <c r="AS13" s="14">
        <f>SUM(AJ14:AJ14)</f>
        <v>0</v>
      </c>
      <c r="AT13" s="14">
        <f>SUM(AK14:AK14)</f>
        <v>0</v>
      </c>
    </row>
    <row r="14" spans="1:74" ht="13.5" customHeight="1" x14ac:dyDescent="0.25">
      <c r="A14" s="10" t="s">
        <v>1109</v>
      </c>
      <c r="B14" s="9" t="s">
        <v>439</v>
      </c>
      <c r="C14" s="9" t="s">
        <v>1004</v>
      </c>
      <c r="D14" s="76" t="s">
        <v>284</v>
      </c>
      <c r="E14" s="77"/>
      <c r="F14" s="9" t="s">
        <v>1079</v>
      </c>
      <c r="G14" s="56">
        <f>'Stavební rozpočet'!G655</f>
        <v>2</v>
      </c>
      <c r="H14" s="56">
        <f>'Stavební rozpočet'!H655</f>
        <v>0</v>
      </c>
      <c r="I14" s="56">
        <f>G14*H14</f>
        <v>0</v>
      </c>
      <c r="J14" s="54" t="s">
        <v>501</v>
      </c>
      <c r="Y14" s="56">
        <f>IF(AP14="5",BI14,0)</f>
        <v>0</v>
      </c>
      <c r="AA14" s="56">
        <f>IF(AP14="1",BG14,0)</f>
        <v>0</v>
      </c>
      <c r="AB14" s="56">
        <f>IF(AP14="1",BH14,0)</f>
        <v>0</v>
      </c>
      <c r="AC14" s="56">
        <f>IF(AP14="7",BG14,0)</f>
        <v>0</v>
      </c>
      <c r="AD14" s="56">
        <f>IF(AP14="7",BH14,0)</f>
        <v>0</v>
      </c>
      <c r="AE14" s="56">
        <f>IF(AP14="2",BG14,0)</f>
        <v>0</v>
      </c>
      <c r="AF14" s="56">
        <f>IF(AP14="2",BH14,0)</f>
        <v>0</v>
      </c>
      <c r="AG14" s="56">
        <f>IF(AP14="0",BI14,0)</f>
        <v>0</v>
      </c>
      <c r="AH14" s="30" t="s">
        <v>439</v>
      </c>
      <c r="AI14" s="56">
        <f>IF(AM14=0,I14,0)</f>
        <v>0</v>
      </c>
      <c r="AJ14" s="56">
        <f>IF(AM14=15,I14,0)</f>
        <v>0</v>
      </c>
      <c r="AK14" s="56">
        <f>IF(AM14=21,I14,0)</f>
        <v>0</v>
      </c>
      <c r="AM14" s="56">
        <v>21</v>
      </c>
      <c r="AN14" s="56">
        <f>H14*0</f>
        <v>0</v>
      </c>
      <c r="AO14" s="56">
        <f>H14*(1-0)</f>
        <v>0</v>
      </c>
      <c r="AP14" s="41" t="s">
        <v>1109</v>
      </c>
      <c r="AU14" s="56">
        <f>AV14+AW14</f>
        <v>0</v>
      </c>
      <c r="AV14" s="56">
        <f>G14*AN14</f>
        <v>0</v>
      </c>
      <c r="AW14" s="56">
        <f>G14*AO14</f>
        <v>0</v>
      </c>
      <c r="AX14" s="41" t="s">
        <v>569</v>
      </c>
      <c r="AY14" s="41" t="s">
        <v>164</v>
      </c>
      <c r="AZ14" s="30" t="s">
        <v>1236</v>
      </c>
      <c r="BB14" s="56">
        <f>AV14+AW14</f>
        <v>0</v>
      </c>
      <c r="BC14" s="56">
        <f>H14/(100-BD14)*100</f>
        <v>0</v>
      </c>
      <c r="BD14" s="56">
        <v>0</v>
      </c>
      <c r="BE14" s="56" t="e">
        <f>#REF!</f>
        <v>#REF!</v>
      </c>
      <c r="BG14" s="56">
        <f>G14*AN14</f>
        <v>0</v>
      </c>
      <c r="BH14" s="56">
        <f>G14*AO14</f>
        <v>0</v>
      </c>
      <c r="BI14" s="56">
        <f>G14*H14</f>
        <v>0</v>
      </c>
      <c r="BJ14" s="56"/>
      <c r="BK14" s="56">
        <v>12</v>
      </c>
      <c r="BV14" s="56">
        <v>21</v>
      </c>
    </row>
    <row r="15" spans="1:74" ht="15" customHeight="1" x14ac:dyDescent="0.25">
      <c r="A15" s="53"/>
      <c r="D15" s="52" t="s">
        <v>157</v>
      </c>
      <c r="E15" s="37" t="s">
        <v>769</v>
      </c>
      <c r="G15" s="21">
        <v>2</v>
      </c>
      <c r="J15" s="48"/>
    </row>
    <row r="16" spans="1:74" ht="15" customHeight="1" x14ac:dyDescent="0.25">
      <c r="A16" s="27" t="s">
        <v>769</v>
      </c>
      <c r="B16" s="28" t="s">
        <v>439</v>
      </c>
      <c r="C16" s="28" t="s">
        <v>333</v>
      </c>
      <c r="D16" s="132" t="s">
        <v>7</v>
      </c>
      <c r="E16" s="133"/>
      <c r="F16" s="23" t="s">
        <v>1027</v>
      </c>
      <c r="G16" s="23" t="s">
        <v>1027</v>
      </c>
      <c r="H16" s="23" t="s">
        <v>1027</v>
      </c>
      <c r="I16" s="14">
        <f>SUM(I17:I19)</f>
        <v>0</v>
      </c>
      <c r="J16" s="44" t="s">
        <v>769</v>
      </c>
      <c r="AH16" s="30" t="s">
        <v>439</v>
      </c>
      <c r="AR16" s="14">
        <f>SUM(AI17:AI19)</f>
        <v>0</v>
      </c>
      <c r="AS16" s="14">
        <f>SUM(AJ17:AJ19)</f>
        <v>0</v>
      </c>
      <c r="AT16" s="14">
        <f>SUM(AK17:AK19)</f>
        <v>0</v>
      </c>
    </row>
    <row r="17" spans="1:74" ht="13.5" customHeight="1" x14ac:dyDescent="0.25">
      <c r="A17" s="10" t="s">
        <v>766</v>
      </c>
      <c r="B17" s="9" t="s">
        <v>439</v>
      </c>
      <c r="C17" s="9" t="s">
        <v>914</v>
      </c>
      <c r="D17" s="76" t="s">
        <v>981</v>
      </c>
      <c r="E17" s="77"/>
      <c r="F17" s="9" t="s">
        <v>1079</v>
      </c>
      <c r="G17" s="56">
        <f>'Stavební rozpočet'!G658</f>
        <v>5.7</v>
      </c>
      <c r="H17" s="56">
        <f>'Stavební rozpočet'!H658</f>
        <v>0</v>
      </c>
      <c r="I17" s="56">
        <f>G17*H17</f>
        <v>0</v>
      </c>
      <c r="J17" s="54" t="s">
        <v>501</v>
      </c>
      <c r="Y17" s="56">
        <f>IF(AP17="5",BI17,0)</f>
        <v>0</v>
      </c>
      <c r="AA17" s="56">
        <f>IF(AP17="1",BG17,0)</f>
        <v>0</v>
      </c>
      <c r="AB17" s="56">
        <f>IF(AP17="1",BH17,0)</f>
        <v>0</v>
      </c>
      <c r="AC17" s="56">
        <f>IF(AP17="7",BG17,0)</f>
        <v>0</v>
      </c>
      <c r="AD17" s="56">
        <f>IF(AP17="7",BH17,0)</f>
        <v>0</v>
      </c>
      <c r="AE17" s="56">
        <f>IF(AP17="2",BG17,0)</f>
        <v>0</v>
      </c>
      <c r="AF17" s="56">
        <f>IF(AP17="2",BH17,0)</f>
        <v>0</v>
      </c>
      <c r="AG17" s="56">
        <f>IF(AP17="0",BI17,0)</f>
        <v>0</v>
      </c>
      <c r="AH17" s="30" t="s">
        <v>439</v>
      </c>
      <c r="AI17" s="56">
        <f>IF(AM17=0,I17,0)</f>
        <v>0</v>
      </c>
      <c r="AJ17" s="56">
        <f>IF(AM17=15,I17,0)</f>
        <v>0</v>
      </c>
      <c r="AK17" s="56">
        <f>IF(AM17=21,I17,0)</f>
        <v>0</v>
      </c>
      <c r="AM17" s="56">
        <v>21</v>
      </c>
      <c r="AN17" s="56">
        <f>H17*0</f>
        <v>0</v>
      </c>
      <c r="AO17" s="56">
        <f>H17*(1-0)</f>
        <v>0</v>
      </c>
      <c r="AP17" s="41" t="s">
        <v>1109</v>
      </c>
      <c r="AU17" s="56">
        <f>AV17+AW17</f>
        <v>0</v>
      </c>
      <c r="AV17" s="56">
        <f>G17*AN17</f>
        <v>0</v>
      </c>
      <c r="AW17" s="56">
        <f>G17*AO17</f>
        <v>0</v>
      </c>
      <c r="AX17" s="41" t="s">
        <v>1001</v>
      </c>
      <c r="AY17" s="41" t="s">
        <v>164</v>
      </c>
      <c r="AZ17" s="30" t="s">
        <v>1236</v>
      </c>
      <c r="BB17" s="56">
        <f>AV17+AW17</f>
        <v>0</v>
      </c>
      <c r="BC17" s="56">
        <f>H17/(100-BD17)*100</f>
        <v>0</v>
      </c>
      <c r="BD17" s="56">
        <v>0</v>
      </c>
      <c r="BE17" s="56" t="e">
        <f>#REF!</f>
        <v>#REF!</v>
      </c>
      <c r="BG17" s="56">
        <f>G17*AN17</f>
        <v>0</v>
      </c>
      <c r="BH17" s="56">
        <f>G17*AO17</f>
        <v>0</v>
      </c>
      <c r="BI17" s="56">
        <f>G17*H17</f>
        <v>0</v>
      </c>
      <c r="BJ17" s="56"/>
      <c r="BK17" s="56">
        <v>13</v>
      </c>
      <c r="BV17" s="56">
        <v>21</v>
      </c>
    </row>
    <row r="18" spans="1:74" ht="15" customHeight="1" x14ac:dyDescent="0.25">
      <c r="A18" s="53"/>
      <c r="D18" s="52" t="s">
        <v>191</v>
      </c>
      <c r="E18" s="37" t="s">
        <v>572</v>
      </c>
      <c r="G18" s="21">
        <v>5.7</v>
      </c>
      <c r="J18" s="48"/>
    </row>
    <row r="19" spans="1:74" ht="13.5" customHeight="1" x14ac:dyDescent="0.25">
      <c r="A19" s="10" t="s">
        <v>952</v>
      </c>
      <c r="B19" s="9" t="s">
        <v>439</v>
      </c>
      <c r="C19" s="9" t="s">
        <v>1235</v>
      </c>
      <c r="D19" s="76" t="s">
        <v>872</v>
      </c>
      <c r="E19" s="77"/>
      <c r="F19" s="9" t="s">
        <v>1079</v>
      </c>
      <c r="G19" s="56">
        <f>'Stavební rozpočet'!G660</f>
        <v>2.85</v>
      </c>
      <c r="H19" s="56">
        <f>'Stavební rozpočet'!H660</f>
        <v>0</v>
      </c>
      <c r="I19" s="56">
        <f>G19*H19</f>
        <v>0</v>
      </c>
      <c r="J19" s="54" t="s">
        <v>501</v>
      </c>
      <c r="Y19" s="56">
        <f>IF(AP19="5",BI19,0)</f>
        <v>0</v>
      </c>
      <c r="AA19" s="56">
        <f>IF(AP19="1",BG19,0)</f>
        <v>0</v>
      </c>
      <c r="AB19" s="56">
        <f>IF(AP19="1",BH19,0)</f>
        <v>0</v>
      </c>
      <c r="AC19" s="56">
        <f>IF(AP19="7",BG19,0)</f>
        <v>0</v>
      </c>
      <c r="AD19" s="56">
        <f>IF(AP19="7",BH19,0)</f>
        <v>0</v>
      </c>
      <c r="AE19" s="56">
        <f>IF(AP19="2",BG19,0)</f>
        <v>0</v>
      </c>
      <c r="AF19" s="56">
        <f>IF(AP19="2",BH19,0)</f>
        <v>0</v>
      </c>
      <c r="AG19" s="56">
        <f>IF(AP19="0",BI19,0)</f>
        <v>0</v>
      </c>
      <c r="AH19" s="30" t="s">
        <v>439</v>
      </c>
      <c r="AI19" s="56">
        <f>IF(AM19=0,I19,0)</f>
        <v>0</v>
      </c>
      <c r="AJ19" s="56">
        <f>IF(AM19=15,I19,0)</f>
        <v>0</v>
      </c>
      <c r="AK19" s="56">
        <f>IF(AM19=21,I19,0)</f>
        <v>0</v>
      </c>
      <c r="AM19" s="56">
        <v>21</v>
      </c>
      <c r="AN19" s="56">
        <f>H19*0</f>
        <v>0</v>
      </c>
      <c r="AO19" s="56">
        <f>H19*(1-0)</f>
        <v>0</v>
      </c>
      <c r="AP19" s="41" t="s">
        <v>1109</v>
      </c>
      <c r="AU19" s="56">
        <f>AV19+AW19</f>
        <v>0</v>
      </c>
      <c r="AV19" s="56">
        <f>G19*AN19</f>
        <v>0</v>
      </c>
      <c r="AW19" s="56">
        <f>G19*AO19</f>
        <v>0</v>
      </c>
      <c r="AX19" s="41" t="s">
        <v>1001</v>
      </c>
      <c r="AY19" s="41" t="s">
        <v>164</v>
      </c>
      <c r="AZ19" s="30" t="s">
        <v>1236</v>
      </c>
      <c r="BB19" s="56">
        <f>AV19+AW19</f>
        <v>0</v>
      </c>
      <c r="BC19" s="56">
        <f>H19/(100-BD19)*100</f>
        <v>0</v>
      </c>
      <c r="BD19" s="56">
        <v>0</v>
      </c>
      <c r="BE19" s="56" t="e">
        <f>#REF!</f>
        <v>#REF!</v>
      </c>
      <c r="BG19" s="56">
        <f>G19*AN19</f>
        <v>0</v>
      </c>
      <c r="BH19" s="56">
        <f>G19*AO19</f>
        <v>0</v>
      </c>
      <c r="BI19" s="56">
        <f>G19*H19</f>
        <v>0</v>
      </c>
      <c r="BJ19" s="56"/>
      <c r="BK19" s="56">
        <v>13</v>
      </c>
      <c r="BV19" s="56">
        <v>21</v>
      </c>
    </row>
    <row r="20" spans="1:74" ht="15" customHeight="1" x14ac:dyDescent="0.25">
      <c r="A20" s="53"/>
      <c r="D20" s="52" t="s">
        <v>205</v>
      </c>
      <c r="E20" s="37" t="s">
        <v>769</v>
      </c>
      <c r="G20" s="21">
        <v>2.85</v>
      </c>
      <c r="J20" s="48"/>
    </row>
    <row r="21" spans="1:74" ht="15" customHeight="1" x14ac:dyDescent="0.25">
      <c r="A21" s="27" t="s">
        <v>769</v>
      </c>
      <c r="B21" s="28" t="s">
        <v>439</v>
      </c>
      <c r="C21" s="28" t="s">
        <v>654</v>
      </c>
      <c r="D21" s="132" t="s">
        <v>637</v>
      </c>
      <c r="E21" s="133"/>
      <c r="F21" s="23" t="s">
        <v>1027</v>
      </c>
      <c r="G21" s="23" t="s">
        <v>1027</v>
      </c>
      <c r="H21" s="23" t="s">
        <v>1027</v>
      </c>
      <c r="I21" s="14">
        <f>SUM(I22:I24)</f>
        <v>0</v>
      </c>
      <c r="J21" s="44" t="s">
        <v>769</v>
      </c>
      <c r="AH21" s="30" t="s">
        <v>439</v>
      </c>
      <c r="AR21" s="14">
        <f>SUM(AI22:AI24)</f>
        <v>0</v>
      </c>
      <c r="AS21" s="14">
        <f>SUM(AJ22:AJ24)</f>
        <v>0</v>
      </c>
      <c r="AT21" s="14">
        <f>SUM(AK22:AK24)</f>
        <v>0</v>
      </c>
    </row>
    <row r="22" spans="1:74" ht="13.5" customHeight="1" x14ac:dyDescent="0.25">
      <c r="A22" s="10" t="s">
        <v>127</v>
      </c>
      <c r="B22" s="9" t="s">
        <v>439</v>
      </c>
      <c r="C22" s="9" t="s">
        <v>396</v>
      </c>
      <c r="D22" s="76" t="s">
        <v>806</v>
      </c>
      <c r="E22" s="77"/>
      <c r="F22" s="9" t="s">
        <v>909</v>
      </c>
      <c r="G22" s="56">
        <f>'Stavební rozpočet'!G663</f>
        <v>12.2</v>
      </c>
      <c r="H22" s="56">
        <f>'Stavební rozpočet'!H663</f>
        <v>0</v>
      </c>
      <c r="I22" s="56">
        <f>G22*H22</f>
        <v>0</v>
      </c>
      <c r="J22" s="54" t="s">
        <v>501</v>
      </c>
      <c r="Y22" s="56">
        <f>IF(AP22="5",BI22,0)</f>
        <v>0</v>
      </c>
      <c r="AA22" s="56">
        <f>IF(AP22="1",BG22,0)</f>
        <v>0</v>
      </c>
      <c r="AB22" s="56">
        <f>IF(AP22="1",BH22,0)</f>
        <v>0</v>
      </c>
      <c r="AC22" s="56">
        <f>IF(AP22="7",BG22,0)</f>
        <v>0</v>
      </c>
      <c r="AD22" s="56">
        <f>IF(AP22="7",BH22,0)</f>
        <v>0</v>
      </c>
      <c r="AE22" s="56">
        <f>IF(AP22="2",BG22,0)</f>
        <v>0</v>
      </c>
      <c r="AF22" s="56">
        <f>IF(AP22="2",BH22,0)</f>
        <v>0</v>
      </c>
      <c r="AG22" s="56">
        <f>IF(AP22="0",BI22,0)</f>
        <v>0</v>
      </c>
      <c r="AH22" s="30" t="s">
        <v>439</v>
      </c>
      <c r="AI22" s="56">
        <f>IF(AM22=0,I22,0)</f>
        <v>0</v>
      </c>
      <c r="AJ22" s="56">
        <f>IF(AM22=15,I22,0)</f>
        <v>0</v>
      </c>
      <c r="AK22" s="56">
        <f>IF(AM22=21,I22,0)</f>
        <v>0</v>
      </c>
      <c r="AM22" s="56">
        <v>21</v>
      </c>
      <c r="AN22" s="56">
        <f>H22*0.0582222222222222</f>
        <v>0</v>
      </c>
      <c r="AO22" s="56">
        <f>H22*(1-0.0582222222222222)</f>
        <v>0</v>
      </c>
      <c r="AP22" s="41" t="s">
        <v>1109</v>
      </c>
      <c r="AU22" s="56">
        <f>AV22+AW22</f>
        <v>0</v>
      </c>
      <c r="AV22" s="56">
        <f>G22*AN22</f>
        <v>0</v>
      </c>
      <c r="AW22" s="56">
        <f>G22*AO22</f>
        <v>0</v>
      </c>
      <c r="AX22" s="41" t="s">
        <v>1162</v>
      </c>
      <c r="AY22" s="41" t="s">
        <v>164</v>
      </c>
      <c r="AZ22" s="30" t="s">
        <v>1236</v>
      </c>
      <c r="BB22" s="56">
        <f>AV22+AW22</f>
        <v>0</v>
      </c>
      <c r="BC22" s="56">
        <f>H22/(100-BD22)*100</f>
        <v>0</v>
      </c>
      <c r="BD22" s="56">
        <v>0</v>
      </c>
      <c r="BE22" s="56" t="e">
        <f>#REF!</f>
        <v>#REF!</v>
      </c>
      <c r="BG22" s="56">
        <f>G22*AN22</f>
        <v>0</v>
      </c>
      <c r="BH22" s="56">
        <f>G22*AO22</f>
        <v>0</v>
      </c>
      <c r="BI22" s="56">
        <f>G22*H22</f>
        <v>0</v>
      </c>
      <c r="BJ22" s="56"/>
      <c r="BK22" s="56">
        <v>14</v>
      </c>
      <c r="BV22" s="56">
        <v>21</v>
      </c>
    </row>
    <row r="23" spans="1:74" ht="13.5" customHeight="1" x14ac:dyDescent="0.25">
      <c r="A23" s="53"/>
      <c r="C23" s="66" t="s">
        <v>578</v>
      </c>
      <c r="D23" s="137" t="s">
        <v>188</v>
      </c>
      <c r="E23" s="138"/>
      <c r="F23" s="138"/>
      <c r="G23" s="138"/>
      <c r="H23" s="138"/>
      <c r="I23" s="138"/>
      <c r="J23" s="139"/>
    </row>
    <row r="24" spans="1:74" ht="13.5" customHeight="1" x14ac:dyDescent="0.25">
      <c r="A24" s="57" t="s">
        <v>596</v>
      </c>
      <c r="B24" s="50" t="s">
        <v>439</v>
      </c>
      <c r="C24" s="50" t="s">
        <v>456</v>
      </c>
      <c r="D24" s="135" t="s">
        <v>851</v>
      </c>
      <c r="E24" s="136"/>
      <c r="F24" s="50" t="s">
        <v>909</v>
      </c>
      <c r="G24" s="31">
        <f>'Stavební rozpočet'!G665</f>
        <v>13</v>
      </c>
      <c r="H24" s="31">
        <f>'Stavební rozpočet'!H665</f>
        <v>0</v>
      </c>
      <c r="I24" s="31">
        <f>G24*H24</f>
        <v>0</v>
      </c>
      <c r="J24" s="47" t="s">
        <v>501</v>
      </c>
      <c r="Y24" s="56">
        <f>IF(AP24="5",BI24,0)</f>
        <v>0</v>
      </c>
      <c r="AA24" s="56">
        <f>IF(AP24="1",BG24,0)</f>
        <v>0</v>
      </c>
      <c r="AB24" s="56">
        <f>IF(AP24="1",BH24,0)</f>
        <v>0</v>
      </c>
      <c r="AC24" s="56">
        <f>IF(AP24="7",BG24,0)</f>
        <v>0</v>
      </c>
      <c r="AD24" s="56">
        <f>IF(AP24="7",BH24,0)</f>
        <v>0</v>
      </c>
      <c r="AE24" s="56">
        <f>IF(AP24="2",BG24,0)</f>
        <v>0</v>
      </c>
      <c r="AF24" s="56">
        <f>IF(AP24="2",BH24,0)</f>
        <v>0</v>
      </c>
      <c r="AG24" s="56">
        <f>IF(AP24="0",BI24,0)</f>
        <v>0</v>
      </c>
      <c r="AH24" s="30" t="s">
        <v>439</v>
      </c>
      <c r="AI24" s="31">
        <f>IF(AM24=0,I24,0)</f>
        <v>0</v>
      </c>
      <c r="AJ24" s="31">
        <f>IF(AM24=15,I24,0)</f>
        <v>0</v>
      </c>
      <c r="AK24" s="31">
        <f>IF(AM24=21,I24,0)</f>
        <v>0</v>
      </c>
      <c r="AM24" s="56">
        <v>21</v>
      </c>
      <c r="AN24" s="56">
        <f>H24*1</f>
        <v>0</v>
      </c>
      <c r="AO24" s="56">
        <f>H24*(1-1)</f>
        <v>0</v>
      </c>
      <c r="AP24" s="58" t="s">
        <v>1109</v>
      </c>
      <c r="AU24" s="56">
        <f>AV24+AW24</f>
        <v>0</v>
      </c>
      <c r="AV24" s="56">
        <f>G24*AN24</f>
        <v>0</v>
      </c>
      <c r="AW24" s="56">
        <f>G24*AO24</f>
        <v>0</v>
      </c>
      <c r="AX24" s="41" t="s">
        <v>1162</v>
      </c>
      <c r="AY24" s="41" t="s">
        <v>164</v>
      </c>
      <c r="AZ24" s="30" t="s">
        <v>1236</v>
      </c>
      <c r="BB24" s="56">
        <f>AV24+AW24</f>
        <v>0</v>
      </c>
      <c r="BC24" s="56">
        <f>H24/(100-BD24)*100</f>
        <v>0</v>
      </c>
      <c r="BD24" s="56">
        <v>0</v>
      </c>
      <c r="BE24" s="56" t="e">
        <f>#REF!</f>
        <v>#REF!</v>
      </c>
      <c r="BG24" s="31">
        <f>G24*AN24</f>
        <v>0</v>
      </c>
      <c r="BH24" s="31">
        <f>G24*AO24</f>
        <v>0</v>
      </c>
      <c r="BI24" s="31">
        <f>G24*H24</f>
        <v>0</v>
      </c>
      <c r="BJ24" s="31"/>
      <c r="BK24" s="56">
        <v>14</v>
      </c>
      <c r="BV24" s="56">
        <v>21</v>
      </c>
    </row>
    <row r="25" spans="1:74" ht="15" customHeight="1" x14ac:dyDescent="0.25">
      <c r="A25" s="53"/>
      <c r="D25" s="52" t="s">
        <v>333</v>
      </c>
      <c r="E25" s="37" t="s">
        <v>895</v>
      </c>
      <c r="G25" s="21">
        <v>13.000000000000002</v>
      </c>
      <c r="J25" s="48"/>
    </row>
    <row r="26" spans="1:74" ht="15" customHeight="1" x14ac:dyDescent="0.25">
      <c r="A26" s="27" t="s">
        <v>769</v>
      </c>
      <c r="B26" s="28" t="s">
        <v>439</v>
      </c>
      <c r="C26" s="28" t="s">
        <v>442</v>
      </c>
      <c r="D26" s="132" t="s">
        <v>957</v>
      </c>
      <c r="E26" s="133"/>
      <c r="F26" s="23" t="s">
        <v>1027</v>
      </c>
      <c r="G26" s="23" t="s">
        <v>1027</v>
      </c>
      <c r="H26" s="23" t="s">
        <v>1027</v>
      </c>
      <c r="I26" s="14">
        <f>SUM(I27:I31)</f>
        <v>0</v>
      </c>
      <c r="J26" s="44" t="s">
        <v>769</v>
      </c>
      <c r="AH26" s="30" t="s">
        <v>439</v>
      </c>
      <c r="AR26" s="14">
        <f>SUM(AI27:AI31)</f>
        <v>0</v>
      </c>
      <c r="AS26" s="14">
        <f>SUM(AJ27:AJ31)</f>
        <v>0</v>
      </c>
      <c r="AT26" s="14">
        <f>SUM(AK27:AK31)</f>
        <v>0</v>
      </c>
    </row>
    <row r="27" spans="1:74" ht="13.5" customHeight="1" x14ac:dyDescent="0.25">
      <c r="A27" s="10" t="s">
        <v>177</v>
      </c>
      <c r="B27" s="9" t="s">
        <v>439</v>
      </c>
      <c r="C27" s="9" t="s">
        <v>746</v>
      </c>
      <c r="D27" s="76" t="s">
        <v>658</v>
      </c>
      <c r="E27" s="77"/>
      <c r="F27" s="9" t="s">
        <v>1095</v>
      </c>
      <c r="G27" s="56">
        <f>'Stavební rozpočet'!G668</f>
        <v>10.45</v>
      </c>
      <c r="H27" s="56">
        <f>'Stavební rozpočet'!H668</f>
        <v>0</v>
      </c>
      <c r="I27" s="56">
        <f>G27*H27</f>
        <v>0</v>
      </c>
      <c r="J27" s="54" t="s">
        <v>501</v>
      </c>
      <c r="Y27" s="56">
        <f>IF(AP27="5",BI27,0)</f>
        <v>0</v>
      </c>
      <c r="AA27" s="56">
        <f>IF(AP27="1",BG27,0)</f>
        <v>0</v>
      </c>
      <c r="AB27" s="56">
        <f>IF(AP27="1",BH27,0)</f>
        <v>0</v>
      </c>
      <c r="AC27" s="56">
        <f>IF(AP27="7",BG27,0)</f>
        <v>0</v>
      </c>
      <c r="AD27" s="56">
        <f>IF(AP27="7",BH27,0)</f>
        <v>0</v>
      </c>
      <c r="AE27" s="56">
        <f>IF(AP27="2",BG27,0)</f>
        <v>0</v>
      </c>
      <c r="AF27" s="56">
        <f>IF(AP27="2",BH27,0)</f>
        <v>0</v>
      </c>
      <c r="AG27" s="56">
        <f>IF(AP27="0",BI27,0)</f>
        <v>0</v>
      </c>
      <c r="AH27" s="30" t="s">
        <v>439</v>
      </c>
      <c r="AI27" s="56">
        <f>IF(AM27=0,I27,0)</f>
        <v>0</v>
      </c>
      <c r="AJ27" s="56">
        <f>IF(AM27=15,I27,0)</f>
        <v>0</v>
      </c>
      <c r="AK27" s="56">
        <f>IF(AM27=21,I27,0)</f>
        <v>0</v>
      </c>
      <c r="AM27" s="56">
        <v>21</v>
      </c>
      <c r="AN27" s="56">
        <f>H27*0.170249447943077</f>
        <v>0</v>
      </c>
      <c r="AO27" s="56">
        <f>H27*(1-0.170249447943077)</f>
        <v>0</v>
      </c>
      <c r="AP27" s="41" t="s">
        <v>1109</v>
      </c>
      <c r="AU27" s="56">
        <f>AV27+AW27</f>
        <v>0</v>
      </c>
      <c r="AV27" s="56">
        <f>G27*AN27</f>
        <v>0</v>
      </c>
      <c r="AW27" s="56">
        <f>G27*AO27</f>
        <v>0</v>
      </c>
      <c r="AX27" s="41" t="s">
        <v>784</v>
      </c>
      <c r="AY27" s="41" t="s">
        <v>164</v>
      </c>
      <c r="AZ27" s="30" t="s">
        <v>1236</v>
      </c>
      <c r="BB27" s="56">
        <f>AV27+AW27</f>
        <v>0</v>
      </c>
      <c r="BC27" s="56">
        <f>H27/(100-BD27)*100</f>
        <v>0</v>
      </c>
      <c r="BD27" s="56">
        <v>0</v>
      </c>
      <c r="BE27" s="56" t="e">
        <f>#REF!</f>
        <v>#REF!</v>
      </c>
      <c r="BG27" s="56">
        <f>G27*AN27</f>
        <v>0</v>
      </c>
      <c r="BH27" s="56">
        <f>G27*AO27</f>
        <v>0</v>
      </c>
      <c r="BI27" s="56">
        <f>G27*H27</f>
        <v>0</v>
      </c>
      <c r="BJ27" s="56"/>
      <c r="BK27" s="56">
        <v>15</v>
      </c>
      <c r="BV27" s="56">
        <v>21</v>
      </c>
    </row>
    <row r="28" spans="1:74" ht="15" customHeight="1" x14ac:dyDescent="0.25">
      <c r="A28" s="53"/>
      <c r="D28" s="52" t="s">
        <v>929</v>
      </c>
      <c r="E28" s="37" t="s">
        <v>33</v>
      </c>
      <c r="G28" s="21">
        <v>10.450000000000001</v>
      </c>
      <c r="J28" s="48"/>
    </row>
    <row r="29" spans="1:74" ht="13.5" customHeight="1" x14ac:dyDescent="0.25">
      <c r="A29" s="10" t="s">
        <v>1114</v>
      </c>
      <c r="B29" s="9" t="s">
        <v>439</v>
      </c>
      <c r="C29" s="9" t="s">
        <v>686</v>
      </c>
      <c r="D29" s="76" t="s">
        <v>432</v>
      </c>
      <c r="E29" s="77"/>
      <c r="F29" s="9" t="s">
        <v>1095</v>
      </c>
      <c r="G29" s="56">
        <f>'Stavební rozpočet'!G670</f>
        <v>10.45</v>
      </c>
      <c r="H29" s="56">
        <f>'Stavební rozpočet'!H670</f>
        <v>0</v>
      </c>
      <c r="I29" s="56">
        <f>G29*H29</f>
        <v>0</v>
      </c>
      <c r="J29" s="54" t="s">
        <v>501</v>
      </c>
      <c r="Y29" s="56">
        <f>IF(AP29="5",BI29,0)</f>
        <v>0</v>
      </c>
      <c r="AA29" s="56">
        <f>IF(AP29="1",BG29,0)</f>
        <v>0</v>
      </c>
      <c r="AB29" s="56">
        <f>IF(AP29="1",BH29,0)</f>
        <v>0</v>
      </c>
      <c r="AC29" s="56">
        <f>IF(AP29="7",BG29,0)</f>
        <v>0</v>
      </c>
      <c r="AD29" s="56">
        <f>IF(AP29="7",BH29,0)</f>
        <v>0</v>
      </c>
      <c r="AE29" s="56">
        <f>IF(AP29="2",BG29,0)</f>
        <v>0</v>
      </c>
      <c r="AF29" s="56">
        <f>IF(AP29="2",BH29,0)</f>
        <v>0</v>
      </c>
      <c r="AG29" s="56">
        <f>IF(AP29="0",BI29,0)</f>
        <v>0</v>
      </c>
      <c r="AH29" s="30" t="s">
        <v>439</v>
      </c>
      <c r="AI29" s="56">
        <f>IF(AM29=0,I29,0)</f>
        <v>0</v>
      </c>
      <c r="AJ29" s="56">
        <f>IF(AM29=15,I29,0)</f>
        <v>0</v>
      </c>
      <c r="AK29" s="56">
        <f>IF(AM29=21,I29,0)</f>
        <v>0</v>
      </c>
      <c r="AM29" s="56">
        <v>21</v>
      </c>
      <c r="AN29" s="56">
        <f>H29*0</f>
        <v>0</v>
      </c>
      <c r="AO29" s="56">
        <f>H29*(1-0)</f>
        <v>0</v>
      </c>
      <c r="AP29" s="41" t="s">
        <v>1109</v>
      </c>
      <c r="AU29" s="56">
        <f>AV29+AW29</f>
        <v>0</v>
      </c>
      <c r="AV29" s="56">
        <f>G29*AN29</f>
        <v>0</v>
      </c>
      <c r="AW29" s="56">
        <f>G29*AO29</f>
        <v>0</v>
      </c>
      <c r="AX29" s="41" t="s">
        <v>784</v>
      </c>
      <c r="AY29" s="41" t="s">
        <v>164</v>
      </c>
      <c r="AZ29" s="30" t="s">
        <v>1236</v>
      </c>
      <c r="BB29" s="56">
        <f>AV29+AW29</f>
        <v>0</v>
      </c>
      <c r="BC29" s="56">
        <f>H29/(100-BD29)*100</f>
        <v>0</v>
      </c>
      <c r="BD29" s="56">
        <v>0</v>
      </c>
      <c r="BE29" s="56" t="e">
        <f>#REF!</f>
        <v>#REF!</v>
      </c>
      <c r="BG29" s="56">
        <f>G29*AN29</f>
        <v>0</v>
      </c>
      <c r="BH29" s="56">
        <f>G29*AO29</f>
        <v>0</v>
      </c>
      <c r="BI29" s="56">
        <f>G29*H29</f>
        <v>0</v>
      </c>
      <c r="BJ29" s="56"/>
      <c r="BK29" s="56">
        <v>15</v>
      </c>
      <c r="BV29" s="56">
        <v>21</v>
      </c>
    </row>
    <row r="30" spans="1:74" ht="13.5" customHeight="1" x14ac:dyDescent="0.25">
      <c r="A30" s="10" t="s">
        <v>874</v>
      </c>
      <c r="B30" s="9" t="s">
        <v>439</v>
      </c>
      <c r="C30" s="9" t="s">
        <v>352</v>
      </c>
      <c r="D30" s="76" t="s">
        <v>48</v>
      </c>
      <c r="E30" s="77"/>
      <c r="F30" s="9" t="s">
        <v>1079</v>
      </c>
      <c r="G30" s="56">
        <f>'Stavební rozpočet'!G671</f>
        <v>5.7</v>
      </c>
      <c r="H30" s="56">
        <f>'Stavební rozpočet'!H671</f>
        <v>0</v>
      </c>
      <c r="I30" s="56">
        <f>G30*H30</f>
        <v>0</v>
      </c>
      <c r="J30" s="54" t="s">
        <v>501</v>
      </c>
      <c r="Y30" s="56">
        <f>IF(AP30="5",BI30,0)</f>
        <v>0</v>
      </c>
      <c r="AA30" s="56">
        <f>IF(AP30="1",BG30,0)</f>
        <v>0</v>
      </c>
      <c r="AB30" s="56">
        <f>IF(AP30="1",BH30,0)</f>
        <v>0</v>
      </c>
      <c r="AC30" s="56">
        <f>IF(AP30="7",BG30,0)</f>
        <v>0</v>
      </c>
      <c r="AD30" s="56">
        <f>IF(AP30="7",BH30,0)</f>
        <v>0</v>
      </c>
      <c r="AE30" s="56">
        <f>IF(AP30="2",BG30,0)</f>
        <v>0</v>
      </c>
      <c r="AF30" s="56">
        <f>IF(AP30="2",BH30,0)</f>
        <v>0</v>
      </c>
      <c r="AG30" s="56">
        <f>IF(AP30="0",BI30,0)</f>
        <v>0</v>
      </c>
      <c r="AH30" s="30" t="s">
        <v>439</v>
      </c>
      <c r="AI30" s="56">
        <f>IF(AM30=0,I30,0)</f>
        <v>0</v>
      </c>
      <c r="AJ30" s="56">
        <f>IF(AM30=15,I30,0)</f>
        <v>0</v>
      </c>
      <c r="AK30" s="56">
        <f>IF(AM30=21,I30,0)</f>
        <v>0</v>
      </c>
      <c r="AM30" s="56">
        <v>21</v>
      </c>
      <c r="AN30" s="56">
        <f>H30*0.0389215917117966</f>
        <v>0</v>
      </c>
      <c r="AO30" s="56">
        <f>H30*(1-0.0389215917117966)</f>
        <v>0</v>
      </c>
      <c r="AP30" s="41" t="s">
        <v>1109</v>
      </c>
      <c r="AU30" s="56">
        <f>AV30+AW30</f>
        <v>0</v>
      </c>
      <c r="AV30" s="56">
        <f>G30*AN30</f>
        <v>0</v>
      </c>
      <c r="AW30" s="56">
        <f>G30*AO30</f>
        <v>0</v>
      </c>
      <c r="AX30" s="41" t="s">
        <v>784</v>
      </c>
      <c r="AY30" s="41" t="s">
        <v>164</v>
      </c>
      <c r="AZ30" s="30" t="s">
        <v>1236</v>
      </c>
      <c r="BB30" s="56">
        <f>AV30+AW30</f>
        <v>0</v>
      </c>
      <c r="BC30" s="56">
        <f>H30/(100-BD30)*100</f>
        <v>0</v>
      </c>
      <c r="BD30" s="56">
        <v>0</v>
      </c>
      <c r="BE30" s="56" t="e">
        <f>#REF!</f>
        <v>#REF!</v>
      </c>
      <c r="BG30" s="56">
        <f>G30*AN30</f>
        <v>0</v>
      </c>
      <c r="BH30" s="56">
        <f>G30*AO30</f>
        <v>0</v>
      </c>
      <c r="BI30" s="56">
        <f>G30*H30</f>
        <v>0</v>
      </c>
      <c r="BJ30" s="56"/>
      <c r="BK30" s="56">
        <v>15</v>
      </c>
      <c r="BV30" s="56">
        <v>21</v>
      </c>
    </row>
    <row r="31" spans="1:74" ht="13.5" customHeight="1" x14ac:dyDescent="0.25">
      <c r="A31" s="10" t="s">
        <v>423</v>
      </c>
      <c r="B31" s="9" t="s">
        <v>439</v>
      </c>
      <c r="C31" s="9" t="s">
        <v>720</v>
      </c>
      <c r="D31" s="76" t="s">
        <v>171</v>
      </c>
      <c r="E31" s="77"/>
      <c r="F31" s="9" t="s">
        <v>1079</v>
      </c>
      <c r="G31" s="56">
        <f>'Stavební rozpočet'!G672</f>
        <v>5.7</v>
      </c>
      <c r="H31" s="56">
        <f>'Stavební rozpočet'!H672</f>
        <v>0</v>
      </c>
      <c r="I31" s="56">
        <f>G31*H31</f>
        <v>0</v>
      </c>
      <c r="J31" s="54" t="s">
        <v>501</v>
      </c>
      <c r="Y31" s="56">
        <f>IF(AP31="5",BI31,0)</f>
        <v>0</v>
      </c>
      <c r="AA31" s="56">
        <f>IF(AP31="1",BG31,0)</f>
        <v>0</v>
      </c>
      <c r="AB31" s="56">
        <f>IF(AP31="1",BH31,0)</f>
        <v>0</v>
      </c>
      <c r="AC31" s="56">
        <f>IF(AP31="7",BG31,0)</f>
        <v>0</v>
      </c>
      <c r="AD31" s="56">
        <f>IF(AP31="7",BH31,0)</f>
        <v>0</v>
      </c>
      <c r="AE31" s="56">
        <f>IF(AP31="2",BG31,0)</f>
        <v>0</v>
      </c>
      <c r="AF31" s="56">
        <f>IF(AP31="2",BH31,0)</f>
        <v>0</v>
      </c>
      <c r="AG31" s="56">
        <f>IF(AP31="0",BI31,0)</f>
        <v>0</v>
      </c>
      <c r="AH31" s="30" t="s">
        <v>439</v>
      </c>
      <c r="AI31" s="56">
        <f>IF(AM31=0,I31,0)</f>
        <v>0</v>
      </c>
      <c r="AJ31" s="56">
        <f>IF(AM31=15,I31,0)</f>
        <v>0</v>
      </c>
      <c r="AK31" s="56">
        <f>IF(AM31=21,I31,0)</f>
        <v>0</v>
      </c>
      <c r="AM31" s="56">
        <v>21</v>
      </c>
      <c r="AN31" s="56">
        <f>H31*0</f>
        <v>0</v>
      </c>
      <c r="AO31" s="56">
        <f>H31*(1-0)</f>
        <v>0</v>
      </c>
      <c r="AP31" s="41" t="s">
        <v>1109</v>
      </c>
      <c r="AU31" s="56">
        <f>AV31+AW31</f>
        <v>0</v>
      </c>
      <c r="AV31" s="56">
        <f>G31*AN31</f>
        <v>0</v>
      </c>
      <c r="AW31" s="56">
        <f>G31*AO31</f>
        <v>0</v>
      </c>
      <c r="AX31" s="41" t="s">
        <v>784</v>
      </c>
      <c r="AY31" s="41" t="s">
        <v>164</v>
      </c>
      <c r="AZ31" s="30" t="s">
        <v>1236</v>
      </c>
      <c r="BB31" s="56">
        <f>AV31+AW31</f>
        <v>0</v>
      </c>
      <c r="BC31" s="56">
        <f>H31/(100-BD31)*100</f>
        <v>0</v>
      </c>
      <c r="BD31" s="56">
        <v>0</v>
      </c>
      <c r="BE31" s="56" t="e">
        <f>#REF!</f>
        <v>#REF!</v>
      </c>
      <c r="BG31" s="56">
        <f>G31*AN31</f>
        <v>0</v>
      </c>
      <c r="BH31" s="56">
        <f>G31*AO31</f>
        <v>0</v>
      </c>
      <c r="BI31" s="56">
        <f>G31*H31</f>
        <v>0</v>
      </c>
      <c r="BJ31" s="56"/>
      <c r="BK31" s="56">
        <v>15</v>
      </c>
      <c r="BV31" s="56">
        <v>21</v>
      </c>
    </row>
    <row r="32" spans="1:74" ht="15" customHeight="1" x14ac:dyDescent="0.25">
      <c r="A32" s="27" t="s">
        <v>769</v>
      </c>
      <c r="B32" s="28" t="s">
        <v>439</v>
      </c>
      <c r="C32" s="28" t="s">
        <v>107</v>
      </c>
      <c r="D32" s="132" t="s">
        <v>916</v>
      </c>
      <c r="E32" s="133"/>
      <c r="F32" s="23" t="s">
        <v>1027</v>
      </c>
      <c r="G32" s="23" t="s">
        <v>1027</v>
      </c>
      <c r="H32" s="23" t="s">
        <v>1027</v>
      </c>
      <c r="I32" s="14">
        <f>SUM(I33:I35)</f>
        <v>0</v>
      </c>
      <c r="J32" s="44" t="s">
        <v>769</v>
      </c>
      <c r="AH32" s="30" t="s">
        <v>439</v>
      </c>
      <c r="AR32" s="14">
        <f>SUM(AI33:AI35)</f>
        <v>0</v>
      </c>
      <c r="AS32" s="14">
        <f>SUM(AJ33:AJ35)</f>
        <v>0</v>
      </c>
      <c r="AT32" s="14">
        <f>SUM(AK33:AK35)</f>
        <v>0</v>
      </c>
    </row>
    <row r="33" spans="1:74" ht="13.5" customHeight="1" x14ac:dyDescent="0.25">
      <c r="A33" s="10" t="s">
        <v>640</v>
      </c>
      <c r="B33" s="9" t="s">
        <v>439</v>
      </c>
      <c r="C33" s="9" t="s">
        <v>12</v>
      </c>
      <c r="D33" s="76" t="s">
        <v>919</v>
      </c>
      <c r="E33" s="77"/>
      <c r="F33" s="9" t="s">
        <v>1079</v>
      </c>
      <c r="G33" s="56">
        <f>'Stavební rozpočet'!G674</f>
        <v>2.052</v>
      </c>
      <c r="H33" s="56">
        <f>'Stavební rozpočet'!H674</f>
        <v>0</v>
      </c>
      <c r="I33" s="56">
        <f>G33*H33</f>
        <v>0</v>
      </c>
      <c r="J33" s="54" t="s">
        <v>501</v>
      </c>
      <c r="Y33" s="56">
        <f>IF(AP33="5",BI33,0)</f>
        <v>0</v>
      </c>
      <c r="AA33" s="56">
        <f>IF(AP33="1",BG33,0)</f>
        <v>0</v>
      </c>
      <c r="AB33" s="56">
        <f>IF(AP33="1",BH33,0)</f>
        <v>0</v>
      </c>
      <c r="AC33" s="56">
        <f>IF(AP33="7",BG33,0)</f>
        <v>0</v>
      </c>
      <c r="AD33" s="56">
        <f>IF(AP33="7",BH33,0)</f>
        <v>0</v>
      </c>
      <c r="AE33" s="56">
        <f>IF(AP33="2",BG33,0)</f>
        <v>0</v>
      </c>
      <c r="AF33" s="56">
        <f>IF(AP33="2",BH33,0)</f>
        <v>0</v>
      </c>
      <c r="AG33" s="56">
        <f>IF(AP33="0",BI33,0)</f>
        <v>0</v>
      </c>
      <c r="AH33" s="30" t="s">
        <v>439</v>
      </c>
      <c r="AI33" s="56">
        <f>IF(AM33=0,I33,0)</f>
        <v>0</v>
      </c>
      <c r="AJ33" s="56">
        <f>IF(AM33=15,I33,0)</f>
        <v>0</v>
      </c>
      <c r="AK33" s="56">
        <f>IF(AM33=21,I33,0)</f>
        <v>0</v>
      </c>
      <c r="AM33" s="56">
        <v>21</v>
      </c>
      <c r="AN33" s="56">
        <f>H33*0</f>
        <v>0</v>
      </c>
      <c r="AO33" s="56">
        <f>H33*(1-0)</f>
        <v>0</v>
      </c>
      <c r="AP33" s="41" t="s">
        <v>1109</v>
      </c>
      <c r="AU33" s="56">
        <f>AV33+AW33</f>
        <v>0</v>
      </c>
      <c r="AV33" s="56">
        <f>G33*AN33</f>
        <v>0</v>
      </c>
      <c r="AW33" s="56">
        <f>G33*AO33</f>
        <v>0</v>
      </c>
      <c r="AX33" s="41" t="s">
        <v>1028</v>
      </c>
      <c r="AY33" s="41" t="s">
        <v>164</v>
      </c>
      <c r="AZ33" s="30" t="s">
        <v>1236</v>
      </c>
      <c r="BB33" s="56">
        <f>AV33+AW33</f>
        <v>0</v>
      </c>
      <c r="BC33" s="56">
        <f>H33/(100-BD33)*100</f>
        <v>0</v>
      </c>
      <c r="BD33" s="56">
        <v>0</v>
      </c>
      <c r="BE33" s="56" t="e">
        <f>#REF!</f>
        <v>#REF!</v>
      </c>
      <c r="BG33" s="56">
        <f>G33*AN33</f>
        <v>0</v>
      </c>
      <c r="BH33" s="56">
        <f>G33*AO33</f>
        <v>0</v>
      </c>
      <c r="BI33" s="56">
        <f>G33*H33</f>
        <v>0</v>
      </c>
      <c r="BJ33" s="56"/>
      <c r="BK33" s="56">
        <v>16</v>
      </c>
      <c r="BV33" s="56">
        <v>21</v>
      </c>
    </row>
    <row r="34" spans="1:74" ht="15" customHeight="1" x14ac:dyDescent="0.25">
      <c r="A34" s="53"/>
      <c r="D34" s="52" t="s">
        <v>923</v>
      </c>
      <c r="E34" s="37" t="s">
        <v>711</v>
      </c>
      <c r="G34" s="21">
        <v>2.052</v>
      </c>
      <c r="J34" s="48"/>
    </row>
    <row r="35" spans="1:74" ht="13.5" customHeight="1" x14ac:dyDescent="0.25">
      <c r="A35" s="10" t="s">
        <v>917</v>
      </c>
      <c r="B35" s="9" t="s">
        <v>439</v>
      </c>
      <c r="C35" s="9" t="s">
        <v>521</v>
      </c>
      <c r="D35" s="76" t="s">
        <v>602</v>
      </c>
      <c r="E35" s="77"/>
      <c r="F35" s="9" t="s">
        <v>1079</v>
      </c>
      <c r="G35" s="56">
        <f>'Stavební rozpočet'!G676</f>
        <v>20.52</v>
      </c>
      <c r="H35" s="56">
        <f>'Stavební rozpočet'!H676</f>
        <v>0</v>
      </c>
      <c r="I35" s="56">
        <f>G35*H35</f>
        <v>0</v>
      </c>
      <c r="J35" s="54" t="s">
        <v>501</v>
      </c>
      <c r="Y35" s="56">
        <f>IF(AP35="5",BI35,0)</f>
        <v>0</v>
      </c>
      <c r="AA35" s="56">
        <f>IF(AP35="1",BG35,0)</f>
        <v>0</v>
      </c>
      <c r="AB35" s="56">
        <f>IF(AP35="1",BH35,0)</f>
        <v>0</v>
      </c>
      <c r="AC35" s="56">
        <f>IF(AP35="7",BG35,0)</f>
        <v>0</v>
      </c>
      <c r="AD35" s="56">
        <f>IF(AP35="7",BH35,0)</f>
        <v>0</v>
      </c>
      <c r="AE35" s="56">
        <f>IF(AP35="2",BG35,0)</f>
        <v>0</v>
      </c>
      <c r="AF35" s="56">
        <f>IF(AP35="2",BH35,0)</f>
        <v>0</v>
      </c>
      <c r="AG35" s="56">
        <f>IF(AP35="0",BI35,0)</f>
        <v>0</v>
      </c>
      <c r="AH35" s="30" t="s">
        <v>439</v>
      </c>
      <c r="AI35" s="56">
        <f>IF(AM35=0,I35,0)</f>
        <v>0</v>
      </c>
      <c r="AJ35" s="56">
        <f>IF(AM35=15,I35,0)</f>
        <v>0</v>
      </c>
      <c r="AK35" s="56">
        <f>IF(AM35=21,I35,0)</f>
        <v>0</v>
      </c>
      <c r="AM35" s="56">
        <v>21</v>
      </c>
      <c r="AN35" s="56">
        <f>H35*0</f>
        <v>0</v>
      </c>
      <c r="AO35" s="56">
        <f>H35*(1-0)</f>
        <v>0</v>
      </c>
      <c r="AP35" s="41" t="s">
        <v>1109</v>
      </c>
      <c r="AU35" s="56">
        <f>AV35+AW35</f>
        <v>0</v>
      </c>
      <c r="AV35" s="56">
        <f>G35*AN35</f>
        <v>0</v>
      </c>
      <c r="AW35" s="56">
        <f>G35*AO35</f>
        <v>0</v>
      </c>
      <c r="AX35" s="41" t="s">
        <v>1028</v>
      </c>
      <c r="AY35" s="41" t="s">
        <v>164</v>
      </c>
      <c r="AZ35" s="30" t="s">
        <v>1236</v>
      </c>
      <c r="BB35" s="56">
        <f>AV35+AW35</f>
        <v>0</v>
      </c>
      <c r="BC35" s="56">
        <f>H35/(100-BD35)*100</f>
        <v>0</v>
      </c>
      <c r="BD35" s="56">
        <v>0</v>
      </c>
      <c r="BE35" s="56" t="e">
        <f>#REF!</f>
        <v>#REF!</v>
      </c>
      <c r="BG35" s="56">
        <f>G35*AN35</f>
        <v>0</v>
      </c>
      <c r="BH35" s="56">
        <f>G35*AO35</f>
        <v>0</v>
      </c>
      <c r="BI35" s="56">
        <f>G35*H35</f>
        <v>0</v>
      </c>
      <c r="BJ35" s="56"/>
      <c r="BK35" s="56">
        <v>16</v>
      </c>
      <c r="BV35" s="56">
        <v>21</v>
      </c>
    </row>
    <row r="36" spans="1:74" ht="15" customHeight="1" x14ac:dyDescent="0.25">
      <c r="A36" s="53"/>
      <c r="D36" s="52" t="s">
        <v>907</v>
      </c>
      <c r="E36" s="37" t="s">
        <v>446</v>
      </c>
      <c r="G36" s="21">
        <v>20.520000000000003</v>
      </c>
      <c r="J36" s="48"/>
    </row>
    <row r="37" spans="1:74" ht="15" customHeight="1" x14ac:dyDescent="0.25">
      <c r="A37" s="27" t="s">
        <v>769</v>
      </c>
      <c r="B37" s="28" t="s">
        <v>439</v>
      </c>
      <c r="C37" s="28" t="s">
        <v>774</v>
      </c>
      <c r="D37" s="132" t="s">
        <v>150</v>
      </c>
      <c r="E37" s="133"/>
      <c r="F37" s="23" t="s">
        <v>1027</v>
      </c>
      <c r="G37" s="23" t="s">
        <v>1027</v>
      </c>
      <c r="H37" s="23" t="s">
        <v>1027</v>
      </c>
      <c r="I37" s="14">
        <f>SUM(I38:I40)</f>
        <v>0</v>
      </c>
      <c r="J37" s="44" t="s">
        <v>769</v>
      </c>
      <c r="AH37" s="30" t="s">
        <v>439</v>
      </c>
      <c r="AR37" s="14">
        <f>SUM(AI38:AI40)</f>
        <v>0</v>
      </c>
      <c r="AS37" s="14">
        <f>SUM(AJ38:AJ40)</f>
        <v>0</v>
      </c>
      <c r="AT37" s="14">
        <f>SUM(AK38:AK40)</f>
        <v>0</v>
      </c>
    </row>
    <row r="38" spans="1:74" ht="13.5" customHeight="1" x14ac:dyDescent="0.25">
      <c r="A38" s="10" t="s">
        <v>815</v>
      </c>
      <c r="B38" s="9" t="s">
        <v>439</v>
      </c>
      <c r="C38" s="9" t="s">
        <v>356</v>
      </c>
      <c r="D38" s="76" t="s">
        <v>1089</v>
      </c>
      <c r="E38" s="77"/>
      <c r="F38" s="9" t="s">
        <v>1079</v>
      </c>
      <c r="G38" s="56">
        <f>'Stavební rozpočet'!G679</f>
        <v>2.052</v>
      </c>
      <c r="H38" s="56">
        <f>'Stavební rozpočet'!H679</f>
        <v>0</v>
      </c>
      <c r="I38" s="56">
        <f>G38*H38</f>
        <v>0</v>
      </c>
      <c r="J38" s="54" t="s">
        <v>501</v>
      </c>
      <c r="Y38" s="56">
        <f>IF(AP38="5",BI38,0)</f>
        <v>0</v>
      </c>
      <c r="AA38" s="56">
        <f>IF(AP38="1",BG38,0)</f>
        <v>0</v>
      </c>
      <c r="AB38" s="56">
        <f>IF(AP38="1",BH38,0)</f>
        <v>0</v>
      </c>
      <c r="AC38" s="56">
        <f>IF(AP38="7",BG38,0)</f>
        <v>0</v>
      </c>
      <c r="AD38" s="56">
        <f>IF(AP38="7",BH38,0)</f>
        <v>0</v>
      </c>
      <c r="AE38" s="56">
        <f>IF(AP38="2",BG38,0)</f>
        <v>0</v>
      </c>
      <c r="AF38" s="56">
        <f>IF(AP38="2",BH38,0)</f>
        <v>0</v>
      </c>
      <c r="AG38" s="56">
        <f>IF(AP38="0",BI38,0)</f>
        <v>0</v>
      </c>
      <c r="AH38" s="30" t="s">
        <v>439</v>
      </c>
      <c r="AI38" s="56">
        <f>IF(AM38=0,I38,0)</f>
        <v>0</v>
      </c>
      <c r="AJ38" s="56">
        <f>IF(AM38=15,I38,0)</f>
        <v>0</v>
      </c>
      <c r="AK38" s="56">
        <f>IF(AM38=21,I38,0)</f>
        <v>0</v>
      </c>
      <c r="AM38" s="56">
        <v>21</v>
      </c>
      <c r="AN38" s="56">
        <f>H38*0</f>
        <v>0</v>
      </c>
      <c r="AO38" s="56">
        <f>H38*(1-0)</f>
        <v>0</v>
      </c>
      <c r="AP38" s="41" t="s">
        <v>1109</v>
      </c>
      <c r="AU38" s="56">
        <f>AV38+AW38</f>
        <v>0</v>
      </c>
      <c r="AV38" s="56">
        <f>G38*AN38</f>
        <v>0</v>
      </c>
      <c r="AW38" s="56">
        <f>G38*AO38</f>
        <v>0</v>
      </c>
      <c r="AX38" s="41" t="s">
        <v>223</v>
      </c>
      <c r="AY38" s="41" t="s">
        <v>164</v>
      </c>
      <c r="AZ38" s="30" t="s">
        <v>1236</v>
      </c>
      <c r="BB38" s="56">
        <f>AV38+AW38</f>
        <v>0</v>
      </c>
      <c r="BC38" s="56">
        <f>H38/(100-BD38)*100</f>
        <v>0</v>
      </c>
      <c r="BD38" s="56">
        <v>0</v>
      </c>
      <c r="BE38" s="56" t="e">
        <f>#REF!</f>
        <v>#REF!</v>
      </c>
      <c r="BG38" s="56">
        <f>G38*AN38</f>
        <v>0</v>
      </c>
      <c r="BH38" s="56">
        <f>G38*AO38</f>
        <v>0</v>
      </c>
      <c r="BI38" s="56">
        <f>G38*H38</f>
        <v>0</v>
      </c>
      <c r="BJ38" s="56"/>
      <c r="BK38" s="56">
        <v>17</v>
      </c>
      <c r="BV38" s="56">
        <v>21</v>
      </c>
    </row>
    <row r="39" spans="1:74" ht="27" customHeight="1" x14ac:dyDescent="0.25">
      <c r="A39" s="10" t="s">
        <v>333</v>
      </c>
      <c r="B39" s="9" t="s">
        <v>439</v>
      </c>
      <c r="C39" s="9" t="s">
        <v>756</v>
      </c>
      <c r="D39" s="76" t="s">
        <v>1192</v>
      </c>
      <c r="E39" s="77"/>
      <c r="F39" s="9" t="s">
        <v>1079</v>
      </c>
      <c r="G39" s="56">
        <f>'Stavební rozpočet'!G680</f>
        <v>2.052</v>
      </c>
      <c r="H39" s="56">
        <f>'Stavební rozpočet'!H680</f>
        <v>0</v>
      </c>
      <c r="I39" s="56">
        <f>G39*H39</f>
        <v>0</v>
      </c>
      <c r="J39" s="54" t="s">
        <v>501</v>
      </c>
      <c r="Y39" s="56">
        <f>IF(AP39="5",BI39,0)</f>
        <v>0</v>
      </c>
      <c r="AA39" s="56">
        <f>IF(AP39="1",BG39,0)</f>
        <v>0</v>
      </c>
      <c r="AB39" s="56">
        <f>IF(AP39="1",BH39,0)</f>
        <v>0</v>
      </c>
      <c r="AC39" s="56">
        <f>IF(AP39="7",BG39,0)</f>
        <v>0</v>
      </c>
      <c r="AD39" s="56">
        <f>IF(AP39="7",BH39,0)</f>
        <v>0</v>
      </c>
      <c r="AE39" s="56">
        <f>IF(AP39="2",BG39,0)</f>
        <v>0</v>
      </c>
      <c r="AF39" s="56">
        <f>IF(AP39="2",BH39,0)</f>
        <v>0</v>
      </c>
      <c r="AG39" s="56">
        <f>IF(AP39="0",BI39,0)</f>
        <v>0</v>
      </c>
      <c r="AH39" s="30" t="s">
        <v>439</v>
      </c>
      <c r="AI39" s="56">
        <f>IF(AM39=0,I39,0)</f>
        <v>0</v>
      </c>
      <c r="AJ39" s="56">
        <f>IF(AM39=15,I39,0)</f>
        <v>0</v>
      </c>
      <c r="AK39" s="56">
        <f>IF(AM39=21,I39,0)</f>
        <v>0</v>
      </c>
      <c r="AM39" s="56">
        <v>21</v>
      </c>
      <c r="AN39" s="56">
        <f>H39*0</f>
        <v>0</v>
      </c>
      <c r="AO39" s="56">
        <f>H39*(1-0)</f>
        <v>0</v>
      </c>
      <c r="AP39" s="41" t="s">
        <v>1109</v>
      </c>
      <c r="AU39" s="56">
        <f>AV39+AW39</f>
        <v>0</v>
      </c>
      <c r="AV39" s="56">
        <f>G39*AN39</f>
        <v>0</v>
      </c>
      <c r="AW39" s="56">
        <f>G39*AO39</f>
        <v>0</v>
      </c>
      <c r="AX39" s="41" t="s">
        <v>223</v>
      </c>
      <c r="AY39" s="41" t="s">
        <v>164</v>
      </c>
      <c r="AZ39" s="30" t="s">
        <v>1236</v>
      </c>
      <c r="BB39" s="56">
        <f>AV39+AW39</f>
        <v>0</v>
      </c>
      <c r="BC39" s="56">
        <f>H39/(100-BD39)*100</f>
        <v>0</v>
      </c>
      <c r="BD39" s="56">
        <v>0</v>
      </c>
      <c r="BE39" s="56" t="e">
        <f>#REF!</f>
        <v>#REF!</v>
      </c>
      <c r="BG39" s="56">
        <f>G39*AN39</f>
        <v>0</v>
      </c>
      <c r="BH39" s="56">
        <f>G39*AO39</f>
        <v>0</v>
      </c>
      <c r="BI39" s="56">
        <f>G39*H39</f>
        <v>0</v>
      </c>
      <c r="BJ39" s="56"/>
      <c r="BK39" s="56">
        <v>17</v>
      </c>
      <c r="BV39" s="56">
        <v>21</v>
      </c>
    </row>
    <row r="40" spans="1:74" ht="13.5" customHeight="1" x14ac:dyDescent="0.25">
      <c r="A40" s="10" t="s">
        <v>654</v>
      </c>
      <c r="B40" s="9" t="s">
        <v>439</v>
      </c>
      <c r="C40" s="9" t="s">
        <v>969</v>
      </c>
      <c r="D40" s="76" t="s">
        <v>39</v>
      </c>
      <c r="E40" s="77"/>
      <c r="F40" s="9" t="s">
        <v>1079</v>
      </c>
      <c r="G40" s="56">
        <f>'Stavební rozpočet'!G681</f>
        <v>3.6480000000000001</v>
      </c>
      <c r="H40" s="56">
        <f>'Stavební rozpočet'!H681</f>
        <v>0</v>
      </c>
      <c r="I40" s="56">
        <f>G40*H40</f>
        <v>0</v>
      </c>
      <c r="J40" s="54" t="s">
        <v>501</v>
      </c>
      <c r="Y40" s="56">
        <f>IF(AP40="5",BI40,0)</f>
        <v>0</v>
      </c>
      <c r="AA40" s="56">
        <f>IF(AP40="1",BG40,0)</f>
        <v>0</v>
      </c>
      <c r="AB40" s="56">
        <f>IF(AP40="1",BH40,0)</f>
        <v>0</v>
      </c>
      <c r="AC40" s="56">
        <f>IF(AP40="7",BG40,0)</f>
        <v>0</v>
      </c>
      <c r="AD40" s="56">
        <f>IF(AP40="7",BH40,0)</f>
        <v>0</v>
      </c>
      <c r="AE40" s="56">
        <f>IF(AP40="2",BG40,0)</f>
        <v>0</v>
      </c>
      <c r="AF40" s="56">
        <f>IF(AP40="2",BH40,0)</f>
        <v>0</v>
      </c>
      <c r="AG40" s="56">
        <f>IF(AP40="0",BI40,0)</f>
        <v>0</v>
      </c>
      <c r="AH40" s="30" t="s">
        <v>439</v>
      </c>
      <c r="AI40" s="56">
        <f>IF(AM40=0,I40,0)</f>
        <v>0</v>
      </c>
      <c r="AJ40" s="56">
        <f>IF(AM40=15,I40,0)</f>
        <v>0</v>
      </c>
      <c r="AK40" s="56">
        <f>IF(AM40=21,I40,0)</f>
        <v>0</v>
      </c>
      <c r="AM40" s="56">
        <v>21</v>
      </c>
      <c r="AN40" s="56">
        <f>H40*0.517507453625632</f>
        <v>0</v>
      </c>
      <c r="AO40" s="56">
        <f>H40*(1-0.517507453625632)</f>
        <v>0</v>
      </c>
      <c r="AP40" s="41" t="s">
        <v>1109</v>
      </c>
      <c r="AU40" s="56">
        <f>AV40+AW40</f>
        <v>0</v>
      </c>
      <c r="AV40" s="56">
        <f>G40*AN40</f>
        <v>0</v>
      </c>
      <c r="AW40" s="56">
        <f>G40*AO40</f>
        <v>0</v>
      </c>
      <c r="AX40" s="41" t="s">
        <v>223</v>
      </c>
      <c r="AY40" s="41" t="s">
        <v>164</v>
      </c>
      <c r="AZ40" s="30" t="s">
        <v>1236</v>
      </c>
      <c r="BB40" s="56">
        <f>AV40+AW40</f>
        <v>0</v>
      </c>
      <c r="BC40" s="56">
        <f>H40/(100-BD40)*100</f>
        <v>0</v>
      </c>
      <c r="BD40" s="56">
        <v>0</v>
      </c>
      <c r="BE40" s="56" t="e">
        <f>#REF!</f>
        <v>#REF!</v>
      </c>
      <c r="BG40" s="56">
        <f>G40*AN40</f>
        <v>0</v>
      </c>
      <c r="BH40" s="56">
        <f>G40*AO40</f>
        <v>0</v>
      </c>
      <c r="BI40" s="56">
        <f>G40*H40</f>
        <v>0</v>
      </c>
      <c r="BJ40" s="56"/>
      <c r="BK40" s="56">
        <v>17</v>
      </c>
      <c r="BV40" s="56">
        <v>21</v>
      </c>
    </row>
    <row r="41" spans="1:74" ht="13.5" customHeight="1" x14ac:dyDescent="0.25">
      <c r="A41" s="53"/>
      <c r="C41" s="66" t="s">
        <v>578</v>
      </c>
      <c r="D41" s="137" t="s">
        <v>0</v>
      </c>
      <c r="E41" s="138"/>
      <c r="F41" s="138"/>
      <c r="G41" s="138"/>
      <c r="H41" s="138"/>
      <c r="I41" s="138"/>
      <c r="J41" s="139"/>
    </row>
    <row r="42" spans="1:74" ht="15" customHeight="1" x14ac:dyDescent="0.25">
      <c r="A42" s="27" t="s">
        <v>769</v>
      </c>
      <c r="B42" s="28" t="s">
        <v>439</v>
      </c>
      <c r="C42" s="28" t="s">
        <v>882</v>
      </c>
      <c r="D42" s="132" t="s">
        <v>1127</v>
      </c>
      <c r="E42" s="133"/>
      <c r="F42" s="23" t="s">
        <v>1027</v>
      </c>
      <c r="G42" s="23" t="s">
        <v>1027</v>
      </c>
      <c r="H42" s="23" t="s">
        <v>1027</v>
      </c>
      <c r="I42" s="14">
        <f>SUM(I43:I44)</f>
        <v>0</v>
      </c>
      <c r="J42" s="44" t="s">
        <v>769</v>
      </c>
      <c r="AH42" s="30" t="s">
        <v>439</v>
      </c>
      <c r="AR42" s="14">
        <f>SUM(AI43:AI44)</f>
        <v>0</v>
      </c>
      <c r="AS42" s="14">
        <f>SUM(AJ43:AJ44)</f>
        <v>0</v>
      </c>
      <c r="AT42" s="14">
        <f>SUM(AK43:AK44)</f>
        <v>0</v>
      </c>
    </row>
    <row r="43" spans="1:74" ht="13.5" customHeight="1" x14ac:dyDescent="0.25">
      <c r="A43" s="10" t="s">
        <v>442</v>
      </c>
      <c r="B43" s="9" t="s">
        <v>439</v>
      </c>
      <c r="C43" s="9" t="s">
        <v>803</v>
      </c>
      <c r="D43" s="76" t="s">
        <v>134</v>
      </c>
      <c r="E43" s="77"/>
      <c r="F43" s="9" t="s">
        <v>1095</v>
      </c>
      <c r="G43" s="56">
        <f>'Stavební rozpočet'!G684</f>
        <v>20</v>
      </c>
      <c r="H43" s="56">
        <f>'Stavební rozpočet'!H684</f>
        <v>0</v>
      </c>
      <c r="I43" s="56">
        <f>G43*H43</f>
        <v>0</v>
      </c>
      <c r="J43" s="54" t="s">
        <v>501</v>
      </c>
      <c r="Y43" s="56">
        <f>IF(AP43="5",BI43,0)</f>
        <v>0</v>
      </c>
      <c r="AA43" s="56">
        <f>IF(AP43="1",BG43,0)</f>
        <v>0</v>
      </c>
      <c r="AB43" s="56">
        <f>IF(AP43="1",BH43,0)</f>
        <v>0</v>
      </c>
      <c r="AC43" s="56">
        <f>IF(AP43="7",BG43,0)</f>
        <v>0</v>
      </c>
      <c r="AD43" s="56">
        <f>IF(AP43="7",BH43,0)</f>
        <v>0</v>
      </c>
      <c r="AE43" s="56">
        <f>IF(AP43="2",BG43,0)</f>
        <v>0</v>
      </c>
      <c r="AF43" s="56">
        <f>IF(AP43="2",BH43,0)</f>
        <v>0</v>
      </c>
      <c r="AG43" s="56">
        <f>IF(AP43="0",BI43,0)</f>
        <v>0</v>
      </c>
      <c r="AH43" s="30" t="s">
        <v>439</v>
      </c>
      <c r="AI43" s="56">
        <f>IF(AM43=0,I43,0)</f>
        <v>0</v>
      </c>
      <c r="AJ43" s="56">
        <f>IF(AM43=15,I43,0)</f>
        <v>0</v>
      </c>
      <c r="AK43" s="56">
        <f>IF(AM43=21,I43,0)</f>
        <v>0</v>
      </c>
      <c r="AM43" s="56">
        <v>21</v>
      </c>
      <c r="AN43" s="56">
        <f>H43*0</f>
        <v>0</v>
      </c>
      <c r="AO43" s="56">
        <f>H43*(1-0)</f>
        <v>0</v>
      </c>
      <c r="AP43" s="41" t="s">
        <v>1109</v>
      </c>
      <c r="AU43" s="56">
        <f>AV43+AW43</f>
        <v>0</v>
      </c>
      <c r="AV43" s="56">
        <f>G43*AN43</f>
        <v>0</v>
      </c>
      <c r="AW43" s="56">
        <f>G43*AO43</f>
        <v>0</v>
      </c>
      <c r="AX43" s="41" t="s">
        <v>557</v>
      </c>
      <c r="AY43" s="41" t="s">
        <v>164</v>
      </c>
      <c r="AZ43" s="30" t="s">
        <v>1236</v>
      </c>
      <c r="BB43" s="56">
        <f>AV43+AW43</f>
        <v>0</v>
      </c>
      <c r="BC43" s="56">
        <f>H43/(100-BD43)*100</f>
        <v>0</v>
      </c>
      <c r="BD43" s="56">
        <v>0</v>
      </c>
      <c r="BE43" s="56" t="e">
        <f>#REF!</f>
        <v>#REF!</v>
      </c>
      <c r="BG43" s="56">
        <f>G43*AN43</f>
        <v>0</v>
      </c>
      <c r="BH43" s="56">
        <f>G43*AO43</f>
        <v>0</v>
      </c>
      <c r="BI43" s="56">
        <f>G43*H43</f>
        <v>0</v>
      </c>
      <c r="BJ43" s="56"/>
      <c r="BK43" s="56">
        <v>18</v>
      </c>
      <c r="BV43" s="56">
        <v>21</v>
      </c>
    </row>
    <row r="44" spans="1:74" ht="13.5" customHeight="1" x14ac:dyDescent="0.25">
      <c r="A44" s="10" t="s">
        <v>107</v>
      </c>
      <c r="B44" s="9" t="s">
        <v>439</v>
      </c>
      <c r="C44" s="9" t="s">
        <v>1102</v>
      </c>
      <c r="D44" s="76" t="s">
        <v>4</v>
      </c>
      <c r="E44" s="77"/>
      <c r="F44" s="9" t="s">
        <v>1095</v>
      </c>
      <c r="G44" s="56">
        <f>'Stavební rozpočet'!G685</f>
        <v>20</v>
      </c>
      <c r="H44" s="56">
        <f>'Stavební rozpočet'!H685</f>
        <v>0</v>
      </c>
      <c r="I44" s="56">
        <f>G44*H44</f>
        <v>0</v>
      </c>
      <c r="J44" s="54" t="s">
        <v>501</v>
      </c>
      <c r="Y44" s="56">
        <f>IF(AP44="5",BI44,0)</f>
        <v>0</v>
      </c>
      <c r="AA44" s="56">
        <f>IF(AP44="1",BG44,0)</f>
        <v>0</v>
      </c>
      <c r="AB44" s="56">
        <f>IF(AP44="1",BH44,0)</f>
        <v>0</v>
      </c>
      <c r="AC44" s="56">
        <f>IF(AP44="7",BG44,0)</f>
        <v>0</v>
      </c>
      <c r="AD44" s="56">
        <f>IF(AP44="7",BH44,0)</f>
        <v>0</v>
      </c>
      <c r="AE44" s="56">
        <f>IF(AP44="2",BG44,0)</f>
        <v>0</v>
      </c>
      <c r="AF44" s="56">
        <f>IF(AP44="2",BH44,0)</f>
        <v>0</v>
      </c>
      <c r="AG44" s="56">
        <f>IF(AP44="0",BI44,0)</f>
        <v>0</v>
      </c>
      <c r="AH44" s="30" t="s">
        <v>439</v>
      </c>
      <c r="AI44" s="56">
        <f>IF(AM44=0,I44,0)</f>
        <v>0</v>
      </c>
      <c r="AJ44" s="56">
        <f>IF(AM44=15,I44,0)</f>
        <v>0</v>
      </c>
      <c r="AK44" s="56">
        <f>IF(AM44=21,I44,0)</f>
        <v>0</v>
      </c>
      <c r="AM44" s="56">
        <v>21</v>
      </c>
      <c r="AN44" s="56">
        <f>H44*0.21166813251246</f>
        <v>0</v>
      </c>
      <c r="AO44" s="56">
        <f>H44*(1-0.21166813251246)</f>
        <v>0</v>
      </c>
      <c r="AP44" s="41" t="s">
        <v>1109</v>
      </c>
      <c r="AU44" s="56">
        <f>AV44+AW44</f>
        <v>0</v>
      </c>
      <c r="AV44" s="56">
        <f>G44*AN44</f>
        <v>0</v>
      </c>
      <c r="AW44" s="56">
        <f>G44*AO44</f>
        <v>0</v>
      </c>
      <c r="AX44" s="41" t="s">
        <v>557</v>
      </c>
      <c r="AY44" s="41" t="s">
        <v>164</v>
      </c>
      <c r="AZ44" s="30" t="s">
        <v>1236</v>
      </c>
      <c r="BB44" s="56">
        <f>AV44+AW44</f>
        <v>0</v>
      </c>
      <c r="BC44" s="56">
        <f>H44/(100-BD44)*100</f>
        <v>0</v>
      </c>
      <c r="BD44" s="56">
        <v>0</v>
      </c>
      <c r="BE44" s="56" t="e">
        <f>#REF!</f>
        <v>#REF!</v>
      </c>
      <c r="BG44" s="56">
        <f>G44*AN44</f>
        <v>0</v>
      </c>
      <c r="BH44" s="56">
        <f>G44*AO44</f>
        <v>0</v>
      </c>
      <c r="BI44" s="56">
        <f>G44*H44</f>
        <v>0</v>
      </c>
      <c r="BJ44" s="56"/>
      <c r="BK44" s="56">
        <v>18</v>
      </c>
      <c r="BV44" s="56">
        <v>21</v>
      </c>
    </row>
    <row r="45" spans="1:74" ht="15" customHeight="1" x14ac:dyDescent="0.25">
      <c r="A45" s="27" t="s">
        <v>769</v>
      </c>
      <c r="B45" s="28" t="s">
        <v>439</v>
      </c>
      <c r="C45" s="28" t="s">
        <v>393</v>
      </c>
      <c r="D45" s="132" t="s">
        <v>860</v>
      </c>
      <c r="E45" s="133"/>
      <c r="F45" s="23" t="s">
        <v>1027</v>
      </c>
      <c r="G45" s="23" t="s">
        <v>1027</v>
      </c>
      <c r="H45" s="23" t="s">
        <v>1027</v>
      </c>
      <c r="I45" s="14">
        <f>SUM(I46:I46)</f>
        <v>0</v>
      </c>
      <c r="J45" s="44" t="s">
        <v>769</v>
      </c>
      <c r="AH45" s="30" t="s">
        <v>439</v>
      </c>
      <c r="AR45" s="14">
        <f>SUM(AI46:AI46)</f>
        <v>0</v>
      </c>
      <c r="AS45" s="14">
        <f>SUM(AJ46:AJ46)</f>
        <v>0</v>
      </c>
      <c r="AT45" s="14">
        <f>SUM(AK46:AK46)</f>
        <v>0</v>
      </c>
    </row>
    <row r="46" spans="1:74" ht="13.5" customHeight="1" x14ac:dyDescent="0.25">
      <c r="A46" s="10" t="s">
        <v>774</v>
      </c>
      <c r="B46" s="9" t="s">
        <v>439</v>
      </c>
      <c r="C46" s="9" t="s">
        <v>1039</v>
      </c>
      <c r="D46" s="76" t="s">
        <v>335</v>
      </c>
      <c r="E46" s="77"/>
      <c r="F46" s="9" t="s">
        <v>1079</v>
      </c>
      <c r="G46" s="56">
        <f>'Stavební rozpočet'!G687</f>
        <v>0.15</v>
      </c>
      <c r="H46" s="56">
        <f>'Stavební rozpočet'!H687</f>
        <v>0</v>
      </c>
      <c r="I46" s="56">
        <f>G46*H46</f>
        <v>0</v>
      </c>
      <c r="J46" s="54" t="s">
        <v>501</v>
      </c>
      <c r="Y46" s="56">
        <f>IF(AP46="5",BI46,0)</f>
        <v>0</v>
      </c>
      <c r="AA46" s="56">
        <f>IF(AP46="1",BG46,0)</f>
        <v>0</v>
      </c>
      <c r="AB46" s="56">
        <f>IF(AP46="1",BH46,0)</f>
        <v>0</v>
      </c>
      <c r="AC46" s="56">
        <f>IF(AP46="7",BG46,0)</f>
        <v>0</v>
      </c>
      <c r="AD46" s="56">
        <f>IF(AP46="7",BH46,0)</f>
        <v>0</v>
      </c>
      <c r="AE46" s="56">
        <f>IF(AP46="2",BG46,0)</f>
        <v>0</v>
      </c>
      <c r="AF46" s="56">
        <f>IF(AP46="2",BH46,0)</f>
        <v>0</v>
      </c>
      <c r="AG46" s="56">
        <f>IF(AP46="0",BI46,0)</f>
        <v>0</v>
      </c>
      <c r="AH46" s="30" t="s">
        <v>439</v>
      </c>
      <c r="AI46" s="56">
        <f>IF(AM46=0,I46,0)</f>
        <v>0</v>
      </c>
      <c r="AJ46" s="56">
        <f>IF(AM46=15,I46,0)</f>
        <v>0</v>
      </c>
      <c r="AK46" s="56">
        <f>IF(AM46=21,I46,0)</f>
        <v>0</v>
      </c>
      <c r="AM46" s="56">
        <v>21</v>
      </c>
      <c r="AN46" s="56">
        <f>H46*0.464047844623401</f>
        <v>0</v>
      </c>
      <c r="AO46" s="56">
        <f>H46*(1-0.464047844623401)</f>
        <v>0</v>
      </c>
      <c r="AP46" s="41" t="s">
        <v>1109</v>
      </c>
      <c r="AU46" s="56">
        <f>AV46+AW46</f>
        <v>0</v>
      </c>
      <c r="AV46" s="56">
        <f>G46*AN46</f>
        <v>0</v>
      </c>
      <c r="AW46" s="56">
        <f>G46*AO46</f>
        <v>0</v>
      </c>
      <c r="AX46" s="41" t="s">
        <v>547</v>
      </c>
      <c r="AY46" s="41" t="s">
        <v>278</v>
      </c>
      <c r="AZ46" s="30" t="s">
        <v>1236</v>
      </c>
      <c r="BB46" s="56">
        <f>AV46+AW46</f>
        <v>0</v>
      </c>
      <c r="BC46" s="56">
        <f>H46/(100-BD46)*100</f>
        <v>0</v>
      </c>
      <c r="BD46" s="56">
        <v>0</v>
      </c>
      <c r="BE46" s="56" t="e">
        <f>#REF!</f>
        <v>#REF!</v>
      </c>
      <c r="BG46" s="56">
        <f>G46*AN46</f>
        <v>0</v>
      </c>
      <c r="BH46" s="56">
        <f>G46*AO46</f>
        <v>0</v>
      </c>
      <c r="BI46" s="56">
        <f>G46*H46</f>
        <v>0</v>
      </c>
      <c r="BJ46" s="56"/>
      <c r="BK46" s="56">
        <v>45</v>
      </c>
      <c r="BV46" s="56">
        <v>21</v>
      </c>
    </row>
    <row r="47" spans="1:74" ht="13.5" customHeight="1" x14ac:dyDescent="0.25">
      <c r="A47" s="53"/>
      <c r="C47" s="66" t="s">
        <v>578</v>
      </c>
      <c r="D47" s="137" t="s">
        <v>304</v>
      </c>
      <c r="E47" s="138"/>
      <c r="F47" s="138"/>
      <c r="G47" s="138"/>
      <c r="H47" s="138"/>
      <c r="I47" s="138"/>
      <c r="J47" s="139"/>
    </row>
    <row r="48" spans="1:74" ht="15" customHeight="1" x14ac:dyDescent="0.25">
      <c r="A48" s="53"/>
      <c r="D48" s="52" t="s">
        <v>102</v>
      </c>
      <c r="E48" s="37" t="s">
        <v>769</v>
      </c>
      <c r="G48" s="21">
        <v>0.15000000000000002</v>
      </c>
      <c r="J48" s="48"/>
    </row>
    <row r="49" spans="1:74" ht="15" customHeight="1" x14ac:dyDescent="0.25">
      <c r="A49" s="27" t="s">
        <v>769</v>
      </c>
      <c r="B49" s="28" t="s">
        <v>439</v>
      </c>
      <c r="C49" s="28" t="s">
        <v>1003</v>
      </c>
      <c r="D49" s="132" t="s">
        <v>682</v>
      </c>
      <c r="E49" s="133"/>
      <c r="F49" s="23" t="s">
        <v>1027</v>
      </c>
      <c r="G49" s="23" t="s">
        <v>1027</v>
      </c>
      <c r="H49" s="23" t="s">
        <v>1027</v>
      </c>
      <c r="I49" s="14">
        <f>SUM(I50:I50)</f>
        <v>0</v>
      </c>
      <c r="J49" s="44" t="s">
        <v>769</v>
      </c>
      <c r="AH49" s="30" t="s">
        <v>439</v>
      </c>
      <c r="AR49" s="14">
        <f>SUM(AI50:AI50)</f>
        <v>0</v>
      </c>
      <c r="AS49" s="14">
        <f>SUM(AJ50:AJ50)</f>
        <v>0</v>
      </c>
      <c r="AT49" s="14">
        <f>SUM(AK50:AK50)</f>
        <v>0</v>
      </c>
    </row>
    <row r="50" spans="1:74" ht="13.5" customHeight="1" x14ac:dyDescent="0.25">
      <c r="A50" s="10" t="s">
        <v>882</v>
      </c>
      <c r="B50" s="9" t="s">
        <v>439</v>
      </c>
      <c r="C50" s="9" t="s">
        <v>498</v>
      </c>
      <c r="D50" s="76" t="s">
        <v>562</v>
      </c>
      <c r="E50" s="77"/>
      <c r="F50" s="9" t="s">
        <v>275</v>
      </c>
      <c r="G50" s="56">
        <f>'Stavební rozpočet'!G691</f>
        <v>1</v>
      </c>
      <c r="H50" s="56">
        <f>'Stavební rozpočet'!H691</f>
        <v>0</v>
      </c>
      <c r="I50" s="56">
        <f>G50*H50</f>
        <v>0</v>
      </c>
      <c r="J50" s="54" t="s">
        <v>501</v>
      </c>
      <c r="Y50" s="56">
        <f>IF(AP50="5",BI50,0)</f>
        <v>0</v>
      </c>
      <c r="AA50" s="56">
        <f>IF(AP50="1",BG50,0)</f>
        <v>0</v>
      </c>
      <c r="AB50" s="56">
        <f>IF(AP50="1",BH50,0)</f>
        <v>0</v>
      </c>
      <c r="AC50" s="56">
        <f>IF(AP50="7",BG50,0)</f>
        <v>0</v>
      </c>
      <c r="AD50" s="56">
        <f>IF(AP50="7",BH50,0)</f>
        <v>0</v>
      </c>
      <c r="AE50" s="56">
        <f>IF(AP50="2",BG50,0)</f>
        <v>0</v>
      </c>
      <c r="AF50" s="56">
        <f>IF(AP50="2",BH50,0)</f>
        <v>0</v>
      </c>
      <c r="AG50" s="56">
        <f>IF(AP50="0",BI50,0)</f>
        <v>0</v>
      </c>
      <c r="AH50" s="30" t="s">
        <v>439</v>
      </c>
      <c r="AI50" s="56">
        <f>IF(AM50=0,I50,0)</f>
        <v>0</v>
      </c>
      <c r="AJ50" s="56">
        <f>IF(AM50=15,I50,0)</f>
        <v>0</v>
      </c>
      <c r="AK50" s="56">
        <f>IF(AM50=21,I50,0)</f>
        <v>0</v>
      </c>
      <c r="AM50" s="56">
        <v>21</v>
      </c>
      <c r="AN50" s="56">
        <f>H50*0.976790134141064</f>
        <v>0</v>
      </c>
      <c r="AO50" s="56">
        <f>H50*(1-0.976790134141064)</f>
        <v>0</v>
      </c>
      <c r="AP50" s="41" t="s">
        <v>1114</v>
      </c>
      <c r="AU50" s="56">
        <f>AV50+AW50</f>
        <v>0</v>
      </c>
      <c r="AV50" s="56">
        <f>G50*AN50</f>
        <v>0</v>
      </c>
      <c r="AW50" s="56">
        <f>G50*AO50</f>
        <v>0</v>
      </c>
      <c r="AX50" s="41" t="s">
        <v>702</v>
      </c>
      <c r="AY50" s="41" t="s">
        <v>241</v>
      </c>
      <c r="AZ50" s="30" t="s">
        <v>1236</v>
      </c>
      <c r="BB50" s="56">
        <f>AV50+AW50</f>
        <v>0</v>
      </c>
      <c r="BC50" s="56">
        <f>H50/(100-BD50)*100</f>
        <v>0</v>
      </c>
      <c r="BD50" s="56">
        <v>0</v>
      </c>
      <c r="BE50" s="56" t="e">
        <f>#REF!</f>
        <v>#REF!</v>
      </c>
      <c r="BG50" s="56">
        <f>G50*AN50</f>
        <v>0</v>
      </c>
      <c r="BH50" s="56">
        <f>G50*AO50</f>
        <v>0</v>
      </c>
      <c r="BI50" s="56">
        <f>G50*H50</f>
        <v>0</v>
      </c>
      <c r="BJ50" s="56"/>
      <c r="BK50" s="56">
        <v>722</v>
      </c>
      <c r="BV50" s="56">
        <v>21</v>
      </c>
    </row>
    <row r="51" spans="1:74" ht="15" customHeight="1" x14ac:dyDescent="0.25">
      <c r="A51" s="53"/>
      <c r="D51" s="52" t="s">
        <v>1109</v>
      </c>
      <c r="E51" s="37" t="s">
        <v>1160</v>
      </c>
      <c r="G51" s="21">
        <v>1</v>
      </c>
      <c r="J51" s="48"/>
    </row>
    <row r="52" spans="1:74" ht="15" customHeight="1" x14ac:dyDescent="0.25">
      <c r="A52" s="27" t="s">
        <v>769</v>
      </c>
      <c r="B52" s="28" t="s">
        <v>439</v>
      </c>
      <c r="C52" s="28" t="s">
        <v>55</v>
      </c>
      <c r="D52" s="132" t="s">
        <v>90</v>
      </c>
      <c r="E52" s="133"/>
      <c r="F52" s="23" t="s">
        <v>1027</v>
      </c>
      <c r="G52" s="23" t="s">
        <v>1027</v>
      </c>
      <c r="H52" s="23" t="s">
        <v>1027</v>
      </c>
      <c r="I52" s="14">
        <f>SUM(I53:I54)</f>
        <v>0</v>
      </c>
      <c r="J52" s="44" t="s">
        <v>769</v>
      </c>
      <c r="AH52" s="30" t="s">
        <v>439</v>
      </c>
      <c r="AR52" s="14">
        <f>SUM(AI53:AI54)</f>
        <v>0</v>
      </c>
      <c r="AS52" s="14">
        <f>SUM(AJ53:AJ54)</f>
        <v>0</v>
      </c>
      <c r="AT52" s="14">
        <f>SUM(AK53:AK54)</f>
        <v>0</v>
      </c>
    </row>
    <row r="53" spans="1:74" ht="13.5" customHeight="1" x14ac:dyDescent="0.25">
      <c r="A53" s="10" t="s">
        <v>706</v>
      </c>
      <c r="B53" s="9" t="s">
        <v>439</v>
      </c>
      <c r="C53" s="9" t="s">
        <v>189</v>
      </c>
      <c r="D53" s="76" t="s">
        <v>1050</v>
      </c>
      <c r="E53" s="77"/>
      <c r="F53" s="9" t="s">
        <v>275</v>
      </c>
      <c r="G53" s="56">
        <f>'Stavební rozpočet'!G694</f>
        <v>8</v>
      </c>
      <c r="H53" s="56">
        <f>'Stavební rozpočet'!H694</f>
        <v>0</v>
      </c>
      <c r="I53" s="56">
        <f>G53*H53</f>
        <v>0</v>
      </c>
      <c r="J53" s="54" t="s">
        <v>501</v>
      </c>
      <c r="Y53" s="56">
        <f>IF(AP53="5",BI53,0)</f>
        <v>0</v>
      </c>
      <c r="AA53" s="56">
        <f>IF(AP53="1",BG53,0)</f>
        <v>0</v>
      </c>
      <c r="AB53" s="56">
        <f>IF(AP53="1",BH53,0)</f>
        <v>0</v>
      </c>
      <c r="AC53" s="56">
        <f>IF(AP53="7",BG53,0)</f>
        <v>0</v>
      </c>
      <c r="AD53" s="56">
        <f>IF(AP53="7",BH53,0)</f>
        <v>0</v>
      </c>
      <c r="AE53" s="56">
        <f>IF(AP53="2",BG53,0)</f>
        <v>0</v>
      </c>
      <c r="AF53" s="56">
        <f>IF(AP53="2",BH53,0)</f>
        <v>0</v>
      </c>
      <c r="AG53" s="56">
        <f>IF(AP53="0",BI53,0)</f>
        <v>0</v>
      </c>
      <c r="AH53" s="30" t="s">
        <v>439</v>
      </c>
      <c r="AI53" s="56">
        <f>IF(AM53=0,I53,0)</f>
        <v>0</v>
      </c>
      <c r="AJ53" s="56">
        <f>IF(AM53=15,I53,0)</f>
        <v>0</v>
      </c>
      <c r="AK53" s="56">
        <f>IF(AM53=21,I53,0)</f>
        <v>0</v>
      </c>
      <c r="AM53" s="56">
        <v>21</v>
      </c>
      <c r="AN53" s="56">
        <f>H53*0</f>
        <v>0</v>
      </c>
      <c r="AO53" s="56">
        <f>H53*(1-0)</f>
        <v>0</v>
      </c>
      <c r="AP53" s="41" t="s">
        <v>1109</v>
      </c>
      <c r="AU53" s="56">
        <f>AV53+AW53</f>
        <v>0</v>
      </c>
      <c r="AV53" s="56">
        <f>G53*AN53</f>
        <v>0</v>
      </c>
      <c r="AW53" s="56">
        <f>G53*AO53</f>
        <v>0</v>
      </c>
      <c r="AX53" s="41" t="s">
        <v>77</v>
      </c>
      <c r="AY53" s="41" t="s">
        <v>1146</v>
      </c>
      <c r="AZ53" s="30" t="s">
        <v>1236</v>
      </c>
      <c r="BB53" s="56">
        <f>AV53+AW53</f>
        <v>0</v>
      </c>
      <c r="BC53" s="56">
        <f>H53/(100-BD53)*100</f>
        <v>0</v>
      </c>
      <c r="BD53" s="56">
        <v>0</v>
      </c>
      <c r="BE53" s="56" t="e">
        <f>#REF!</f>
        <v>#REF!</v>
      </c>
      <c r="BG53" s="56">
        <f>G53*AN53</f>
        <v>0</v>
      </c>
      <c r="BH53" s="56">
        <f>G53*AO53</f>
        <v>0</v>
      </c>
      <c r="BI53" s="56">
        <f>G53*H53</f>
        <v>0</v>
      </c>
      <c r="BJ53" s="56"/>
      <c r="BK53" s="56">
        <v>87</v>
      </c>
      <c r="BV53" s="56">
        <v>21</v>
      </c>
    </row>
    <row r="54" spans="1:74" ht="13.5" customHeight="1" x14ac:dyDescent="0.25">
      <c r="A54" s="57" t="s">
        <v>61</v>
      </c>
      <c r="B54" s="50" t="s">
        <v>439</v>
      </c>
      <c r="C54" s="50" t="s">
        <v>123</v>
      </c>
      <c r="D54" s="135" t="s">
        <v>648</v>
      </c>
      <c r="E54" s="136"/>
      <c r="F54" s="50" t="s">
        <v>275</v>
      </c>
      <c r="G54" s="31">
        <f>'Stavební rozpočet'!G695</f>
        <v>2</v>
      </c>
      <c r="H54" s="31">
        <f>'Stavební rozpočet'!H695</f>
        <v>0</v>
      </c>
      <c r="I54" s="31">
        <f>G54*H54</f>
        <v>0</v>
      </c>
      <c r="J54" s="47" t="s">
        <v>501</v>
      </c>
      <c r="Y54" s="56">
        <f>IF(AP54="5",BI54,0)</f>
        <v>0</v>
      </c>
      <c r="AA54" s="56">
        <f>IF(AP54="1",BG54,0)</f>
        <v>0</v>
      </c>
      <c r="AB54" s="56">
        <f>IF(AP54="1",BH54,0)</f>
        <v>0</v>
      </c>
      <c r="AC54" s="56">
        <f>IF(AP54="7",BG54,0)</f>
        <v>0</v>
      </c>
      <c r="AD54" s="56">
        <f>IF(AP54="7",BH54,0)</f>
        <v>0</v>
      </c>
      <c r="AE54" s="56">
        <f>IF(AP54="2",BG54,0)</f>
        <v>0</v>
      </c>
      <c r="AF54" s="56">
        <f>IF(AP54="2",BH54,0)</f>
        <v>0</v>
      </c>
      <c r="AG54" s="56">
        <f>IF(AP54="0",BI54,0)</f>
        <v>0</v>
      </c>
      <c r="AH54" s="30" t="s">
        <v>439</v>
      </c>
      <c r="AI54" s="31">
        <f>IF(AM54=0,I54,0)</f>
        <v>0</v>
      </c>
      <c r="AJ54" s="31">
        <f>IF(AM54=15,I54,0)</f>
        <v>0</v>
      </c>
      <c r="AK54" s="31">
        <f>IF(AM54=21,I54,0)</f>
        <v>0</v>
      </c>
      <c r="AM54" s="56">
        <v>21</v>
      </c>
      <c r="AN54" s="56">
        <f>H54*1</f>
        <v>0</v>
      </c>
      <c r="AO54" s="56">
        <f>H54*(1-1)</f>
        <v>0</v>
      </c>
      <c r="AP54" s="58" t="s">
        <v>1109</v>
      </c>
      <c r="AU54" s="56">
        <f>AV54+AW54</f>
        <v>0</v>
      </c>
      <c r="AV54" s="56">
        <f>G54*AN54</f>
        <v>0</v>
      </c>
      <c r="AW54" s="56">
        <f>G54*AO54</f>
        <v>0</v>
      </c>
      <c r="AX54" s="41" t="s">
        <v>77</v>
      </c>
      <c r="AY54" s="41" t="s">
        <v>1146</v>
      </c>
      <c r="AZ54" s="30" t="s">
        <v>1236</v>
      </c>
      <c r="BB54" s="56">
        <f>AV54+AW54</f>
        <v>0</v>
      </c>
      <c r="BC54" s="56">
        <f>H54/(100-BD54)*100</f>
        <v>0</v>
      </c>
      <c r="BD54" s="56">
        <v>0</v>
      </c>
      <c r="BE54" s="56" t="e">
        <f>#REF!</f>
        <v>#REF!</v>
      </c>
      <c r="BG54" s="31">
        <f>G54*AN54</f>
        <v>0</v>
      </c>
      <c r="BH54" s="31">
        <f>G54*AO54</f>
        <v>0</v>
      </c>
      <c r="BI54" s="31">
        <f>G54*H54</f>
        <v>0</v>
      </c>
      <c r="BJ54" s="31"/>
      <c r="BK54" s="56">
        <v>87</v>
      </c>
      <c r="BV54" s="56">
        <v>21</v>
      </c>
    </row>
    <row r="55" spans="1:74" ht="15" customHeight="1" x14ac:dyDescent="0.25">
      <c r="A55" s="53"/>
      <c r="D55" s="52" t="s">
        <v>766</v>
      </c>
      <c r="E55" s="37" t="s">
        <v>707</v>
      </c>
      <c r="G55" s="21">
        <v>2</v>
      </c>
      <c r="J55" s="48"/>
    </row>
    <row r="56" spans="1:74" ht="15" customHeight="1" x14ac:dyDescent="0.25">
      <c r="A56" s="27" t="s">
        <v>769</v>
      </c>
      <c r="B56" s="28" t="s">
        <v>439</v>
      </c>
      <c r="C56" s="28" t="s">
        <v>1171</v>
      </c>
      <c r="D56" s="132" t="s">
        <v>719</v>
      </c>
      <c r="E56" s="133"/>
      <c r="F56" s="23" t="s">
        <v>1027</v>
      </c>
      <c r="G56" s="23" t="s">
        <v>1027</v>
      </c>
      <c r="H56" s="23" t="s">
        <v>1027</v>
      </c>
      <c r="I56" s="14">
        <f>SUM(I57:I62)</f>
        <v>0</v>
      </c>
      <c r="J56" s="44" t="s">
        <v>769</v>
      </c>
      <c r="AH56" s="30" t="s">
        <v>439</v>
      </c>
      <c r="AR56" s="14">
        <f>SUM(AI57:AI62)</f>
        <v>0</v>
      </c>
      <c r="AS56" s="14">
        <f>SUM(AJ57:AJ62)</f>
        <v>0</v>
      </c>
      <c r="AT56" s="14">
        <f>SUM(AK57:AK62)</f>
        <v>0</v>
      </c>
    </row>
    <row r="57" spans="1:74" ht="13.5" customHeight="1" x14ac:dyDescent="0.25">
      <c r="A57" s="10" t="s">
        <v>786</v>
      </c>
      <c r="B57" s="9" t="s">
        <v>439</v>
      </c>
      <c r="C57" s="9" t="s">
        <v>1157</v>
      </c>
      <c r="D57" s="76" t="s">
        <v>60</v>
      </c>
      <c r="E57" s="77"/>
      <c r="F57" s="9" t="s">
        <v>778</v>
      </c>
      <c r="G57" s="56">
        <f>'Stavební rozpočet'!G698</f>
        <v>1</v>
      </c>
      <c r="H57" s="56">
        <f>'Stavební rozpočet'!H698</f>
        <v>0</v>
      </c>
      <c r="I57" s="56">
        <f>G57*H57</f>
        <v>0</v>
      </c>
      <c r="J57" s="54" t="s">
        <v>501</v>
      </c>
      <c r="Y57" s="56">
        <f>IF(AP57="5",BI57,0)</f>
        <v>0</v>
      </c>
      <c r="AA57" s="56">
        <f>IF(AP57="1",BG57,0)</f>
        <v>0</v>
      </c>
      <c r="AB57" s="56">
        <f>IF(AP57="1",BH57,0)</f>
        <v>0</v>
      </c>
      <c r="AC57" s="56">
        <f>IF(AP57="7",BG57,0)</f>
        <v>0</v>
      </c>
      <c r="AD57" s="56">
        <f>IF(AP57="7",BH57,0)</f>
        <v>0</v>
      </c>
      <c r="AE57" s="56">
        <f>IF(AP57="2",BG57,0)</f>
        <v>0</v>
      </c>
      <c r="AF57" s="56">
        <f>IF(AP57="2",BH57,0)</f>
        <v>0</v>
      </c>
      <c r="AG57" s="56">
        <f>IF(AP57="0",BI57,0)</f>
        <v>0</v>
      </c>
      <c r="AH57" s="30" t="s">
        <v>439</v>
      </c>
      <c r="AI57" s="56">
        <f>IF(AM57=0,I57,0)</f>
        <v>0</v>
      </c>
      <c r="AJ57" s="56">
        <f>IF(AM57=15,I57,0)</f>
        <v>0</v>
      </c>
      <c r="AK57" s="56">
        <f>IF(AM57=21,I57,0)</f>
        <v>0</v>
      </c>
      <c r="AM57" s="56">
        <v>21</v>
      </c>
      <c r="AN57" s="56">
        <f>H57*0</f>
        <v>0</v>
      </c>
      <c r="AO57" s="56">
        <f>H57*(1-0)</f>
        <v>0</v>
      </c>
      <c r="AP57" s="41" t="s">
        <v>1109</v>
      </c>
      <c r="AU57" s="56">
        <f>AV57+AW57</f>
        <v>0</v>
      </c>
      <c r="AV57" s="56">
        <f>G57*AN57</f>
        <v>0</v>
      </c>
      <c r="AW57" s="56">
        <f>G57*AO57</f>
        <v>0</v>
      </c>
      <c r="AX57" s="41" t="s">
        <v>95</v>
      </c>
      <c r="AY57" s="41" t="s">
        <v>1146</v>
      </c>
      <c r="AZ57" s="30" t="s">
        <v>1236</v>
      </c>
      <c r="BB57" s="56">
        <f>AV57+AW57</f>
        <v>0</v>
      </c>
      <c r="BC57" s="56">
        <f>H57/(100-BD57)*100</f>
        <v>0</v>
      </c>
      <c r="BD57" s="56">
        <v>0</v>
      </c>
      <c r="BE57" s="56" t="e">
        <f>#REF!</f>
        <v>#REF!</v>
      </c>
      <c r="BG57" s="56">
        <f>G57*AN57</f>
        <v>0</v>
      </c>
      <c r="BH57" s="56">
        <f>G57*AO57</f>
        <v>0</v>
      </c>
      <c r="BI57" s="56">
        <f>G57*H57</f>
        <v>0</v>
      </c>
      <c r="BJ57" s="56"/>
      <c r="BK57" s="56">
        <v>89</v>
      </c>
      <c r="BV57" s="56">
        <v>21</v>
      </c>
    </row>
    <row r="58" spans="1:74" ht="13.5" customHeight="1" x14ac:dyDescent="0.25">
      <c r="A58" s="53"/>
      <c r="C58" s="66" t="s">
        <v>578</v>
      </c>
      <c r="D58" s="137" t="s">
        <v>353</v>
      </c>
      <c r="E58" s="138"/>
      <c r="F58" s="138"/>
      <c r="G58" s="138"/>
      <c r="H58" s="138"/>
      <c r="I58" s="138"/>
      <c r="J58" s="139"/>
    </row>
    <row r="59" spans="1:74" ht="15" customHeight="1" x14ac:dyDescent="0.25">
      <c r="A59" s="53"/>
      <c r="D59" s="52" t="s">
        <v>1109</v>
      </c>
      <c r="E59" s="37" t="s">
        <v>258</v>
      </c>
      <c r="G59" s="21">
        <v>1</v>
      </c>
      <c r="J59" s="48"/>
    </row>
    <row r="60" spans="1:74" ht="13.5" customHeight="1" x14ac:dyDescent="0.25">
      <c r="A60" s="10" t="s">
        <v>1065</v>
      </c>
      <c r="B60" s="9" t="s">
        <v>439</v>
      </c>
      <c r="C60" s="9" t="s">
        <v>202</v>
      </c>
      <c r="D60" s="76" t="s">
        <v>1178</v>
      </c>
      <c r="E60" s="77"/>
      <c r="F60" s="9" t="s">
        <v>909</v>
      </c>
      <c r="G60" s="56">
        <f>'Stavební rozpočet'!G701</f>
        <v>14</v>
      </c>
      <c r="H60" s="56">
        <f>'Stavební rozpočet'!H701</f>
        <v>0</v>
      </c>
      <c r="I60" s="56">
        <f>G60*H60</f>
        <v>0</v>
      </c>
      <c r="J60" s="54" t="s">
        <v>501</v>
      </c>
      <c r="Y60" s="56">
        <f>IF(AP60="5",BI60,0)</f>
        <v>0</v>
      </c>
      <c r="AA60" s="56">
        <f>IF(AP60="1",BG60,0)</f>
        <v>0</v>
      </c>
      <c r="AB60" s="56">
        <f>IF(AP60="1",BH60,0)</f>
        <v>0</v>
      </c>
      <c r="AC60" s="56">
        <f>IF(AP60="7",BG60,0)</f>
        <v>0</v>
      </c>
      <c r="AD60" s="56">
        <f>IF(AP60="7",BH60,0)</f>
        <v>0</v>
      </c>
      <c r="AE60" s="56">
        <f>IF(AP60="2",BG60,0)</f>
        <v>0</v>
      </c>
      <c r="AF60" s="56">
        <f>IF(AP60="2",BH60,0)</f>
        <v>0</v>
      </c>
      <c r="AG60" s="56">
        <f>IF(AP60="0",BI60,0)</f>
        <v>0</v>
      </c>
      <c r="AH60" s="30" t="s">
        <v>439</v>
      </c>
      <c r="AI60" s="56">
        <f>IF(AM60=0,I60,0)</f>
        <v>0</v>
      </c>
      <c r="AJ60" s="56">
        <f>IF(AM60=15,I60,0)</f>
        <v>0</v>
      </c>
      <c r="AK60" s="56">
        <f>IF(AM60=21,I60,0)</f>
        <v>0</v>
      </c>
      <c r="AM60" s="56">
        <v>21</v>
      </c>
      <c r="AN60" s="56">
        <f>H60*0.354048663741524</f>
        <v>0</v>
      </c>
      <c r="AO60" s="56">
        <f>H60*(1-0.354048663741524)</f>
        <v>0</v>
      </c>
      <c r="AP60" s="41" t="s">
        <v>1109</v>
      </c>
      <c r="AU60" s="56">
        <f>AV60+AW60</f>
        <v>0</v>
      </c>
      <c r="AV60" s="56">
        <f>G60*AN60</f>
        <v>0</v>
      </c>
      <c r="AW60" s="56">
        <f>G60*AO60</f>
        <v>0</v>
      </c>
      <c r="AX60" s="41" t="s">
        <v>95</v>
      </c>
      <c r="AY60" s="41" t="s">
        <v>1146</v>
      </c>
      <c r="AZ60" s="30" t="s">
        <v>1236</v>
      </c>
      <c r="BB60" s="56">
        <f>AV60+AW60</f>
        <v>0</v>
      </c>
      <c r="BC60" s="56">
        <f>H60/(100-BD60)*100</f>
        <v>0</v>
      </c>
      <c r="BD60" s="56">
        <v>0</v>
      </c>
      <c r="BE60" s="56" t="e">
        <f>#REF!</f>
        <v>#REF!</v>
      </c>
      <c r="BG60" s="56">
        <f>G60*AN60</f>
        <v>0</v>
      </c>
      <c r="BH60" s="56">
        <f>G60*AO60</f>
        <v>0</v>
      </c>
      <c r="BI60" s="56">
        <f>G60*H60</f>
        <v>0</v>
      </c>
      <c r="BJ60" s="56"/>
      <c r="BK60" s="56">
        <v>89</v>
      </c>
      <c r="BV60" s="56">
        <v>21</v>
      </c>
    </row>
    <row r="61" spans="1:74" ht="15" customHeight="1" x14ac:dyDescent="0.25">
      <c r="A61" s="53"/>
      <c r="D61" s="52" t="s">
        <v>654</v>
      </c>
      <c r="E61" s="37" t="s">
        <v>735</v>
      </c>
      <c r="G61" s="21">
        <v>14.000000000000002</v>
      </c>
      <c r="J61" s="48"/>
    </row>
    <row r="62" spans="1:74" ht="13.5" customHeight="1" x14ac:dyDescent="0.25">
      <c r="A62" s="10" t="s">
        <v>500</v>
      </c>
      <c r="B62" s="9" t="s">
        <v>439</v>
      </c>
      <c r="C62" s="9" t="s">
        <v>3</v>
      </c>
      <c r="D62" s="76" t="s">
        <v>1222</v>
      </c>
      <c r="E62" s="77"/>
      <c r="F62" s="9" t="s">
        <v>909</v>
      </c>
      <c r="G62" s="56">
        <f>'Stavební rozpočet'!G703</f>
        <v>20</v>
      </c>
      <c r="H62" s="56">
        <f>'Stavební rozpočet'!H703</f>
        <v>0</v>
      </c>
      <c r="I62" s="56">
        <f>G62*H62</f>
        <v>0</v>
      </c>
      <c r="J62" s="54" t="s">
        <v>501</v>
      </c>
      <c r="Y62" s="56">
        <f>IF(AP62="5",BI62,0)</f>
        <v>0</v>
      </c>
      <c r="AA62" s="56">
        <f>IF(AP62="1",BG62,0)</f>
        <v>0</v>
      </c>
      <c r="AB62" s="56">
        <f>IF(AP62="1",BH62,0)</f>
        <v>0</v>
      </c>
      <c r="AC62" s="56">
        <f>IF(AP62="7",BG62,0)</f>
        <v>0</v>
      </c>
      <c r="AD62" s="56">
        <f>IF(AP62="7",BH62,0)</f>
        <v>0</v>
      </c>
      <c r="AE62" s="56">
        <f>IF(AP62="2",BG62,0)</f>
        <v>0</v>
      </c>
      <c r="AF62" s="56">
        <f>IF(AP62="2",BH62,0)</f>
        <v>0</v>
      </c>
      <c r="AG62" s="56">
        <f>IF(AP62="0",BI62,0)</f>
        <v>0</v>
      </c>
      <c r="AH62" s="30" t="s">
        <v>439</v>
      </c>
      <c r="AI62" s="56">
        <f>IF(AM62=0,I62,0)</f>
        <v>0</v>
      </c>
      <c r="AJ62" s="56">
        <f>IF(AM62=15,I62,0)</f>
        <v>0</v>
      </c>
      <c r="AK62" s="56">
        <f>IF(AM62=21,I62,0)</f>
        <v>0</v>
      </c>
      <c r="AM62" s="56">
        <v>21</v>
      </c>
      <c r="AN62" s="56">
        <f>H62*0.568162332094884</f>
        <v>0</v>
      </c>
      <c r="AO62" s="56">
        <f>H62*(1-0.568162332094884)</f>
        <v>0</v>
      </c>
      <c r="AP62" s="41" t="s">
        <v>1109</v>
      </c>
      <c r="AU62" s="56">
        <f>AV62+AW62</f>
        <v>0</v>
      </c>
      <c r="AV62" s="56">
        <f>G62*AN62</f>
        <v>0</v>
      </c>
      <c r="AW62" s="56">
        <f>G62*AO62</f>
        <v>0</v>
      </c>
      <c r="AX62" s="41" t="s">
        <v>95</v>
      </c>
      <c r="AY62" s="41" t="s">
        <v>1146</v>
      </c>
      <c r="AZ62" s="30" t="s">
        <v>1236</v>
      </c>
      <c r="BB62" s="56">
        <f>AV62+AW62</f>
        <v>0</v>
      </c>
      <c r="BC62" s="56">
        <f>H62/(100-BD62)*100</f>
        <v>0</v>
      </c>
      <c r="BD62" s="56">
        <v>0</v>
      </c>
      <c r="BE62" s="56" t="e">
        <f>#REF!</f>
        <v>#REF!</v>
      </c>
      <c r="BG62" s="56">
        <f>G62*AN62</f>
        <v>0</v>
      </c>
      <c r="BH62" s="56">
        <f>G62*AO62</f>
        <v>0</v>
      </c>
      <c r="BI62" s="56">
        <f>G62*H62</f>
        <v>0</v>
      </c>
      <c r="BJ62" s="56"/>
      <c r="BK62" s="56">
        <v>89</v>
      </c>
      <c r="BV62" s="56">
        <v>21</v>
      </c>
    </row>
    <row r="63" spans="1:74" ht="15" customHeight="1" x14ac:dyDescent="0.25">
      <c r="A63" s="53"/>
      <c r="D63" s="52" t="s">
        <v>61</v>
      </c>
      <c r="E63" s="37" t="s">
        <v>650</v>
      </c>
      <c r="G63" s="21">
        <v>20</v>
      </c>
      <c r="J63" s="48"/>
    </row>
    <row r="64" spans="1:74" ht="15" customHeight="1" x14ac:dyDescent="0.25">
      <c r="A64" s="27" t="s">
        <v>769</v>
      </c>
      <c r="B64" s="28" t="s">
        <v>439</v>
      </c>
      <c r="C64" s="28" t="s">
        <v>785</v>
      </c>
      <c r="D64" s="132" t="s">
        <v>877</v>
      </c>
      <c r="E64" s="133"/>
      <c r="F64" s="23" t="s">
        <v>1027</v>
      </c>
      <c r="G64" s="23" t="s">
        <v>1027</v>
      </c>
      <c r="H64" s="23" t="s">
        <v>1027</v>
      </c>
      <c r="I64" s="14">
        <f>SUM(I65:I65)</f>
        <v>0</v>
      </c>
      <c r="J64" s="44" t="s">
        <v>769</v>
      </c>
      <c r="AH64" s="30" t="s">
        <v>439</v>
      </c>
      <c r="AR64" s="14">
        <f>SUM(AI65:AI65)</f>
        <v>0</v>
      </c>
      <c r="AS64" s="14">
        <f>SUM(AJ65:AJ65)</f>
        <v>0</v>
      </c>
      <c r="AT64" s="14">
        <f>SUM(AK65:AK65)</f>
        <v>0</v>
      </c>
    </row>
    <row r="65" spans="1:74" ht="13.5" customHeight="1" x14ac:dyDescent="0.25">
      <c r="A65" s="10" t="s">
        <v>112</v>
      </c>
      <c r="B65" s="9" t="s">
        <v>439</v>
      </c>
      <c r="C65" s="9" t="s">
        <v>121</v>
      </c>
      <c r="D65" s="76" t="s">
        <v>664</v>
      </c>
      <c r="E65" s="77"/>
      <c r="F65" s="9" t="s">
        <v>909</v>
      </c>
      <c r="G65" s="56">
        <f>'Stavební rozpočet'!G706</f>
        <v>20</v>
      </c>
      <c r="H65" s="56">
        <f>'Stavební rozpočet'!H706</f>
        <v>0</v>
      </c>
      <c r="I65" s="56">
        <f>G65*H65</f>
        <v>0</v>
      </c>
      <c r="J65" s="54" t="s">
        <v>501</v>
      </c>
      <c r="Y65" s="56">
        <f>IF(AP65="5",BI65,0)</f>
        <v>0</v>
      </c>
      <c r="AA65" s="56">
        <f>IF(AP65="1",BG65,0)</f>
        <v>0</v>
      </c>
      <c r="AB65" s="56">
        <f>IF(AP65="1",BH65,0)</f>
        <v>0</v>
      </c>
      <c r="AC65" s="56">
        <f>IF(AP65="7",BG65,0)</f>
        <v>0</v>
      </c>
      <c r="AD65" s="56">
        <f>IF(AP65="7",BH65,0)</f>
        <v>0</v>
      </c>
      <c r="AE65" s="56">
        <f>IF(AP65="2",BG65,0)</f>
        <v>0</v>
      </c>
      <c r="AF65" s="56">
        <f>IF(AP65="2",BH65,0)</f>
        <v>0</v>
      </c>
      <c r="AG65" s="56">
        <f>IF(AP65="0",BI65,0)</f>
        <v>0</v>
      </c>
      <c r="AH65" s="30" t="s">
        <v>439</v>
      </c>
      <c r="AI65" s="56">
        <f>IF(AM65=0,I65,0)</f>
        <v>0</v>
      </c>
      <c r="AJ65" s="56">
        <f>IF(AM65=15,I65,0)</f>
        <v>0</v>
      </c>
      <c r="AK65" s="56">
        <f>IF(AM65=21,I65,0)</f>
        <v>0</v>
      </c>
      <c r="AM65" s="56">
        <v>21</v>
      </c>
      <c r="AN65" s="56">
        <f>H65*0</f>
        <v>0</v>
      </c>
      <c r="AO65" s="56">
        <f>H65*(1-0)</f>
        <v>0</v>
      </c>
      <c r="AP65" s="41" t="s">
        <v>1109</v>
      </c>
      <c r="AU65" s="56">
        <f>AV65+AW65</f>
        <v>0</v>
      </c>
      <c r="AV65" s="56">
        <f>G65*AN65</f>
        <v>0</v>
      </c>
      <c r="AW65" s="56">
        <f>G65*AO65</f>
        <v>0</v>
      </c>
      <c r="AX65" s="41" t="s">
        <v>1038</v>
      </c>
      <c r="AY65" s="41" t="s">
        <v>1146</v>
      </c>
      <c r="AZ65" s="30" t="s">
        <v>1236</v>
      </c>
      <c r="BB65" s="56">
        <f>AV65+AW65</f>
        <v>0</v>
      </c>
      <c r="BC65" s="56">
        <f>H65/(100-BD65)*100</f>
        <v>0</v>
      </c>
      <c r="BD65" s="56">
        <v>0</v>
      </c>
      <c r="BE65" s="56" t="e">
        <f>#REF!</f>
        <v>#REF!</v>
      </c>
      <c r="BG65" s="56">
        <f>G65*AN65</f>
        <v>0</v>
      </c>
      <c r="BH65" s="56">
        <f>G65*AO65</f>
        <v>0</v>
      </c>
      <c r="BI65" s="56">
        <f>G65*H65</f>
        <v>0</v>
      </c>
      <c r="BJ65" s="56"/>
      <c r="BK65" s="56"/>
      <c r="BV65" s="56">
        <v>21</v>
      </c>
    </row>
    <row r="66" spans="1:74" ht="15" customHeight="1" x14ac:dyDescent="0.25">
      <c r="A66" s="27" t="s">
        <v>769</v>
      </c>
      <c r="B66" s="28" t="s">
        <v>439</v>
      </c>
      <c r="C66" s="28" t="s">
        <v>628</v>
      </c>
      <c r="D66" s="132" t="s">
        <v>606</v>
      </c>
      <c r="E66" s="133"/>
      <c r="F66" s="23" t="s">
        <v>1027</v>
      </c>
      <c r="G66" s="23" t="s">
        <v>1027</v>
      </c>
      <c r="H66" s="23" t="s">
        <v>1027</v>
      </c>
      <c r="I66" s="14">
        <f>SUM(I67:I67)</f>
        <v>0</v>
      </c>
      <c r="J66" s="44" t="s">
        <v>769</v>
      </c>
      <c r="AH66" s="30" t="s">
        <v>439</v>
      </c>
      <c r="AR66" s="14">
        <f>SUM(AI67:AI67)</f>
        <v>0</v>
      </c>
      <c r="AS66" s="14">
        <f>SUM(AJ67:AJ67)</f>
        <v>0</v>
      </c>
      <c r="AT66" s="14">
        <f>SUM(AK67:AK67)</f>
        <v>0</v>
      </c>
    </row>
    <row r="67" spans="1:74" ht="13.5" customHeight="1" x14ac:dyDescent="0.25">
      <c r="A67" s="45" t="s">
        <v>273</v>
      </c>
      <c r="B67" s="22" t="s">
        <v>439</v>
      </c>
      <c r="C67" s="22" t="s">
        <v>962</v>
      </c>
      <c r="D67" s="134" t="s">
        <v>754</v>
      </c>
      <c r="E67" s="106"/>
      <c r="F67" s="22" t="s">
        <v>517</v>
      </c>
      <c r="G67" s="12">
        <f>'Stavební rozpočet'!G708</f>
        <v>6.5979999999999999</v>
      </c>
      <c r="H67" s="12">
        <f>'Stavební rozpočet'!H708</f>
        <v>0</v>
      </c>
      <c r="I67" s="12">
        <f>G67*H67</f>
        <v>0</v>
      </c>
      <c r="J67" s="33" t="s">
        <v>501</v>
      </c>
      <c r="Y67" s="56">
        <f>IF(AP67="5",BI67,0)</f>
        <v>0</v>
      </c>
      <c r="AA67" s="56">
        <f>IF(AP67="1",BG67,0)</f>
        <v>0</v>
      </c>
      <c r="AB67" s="56">
        <f>IF(AP67="1",BH67,0)</f>
        <v>0</v>
      </c>
      <c r="AC67" s="56">
        <f>IF(AP67="7",BG67,0)</f>
        <v>0</v>
      </c>
      <c r="AD67" s="56">
        <f>IF(AP67="7",BH67,0)</f>
        <v>0</v>
      </c>
      <c r="AE67" s="56">
        <f>IF(AP67="2",BG67,0)</f>
        <v>0</v>
      </c>
      <c r="AF67" s="56">
        <f>IF(AP67="2",BH67,0)</f>
        <v>0</v>
      </c>
      <c r="AG67" s="56">
        <f>IF(AP67="0",BI67,0)</f>
        <v>0</v>
      </c>
      <c r="AH67" s="30" t="s">
        <v>439</v>
      </c>
      <c r="AI67" s="56">
        <f>IF(AM67=0,I67,0)</f>
        <v>0</v>
      </c>
      <c r="AJ67" s="56">
        <f>IF(AM67=15,I67,0)</f>
        <v>0</v>
      </c>
      <c r="AK67" s="56">
        <f>IF(AM67=21,I67,0)</f>
        <v>0</v>
      </c>
      <c r="AM67" s="56">
        <v>21</v>
      </c>
      <c r="AN67" s="56">
        <f>H67*0</f>
        <v>0</v>
      </c>
      <c r="AO67" s="56">
        <f>H67*(1-0)</f>
        <v>0</v>
      </c>
      <c r="AP67" s="41" t="s">
        <v>596</v>
      </c>
      <c r="AU67" s="56">
        <f>AV67+AW67</f>
        <v>0</v>
      </c>
      <c r="AV67" s="56">
        <f>G67*AN67</f>
        <v>0</v>
      </c>
      <c r="AW67" s="56">
        <f>G67*AO67</f>
        <v>0</v>
      </c>
      <c r="AX67" s="41" t="s">
        <v>345</v>
      </c>
      <c r="AY67" s="41" t="s">
        <v>579</v>
      </c>
      <c r="AZ67" s="30" t="s">
        <v>1236</v>
      </c>
      <c r="BB67" s="56">
        <f>AV67+AW67</f>
        <v>0</v>
      </c>
      <c r="BC67" s="56">
        <f>H67/(100-BD67)*100</f>
        <v>0</v>
      </c>
      <c r="BD67" s="56">
        <v>0</v>
      </c>
      <c r="BE67" s="56" t="e">
        <f>#REF!</f>
        <v>#REF!</v>
      </c>
      <c r="BG67" s="56">
        <f>G67*AN67</f>
        <v>0</v>
      </c>
      <c r="BH67" s="56">
        <f>G67*AO67</f>
        <v>0</v>
      </c>
      <c r="BI67" s="56">
        <f>G67*H67</f>
        <v>0</v>
      </c>
      <c r="BJ67" s="56"/>
      <c r="BK67" s="56"/>
      <c r="BV67" s="56">
        <v>21</v>
      </c>
    </row>
    <row r="68" spans="1:74" ht="15" customHeight="1" x14ac:dyDescent="0.25">
      <c r="I68" s="34">
        <f>ROUND(I13+I16+I21+I26+I32+I37+I42+I45+I49+I52+I56+I64+I66,1)</f>
        <v>0</v>
      </c>
    </row>
    <row r="69" spans="1:74" ht="15" customHeight="1" x14ac:dyDescent="0.25">
      <c r="A69" s="46" t="s">
        <v>101</v>
      </c>
    </row>
    <row r="70" spans="1:74" ht="12.75" customHeight="1" x14ac:dyDescent="0.25">
      <c r="A70" s="76" t="s">
        <v>769</v>
      </c>
      <c r="B70" s="77"/>
      <c r="C70" s="77"/>
      <c r="D70" s="77"/>
      <c r="E70" s="77"/>
      <c r="F70" s="77"/>
      <c r="G70" s="77"/>
      <c r="H70" s="77"/>
      <c r="I70" s="77"/>
      <c r="J70" s="77"/>
    </row>
  </sheetData>
  <mergeCells count="71">
    <mergeCell ref="A1:J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D10:E10"/>
    <mergeCell ref="I4:I5"/>
    <mergeCell ref="I6:I7"/>
    <mergeCell ref="I8:I9"/>
    <mergeCell ref="D2:E3"/>
    <mergeCell ref="D4:E5"/>
    <mergeCell ref="D6:E7"/>
    <mergeCell ref="D8:E9"/>
    <mergeCell ref="H2:H3"/>
    <mergeCell ref="H4:H5"/>
    <mergeCell ref="H6:H7"/>
    <mergeCell ref="H8:H9"/>
    <mergeCell ref="J2:J3"/>
    <mergeCell ref="J4:J5"/>
    <mergeCell ref="J6:J7"/>
    <mergeCell ref="J8:J9"/>
    <mergeCell ref="D26:E26"/>
    <mergeCell ref="D11:E11"/>
    <mergeCell ref="D12:E12"/>
    <mergeCell ref="D13:E13"/>
    <mergeCell ref="D14:E14"/>
    <mergeCell ref="D16:E16"/>
    <mergeCell ref="D17:E17"/>
    <mergeCell ref="D19:E19"/>
    <mergeCell ref="D21:E21"/>
    <mergeCell ref="D22:E22"/>
    <mergeCell ref="D23:J23"/>
    <mergeCell ref="D24:E24"/>
    <mergeCell ref="D41:J41"/>
    <mergeCell ref="D27:E27"/>
    <mergeCell ref="D29:E29"/>
    <mergeCell ref="D30:E30"/>
    <mergeCell ref="D31:E31"/>
    <mergeCell ref="D32:E32"/>
    <mergeCell ref="D33:E33"/>
    <mergeCell ref="D35:E35"/>
    <mergeCell ref="D37:E37"/>
    <mergeCell ref="D38:E38"/>
    <mergeCell ref="D39:E39"/>
    <mergeCell ref="D40:E40"/>
    <mergeCell ref="D56:E56"/>
    <mergeCell ref="D42:E42"/>
    <mergeCell ref="D43:E43"/>
    <mergeCell ref="D44:E44"/>
    <mergeCell ref="D45:E45"/>
    <mergeCell ref="D46:E46"/>
    <mergeCell ref="D47:J47"/>
    <mergeCell ref="D49:E49"/>
    <mergeCell ref="D50:E50"/>
    <mergeCell ref="D52:E52"/>
    <mergeCell ref="D53:E53"/>
    <mergeCell ref="D54:E54"/>
    <mergeCell ref="D66:E66"/>
    <mergeCell ref="D67:E67"/>
    <mergeCell ref="A70:J70"/>
    <mergeCell ref="D57:E57"/>
    <mergeCell ref="D58:J58"/>
    <mergeCell ref="D60:E60"/>
    <mergeCell ref="D62:E62"/>
    <mergeCell ref="D64:E64"/>
    <mergeCell ref="D65:E65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I35"/>
  <sheetViews>
    <sheetView showOutlineSymbols="0" workbookViewId="0">
      <selection activeCell="F8" sqref="F8:G9"/>
    </sheetView>
  </sheetViews>
  <sheetFormatPr defaultColWidth="14.1640625" defaultRowHeight="15" customHeight="1" x14ac:dyDescent="0.25"/>
  <cols>
    <col min="1" max="1" width="10.6640625"/>
    <col min="2" max="2" width="15"/>
    <col min="3" max="3" width="31.6640625"/>
    <col min="4" max="4" width="11.6640625"/>
    <col min="5" max="5" width="16.33203125"/>
    <col min="6" max="6" width="31.6640625"/>
    <col min="7" max="7" width="10.6640625"/>
    <col min="8" max="8" width="15"/>
    <col min="9" max="9" width="31.6640625"/>
  </cols>
  <sheetData>
    <row r="1" spans="1:9" ht="54.75" customHeight="1" x14ac:dyDescent="0.25">
      <c r="A1" s="110" t="s">
        <v>889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/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/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/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/>
      <c r="G8" s="77"/>
      <c r="H8" s="77" t="s">
        <v>1122</v>
      </c>
      <c r="I8" s="100">
        <v>8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/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2" spans="1:9" ht="22.5" customHeight="1" x14ac:dyDescent="0.25">
      <c r="A12" s="103" t="s">
        <v>178</v>
      </c>
      <c r="B12" s="103"/>
      <c r="C12" s="103"/>
      <c r="D12" s="103"/>
      <c r="E12" s="103"/>
      <c r="F12" s="103"/>
      <c r="G12" s="103"/>
      <c r="H12" s="103"/>
      <c r="I12" s="103"/>
    </row>
    <row r="13" spans="1:9" ht="26.25" customHeight="1" x14ac:dyDescent="0.25">
      <c r="A13" s="2" t="s">
        <v>993</v>
      </c>
      <c r="B13" s="93" t="s">
        <v>137</v>
      </c>
      <c r="C13" s="94"/>
      <c r="D13" s="51" t="s">
        <v>192</v>
      </c>
      <c r="E13" s="93" t="s">
        <v>406</v>
      </c>
      <c r="F13" s="94"/>
      <c r="G13" s="51" t="s">
        <v>710</v>
      </c>
      <c r="H13" s="93" t="s">
        <v>195</v>
      </c>
      <c r="I13" s="94"/>
    </row>
    <row r="14" spans="1:9" ht="15" customHeight="1" x14ac:dyDescent="0.25">
      <c r="A14" s="61" t="s">
        <v>417</v>
      </c>
      <c r="B14" s="3" t="s">
        <v>280</v>
      </c>
      <c r="C14" s="60">
        <f>SUM('Stavební rozpočet (VON)'!AB12:AB720)</f>
        <v>0</v>
      </c>
      <c r="D14" s="85" t="s">
        <v>791</v>
      </c>
      <c r="E14" s="86"/>
      <c r="F14" s="60">
        <f>'VORN objektu (VON)'!I15</f>
        <v>0</v>
      </c>
      <c r="G14" s="85" t="s">
        <v>118</v>
      </c>
      <c r="H14" s="86"/>
      <c r="I14" s="36">
        <f>'VORN objektu (VON)'!I21</f>
        <v>0</v>
      </c>
    </row>
    <row r="15" spans="1:9" ht="15" customHeight="1" x14ac:dyDescent="0.25">
      <c r="A15" s="59" t="s">
        <v>769</v>
      </c>
      <c r="B15" s="3" t="s">
        <v>201</v>
      </c>
      <c r="C15" s="60">
        <f>SUM('Stavební rozpočet (VON)'!AC12:AC720)</f>
        <v>0</v>
      </c>
      <c r="D15" s="85" t="s">
        <v>113</v>
      </c>
      <c r="E15" s="86"/>
      <c r="F15" s="60">
        <f>'VORN objektu (VON)'!I16</f>
        <v>0</v>
      </c>
      <c r="G15" s="85" t="s">
        <v>878</v>
      </c>
      <c r="H15" s="86"/>
      <c r="I15" s="36">
        <f>'VORN objektu (VON)'!I22</f>
        <v>0</v>
      </c>
    </row>
    <row r="16" spans="1:9" ht="15" customHeight="1" x14ac:dyDescent="0.25">
      <c r="A16" s="61" t="s">
        <v>110</v>
      </c>
      <c r="B16" s="3" t="s">
        <v>280</v>
      </c>
      <c r="C16" s="60">
        <f>SUM('Stavební rozpočet (VON)'!AD12:AD720)</f>
        <v>0</v>
      </c>
      <c r="D16" s="85" t="s">
        <v>819</v>
      </c>
      <c r="E16" s="86"/>
      <c r="F16" s="60">
        <f>'VORN objektu (VON)'!I17</f>
        <v>0</v>
      </c>
      <c r="G16" s="85" t="s">
        <v>1076</v>
      </c>
      <c r="H16" s="86"/>
      <c r="I16" s="36">
        <f>'VORN objektu (VON)'!I23</f>
        <v>0</v>
      </c>
    </row>
    <row r="17" spans="1:9" ht="15" customHeight="1" x14ac:dyDescent="0.25">
      <c r="A17" s="59" t="s">
        <v>769</v>
      </c>
      <c r="B17" s="3" t="s">
        <v>201</v>
      </c>
      <c r="C17" s="60">
        <f>SUM('Stavební rozpočet (VON)'!AE12:AE720)</f>
        <v>0</v>
      </c>
      <c r="D17" s="85" t="s">
        <v>769</v>
      </c>
      <c r="E17" s="86"/>
      <c r="F17" s="36" t="s">
        <v>769</v>
      </c>
      <c r="G17" s="85" t="s">
        <v>595</v>
      </c>
      <c r="H17" s="86"/>
      <c r="I17" s="36">
        <f>'VORN objektu (VON)'!I24</f>
        <v>0</v>
      </c>
    </row>
    <row r="18" spans="1:9" ht="15" customHeight="1" x14ac:dyDescent="0.25">
      <c r="A18" s="61" t="s">
        <v>340</v>
      </c>
      <c r="B18" s="3" t="s">
        <v>280</v>
      </c>
      <c r="C18" s="60">
        <f>SUM('Stavební rozpočet (VON)'!AF12:AF720)</f>
        <v>0</v>
      </c>
      <c r="D18" s="85" t="s">
        <v>769</v>
      </c>
      <c r="E18" s="86"/>
      <c r="F18" s="36" t="s">
        <v>769</v>
      </c>
      <c r="G18" s="85" t="s">
        <v>722</v>
      </c>
      <c r="H18" s="86"/>
      <c r="I18" s="36">
        <f>'VORN objektu (VON)'!I25</f>
        <v>0</v>
      </c>
    </row>
    <row r="19" spans="1:9" ht="15" customHeight="1" x14ac:dyDescent="0.25">
      <c r="A19" s="59" t="s">
        <v>769</v>
      </c>
      <c r="B19" s="3" t="s">
        <v>201</v>
      </c>
      <c r="C19" s="60">
        <f>SUM('Stavební rozpočet (VON)'!AG12:AG720)</f>
        <v>0</v>
      </c>
      <c r="D19" s="85" t="s">
        <v>769</v>
      </c>
      <c r="E19" s="86"/>
      <c r="F19" s="36" t="s">
        <v>769</v>
      </c>
      <c r="G19" s="85" t="s">
        <v>1105</v>
      </c>
      <c r="H19" s="86"/>
      <c r="I19" s="36">
        <f>'VORN objektu (VON)'!I26</f>
        <v>0</v>
      </c>
    </row>
    <row r="20" spans="1:9" ht="15" customHeight="1" x14ac:dyDescent="0.25">
      <c r="A20" s="92" t="s">
        <v>87</v>
      </c>
      <c r="B20" s="91"/>
      <c r="C20" s="60">
        <f>SUM('Stavební rozpočet (VON)'!AH12:AH720)</f>
        <v>0</v>
      </c>
      <c r="D20" s="85" t="s">
        <v>769</v>
      </c>
      <c r="E20" s="86"/>
      <c r="F20" s="36" t="s">
        <v>769</v>
      </c>
      <c r="G20" s="85" t="s">
        <v>769</v>
      </c>
      <c r="H20" s="86"/>
      <c r="I20" s="36" t="s">
        <v>769</v>
      </c>
    </row>
    <row r="21" spans="1:9" ht="15" customHeight="1" x14ac:dyDescent="0.25">
      <c r="A21" s="95" t="s">
        <v>1104</v>
      </c>
      <c r="B21" s="96"/>
      <c r="C21" s="38">
        <f>SUM('Stavební rozpočet (VON)'!Z12:Z720)</f>
        <v>0</v>
      </c>
      <c r="D21" s="72" t="s">
        <v>769</v>
      </c>
      <c r="E21" s="87"/>
      <c r="F21" s="29" t="s">
        <v>769</v>
      </c>
      <c r="G21" s="72" t="s">
        <v>769</v>
      </c>
      <c r="H21" s="87"/>
      <c r="I21" s="29" t="s">
        <v>769</v>
      </c>
    </row>
    <row r="22" spans="1:9" ht="16.5" customHeight="1" x14ac:dyDescent="0.25">
      <c r="A22" s="97" t="s">
        <v>208</v>
      </c>
      <c r="B22" s="89"/>
      <c r="C22" s="42">
        <f>ROUND(SUM(C14:C21),1)</f>
        <v>0</v>
      </c>
      <c r="D22" s="88" t="s">
        <v>580</v>
      </c>
      <c r="E22" s="89"/>
      <c r="F22" s="42">
        <f>SUM(F14:F21)</f>
        <v>0</v>
      </c>
      <c r="G22" s="88" t="s">
        <v>1124</v>
      </c>
      <c r="H22" s="89"/>
      <c r="I22" s="42">
        <f>SUM(I14:I21)</f>
        <v>0</v>
      </c>
    </row>
    <row r="23" spans="1:9" ht="15" customHeight="1" x14ac:dyDescent="0.25">
      <c r="G23" s="92" t="s">
        <v>672</v>
      </c>
      <c r="H23" s="91"/>
      <c r="I23" s="60">
        <f>'VORN objektu (VON)'!I45</f>
        <v>0</v>
      </c>
    </row>
    <row r="25" spans="1:9" ht="15" customHeight="1" x14ac:dyDescent="0.25">
      <c r="A25" s="81" t="s">
        <v>457</v>
      </c>
      <c r="B25" s="82"/>
      <c r="C25" s="62">
        <f>ROUND(SUM('Stavební rozpočet (VON)'!AJ12:AJ720),1)</f>
        <v>0</v>
      </c>
    </row>
    <row r="26" spans="1:9" ht="15" customHeight="1" x14ac:dyDescent="0.25">
      <c r="A26" s="83" t="s">
        <v>30</v>
      </c>
      <c r="B26" s="84"/>
      <c r="C26" s="6">
        <f>ROUND(SUM('Stavební rozpočet (VON)'!AK12:AK720),1)</f>
        <v>0</v>
      </c>
      <c r="D26" s="82" t="s">
        <v>239</v>
      </c>
      <c r="E26" s="82"/>
      <c r="F26" s="62">
        <f>ROUND(C26*(15/100),2)</f>
        <v>0</v>
      </c>
      <c r="G26" s="82" t="s">
        <v>156</v>
      </c>
      <c r="H26" s="82"/>
      <c r="I26" s="62">
        <f>ROUND(SUM(C25:C27),1)</f>
        <v>0</v>
      </c>
    </row>
    <row r="27" spans="1:9" ht="15" customHeight="1" x14ac:dyDescent="0.25">
      <c r="A27" s="83" t="s">
        <v>59</v>
      </c>
      <c r="B27" s="84"/>
      <c r="C27" s="6">
        <f>ROUND(SUM('Stavební rozpočet (VON)'!AL12:AL720),1)</f>
        <v>0</v>
      </c>
      <c r="D27" s="84" t="s">
        <v>826</v>
      </c>
      <c r="E27" s="84"/>
      <c r="F27" s="6">
        <f>ROUND(C27*(21/100),2)</f>
        <v>0</v>
      </c>
      <c r="G27" s="84" t="s">
        <v>452</v>
      </c>
      <c r="H27" s="84"/>
      <c r="I27" s="6">
        <f>ROUND(SUM(F26:F27)+I26,1)</f>
        <v>0</v>
      </c>
    </row>
    <row r="29" spans="1:9" ht="15" customHeight="1" x14ac:dyDescent="0.25">
      <c r="A29" s="78" t="s">
        <v>16</v>
      </c>
      <c r="B29" s="70"/>
      <c r="C29" s="71"/>
      <c r="D29" s="70" t="s">
        <v>1057</v>
      </c>
      <c r="E29" s="70"/>
      <c r="F29" s="71"/>
      <c r="G29" s="70" t="s">
        <v>755</v>
      </c>
      <c r="H29" s="70"/>
      <c r="I29" s="71"/>
    </row>
    <row r="30" spans="1:9" ht="15" customHeight="1" x14ac:dyDescent="0.25">
      <c r="A30" s="79" t="s">
        <v>769</v>
      </c>
      <c r="B30" s="72"/>
      <c r="C30" s="73"/>
      <c r="D30" s="72" t="s">
        <v>769</v>
      </c>
      <c r="E30" s="72"/>
      <c r="F30" s="73"/>
      <c r="G30" s="72" t="s">
        <v>769</v>
      </c>
      <c r="H30" s="72"/>
      <c r="I30" s="73"/>
    </row>
    <row r="31" spans="1:9" ht="15" customHeight="1" x14ac:dyDescent="0.25">
      <c r="A31" s="79" t="s">
        <v>769</v>
      </c>
      <c r="B31" s="72"/>
      <c r="C31" s="73"/>
      <c r="D31" s="72" t="s">
        <v>769</v>
      </c>
      <c r="E31" s="72"/>
      <c r="F31" s="73"/>
      <c r="G31" s="72" t="s">
        <v>769</v>
      </c>
      <c r="H31" s="72"/>
      <c r="I31" s="73"/>
    </row>
    <row r="32" spans="1:9" ht="15" customHeight="1" x14ac:dyDescent="0.25">
      <c r="A32" s="79" t="s">
        <v>769</v>
      </c>
      <c r="B32" s="72"/>
      <c r="C32" s="73"/>
      <c r="D32" s="72" t="s">
        <v>769</v>
      </c>
      <c r="E32" s="72"/>
      <c r="F32" s="73"/>
      <c r="G32" s="72" t="s">
        <v>769</v>
      </c>
      <c r="H32" s="72"/>
      <c r="I32" s="73"/>
    </row>
    <row r="33" spans="1:9" ht="15" customHeight="1" x14ac:dyDescent="0.25">
      <c r="A33" s="80" t="s">
        <v>207</v>
      </c>
      <c r="B33" s="74"/>
      <c r="C33" s="75"/>
      <c r="D33" s="74" t="s">
        <v>207</v>
      </c>
      <c r="E33" s="74"/>
      <c r="F33" s="75"/>
      <c r="G33" s="74" t="s">
        <v>207</v>
      </c>
      <c r="H33" s="74"/>
      <c r="I33" s="75"/>
    </row>
    <row r="34" spans="1:9" ht="15" customHeight="1" x14ac:dyDescent="0.25">
      <c r="A34" s="46" t="s">
        <v>101</v>
      </c>
    </row>
    <row r="35" spans="1:9" ht="12.75" customHeight="1" x14ac:dyDescent="0.25">
      <c r="A35" s="76" t="s">
        <v>769</v>
      </c>
      <c r="B35" s="77"/>
      <c r="C35" s="77"/>
      <c r="D35" s="77"/>
      <c r="E35" s="77"/>
      <c r="F35" s="77"/>
      <c r="G35" s="77"/>
      <c r="H35" s="77"/>
      <c r="I35" s="77"/>
    </row>
  </sheetData>
  <mergeCells count="80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I2:I3"/>
    <mergeCell ref="I4:I5"/>
    <mergeCell ref="I6:I7"/>
    <mergeCell ref="I8:I9"/>
    <mergeCell ref="I10:I11"/>
    <mergeCell ref="B13:C13"/>
    <mergeCell ref="E13:F13"/>
    <mergeCell ref="H13:I13"/>
    <mergeCell ref="A20:B20"/>
    <mergeCell ref="A21:B21"/>
    <mergeCell ref="D14:E14"/>
    <mergeCell ref="D15:E15"/>
    <mergeCell ref="D16:E16"/>
    <mergeCell ref="D17:E17"/>
    <mergeCell ref="G14:H14"/>
    <mergeCell ref="G15:H15"/>
    <mergeCell ref="G16:H16"/>
    <mergeCell ref="G17:H17"/>
    <mergeCell ref="G18:H18"/>
    <mergeCell ref="A25:B25"/>
    <mergeCell ref="D18:E18"/>
    <mergeCell ref="D19:E19"/>
    <mergeCell ref="D20:E20"/>
    <mergeCell ref="D21:E21"/>
    <mergeCell ref="D22:E22"/>
    <mergeCell ref="A22:B22"/>
    <mergeCell ref="G19:H19"/>
    <mergeCell ref="G20:H20"/>
    <mergeCell ref="G21:H21"/>
    <mergeCell ref="G22:H22"/>
    <mergeCell ref="G23:H23"/>
    <mergeCell ref="A26:B26"/>
    <mergeCell ref="A27:B27"/>
    <mergeCell ref="D26:E26"/>
    <mergeCell ref="D27:E27"/>
    <mergeCell ref="G26:H26"/>
    <mergeCell ref="G27:H27"/>
    <mergeCell ref="A35:I35"/>
    <mergeCell ref="A29:C29"/>
    <mergeCell ref="A30:C30"/>
    <mergeCell ref="A31:C31"/>
    <mergeCell ref="A32:C32"/>
    <mergeCell ref="A33:C33"/>
    <mergeCell ref="D29:F29"/>
    <mergeCell ref="D30:F30"/>
    <mergeCell ref="D31:F31"/>
    <mergeCell ref="D32:F32"/>
    <mergeCell ref="D33:F33"/>
    <mergeCell ref="G29:I29"/>
    <mergeCell ref="G30:I30"/>
    <mergeCell ref="G31:I31"/>
    <mergeCell ref="G32:I32"/>
    <mergeCell ref="G33:I33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I45"/>
  <sheetViews>
    <sheetView showOutlineSymbols="0" workbookViewId="0">
      <selection activeCell="A45" sqref="A45:E45"/>
    </sheetView>
  </sheetViews>
  <sheetFormatPr defaultColWidth="14.1640625" defaultRowHeight="15" customHeight="1" x14ac:dyDescent="0.25"/>
  <cols>
    <col min="1" max="1" width="10.6640625"/>
    <col min="2" max="2" width="15"/>
    <col min="3" max="3" width="26.6640625"/>
    <col min="4" max="4" width="11.6640625"/>
    <col min="5" max="5" width="16.33203125"/>
    <col min="6" max="6" width="26.6640625"/>
    <col min="7" max="7" width="10.6640625"/>
    <col min="8" max="8" width="20"/>
    <col min="9" max="9" width="26.6640625"/>
  </cols>
  <sheetData>
    <row r="1" spans="1:9" ht="54.75" customHeight="1" x14ac:dyDescent="0.25">
      <c r="A1" s="110" t="s">
        <v>251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 t="e">
        <f>'Stavební rozpočet'!#REF!</f>
        <v>#REF!</v>
      </c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 t="e">
        <f>'Stavební rozpočet'!#REF!</f>
        <v>#REF!</v>
      </c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 t="e">
        <f>'Stavební rozpočet'!#REF!</f>
        <v>#REF!</v>
      </c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 t="str">
        <f>'Stavební rozpočet'!H6</f>
        <v xml:space="preserve"> </v>
      </c>
      <c r="G8" s="77"/>
      <c r="H8" s="77" t="s">
        <v>1122</v>
      </c>
      <c r="I8" s="100">
        <v>8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 t="e">
        <f>'Stavební rozpočet'!#REF!</f>
        <v>#REF!</v>
      </c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3" spans="1:9" ht="15.75" customHeight="1" x14ac:dyDescent="0.25">
      <c r="A13" s="125" t="s">
        <v>419</v>
      </c>
      <c r="B13" s="125"/>
      <c r="C13" s="125"/>
      <c r="D13" s="125"/>
      <c r="E13" s="125"/>
    </row>
    <row r="14" spans="1:9" ht="15" customHeight="1" x14ac:dyDescent="0.25">
      <c r="A14" s="126" t="s">
        <v>1233</v>
      </c>
      <c r="B14" s="127"/>
      <c r="C14" s="127"/>
      <c r="D14" s="127"/>
      <c r="E14" s="128"/>
      <c r="F14" s="67" t="s">
        <v>1144</v>
      </c>
      <c r="G14" s="67" t="s">
        <v>972</v>
      </c>
      <c r="H14" s="67" t="s">
        <v>272</v>
      </c>
      <c r="I14" s="67" t="s">
        <v>1144</v>
      </c>
    </row>
    <row r="15" spans="1:9" ht="15" customHeight="1" x14ac:dyDescent="0.25">
      <c r="A15" s="115" t="s">
        <v>791</v>
      </c>
      <c r="B15" s="106"/>
      <c r="C15" s="106"/>
      <c r="D15" s="106"/>
      <c r="E15" s="102"/>
      <c r="F15" s="16">
        <v>0</v>
      </c>
      <c r="G15" s="43" t="s">
        <v>769</v>
      </c>
      <c r="H15" s="43" t="s">
        <v>769</v>
      </c>
      <c r="I15" s="16">
        <f>F15</f>
        <v>0</v>
      </c>
    </row>
    <row r="16" spans="1:9" ht="15" customHeight="1" x14ac:dyDescent="0.25">
      <c r="A16" s="115" t="s">
        <v>113</v>
      </c>
      <c r="B16" s="106"/>
      <c r="C16" s="106"/>
      <c r="D16" s="106"/>
      <c r="E16" s="102"/>
      <c r="F16" s="16">
        <v>0</v>
      </c>
      <c r="G16" s="43" t="s">
        <v>769</v>
      </c>
      <c r="H16" s="43" t="s">
        <v>769</v>
      </c>
      <c r="I16" s="16">
        <f>F16</f>
        <v>0</v>
      </c>
    </row>
    <row r="17" spans="1:9" ht="15" customHeight="1" x14ac:dyDescent="0.25">
      <c r="A17" s="113" t="s">
        <v>819</v>
      </c>
      <c r="B17" s="77"/>
      <c r="C17" s="77"/>
      <c r="D17" s="77"/>
      <c r="E17" s="99"/>
      <c r="F17" s="32">
        <v>0</v>
      </c>
      <c r="G17" s="18" t="s">
        <v>769</v>
      </c>
      <c r="H17" s="18" t="s">
        <v>769</v>
      </c>
      <c r="I17" s="32">
        <f>F17</f>
        <v>0</v>
      </c>
    </row>
    <row r="18" spans="1:9" ht="15" customHeight="1" x14ac:dyDescent="0.25">
      <c r="A18" s="116" t="s">
        <v>1184</v>
      </c>
      <c r="B18" s="117"/>
      <c r="C18" s="117"/>
      <c r="D18" s="117"/>
      <c r="E18" s="118"/>
      <c r="F18" s="5" t="s">
        <v>769</v>
      </c>
      <c r="G18" s="26" t="s">
        <v>769</v>
      </c>
      <c r="H18" s="26" t="s">
        <v>769</v>
      </c>
      <c r="I18" s="25">
        <f>SUM(I15:I17)</f>
        <v>0</v>
      </c>
    </row>
    <row r="20" spans="1:9" ht="15" customHeight="1" x14ac:dyDescent="0.25">
      <c r="A20" s="126" t="s">
        <v>195</v>
      </c>
      <c r="B20" s="127"/>
      <c r="C20" s="127"/>
      <c r="D20" s="127"/>
      <c r="E20" s="128"/>
      <c r="F20" s="67" t="s">
        <v>1144</v>
      </c>
      <c r="G20" s="67" t="s">
        <v>972</v>
      </c>
      <c r="H20" s="67" t="s">
        <v>272</v>
      </c>
      <c r="I20" s="67" t="s">
        <v>1144</v>
      </c>
    </row>
    <row r="21" spans="1:9" ht="15" customHeight="1" x14ac:dyDescent="0.25">
      <c r="A21" s="115" t="s">
        <v>118</v>
      </c>
      <c r="B21" s="106"/>
      <c r="C21" s="106"/>
      <c r="D21" s="106"/>
      <c r="E21" s="102"/>
      <c r="F21" s="16">
        <v>0</v>
      </c>
      <c r="G21" s="43" t="s">
        <v>769</v>
      </c>
      <c r="H21" s="43" t="s">
        <v>769</v>
      </c>
      <c r="I21" s="16">
        <f t="shared" ref="I21:I26" si="0">F21</f>
        <v>0</v>
      </c>
    </row>
    <row r="22" spans="1:9" ht="15" customHeight="1" x14ac:dyDescent="0.25">
      <c r="A22" s="115" t="s">
        <v>878</v>
      </c>
      <c r="B22" s="106"/>
      <c r="C22" s="106"/>
      <c r="D22" s="106"/>
      <c r="E22" s="102"/>
      <c r="F22" s="16">
        <v>0</v>
      </c>
      <c r="G22" s="43" t="s">
        <v>769</v>
      </c>
      <c r="H22" s="43" t="s">
        <v>769</v>
      </c>
      <c r="I22" s="16">
        <f t="shared" si="0"/>
        <v>0</v>
      </c>
    </row>
    <row r="23" spans="1:9" ht="15" customHeight="1" x14ac:dyDescent="0.25">
      <c r="A23" s="115" t="s">
        <v>1076</v>
      </c>
      <c r="B23" s="106"/>
      <c r="C23" s="106"/>
      <c r="D23" s="106"/>
      <c r="E23" s="102"/>
      <c r="F23" s="16">
        <v>0</v>
      </c>
      <c r="G23" s="43" t="s">
        <v>769</v>
      </c>
      <c r="H23" s="43" t="s">
        <v>769</v>
      </c>
      <c r="I23" s="16">
        <f t="shared" si="0"/>
        <v>0</v>
      </c>
    </row>
    <row r="24" spans="1:9" ht="15" customHeight="1" x14ac:dyDescent="0.25">
      <c r="A24" s="115" t="s">
        <v>595</v>
      </c>
      <c r="B24" s="106"/>
      <c r="C24" s="106"/>
      <c r="D24" s="106"/>
      <c r="E24" s="102"/>
      <c r="F24" s="16">
        <v>0</v>
      </c>
      <c r="G24" s="43" t="s">
        <v>769</v>
      </c>
      <c r="H24" s="43" t="s">
        <v>769</v>
      </c>
      <c r="I24" s="16">
        <f t="shared" si="0"/>
        <v>0</v>
      </c>
    </row>
    <row r="25" spans="1:9" ht="15" customHeight="1" x14ac:dyDescent="0.25">
      <c r="A25" s="115" t="s">
        <v>722</v>
      </c>
      <c r="B25" s="106"/>
      <c r="C25" s="106"/>
      <c r="D25" s="106"/>
      <c r="E25" s="102"/>
      <c r="F25" s="16">
        <v>0</v>
      </c>
      <c r="G25" s="43" t="s">
        <v>769</v>
      </c>
      <c r="H25" s="43" t="s">
        <v>769</v>
      </c>
      <c r="I25" s="16">
        <f t="shared" si="0"/>
        <v>0</v>
      </c>
    </row>
    <row r="26" spans="1:9" ht="15" customHeight="1" x14ac:dyDescent="0.25">
      <c r="A26" s="113" t="s">
        <v>1105</v>
      </c>
      <c r="B26" s="77"/>
      <c r="C26" s="77"/>
      <c r="D26" s="77"/>
      <c r="E26" s="99"/>
      <c r="F26" s="32">
        <v>0</v>
      </c>
      <c r="G26" s="18" t="s">
        <v>769</v>
      </c>
      <c r="H26" s="18" t="s">
        <v>769</v>
      </c>
      <c r="I26" s="32">
        <f t="shared" si="0"/>
        <v>0</v>
      </c>
    </row>
    <row r="27" spans="1:9" ht="15" customHeight="1" x14ac:dyDescent="0.25">
      <c r="A27" s="116" t="s">
        <v>453</v>
      </c>
      <c r="B27" s="117"/>
      <c r="C27" s="117"/>
      <c r="D27" s="117"/>
      <c r="E27" s="118"/>
      <c r="F27" s="5" t="s">
        <v>769</v>
      </c>
      <c r="G27" s="26" t="s">
        <v>769</v>
      </c>
      <c r="H27" s="26" t="s">
        <v>769</v>
      </c>
      <c r="I27" s="25">
        <f>SUM(I21:I26)</f>
        <v>0</v>
      </c>
    </row>
    <row r="29" spans="1:9" ht="15.75" customHeight="1" x14ac:dyDescent="0.25">
      <c r="A29" s="119" t="s">
        <v>1153</v>
      </c>
      <c r="B29" s="120"/>
      <c r="C29" s="120"/>
      <c r="D29" s="120"/>
      <c r="E29" s="121"/>
      <c r="F29" s="122">
        <f>I18+I27</f>
        <v>0</v>
      </c>
      <c r="G29" s="123"/>
      <c r="H29" s="123"/>
      <c r="I29" s="124"/>
    </row>
    <row r="33" spans="1:9" ht="15.75" customHeight="1" x14ac:dyDescent="0.25">
      <c r="A33" s="125" t="s">
        <v>36</v>
      </c>
      <c r="B33" s="125"/>
      <c r="C33" s="125"/>
      <c r="D33" s="125"/>
      <c r="E33" s="125"/>
    </row>
    <row r="34" spans="1:9" ht="15" customHeight="1" x14ac:dyDescent="0.25">
      <c r="A34" s="126" t="s">
        <v>22</v>
      </c>
      <c r="B34" s="127"/>
      <c r="C34" s="127"/>
      <c r="D34" s="127"/>
      <c r="E34" s="128"/>
      <c r="F34" s="67" t="s">
        <v>1144</v>
      </c>
      <c r="G34" s="67" t="s">
        <v>972</v>
      </c>
      <c r="H34" s="67" t="s">
        <v>272</v>
      </c>
      <c r="I34" s="67" t="s">
        <v>1144</v>
      </c>
    </row>
    <row r="35" spans="1:9" ht="15" customHeight="1" x14ac:dyDescent="0.25">
      <c r="A35" s="115" t="s">
        <v>531</v>
      </c>
      <c r="B35" s="106"/>
      <c r="C35" s="106"/>
      <c r="D35" s="106"/>
      <c r="E35" s="102"/>
      <c r="F35" s="16">
        <f>SUM('Stavební rozpočet'!BL12:BL720)</f>
        <v>0</v>
      </c>
      <c r="G35" s="43" t="s">
        <v>769</v>
      </c>
      <c r="H35" s="43" t="s">
        <v>769</v>
      </c>
      <c r="I35" s="16">
        <f t="shared" ref="I35:I44" si="1">F35</f>
        <v>0</v>
      </c>
    </row>
    <row r="36" spans="1:9" ht="15" customHeight="1" x14ac:dyDescent="0.25">
      <c r="A36" s="115" t="s">
        <v>951</v>
      </c>
      <c r="B36" s="106"/>
      <c r="C36" s="106"/>
      <c r="D36" s="106"/>
      <c r="E36" s="102"/>
      <c r="F36" s="16">
        <f>SUM('Stavební rozpočet'!BM12:BM720)</f>
        <v>0</v>
      </c>
      <c r="G36" s="43" t="s">
        <v>769</v>
      </c>
      <c r="H36" s="43" t="s">
        <v>769</v>
      </c>
      <c r="I36" s="16">
        <f t="shared" si="1"/>
        <v>0</v>
      </c>
    </row>
    <row r="37" spans="1:9" ht="15" customHeight="1" x14ac:dyDescent="0.25">
      <c r="A37" s="115" t="s">
        <v>118</v>
      </c>
      <c r="B37" s="106"/>
      <c r="C37" s="106"/>
      <c r="D37" s="106"/>
      <c r="E37" s="102"/>
      <c r="F37" s="16">
        <f>SUM('Stavební rozpočet'!BN12:BN720)</f>
        <v>0</v>
      </c>
      <c r="G37" s="43" t="s">
        <v>769</v>
      </c>
      <c r="H37" s="43" t="s">
        <v>769</v>
      </c>
      <c r="I37" s="16">
        <f t="shared" si="1"/>
        <v>0</v>
      </c>
    </row>
    <row r="38" spans="1:9" ht="15" customHeight="1" x14ac:dyDescent="0.25">
      <c r="A38" s="115" t="s">
        <v>910</v>
      </c>
      <c r="B38" s="106"/>
      <c r="C38" s="106"/>
      <c r="D38" s="106"/>
      <c r="E38" s="102"/>
      <c r="F38" s="16">
        <f>SUM('Stavební rozpočet'!BO12:BO720)</f>
        <v>0</v>
      </c>
      <c r="G38" s="43" t="s">
        <v>769</v>
      </c>
      <c r="H38" s="43" t="s">
        <v>769</v>
      </c>
      <c r="I38" s="16">
        <f t="shared" si="1"/>
        <v>0</v>
      </c>
    </row>
    <row r="39" spans="1:9" ht="15" customHeight="1" x14ac:dyDescent="0.25">
      <c r="A39" s="115" t="s">
        <v>1074</v>
      </c>
      <c r="B39" s="106"/>
      <c r="C39" s="106"/>
      <c r="D39" s="106"/>
      <c r="E39" s="102"/>
      <c r="F39" s="16">
        <f>SUM('Stavební rozpočet'!BP12:BP720)</f>
        <v>0</v>
      </c>
      <c r="G39" s="43" t="s">
        <v>769</v>
      </c>
      <c r="H39" s="43" t="s">
        <v>769</v>
      </c>
      <c r="I39" s="16">
        <f t="shared" si="1"/>
        <v>0</v>
      </c>
    </row>
    <row r="40" spans="1:9" ht="15" customHeight="1" x14ac:dyDescent="0.25">
      <c r="A40" s="115" t="s">
        <v>1076</v>
      </c>
      <c r="B40" s="106"/>
      <c r="C40" s="106"/>
      <c r="D40" s="106"/>
      <c r="E40" s="102"/>
      <c r="F40" s="16">
        <f>SUM('Stavební rozpočet'!BQ12:BQ720)</f>
        <v>0</v>
      </c>
      <c r="G40" s="43" t="s">
        <v>769</v>
      </c>
      <c r="H40" s="43" t="s">
        <v>769</v>
      </c>
      <c r="I40" s="16">
        <f t="shared" si="1"/>
        <v>0</v>
      </c>
    </row>
    <row r="41" spans="1:9" ht="15" customHeight="1" x14ac:dyDescent="0.25">
      <c r="A41" s="115" t="s">
        <v>595</v>
      </c>
      <c r="B41" s="106"/>
      <c r="C41" s="106"/>
      <c r="D41" s="106"/>
      <c r="E41" s="102"/>
      <c r="F41" s="16">
        <f>SUM('Stavební rozpočet'!BR12:BR720)</f>
        <v>0</v>
      </c>
      <c r="G41" s="43" t="s">
        <v>769</v>
      </c>
      <c r="H41" s="43" t="s">
        <v>769</v>
      </c>
      <c r="I41" s="16">
        <f t="shared" si="1"/>
        <v>0</v>
      </c>
    </row>
    <row r="42" spans="1:9" ht="15" customHeight="1" x14ac:dyDescent="0.25">
      <c r="A42" s="115" t="s">
        <v>1244</v>
      </c>
      <c r="B42" s="106"/>
      <c r="C42" s="106"/>
      <c r="D42" s="106"/>
      <c r="E42" s="102"/>
      <c r="F42" s="16">
        <f>SUM('Stavební rozpočet'!BS12:BS720)</f>
        <v>0</v>
      </c>
      <c r="G42" s="43" t="s">
        <v>769</v>
      </c>
      <c r="H42" s="43" t="s">
        <v>769</v>
      </c>
      <c r="I42" s="16">
        <f t="shared" si="1"/>
        <v>0</v>
      </c>
    </row>
    <row r="43" spans="1:9" ht="15" customHeight="1" x14ac:dyDescent="0.25">
      <c r="A43" s="115" t="s">
        <v>292</v>
      </c>
      <c r="B43" s="106"/>
      <c r="C43" s="106"/>
      <c r="D43" s="106"/>
      <c r="E43" s="102"/>
      <c r="F43" s="16">
        <f>SUM('Stavební rozpočet'!BT12:BT720)</f>
        <v>0</v>
      </c>
      <c r="G43" s="43" t="s">
        <v>769</v>
      </c>
      <c r="H43" s="43" t="s">
        <v>769</v>
      </c>
      <c r="I43" s="16">
        <f t="shared" si="1"/>
        <v>0</v>
      </c>
    </row>
    <row r="44" spans="1:9" ht="15" customHeight="1" x14ac:dyDescent="0.25">
      <c r="A44" s="113" t="s">
        <v>1053</v>
      </c>
      <c r="B44" s="77"/>
      <c r="C44" s="77"/>
      <c r="D44" s="77"/>
      <c r="E44" s="99"/>
      <c r="F44" s="32">
        <f>SUM('Stavební rozpočet'!BU12:BU720)</f>
        <v>0</v>
      </c>
      <c r="G44" s="18" t="s">
        <v>769</v>
      </c>
      <c r="H44" s="18" t="s">
        <v>769</v>
      </c>
      <c r="I44" s="32">
        <f t="shared" si="1"/>
        <v>0</v>
      </c>
    </row>
    <row r="45" spans="1:9" ht="15" customHeight="1" x14ac:dyDescent="0.25">
      <c r="A45" s="116" t="s">
        <v>852</v>
      </c>
      <c r="B45" s="117"/>
      <c r="C45" s="117"/>
      <c r="D45" s="117"/>
      <c r="E45" s="118"/>
      <c r="F45" s="5" t="s">
        <v>769</v>
      </c>
      <c r="G45" s="26" t="s">
        <v>769</v>
      </c>
      <c r="H45" s="26" t="s">
        <v>769</v>
      </c>
      <c r="I45" s="25">
        <f>SUM(I35:I44)</f>
        <v>0</v>
      </c>
    </row>
  </sheetData>
  <mergeCells count="60">
    <mergeCell ref="A10:B11"/>
    <mergeCell ref="E2:E3"/>
    <mergeCell ref="E4:E5"/>
    <mergeCell ref="E6:E7"/>
    <mergeCell ref="E8:E9"/>
    <mergeCell ref="A1:I1"/>
    <mergeCell ref="A2:B3"/>
    <mergeCell ref="A4:B5"/>
    <mergeCell ref="A6:B7"/>
    <mergeCell ref="A8:B9"/>
    <mergeCell ref="F10:G11"/>
    <mergeCell ref="E10:E11"/>
    <mergeCell ref="H2:H3"/>
    <mergeCell ref="H4:H5"/>
    <mergeCell ref="H6:H7"/>
    <mergeCell ref="H8:H9"/>
    <mergeCell ref="H10:H11"/>
    <mergeCell ref="A20:E20"/>
    <mergeCell ref="I2:I3"/>
    <mergeCell ref="I4:I5"/>
    <mergeCell ref="I6:I7"/>
    <mergeCell ref="I8:I9"/>
    <mergeCell ref="I10:I11"/>
    <mergeCell ref="A13:E13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A14:E14"/>
    <mergeCell ref="A15:E15"/>
    <mergeCell ref="A16:E16"/>
    <mergeCell ref="A17:E17"/>
    <mergeCell ref="A18:E18"/>
    <mergeCell ref="A35:E35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BW26"/>
  <sheetViews>
    <sheetView showOutlineSymbols="0" workbookViewId="0">
      <pane ySplit="11" topLeftCell="A12" activePane="bottomLeft" state="frozenSplit"/>
      <selection activeCell="A26" sqref="A26:M26"/>
      <selection pane="bottomLeft" activeCell="L8" sqref="L8:M9"/>
    </sheetView>
  </sheetViews>
  <sheetFormatPr defaultColWidth="14.1640625" defaultRowHeight="15" customHeight="1" x14ac:dyDescent="0.25"/>
  <cols>
    <col min="1" max="1" width="4.6640625" customWidth="1"/>
    <col min="2" max="2" width="8.83203125" customWidth="1"/>
    <col min="3" max="3" width="20.83203125" customWidth="1"/>
    <col min="4" max="4" width="1.6640625" customWidth="1"/>
    <col min="5" max="5" width="41.6640625" customWidth="1"/>
    <col min="6" max="6" width="5" customWidth="1"/>
    <col min="7" max="7" width="15" customWidth="1"/>
    <col min="8" max="8" width="14" customWidth="1"/>
    <col min="9" max="9" width="18.33203125" customWidth="1"/>
    <col min="10" max="10" width="13.6640625" customWidth="1"/>
    <col min="11" max="11" width="15.6640625" customWidth="1"/>
    <col min="25" max="75" width="14.1640625" hidden="1" customWidth="1"/>
  </cols>
  <sheetData>
    <row r="1" spans="1:75" ht="54.75" customHeight="1" x14ac:dyDescent="0.25">
      <c r="A1" s="111" t="s">
        <v>1205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AS1" s="14">
        <f>SUM(AJ1:AJ2)</f>
        <v>0</v>
      </c>
      <c r="AT1" s="14">
        <f>SUM(AK1:AK2)</f>
        <v>0</v>
      </c>
      <c r="AU1" s="14">
        <f>SUM(AL1:AL2)</f>
        <v>0</v>
      </c>
    </row>
    <row r="2" spans="1:75" ht="15" customHeight="1" x14ac:dyDescent="0.25">
      <c r="A2" s="112" t="s">
        <v>86</v>
      </c>
      <c r="B2" s="105"/>
      <c r="C2" s="105"/>
      <c r="D2" s="107" t="str">
        <f>'Stavební rozpočet'!D2</f>
        <v>JSL13 Předklášteří - obnova vodovodního řadu ul. Komenského, ul. Krátká</v>
      </c>
      <c r="E2" s="108"/>
      <c r="F2" s="108"/>
      <c r="G2" s="108"/>
      <c r="H2" s="105" t="s">
        <v>6</v>
      </c>
      <c r="I2" s="105"/>
      <c r="J2" s="104" t="str">
        <f>'Stavební rozpočet'!H2</f>
        <v xml:space="preserve"> </v>
      </c>
      <c r="K2" s="104" t="s">
        <v>924</v>
      </c>
      <c r="L2" s="104"/>
      <c r="M2" s="98"/>
    </row>
    <row r="3" spans="1:75" ht="15" customHeight="1" x14ac:dyDescent="0.25">
      <c r="A3" s="113"/>
      <c r="B3" s="77"/>
      <c r="C3" s="77"/>
      <c r="D3" s="109"/>
      <c r="E3" s="109"/>
      <c r="F3" s="109"/>
      <c r="G3" s="109"/>
      <c r="H3" s="77"/>
      <c r="I3" s="77"/>
      <c r="J3" s="77"/>
      <c r="K3" s="77"/>
      <c r="L3" s="77"/>
      <c r="M3" s="99"/>
    </row>
    <row r="4" spans="1:75" ht="15" customHeight="1" x14ac:dyDescent="0.25">
      <c r="A4" s="114" t="s">
        <v>610</v>
      </c>
      <c r="B4" s="77"/>
      <c r="C4" s="77"/>
      <c r="D4" s="76" t="str">
        <f>'Stavební rozpočet'!D4</f>
        <v xml:space="preserve"> </v>
      </c>
      <c r="E4" s="77"/>
      <c r="F4" s="77"/>
      <c r="G4" s="77"/>
      <c r="H4" s="77" t="s">
        <v>986</v>
      </c>
      <c r="I4" s="77"/>
      <c r="J4" s="76" t="str">
        <f>'Stavební rozpočet'!H4</f>
        <v>28.09.2023</v>
      </c>
      <c r="K4" s="76" t="s">
        <v>767</v>
      </c>
      <c r="L4" s="76"/>
      <c r="M4" s="99"/>
    </row>
    <row r="5" spans="1:75" ht="15" customHeight="1" x14ac:dyDescent="0.25">
      <c r="A5" s="113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99"/>
    </row>
    <row r="6" spans="1:75" ht="15" customHeight="1" x14ac:dyDescent="0.25">
      <c r="A6" s="114" t="s">
        <v>104</v>
      </c>
      <c r="B6" s="77"/>
      <c r="C6" s="77"/>
      <c r="D6" s="76" t="str">
        <f>'Stavební rozpočet'!D6</f>
        <v>Předklášteří</v>
      </c>
      <c r="E6" s="77"/>
      <c r="F6" s="77"/>
      <c r="G6" s="77"/>
      <c r="H6" s="77" t="s">
        <v>359</v>
      </c>
      <c r="I6" s="77"/>
      <c r="J6" s="76" t="str">
        <f>'Stavební rozpočet'!H6</f>
        <v xml:space="preserve"> </v>
      </c>
      <c r="K6" s="76" t="s">
        <v>967</v>
      </c>
      <c r="L6" s="76"/>
      <c r="M6" s="99"/>
    </row>
    <row r="7" spans="1:75" ht="15" customHeight="1" x14ac:dyDescent="0.25">
      <c r="A7" s="113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99"/>
    </row>
    <row r="8" spans="1:75" ht="15" customHeight="1" x14ac:dyDescent="0.25">
      <c r="A8" s="114" t="s">
        <v>546</v>
      </c>
      <c r="B8" s="77"/>
      <c r="C8" s="77"/>
      <c r="D8" s="76" t="str">
        <f>'Stavební rozpočet'!D8</f>
        <v xml:space="preserve"> </v>
      </c>
      <c r="E8" s="77"/>
      <c r="F8" s="77"/>
      <c r="G8" s="77"/>
      <c r="H8" s="77" t="s">
        <v>624</v>
      </c>
      <c r="I8" s="77"/>
      <c r="J8" s="76" t="str">
        <f>'Stavební rozpočet'!H8</f>
        <v>28.09.2023</v>
      </c>
      <c r="K8" s="76" t="s">
        <v>733</v>
      </c>
      <c r="L8" s="76"/>
      <c r="M8" s="99"/>
    </row>
    <row r="9" spans="1:75" ht="15" customHeight="1" x14ac:dyDescent="0.25">
      <c r="A9" s="113"/>
      <c r="B9" s="77"/>
      <c r="C9" s="77"/>
      <c r="D9" s="77"/>
      <c r="E9" s="77"/>
      <c r="F9" s="77"/>
      <c r="G9" s="77"/>
      <c r="H9" s="77"/>
      <c r="I9" s="77"/>
      <c r="J9" s="77"/>
      <c r="K9" s="77"/>
      <c r="L9" s="106"/>
      <c r="M9" s="102"/>
    </row>
    <row r="10" spans="1:75" ht="15" customHeight="1" x14ac:dyDescent="0.25">
      <c r="A10" s="4" t="s">
        <v>93</v>
      </c>
      <c r="B10" s="13" t="s">
        <v>821</v>
      </c>
      <c r="C10" s="13" t="s">
        <v>368</v>
      </c>
      <c r="D10" s="140" t="s">
        <v>768</v>
      </c>
      <c r="E10" s="141"/>
      <c r="F10" s="13" t="s">
        <v>391</v>
      </c>
      <c r="G10" s="1" t="s">
        <v>665</v>
      </c>
      <c r="H10" s="49" t="s">
        <v>357</v>
      </c>
      <c r="I10" s="8" t="s">
        <v>712</v>
      </c>
      <c r="J10" s="49" t="s">
        <v>169</v>
      </c>
      <c r="K10" s="8" t="s">
        <v>302</v>
      </c>
      <c r="M10" s="48"/>
      <c r="BK10" s="30" t="s">
        <v>449</v>
      </c>
      <c r="BL10" s="40" t="s">
        <v>589</v>
      </c>
      <c r="BW10" s="40" t="s">
        <v>1224</v>
      </c>
    </row>
    <row r="11" spans="1:75" ht="15" customHeight="1" x14ac:dyDescent="0.25">
      <c r="A11" s="65" t="s">
        <v>1027</v>
      </c>
      <c r="B11" s="39" t="s">
        <v>1027</v>
      </c>
      <c r="C11" s="39" t="s">
        <v>1027</v>
      </c>
      <c r="D11" s="130" t="s">
        <v>1118</v>
      </c>
      <c r="E11" s="131"/>
      <c r="F11" s="39" t="s">
        <v>1027</v>
      </c>
      <c r="G11" s="39" t="s">
        <v>1027</v>
      </c>
      <c r="H11" s="69" t="s">
        <v>1061</v>
      </c>
      <c r="I11" s="17" t="s">
        <v>114</v>
      </c>
      <c r="J11" s="64" t="s">
        <v>114</v>
      </c>
      <c r="K11" s="35" t="s">
        <v>282</v>
      </c>
      <c r="M11" s="48"/>
      <c r="Z11" s="30" t="s">
        <v>866</v>
      </c>
      <c r="AA11" s="30" t="s">
        <v>683</v>
      </c>
      <c r="AB11" s="30" t="s">
        <v>1143</v>
      </c>
      <c r="AC11" s="30" t="s">
        <v>319</v>
      </c>
      <c r="AD11" s="30" t="s">
        <v>939</v>
      </c>
      <c r="AE11" s="30" t="s">
        <v>415</v>
      </c>
      <c r="AF11" s="30" t="s">
        <v>998</v>
      </c>
      <c r="AG11" s="30" t="s">
        <v>487</v>
      </c>
      <c r="AH11" s="30" t="s">
        <v>288</v>
      </c>
      <c r="BH11" s="30" t="s">
        <v>867</v>
      </c>
      <c r="BI11" s="30" t="s">
        <v>1126</v>
      </c>
      <c r="BJ11" s="30" t="s">
        <v>1209</v>
      </c>
    </row>
    <row r="12" spans="1:75" ht="15" customHeight="1" x14ac:dyDescent="0.25">
      <c r="A12" s="27" t="s">
        <v>769</v>
      </c>
      <c r="B12" s="28" t="s">
        <v>438</v>
      </c>
      <c r="C12" s="28" t="s">
        <v>769</v>
      </c>
      <c r="D12" s="132" t="s">
        <v>468</v>
      </c>
      <c r="E12" s="133"/>
      <c r="F12" s="23" t="s">
        <v>1027</v>
      </c>
      <c r="G12" s="23" t="s">
        <v>1027</v>
      </c>
      <c r="H12" s="23" t="s">
        <v>1027</v>
      </c>
      <c r="I12" s="14">
        <f>I13+I21</f>
        <v>0</v>
      </c>
      <c r="J12" s="14">
        <f>J13+J21</f>
        <v>0</v>
      </c>
      <c r="K12" s="30" t="s">
        <v>769</v>
      </c>
      <c r="M12" s="48"/>
    </row>
    <row r="13" spans="1:75" ht="15" customHeight="1" x14ac:dyDescent="0.25">
      <c r="A13" s="27" t="s">
        <v>769</v>
      </c>
      <c r="B13" s="28" t="s">
        <v>438</v>
      </c>
      <c r="C13" s="28" t="s">
        <v>592</v>
      </c>
      <c r="D13" s="132" t="s">
        <v>670</v>
      </c>
      <c r="E13" s="133"/>
      <c r="F13" s="23" t="s">
        <v>1027</v>
      </c>
      <c r="G13" s="23" t="s">
        <v>1027</v>
      </c>
      <c r="H13" s="23" t="s">
        <v>1027</v>
      </c>
      <c r="I13" s="14">
        <f>SUM(I14:I19)</f>
        <v>0</v>
      </c>
      <c r="J13" s="14">
        <f>SUM(J14:J19)</f>
        <v>0</v>
      </c>
      <c r="K13" s="30" t="s">
        <v>769</v>
      </c>
      <c r="M13" s="48"/>
      <c r="AI13" s="30" t="s">
        <v>438</v>
      </c>
      <c r="AS13" s="14">
        <f>SUM(AJ14:AJ19)</f>
        <v>0</v>
      </c>
      <c r="AT13" s="14">
        <f>SUM(AK14:AK19)</f>
        <v>0</v>
      </c>
      <c r="AU13" s="14">
        <f>SUM(AL14:AL19)</f>
        <v>0</v>
      </c>
    </row>
    <row r="14" spans="1:75" ht="13.5" customHeight="1" x14ac:dyDescent="0.25">
      <c r="A14" s="10" t="s">
        <v>1109</v>
      </c>
      <c r="B14" s="9" t="s">
        <v>438</v>
      </c>
      <c r="C14" s="9" t="s">
        <v>40</v>
      </c>
      <c r="D14" s="76" t="s">
        <v>236</v>
      </c>
      <c r="E14" s="77"/>
      <c r="F14" s="9" t="s">
        <v>853</v>
      </c>
      <c r="G14" s="56">
        <f>'Stavební rozpočet'!G711</f>
        <v>1</v>
      </c>
      <c r="H14" s="56">
        <f>'Stavební rozpočet'!H711</f>
        <v>0</v>
      </c>
      <c r="I14" s="56">
        <f t="shared" ref="I14:I19" si="0">G14*H14</f>
        <v>0</v>
      </c>
      <c r="J14" s="56"/>
      <c r="K14" s="41" t="s">
        <v>769</v>
      </c>
      <c r="M14" s="48"/>
      <c r="Z14" s="56">
        <f t="shared" ref="Z14:Z19" si="1">IF(AQ14="5",BJ14,0)</f>
        <v>0</v>
      </c>
      <c r="AB14" s="56">
        <f t="shared" ref="AB14:AB19" si="2">IF(AQ14="1",BH14,0)</f>
        <v>0</v>
      </c>
      <c r="AC14" s="56">
        <f t="shared" ref="AC14:AC19" si="3">IF(AQ14="1",BI14,0)</f>
        <v>0</v>
      </c>
      <c r="AD14" s="56">
        <f t="shared" ref="AD14:AD19" si="4">IF(AQ14="7",BH14,0)</f>
        <v>0</v>
      </c>
      <c r="AE14" s="56">
        <f t="shared" ref="AE14:AE19" si="5">IF(AQ14="7",BI14,0)</f>
        <v>0</v>
      </c>
      <c r="AF14" s="56">
        <f t="shared" ref="AF14:AF19" si="6">IF(AQ14="2",BH14,0)</f>
        <v>0</v>
      </c>
      <c r="AG14" s="56">
        <f t="shared" ref="AG14:AG19" si="7">IF(AQ14="2",BI14,0)</f>
        <v>0</v>
      </c>
      <c r="AH14" s="56">
        <f t="shared" ref="AH14:AH19" si="8">IF(AQ14="0",BJ14,0)</f>
        <v>0</v>
      </c>
      <c r="AI14" s="30" t="s">
        <v>438</v>
      </c>
      <c r="AJ14" s="56">
        <f t="shared" ref="AJ14:AJ19" si="9">IF(AN14=0,I14,0)</f>
        <v>0</v>
      </c>
      <c r="AK14" s="56">
        <f t="shared" ref="AK14:AK19" si="10">IF(AN14=15,I14,0)</f>
        <v>0</v>
      </c>
      <c r="AL14" s="56">
        <f t="shared" ref="AL14:AL19" si="11">IF(AN14=21,I14,0)</f>
        <v>0</v>
      </c>
      <c r="AN14" s="56">
        <v>21</v>
      </c>
      <c r="AO14" s="56">
        <f t="shared" ref="AO14:AO19" si="12">H14*0</f>
        <v>0</v>
      </c>
      <c r="AP14" s="56">
        <f t="shared" ref="AP14:AP19" si="13">H14*(1-0)</f>
        <v>0</v>
      </c>
      <c r="AQ14" s="41" t="s">
        <v>1109</v>
      </c>
      <c r="AV14" s="56">
        <f t="shared" ref="AV14:AV19" si="14">AW14+AX14</f>
        <v>0</v>
      </c>
      <c r="AW14" s="56">
        <f t="shared" ref="AW14:AW19" si="15">G14*AO14</f>
        <v>0</v>
      </c>
      <c r="AX14" s="56">
        <f t="shared" ref="AX14:AX19" si="16">G14*AP14</f>
        <v>0</v>
      </c>
      <c r="AY14" s="41" t="s">
        <v>975</v>
      </c>
      <c r="AZ14" s="41" t="s">
        <v>92</v>
      </c>
      <c r="BA14" s="30" t="s">
        <v>1088</v>
      </c>
      <c r="BC14" s="56">
        <f t="shared" ref="BC14:BC19" si="17">AW14+AX14</f>
        <v>0</v>
      </c>
      <c r="BD14" s="56">
        <f t="shared" ref="BD14:BD19" si="18">H14/(100-BE14)*100</f>
        <v>0</v>
      </c>
      <c r="BE14" s="56">
        <v>0</v>
      </c>
      <c r="BF14" s="56">
        <f t="shared" ref="BF14:BF19" si="19">J14</f>
        <v>0</v>
      </c>
      <c r="BH14" s="56">
        <f t="shared" ref="BH14:BH19" si="20">G14*AO14</f>
        <v>0</v>
      </c>
      <c r="BI14" s="56">
        <f t="shared" ref="BI14:BI19" si="21">G14*AP14</f>
        <v>0</v>
      </c>
      <c r="BJ14" s="56">
        <f t="shared" ref="BJ14:BJ19" si="22">G14*H14</f>
        <v>0</v>
      </c>
      <c r="BK14" s="56"/>
      <c r="BL14" s="56">
        <v>0</v>
      </c>
      <c r="BW14" s="56">
        <v>21</v>
      </c>
    </row>
    <row r="15" spans="1:75" ht="13.5" customHeight="1" x14ac:dyDescent="0.25">
      <c r="A15" s="10" t="s">
        <v>766</v>
      </c>
      <c r="B15" s="9" t="s">
        <v>438</v>
      </c>
      <c r="C15" s="9" t="s">
        <v>870</v>
      </c>
      <c r="D15" s="76" t="s">
        <v>265</v>
      </c>
      <c r="E15" s="77"/>
      <c r="F15" s="9" t="s">
        <v>853</v>
      </c>
      <c r="G15" s="56">
        <f>'Stavební rozpočet'!G712</f>
        <v>1</v>
      </c>
      <c r="H15" s="56">
        <f>'Stavební rozpočet'!H712</f>
        <v>0</v>
      </c>
      <c r="I15" s="56">
        <f t="shared" si="0"/>
        <v>0</v>
      </c>
      <c r="J15" s="56"/>
      <c r="K15" s="41" t="s">
        <v>769</v>
      </c>
      <c r="M15" s="48"/>
      <c r="Z15" s="56">
        <f t="shared" si="1"/>
        <v>0</v>
      </c>
      <c r="AB15" s="56">
        <f t="shared" si="2"/>
        <v>0</v>
      </c>
      <c r="AC15" s="56">
        <f t="shared" si="3"/>
        <v>0</v>
      </c>
      <c r="AD15" s="56">
        <f t="shared" si="4"/>
        <v>0</v>
      </c>
      <c r="AE15" s="56">
        <f t="shared" si="5"/>
        <v>0</v>
      </c>
      <c r="AF15" s="56">
        <f t="shared" si="6"/>
        <v>0</v>
      </c>
      <c r="AG15" s="56">
        <f t="shared" si="7"/>
        <v>0</v>
      </c>
      <c r="AH15" s="56">
        <f t="shared" si="8"/>
        <v>0</v>
      </c>
      <c r="AI15" s="30" t="s">
        <v>438</v>
      </c>
      <c r="AJ15" s="56">
        <f t="shared" si="9"/>
        <v>0</v>
      </c>
      <c r="AK15" s="56">
        <f t="shared" si="10"/>
        <v>0</v>
      </c>
      <c r="AL15" s="56">
        <f t="shared" si="11"/>
        <v>0</v>
      </c>
      <c r="AN15" s="56">
        <v>21</v>
      </c>
      <c r="AO15" s="56">
        <f t="shared" si="12"/>
        <v>0</v>
      </c>
      <c r="AP15" s="56">
        <f t="shared" si="13"/>
        <v>0</v>
      </c>
      <c r="AQ15" s="41" t="s">
        <v>1109</v>
      </c>
      <c r="AV15" s="56">
        <f t="shared" si="14"/>
        <v>0</v>
      </c>
      <c r="AW15" s="56">
        <f t="shared" si="15"/>
        <v>0</v>
      </c>
      <c r="AX15" s="56">
        <f t="shared" si="16"/>
        <v>0</v>
      </c>
      <c r="AY15" s="41" t="s">
        <v>975</v>
      </c>
      <c r="AZ15" s="41" t="s">
        <v>92</v>
      </c>
      <c r="BA15" s="30" t="s">
        <v>1088</v>
      </c>
      <c r="BC15" s="56">
        <f t="shared" si="17"/>
        <v>0</v>
      </c>
      <c r="BD15" s="56">
        <f t="shared" si="18"/>
        <v>0</v>
      </c>
      <c r="BE15" s="56">
        <v>0</v>
      </c>
      <c r="BF15" s="56">
        <f t="shared" si="19"/>
        <v>0</v>
      </c>
      <c r="BH15" s="56">
        <f t="shared" si="20"/>
        <v>0</v>
      </c>
      <c r="BI15" s="56">
        <f t="shared" si="21"/>
        <v>0</v>
      </c>
      <c r="BJ15" s="56">
        <f t="shared" si="22"/>
        <v>0</v>
      </c>
      <c r="BK15" s="56"/>
      <c r="BL15" s="56">
        <v>0</v>
      </c>
      <c r="BW15" s="56">
        <v>21</v>
      </c>
    </row>
    <row r="16" spans="1:75" ht="13.5" customHeight="1" x14ac:dyDescent="0.25">
      <c r="A16" s="10" t="s">
        <v>952</v>
      </c>
      <c r="B16" s="9" t="s">
        <v>438</v>
      </c>
      <c r="C16" s="9" t="s">
        <v>1191</v>
      </c>
      <c r="D16" s="76" t="s">
        <v>354</v>
      </c>
      <c r="E16" s="77"/>
      <c r="F16" s="9" t="s">
        <v>853</v>
      </c>
      <c r="G16" s="56">
        <f>'Stavební rozpočet'!G713</f>
        <v>1</v>
      </c>
      <c r="H16" s="56">
        <f>'Stavební rozpočet'!H713</f>
        <v>0</v>
      </c>
      <c r="I16" s="56">
        <f t="shared" si="0"/>
        <v>0</v>
      </c>
      <c r="J16" s="56"/>
      <c r="K16" s="41" t="s">
        <v>769</v>
      </c>
      <c r="M16" s="48"/>
      <c r="Z16" s="56">
        <f t="shared" si="1"/>
        <v>0</v>
      </c>
      <c r="AB16" s="56">
        <f t="shared" si="2"/>
        <v>0</v>
      </c>
      <c r="AC16" s="56">
        <f t="shared" si="3"/>
        <v>0</v>
      </c>
      <c r="AD16" s="56">
        <f t="shared" si="4"/>
        <v>0</v>
      </c>
      <c r="AE16" s="56">
        <f t="shared" si="5"/>
        <v>0</v>
      </c>
      <c r="AF16" s="56">
        <f t="shared" si="6"/>
        <v>0</v>
      </c>
      <c r="AG16" s="56">
        <f t="shared" si="7"/>
        <v>0</v>
      </c>
      <c r="AH16" s="56">
        <f t="shared" si="8"/>
        <v>0</v>
      </c>
      <c r="AI16" s="30" t="s">
        <v>438</v>
      </c>
      <c r="AJ16" s="56">
        <f t="shared" si="9"/>
        <v>0</v>
      </c>
      <c r="AK16" s="56">
        <f t="shared" si="10"/>
        <v>0</v>
      </c>
      <c r="AL16" s="56">
        <f t="shared" si="11"/>
        <v>0</v>
      </c>
      <c r="AN16" s="56">
        <v>21</v>
      </c>
      <c r="AO16" s="56">
        <f t="shared" si="12"/>
        <v>0</v>
      </c>
      <c r="AP16" s="56">
        <f t="shared" si="13"/>
        <v>0</v>
      </c>
      <c r="AQ16" s="41" t="s">
        <v>1109</v>
      </c>
      <c r="AV16" s="56">
        <f t="shared" si="14"/>
        <v>0</v>
      </c>
      <c r="AW16" s="56">
        <f t="shared" si="15"/>
        <v>0</v>
      </c>
      <c r="AX16" s="56">
        <f t="shared" si="16"/>
        <v>0</v>
      </c>
      <c r="AY16" s="41" t="s">
        <v>975</v>
      </c>
      <c r="AZ16" s="41" t="s">
        <v>92</v>
      </c>
      <c r="BA16" s="30" t="s">
        <v>1088</v>
      </c>
      <c r="BC16" s="56">
        <f t="shared" si="17"/>
        <v>0</v>
      </c>
      <c r="BD16" s="56">
        <f t="shared" si="18"/>
        <v>0</v>
      </c>
      <c r="BE16" s="56">
        <v>0</v>
      </c>
      <c r="BF16" s="56">
        <f t="shared" si="19"/>
        <v>0</v>
      </c>
      <c r="BH16" s="56">
        <f t="shared" si="20"/>
        <v>0</v>
      </c>
      <c r="BI16" s="56">
        <f t="shared" si="21"/>
        <v>0</v>
      </c>
      <c r="BJ16" s="56">
        <f t="shared" si="22"/>
        <v>0</v>
      </c>
      <c r="BK16" s="56"/>
      <c r="BL16" s="56">
        <v>0</v>
      </c>
      <c r="BW16" s="56">
        <v>21</v>
      </c>
    </row>
    <row r="17" spans="1:75" ht="13.5" customHeight="1" x14ac:dyDescent="0.25">
      <c r="A17" s="10" t="s">
        <v>127</v>
      </c>
      <c r="B17" s="9" t="s">
        <v>438</v>
      </c>
      <c r="C17" s="9" t="s">
        <v>331</v>
      </c>
      <c r="D17" s="76" t="s">
        <v>499</v>
      </c>
      <c r="E17" s="77"/>
      <c r="F17" s="9" t="s">
        <v>853</v>
      </c>
      <c r="G17" s="56">
        <f>'Stavební rozpočet'!G714</f>
        <v>1</v>
      </c>
      <c r="H17" s="56">
        <f>'Stavební rozpočet'!H714</f>
        <v>0</v>
      </c>
      <c r="I17" s="56">
        <f t="shared" si="0"/>
        <v>0</v>
      </c>
      <c r="J17" s="56"/>
      <c r="K17" s="41" t="s">
        <v>422</v>
      </c>
      <c r="M17" s="48"/>
      <c r="Z17" s="56">
        <f t="shared" si="1"/>
        <v>0</v>
      </c>
      <c r="AB17" s="56">
        <f t="shared" si="2"/>
        <v>0</v>
      </c>
      <c r="AC17" s="56">
        <f t="shared" si="3"/>
        <v>0</v>
      </c>
      <c r="AD17" s="56">
        <f t="shared" si="4"/>
        <v>0</v>
      </c>
      <c r="AE17" s="56">
        <f t="shared" si="5"/>
        <v>0</v>
      </c>
      <c r="AF17" s="56">
        <f t="shared" si="6"/>
        <v>0</v>
      </c>
      <c r="AG17" s="56">
        <f t="shared" si="7"/>
        <v>0</v>
      </c>
      <c r="AH17" s="56">
        <f t="shared" si="8"/>
        <v>0</v>
      </c>
      <c r="AI17" s="30" t="s">
        <v>438</v>
      </c>
      <c r="AJ17" s="56">
        <f t="shared" si="9"/>
        <v>0</v>
      </c>
      <c r="AK17" s="56">
        <f t="shared" si="10"/>
        <v>0</v>
      </c>
      <c r="AL17" s="56">
        <f t="shared" si="11"/>
        <v>0</v>
      </c>
      <c r="AN17" s="56">
        <v>21</v>
      </c>
      <c r="AO17" s="56">
        <f t="shared" si="12"/>
        <v>0</v>
      </c>
      <c r="AP17" s="56">
        <f t="shared" si="13"/>
        <v>0</v>
      </c>
      <c r="AQ17" s="41" t="s">
        <v>1109</v>
      </c>
      <c r="AV17" s="56">
        <f t="shared" si="14"/>
        <v>0</v>
      </c>
      <c r="AW17" s="56">
        <f t="shared" si="15"/>
        <v>0</v>
      </c>
      <c r="AX17" s="56">
        <f t="shared" si="16"/>
        <v>0</v>
      </c>
      <c r="AY17" s="41" t="s">
        <v>975</v>
      </c>
      <c r="AZ17" s="41" t="s">
        <v>92</v>
      </c>
      <c r="BA17" s="30" t="s">
        <v>1088</v>
      </c>
      <c r="BC17" s="56">
        <f t="shared" si="17"/>
        <v>0</v>
      </c>
      <c r="BD17" s="56">
        <f t="shared" si="18"/>
        <v>0</v>
      </c>
      <c r="BE17" s="56">
        <v>0</v>
      </c>
      <c r="BF17" s="56">
        <f t="shared" si="19"/>
        <v>0</v>
      </c>
      <c r="BH17" s="56">
        <f t="shared" si="20"/>
        <v>0</v>
      </c>
      <c r="BI17" s="56">
        <f t="shared" si="21"/>
        <v>0</v>
      </c>
      <c r="BJ17" s="56">
        <f t="shared" si="22"/>
        <v>0</v>
      </c>
      <c r="BK17" s="56"/>
      <c r="BL17" s="56">
        <v>0</v>
      </c>
      <c r="BW17" s="56">
        <v>21</v>
      </c>
    </row>
    <row r="18" spans="1:75" ht="13.5" customHeight="1" x14ac:dyDescent="0.25">
      <c r="A18" s="10" t="s">
        <v>596</v>
      </c>
      <c r="B18" s="9" t="s">
        <v>438</v>
      </c>
      <c r="C18" s="9" t="s">
        <v>793</v>
      </c>
      <c r="D18" s="76" t="s">
        <v>619</v>
      </c>
      <c r="E18" s="77"/>
      <c r="F18" s="9" t="s">
        <v>853</v>
      </c>
      <c r="G18" s="56">
        <f>'Stavební rozpočet'!G715</f>
        <v>1</v>
      </c>
      <c r="H18" s="56">
        <f>'Stavební rozpočet'!H715</f>
        <v>0</v>
      </c>
      <c r="I18" s="56">
        <f t="shared" si="0"/>
        <v>0</v>
      </c>
      <c r="J18" s="56"/>
      <c r="K18" s="41" t="s">
        <v>422</v>
      </c>
      <c r="M18" s="48"/>
      <c r="Z18" s="56">
        <f t="shared" si="1"/>
        <v>0</v>
      </c>
      <c r="AB18" s="56">
        <f t="shared" si="2"/>
        <v>0</v>
      </c>
      <c r="AC18" s="56">
        <f t="shared" si="3"/>
        <v>0</v>
      </c>
      <c r="AD18" s="56">
        <f t="shared" si="4"/>
        <v>0</v>
      </c>
      <c r="AE18" s="56">
        <f t="shared" si="5"/>
        <v>0</v>
      </c>
      <c r="AF18" s="56">
        <f t="shared" si="6"/>
        <v>0</v>
      </c>
      <c r="AG18" s="56">
        <f t="shared" si="7"/>
        <v>0</v>
      </c>
      <c r="AH18" s="56">
        <f t="shared" si="8"/>
        <v>0</v>
      </c>
      <c r="AI18" s="30" t="s">
        <v>438</v>
      </c>
      <c r="AJ18" s="56">
        <f t="shared" si="9"/>
        <v>0</v>
      </c>
      <c r="AK18" s="56">
        <f t="shared" si="10"/>
        <v>0</v>
      </c>
      <c r="AL18" s="56">
        <f t="shared" si="11"/>
        <v>0</v>
      </c>
      <c r="AN18" s="56">
        <v>21</v>
      </c>
      <c r="AO18" s="56">
        <f t="shared" si="12"/>
        <v>0</v>
      </c>
      <c r="AP18" s="56">
        <f t="shared" si="13"/>
        <v>0</v>
      </c>
      <c r="AQ18" s="41" t="s">
        <v>1109</v>
      </c>
      <c r="AV18" s="56">
        <f t="shared" si="14"/>
        <v>0</v>
      </c>
      <c r="AW18" s="56">
        <f t="shared" si="15"/>
        <v>0</v>
      </c>
      <c r="AX18" s="56">
        <f t="shared" si="16"/>
        <v>0</v>
      </c>
      <c r="AY18" s="41" t="s">
        <v>975</v>
      </c>
      <c r="AZ18" s="41" t="s">
        <v>92</v>
      </c>
      <c r="BA18" s="30" t="s">
        <v>1088</v>
      </c>
      <c r="BC18" s="56">
        <f t="shared" si="17"/>
        <v>0</v>
      </c>
      <c r="BD18" s="56">
        <f t="shared" si="18"/>
        <v>0</v>
      </c>
      <c r="BE18" s="56">
        <v>0</v>
      </c>
      <c r="BF18" s="56">
        <f t="shared" si="19"/>
        <v>0</v>
      </c>
      <c r="BH18" s="56">
        <f t="shared" si="20"/>
        <v>0</v>
      </c>
      <c r="BI18" s="56">
        <f t="shared" si="21"/>
        <v>0</v>
      </c>
      <c r="BJ18" s="56">
        <f t="shared" si="22"/>
        <v>0</v>
      </c>
      <c r="BK18" s="56"/>
      <c r="BL18" s="56">
        <v>0</v>
      </c>
      <c r="BW18" s="56">
        <v>21</v>
      </c>
    </row>
    <row r="19" spans="1:75" ht="13.5" customHeight="1" x14ac:dyDescent="0.25">
      <c r="A19" s="10" t="s">
        <v>177</v>
      </c>
      <c r="B19" s="9" t="s">
        <v>438</v>
      </c>
      <c r="C19" s="9" t="s">
        <v>210</v>
      </c>
      <c r="D19" s="76" t="s">
        <v>550</v>
      </c>
      <c r="E19" s="77"/>
      <c r="F19" s="9" t="s">
        <v>853</v>
      </c>
      <c r="G19" s="56">
        <f>'Stavební rozpočet'!G716</f>
        <v>1</v>
      </c>
      <c r="H19" s="56">
        <f>'Stavební rozpočet'!H716</f>
        <v>0</v>
      </c>
      <c r="I19" s="56">
        <f t="shared" si="0"/>
        <v>0</v>
      </c>
      <c r="J19" s="56"/>
      <c r="K19" s="41" t="s">
        <v>422</v>
      </c>
      <c r="M19" s="48"/>
      <c r="Z19" s="56">
        <f t="shared" si="1"/>
        <v>0</v>
      </c>
      <c r="AB19" s="56">
        <f t="shared" si="2"/>
        <v>0</v>
      </c>
      <c r="AC19" s="56">
        <f t="shared" si="3"/>
        <v>0</v>
      </c>
      <c r="AD19" s="56">
        <f t="shared" si="4"/>
        <v>0</v>
      </c>
      <c r="AE19" s="56">
        <f t="shared" si="5"/>
        <v>0</v>
      </c>
      <c r="AF19" s="56">
        <f t="shared" si="6"/>
        <v>0</v>
      </c>
      <c r="AG19" s="56">
        <f t="shared" si="7"/>
        <v>0</v>
      </c>
      <c r="AH19" s="56">
        <f t="shared" si="8"/>
        <v>0</v>
      </c>
      <c r="AI19" s="30" t="s">
        <v>438</v>
      </c>
      <c r="AJ19" s="56">
        <f t="shared" si="9"/>
        <v>0</v>
      </c>
      <c r="AK19" s="56">
        <f t="shared" si="10"/>
        <v>0</v>
      </c>
      <c r="AL19" s="56">
        <f t="shared" si="11"/>
        <v>0</v>
      </c>
      <c r="AN19" s="56">
        <v>21</v>
      </c>
      <c r="AO19" s="56">
        <f t="shared" si="12"/>
        <v>0</v>
      </c>
      <c r="AP19" s="56">
        <f t="shared" si="13"/>
        <v>0</v>
      </c>
      <c r="AQ19" s="41" t="s">
        <v>1109</v>
      </c>
      <c r="AV19" s="56">
        <f t="shared" si="14"/>
        <v>0</v>
      </c>
      <c r="AW19" s="56">
        <f t="shared" si="15"/>
        <v>0</v>
      </c>
      <c r="AX19" s="56">
        <f t="shared" si="16"/>
        <v>0</v>
      </c>
      <c r="AY19" s="41" t="s">
        <v>975</v>
      </c>
      <c r="AZ19" s="41" t="s">
        <v>92</v>
      </c>
      <c r="BA19" s="30" t="s">
        <v>1088</v>
      </c>
      <c r="BC19" s="56">
        <f t="shared" si="17"/>
        <v>0</v>
      </c>
      <c r="BD19" s="56">
        <f t="shared" si="18"/>
        <v>0</v>
      </c>
      <c r="BE19" s="56">
        <v>0</v>
      </c>
      <c r="BF19" s="56">
        <f t="shared" si="19"/>
        <v>0</v>
      </c>
      <c r="BH19" s="56">
        <f t="shared" si="20"/>
        <v>0</v>
      </c>
      <c r="BI19" s="56">
        <f t="shared" si="21"/>
        <v>0</v>
      </c>
      <c r="BJ19" s="56">
        <f t="shared" si="22"/>
        <v>0</v>
      </c>
      <c r="BK19" s="56"/>
      <c r="BL19" s="56">
        <v>0</v>
      </c>
      <c r="BW19" s="56">
        <v>21</v>
      </c>
    </row>
    <row r="20" spans="1:75" ht="15" customHeight="1" x14ac:dyDescent="0.25">
      <c r="A20" s="27" t="s">
        <v>769</v>
      </c>
      <c r="B20" s="28" t="s">
        <v>438</v>
      </c>
      <c r="C20" s="28" t="s">
        <v>769</v>
      </c>
      <c r="D20" s="132" t="s">
        <v>655</v>
      </c>
      <c r="E20" s="133"/>
      <c r="F20" s="23" t="s">
        <v>1027</v>
      </c>
      <c r="G20" s="23" t="s">
        <v>1027</v>
      </c>
      <c r="H20" s="23" t="s">
        <v>1027</v>
      </c>
      <c r="I20" s="14">
        <f>I21</f>
        <v>0</v>
      </c>
      <c r="J20" s="14">
        <f>J21</f>
        <v>0</v>
      </c>
      <c r="K20" s="30" t="s">
        <v>769</v>
      </c>
      <c r="M20" s="48"/>
      <c r="AI20" s="30" t="s">
        <v>438</v>
      </c>
    </row>
    <row r="21" spans="1:75" ht="15" customHeight="1" x14ac:dyDescent="0.25">
      <c r="A21" s="27" t="s">
        <v>769</v>
      </c>
      <c r="B21" s="28" t="s">
        <v>438</v>
      </c>
      <c r="C21" s="28" t="s">
        <v>62</v>
      </c>
      <c r="D21" s="132" t="s">
        <v>118</v>
      </c>
      <c r="E21" s="133"/>
      <c r="F21" s="23" t="s">
        <v>1027</v>
      </c>
      <c r="G21" s="23" t="s">
        <v>1027</v>
      </c>
      <c r="H21" s="23" t="s">
        <v>1027</v>
      </c>
      <c r="I21" s="14">
        <f>SUM(I22:I23)</f>
        <v>0</v>
      </c>
      <c r="J21" s="14">
        <f>SUM(J22:J23)</f>
        <v>0</v>
      </c>
      <c r="K21" s="30" t="s">
        <v>769</v>
      </c>
      <c r="M21" s="48"/>
      <c r="AI21" s="30" t="s">
        <v>438</v>
      </c>
      <c r="AS21" s="14">
        <f>SUM(AJ22:AJ23)</f>
        <v>0</v>
      </c>
      <c r="AT21" s="14">
        <f>SUM(AK22:AK23)</f>
        <v>0</v>
      </c>
      <c r="AU21" s="14">
        <f>SUM(AL22:AL23)</f>
        <v>0</v>
      </c>
    </row>
    <row r="22" spans="1:75" ht="13.5" customHeight="1" x14ac:dyDescent="0.25">
      <c r="A22" s="10" t="s">
        <v>1114</v>
      </c>
      <c r="B22" s="9" t="s">
        <v>438</v>
      </c>
      <c r="C22" s="9" t="s">
        <v>730</v>
      </c>
      <c r="D22" s="76" t="s">
        <v>118</v>
      </c>
      <c r="E22" s="77"/>
      <c r="F22" s="9" t="s">
        <v>853</v>
      </c>
      <c r="G22" s="56">
        <f>'Stavební rozpočet'!G719</f>
        <v>1</v>
      </c>
      <c r="H22" s="56">
        <f>'Stavební rozpočet'!H719</f>
        <v>0</v>
      </c>
      <c r="I22" s="56">
        <f>G22*H22</f>
        <v>0</v>
      </c>
      <c r="J22" s="56"/>
      <c r="K22" s="41" t="s">
        <v>501</v>
      </c>
      <c r="M22" s="48"/>
      <c r="Z22" s="56">
        <f>IF(AQ22="5",BJ22,0)</f>
        <v>0</v>
      </c>
      <c r="AB22" s="56">
        <f>IF(AQ22="1",BH22,0)</f>
        <v>0</v>
      </c>
      <c r="AC22" s="56">
        <f>IF(AQ22="1",BI22,0)</f>
        <v>0</v>
      </c>
      <c r="AD22" s="56">
        <f>IF(AQ22="7",BH22,0)</f>
        <v>0</v>
      </c>
      <c r="AE22" s="56">
        <f>IF(AQ22="7",BI22,0)</f>
        <v>0</v>
      </c>
      <c r="AF22" s="56">
        <f>IF(AQ22="2",BH22,0)</f>
        <v>0</v>
      </c>
      <c r="AG22" s="56">
        <f>IF(AQ22="2",BI22,0)</f>
        <v>0</v>
      </c>
      <c r="AH22" s="56">
        <f>IF(AQ22="0",BJ22,0)</f>
        <v>0</v>
      </c>
      <c r="AI22" s="30" t="s">
        <v>438</v>
      </c>
      <c r="AJ22" s="56">
        <f>IF(AN22=0,I22,0)</f>
        <v>0</v>
      </c>
      <c r="AK22" s="56">
        <f>IF(AN22=15,I22,0)</f>
        <v>0</v>
      </c>
      <c r="AL22" s="56">
        <f>IF(AN22=21,I22,0)</f>
        <v>0</v>
      </c>
      <c r="AN22" s="56">
        <v>21</v>
      </c>
      <c r="AO22" s="56">
        <f>H22*0</f>
        <v>0</v>
      </c>
      <c r="AP22" s="56">
        <f>H22*(1-0)</f>
        <v>0</v>
      </c>
      <c r="AQ22" s="41" t="s">
        <v>528</v>
      </c>
      <c r="AV22" s="56">
        <f>AW22+AX22</f>
        <v>0</v>
      </c>
      <c r="AW22" s="56">
        <f>G22*AO22</f>
        <v>0</v>
      </c>
      <c r="AX22" s="56">
        <f>G22*AP22</f>
        <v>0</v>
      </c>
      <c r="AY22" s="41" t="s">
        <v>255</v>
      </c>
      <c r="AZ22" s="41" t="s">
        <v>160</v>
      </c>
      <c r="BA22" s="30" t="s">
        <v>1088</v>
      </c>
      <c r="BC22" s="56">
        <f>AW22+AX22</f>
        <v>0</v>
      </c>
      <c r="BD22" s="56">
        <f>H22/(100-BE22)*100</f>
        <v>0</v>
      </c>
      <c r="BE22" s="56">
        <v>0</v>
      </c>
      <c r="BF22" s="56">
        <f>J22</f>
        <v>0</v>
      </c>
      <c r="BH22" s="56">
        <f>G22*AO22</f>
        <v>0</v>
      </c>
      <c r="BI22" s="56">
        <f>G22*AP22</f>
        <v>0</v>
      </c>
      <c r="BJ22" s="56">
        <f>G22*H22</f>
        <v>0</v>
      </c>
      <c r="BK22" s="56"/>
      <c r="BL22" s="56"/>
      <c r="BO22" s="56">
        <f>G22*H22</f>
        <v>0</v>
      </c>
      <c r="BW22" s="56">
        <v>21</v>
      </c>
    </row>
    <row r="23" spans="1:75" ht="13.5" customHeight="1" x14ac:dyDescent="0.25">
      <c r="A23" s="45" t="s">
        <v>874</v>
      </c>
      <c r="B23" s="22" t="s">
        <v>438</v>
      </c>
      <c r="C23" s="22" t="s">
        <v>1051</v>
      </c>
      <c r="D23" s="134" t="s">
        <v>841</v>
      </c>
      <c r="E23" s="106"/>
      <c r="F23" s="22" t="s">
        <v>853</v>
      </c>
      <c r="G23" s="12">
        <f>'Stavební rozpočet'!G720</f>
        <v>1</v>
      </c>
      <c r="H23" s="12">
        <f>'Stavební rozpočet'!H720</f>
        <v>0</v>
      </c>
      <c r="I23" s="12">
        <f>G23*H23</f>
        <v>0</v>
      </c>
      <c r="J23" s="12"/>
      <c r="K23" s="68" t="s">
        <v>422</v>
      </c>
      <c r="L23" s="24"/>
      <c r="M23" s="15"/>
      <c r="Z23" s="56">
        <f>IF(AQ23="5",BJ23,0)</f>
        <v>0</v>
      </c>
      <c r="AB23" s="56">
        <f>IF(AQ23="1",BH23,0)</f>
        <v>0</v>
      </c>
      <c r="AC23" s="56">
        <f>IF(AQ23="1",BI23,0)</f>
        <v>0</v>
      </c>
      <c r="AD23" s="56">
        <f>IF(AQ23="7",BH23,0)</f>
        <v>0</v>
      </c>
      <c r="AE23" s="56">
        <f>IF(AQ23="7",BI23,0)</f>
        <v>0</v>
      </c>
      <c r="AF23" s="56">
        <f>IF(AQ23="2",BH23,0)</f>
        <v>0</v>
      </c>
      <c r="AG23" s="56">
        <f>IF(AQ23="2",BI23,0)</f>
        <v>0</v>
      </c>
      <c r="AH23" s="56">
        <f>IF(AQ23="0",BJ23,0)</f>
        <v>0</v>
      </c>
      <c r="AI23" s="30" t="s">
        <v>438</v>
      </c>
      <c r="AJ23" s="56">
        <f>IF(AN23=0,I23,0)</f>
        <v>0</v>
      </c>
      <c r="AK23" s="56">
        <f>IF(AN23=15,I23,0)</f>
        <v>0</v>
      </c>
      <c r="AL23" s="56">
        <f>IF(AN23=21,I23,0)</f>
        <v>0</v>
      </c>
      <c r="AN23" s="56">
        <v>21</v>
      </c>
      <c r="AO23" s="56">
        <f>H23*0</f>
        <v>0</v>
      </c>
      <c r="AP23" s="56">
        <f>H23*(1-0)</f>
        <v>0</v>
      </c>
      <c r="AQ23" s="41" t="s">
        <v>1109</v>
      </c>
      <c r="AV23" s="56">
        <f>AW23+AX23</f>
        <v>0</v>
      </c>
      <c r="AW23" s="56">
        <f>G23*AO23</f>
        <v>0</v>
      </c>
      <c r="AX23" s="56">
        <f>G23*AP23</f>
        <v>0</v>
      </c>
      <c r="AY23" s="41" t="s">
        <v>255</v>
      </c>
      <c r="AZ23" s="41" t="s">
        <v>160</v>
      </c>
      <c r="BA23" s="30" t="s">
        <v>1088</v>
      </c>
      <c r="BC23" s="56">
        <f>AW23+AX23</f>
        <v>0</v>
      </c>
      <c r="BD23" s="56">
        <f>H23/(100-BE23)*100</f>
        <v>0</v>
      </c>
      <c r="BE23" s="56">
        <v>0</v>
      </c>
      <c r="BF23" s="56">
        <f>J23</f>
        <v>0</v>
      </c>
      <c r="BH23" s="56">
        <f>G23*AO23</f>
        <v>0</v>
      </c>
      <c r="BI23" s="56">
        <f>G23*AP23</f>
        <v>0</v>
      </c>
      <c r="BJ23" s="56">
        <f>G23*H23</f>
        <v>0</v>
      </c>
      <c r="BK23" s="56"/>
      <c r="BL23" s="56"/>
      <c r="BO23" s="56">
        <f>G23*H23</f>
        <v>0</v>
      </c>
      <c r="BW23" s="56">
        <v>21</v>
      </c>
    </row>
    <row r="24" spans="1:75" ht="15" customHeight="1" x14ac:dyDescent="0.25">
      <c r="I24" s="34">
        <f>ROUND(I13+I21,1)</f>
        <v>0</v>
      </c>
    </row>
    <row r="25" spans="1:75" ht="15" customHeight="1" x14ac:dyDescent="0.25">
      <c r="A25" s="46" t="s">
        <v>101</v>
      </c>
    </row>
    <row r="26" spans="1:75" ht="12.75" customHeight="1" x14ac:dyDescent="0.25">
      <c r="A26" s="76" t="s">
        <v>769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</sheetData>
  <mergeCells count="40">
    <mergeCell ref="A8:C9"/>
    <mergeCell ref="H2:I3"/>
    <mergeCell ref="H4:I5"/>
    <mergeCell ref="H6:I7"/>
    <mergeCell ref="H8:I9"/>
    <mergeCell ref="J6:J7"/>
    <mergeCell ref="A1:M1"/>
    <mergeCell ref="A2:C3"/>
    <mergeCell ref="A4:C5"/>
    <mergeCell ref="A6:C7"/>
    <mergeCell ref="K2:K3"/>
    <mergeCell ref="D16:E16"/>
    <mergeCell ref="J8:J9"/>
    <mergeCell ref="L2:M3"/>
    <mergeCell ref="L4:M5"/>
    <mergeCell ref="L6:M7"/>
    <mergeCell ref="L8:M9"/>
    <mergeCell ref="D10:E10"/>
    <mergeCell ref="K4:K5"/>
    <mergeCell ref="K6:K7"/>
    <mergeCell ref="K8:K9"/>
    <mergeCell ref="D2:G3"/>
    <mergeCell ref="D4:G5"/>
    <mergeCell ref="D6:G7"/>
    <mergeCell ref="D8:G9"/>
    <mergeCell ref="J2:J3"/>
    <mergeCell ref="J4:J5"/>
    <mergeCell ref="D11:E11"/>
    <mergeCell ref="D12:E12"/>
    <mergeCell ref="D13:E13"/>
    <mergeCell ref="D14:E14"/>
    <mergeCell ref="D15:E15"/>
    <mergeCell ref="D23:E23"/>
    <mergeCell ref="A26:M26"/>
    <mergeCell ref="D17:E17"/>
    <mergeCell ref="D18:E18"/>
    <mergeCell ref="D19:E19"/>
    <mergeCell ref="D20:E20"/>
    <mergeCell ref="D21:E21"/>
    <mergeCell ref="D22:E22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I45"/>
  <sheetViews>
    <sheetView showOutlineSymbols="0" workbookViewId="0">
      <selection activeCell="A45" sqref="A45:E45"/>
    </sheetView>
  </sheetViews>
  <sheetFormatPr defaultColWidth="14.1640625" defaultRowHeight="15" customHeight="1" x14ac:dyDescent="0.25"/>
  <cols>
    <col min="1" max="1" width="10.6640625"/>
    <col min="2" max="2" width="15"/>
    <col min="3" max="3" width="26.6640625"/>
    <col min="4" max="4" width="11.6640625"/>
    <col min="5" max="5" width="16.33203125"/>
    <col min="6" max="6" width="26.6640625"/>
    <col min="7" max="7" width="10.6640625"/>
    <col min="8" max="8" width="20"/>
    <col min="9" max="9" width="26.6640625"/>
  </cols>
  <sheetData>
    <row r="1" spans="1:9" ht="54.75" customHeight="1" x14ac:dyDescent="0.25">
      <c r="A1" s="110" t="s">
        <v>161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 t="e">
        <f>'Stavební rozpočet'!#REF!</f>
        <v>#REF!</v>
      </c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 t="e">
        <f>'Stavební rozpočet'!#REF!</f>
        <v>#REF!</v>
      </c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 t="e">
        <f>'Stavební rozpočet'!#REF!</f>
        <v>#REF!</v>
      </c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 t="str">
        <f>'Stavební rozpočet'!H6</f>
        <v xml:space="preserve"> </v>
      </c>
      <c r="G8" s="77"/>
      <c r="H8" s="77" t="s">
        <v>1122</v>
      </c>
      <c r="I8" s="100">
        <v>326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 t="e">
        <f>'Stavební rozpočet'!#REF!</f>
        <v>#REF!</v>
      </c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3" spans="1:9" ht="15.75" customHeight="1" x14ac:dyDescent="0.25">
      <c r="A13" s="125" t="s">
        <v>419</v>
      </c>
      <c r="B13" s="125"/>
      <c r="C13" s="125"/>
      <c r="D13" s="125"/>
      <c r="E13" s="125"/>
    </row>
    <row r="14" spans="1:9" ht="15" customHeight="1" x14ac:dyDescent="0.25">
      <c r="A14" s="126" t="s">
        <v>1233</v>
      </c>
      <c r="B14" s="127"/>
      <c r="C14" s="127"/>
      <c r="D14" s="127"/>
      <c r="E14" s="128"/>
      <c r="F14" s="67" t="s">
        <v>1144</v>
      </c>
      <c r="G14" s="67" t="s">
        <v>972</v>
      </c>
      <c r="H14" s="67" t="s">
        <v>272</v>
      </c>
      <c r="I14" s="67" t="s">
        <v>1144</v>
      </c>
    </row>
    <row r="15" spans="1:9" ht="15" customHeight="1" x14ac:dyDescent="0.25">
      <c r="A15" s="115" t="s">
        <v>791</v>
      </c>
      <c r="B15" s="106"/>
      <c r="C15" s="106"/>
      <c r="D15" s="106"/>
      <c r="E15" s="102"/>
      <c r="F15" s="16">
        <v>0</v>
      </c>
      <c r="G15" s="43" t="s">
        <v>769</v>
      </c>
      <c r="H15" s="43" t="s">
        <v>769</v>
      </c>
      <c r="I15" s="16">
        <f>F15</f>
        <v>0</v>
      </c>
    </row>
    <row r="16" spans="1:9" ht="15" customHeight="1" x14ac:dyDescent="0.25">
      <c r="A16" s="115" t="s">
        <v>113</v>
      </c>
      <c r="B16" s="106"/>
      <c r="C16" s="106"/>
      <c r="D16" s="106"/>
      <c r="E16" s="102"/>
      <c r="F16" s="16">
        <v>0</v>
      </c>
      <c r="G16" s="43" t="s">
        <v>769</v>
      </c>
      <c r="H16" s="43" t="s">
        <v>769</v>
      </c>
      <c r="I16" s="16">
        <f>F16</f>
        <v>0</v>
      </c>
    </row>
    <row r="17" spans="1:9" ht="15" customHeight="1" x14ac:dyDescent="0.25">
      <c r="A17" s="113" t="s">
        <v>819</v>
      </c>
      <c r="B17" s="77"/>
      <c r="C17" s="77"/>
      <c r="D17" s="77"/>
      <c r="E17" s="99"/>
      <c r="F17" s="32">
        <v>0</v>
      </c>
      <c r="G17" s="18" t="s">
        <v>769</v>
      </c>
      <c r="H17" s="18" t="s">
        <v>769</v>
      </c>
      <c r="I17" s="32">
        <f>F17</f>
        <v>0</v>
      </c>
    </row>
    <row r="18" spans="1:9" ht="15" customHeight="1" x14ac:dyDescent="0.25">
      <c r="A18" s="116" t="s">
        <v>1184</v>
      </c>
      <c r="B18" s="117"/>
      <c r="C18" s="117"/>
      <c r="D18" s="117"/>
      <c r="E18" s="118"/>
      <c r="F18" s="5" t="s">
        <v>769</v>
      </c>
      <c r="G18" s="26" t="s">
        <v>769</v>
      </c>
      <c r="H18" s="26" t="s">
        <v>769</v>
      </c>
      <c r="I18" s="25">
        <f>SUM(I15:I17)</f>
        <v>0</v>
      </c>
    </row>
    <row r="20" spans="1:9" ht="15" customHeight="1" x14ac:dyDescent="0.25">
      <c r="A20" s="126" t="s">
        <v>195</v>
      </c>
      <c r="B20" s="127"/>
      <c r="C20" s="127"/>
      <c r="D20" s="127"/>
      <c r="E20" s="128"/>
      <c r="F20" s="67" t="s">
        <v>1144</v>
      </c>
      <c r="G20" s="67" t="s">
        <v>972</v>
      </c>
      <c r="H20" s="67" t="s">
        <v>272</v>
      </c>
      <c r="I20" s="67" t="s">
        <v>1144</v>
      </c>
    </row>
    <row r="21" spans="1:9" ht="15" customHeight="1" x14ac:dyDescent="0.25">
      <c r="A21" s="115" t="s">
        <v>118</v>
      </c>
      <c r="B21" s="106"/>
      <c r="C21" s="106"/>
      <c r="D21" s="106"/>
      <c r="E21" s="102"/>
      <c r="F21" s="16">
        <v>0</v>
      </c>
      <c r="G21" s="43" t="s">
        <v>769</v>
      </c>
      <c r="H21" s="43" t="s">
        <v>769</v>
      </c>
      <c r="I21" s="16">
        <f t="shared" ref="I21:I26" si="0">F21</f>
        <v>0</v>
      </c>
    </row>
    <row r="22" spans="1:9" ht="15" customHeight="1" x14ac:dyDescent="0.25">
      <c r="A22" s="115" t="s">
        <v>878</v>
      </c>
      <c r="B22" s="106"/>
      <c r="C22" s="106"/>
      <c r="D22" s="106"/>
      <c r="E22" s="102"/>
      <c r="F22" s="16">
        <v>0</v>
      </c>
      <c r="G22" s="43" t="s">
        <v>769</v>
      </c>
      <c r="H22" s="43" t="s">
        <v>769</v>
      </c>
      <c r="I22" s="16">
        <f t="shared" si="0"/>
        <v>0</v>
      </c>
    </row>
    <row r="23" spans="1:9" ht="15" customHeight="1" x14ac:dyDescent="0.25">
      <c r="A23" s="115" t="s">
        <v>1076</v>
      </c>
      <c r="B23" s="106"/>
      <c r="C23" s="106"/>
      <c r="D23" s="106"/>
      <c r="E23" s="102"/>
      <c r="F23" s="16">
        <v>0</v>
      </c>
      <c r="G23" s="43" t="s">
        <v>769</v>
      </c>
      <c r="H23" s="43" t="s">
        <v>769</v>
      </c>
      <c r="I23" s="16">
        <f t="shared" si="0"/>
        <v>0</v>
      </c>
    </row>
    <row r="24" spans="1:9" ht="15" customHeight="1" x14ac:dyDescent="0.25">
      <c r="A24" s="115" t="s">
        <v>595</v>
      </c>
      <c r="B24" s="106"/>
      <c r="C24" s="106"/>
      <c r="D24" s="106"/>
      <c r="E24" s="102"/>
      <c r="F24" s="16">
        <v>0</v>
      </c>
      <c r="G24" s="43" t="s">
        <v>769</v>
      </c>
      <c r="H24" s="43" t="s">
        <v>769</v>
      </c>
      <c r="I24" s="16">
        <f t="shared" si="0"/>
        <v>0</v>
      </c>
    </row>
    <row r="25" spans="1:9" ht="15" customHeight="1" x14ac:dyDescent="0.25">
      <c r="A25" s="115" t="s">
        <v>722</v>
      </c>
      <c r="B25" s="106"/>
      <c r="C25" s="106"/>
      <c r="D25" s="106"/>
      <c r="E25" s="102"/>
      <c r="F25" s="16">
        <v>0</v>
      </c>
      <c r="G25" s="43" t="s">
        <v>769</v>
      </c>
      <c r="H25" s="43" t="s">
        <v>769</v>
      </c>
      <c r="I25" s="16">
        <f t="shared" si="0"/>
        <v>0</v>
      </c>
    </row>
    <row r="26" spans="1:9" ht="15" customHeight="1" x14ac:dyDescent="0.25">
      <c r="A26" s="113" t="s">
        <v>1105</v>
      </c>
      <c r="B26" s="77"/>
      <c r="C26" s="77"/>
      <c r="D26" s="77"/>
      <c r="E26" s="99"/>
      <c r="F26" s="32">
        <v>0</v>
      </c>
      <c r="G26" s="18" t="s">
        <v>769</v>
      </c>
      <c r="H26" s="18" t="s">
        <v>769</v>
      </c>
      <c r="I26" s="32">
        <f t="shared" si="0"/>
        <v>0</v>
      </c>
    </row>
    <row r="27" spans="1:9" ht="15" customHeight="1" x14ac:dyDescent="0.25">
      <c r="A27" s="116" t="s">
        <v>453</v>
      </c>
      <c r="B27" s="117"/>
      <c r="C27" s="117"/>
      <c r="D27" s="117"/>
      <c r="E27" s="118"/>
      <c r="F27" s="5" t="s">
        <v>769</v>
      </c>
      <c r="G27" s="26" t="s">
        <v>769</v>
      </c>
      <c r="H27" s="26" t="s">
        <v>769</v>
      </c>
      <c r="I27" s="25">
        <f>SUM(I21:I26)</f>
        <v>0</v>
      </c>
    </row>
    <row r="29" spans="1:9" ht="15.75" customHeight="1" x14ac:dyDescent="0.25">
      <c r="A29" s="119" t="s">
        <v>1153</v>
      </c>
      <c r="B29" s="120"/>
      <c r="C29" s="120"/>
      <c r="D29" s="120"/>
      <c r="E29" s="121"/>
      <c r="F29" s="122">
        <f>I18+I27</f>
        <v>0</v>
      </c>
      <c r="G29" s="123"/>
      <c r="H29" s="123"/>
      <c r="I29" s="124"/>
    </row>
    <row r="33" spans="1:9" ht="15.75" customHeight="1" x14ac:dyDescent="0.25">
      <c r="A33" s="125" t="s">
        <v>36</v>
      </c>
      <c r="B33" s="125"/>
      <c r="C33" s="125"/>
      <c r="D33" s="125"/>
      <c r="E33" s="125"/>
    </row>
    <row r="34" spans="1:9" ht="15" customHeight="1" x14ac:dyDescent="0.25">
      <c r="A34" s="126" t="s">
        <v>22</v>
      </c>
      <c r="B34" s="127"/>
      <c r="C34" s="127"/>
      <c r="D34" s="127"/>
      <c r="E34" s="128"/>
      <c r="F34" s="67" t="s">
        <v>1144</v>
      </c>
      <c r="G34" s="67" t="s">
        <v>972</v>
      </c>
      <c r="H34" s="67" t="s">
        <v>272</v>
      </c>
      <c r="I34" s="67" t="s">
        <v>1144</v>
      </c>
    </row>
    <row r="35" spans="1:9" ht="15" customHeight="1" x14ac:dyDescent="0.25">
      <c r="A35" s="115" t="s">
        <v>531</v>
      </c>
      <c r="B35" s="106"/>
      <c r="C35" s="106"/>
      <c r="D35" s="106"/>
      <c r="E35" s="102"/>
      <c r="F35" s="16">
        <f>SUM('Stavební rozpočet'!BL12:BL720)</f>
        <v>0</v>
      </c>
      <c r="G35" s="43" t="s">
        <v>769</v>
      </c>
      <c r="H35" s="43" t="s">
        <v>769</v>
      </c>
      <c r="I35" s="16">
        <f t="shared" ref="I35:I44" si="1">F35</f>
        <v>0</v>
      </c>
    </row>
    <row r="36" spans="1:9" ht="15" customHeight="1" x14ac:dyDescent="0.25">
      <c r="A36" s="115" t="s">
        <v>951</v>
      </c>
      <c r="B36" s="106"/>
      <c r="C36" s="106"/>
      <c r="D36" s="106"/>
      <c r="E36" s="102"/>
      <c r="F36" s="16">
        <f>SUM('Stavební rozpočet'!BM12:BM720)</f>
        <v>0</v>
      </c>
      <c r="G36" s="43" t="s">
        <v>769</v>
      </c>
      <c r="H36" s="43" t="s">
        <v>769</v>
      </c>
      <c r="I36" s="16">
        <f t="shared" si="1"/>
        <v>0</v>
      </c>
    </row>
    <row r="37" spans="1:9" ht="15" customHeight="1" x14ac:dyDescent="0.25">
      <c r="A37" s="115" t="s">
        <v>118</v>
      </c>
      <c r="B37" s="106"/>
      <c r="C37" s="106"/>
      <c r="D37" s="106"/>
      <c r="E37" s="102"/>
      <c r="F37" s="16">
        <f>SUM('Stavební rozpočet'!BN12:BN720)</f>
        <v>0</v>
      </c>
      <c r="G37" s="43" t="s">
        <v>769</v>
      </c>
      <c r="H37" s="43" t="s">
        <v>769</v>
      </c>
      <c r="I37" s="16">
        <f t="shared" si="1"/>
        <v>0</v>
      </c>
    </row>
    <row r="38" spans="1:9" ht="15" customHeight="1" x14ac:dyDescent="0.25">
      <c r="A38" s="115" t="s">
        <v>910</v>
      </c>
      <c r="B38" s="106"/>
      <c r="C38" s="106"/>
      <c r="D38" s="106"/>
      <c r="E38" s="102"/>
      <c r="F38" s="16">
        <f>SUM('Stavební rozpočet'!BO12:BO720)</f>
        <v>0</v>
      </c>
      <c r="G38" s="43" t="s">
        <v>769</v>
      </c>
      <c r="H38" s="43" t="s">
        <v>769</v>
      </c>
      <c r="I38" s="16">
        <f t="shared" si="1"/>
        <v>0</v>
      </c>
    </row>
    <row r="39" spans="1:9" ht="15" customHeight="1" x14ac:dyDescent="0.25">
      <c r="A39" s="115" t="s">
        <v>1074</v>
      </c>
      <c r="B39" s="106"/>
      <c r="C39" s="106"/>
      <c r="D39" s="106"/>
      <c r="E39" s="102"/>
      <c r="F39" s="16">
        <f>SUM('Stavební rozpočet'!BP12:BP720)</f>
        <v>0</v>
      </c>
      <c r="G39" s="43" t="s">
        <v>769</v>
      </c>
      <c r="H39" s="43" t="s">
        <v>769</v>
      </c>
      <c r="I39" s="16">
        <f t="shared" si="1"/>
        <v>0</v>
      </c>
    </row>
    <row r="40" spans="1:9" ht="15" customHeight="1" x14ac:dyDescent="0.25">
      <c r="A40" s="115" t="s">
        <v>1076</v>
      </c>
      <c r="B40" s="106"/>
      <c r="C40" s="106"/>
      <c r="D40" s="106"/>
      <c r="E40" s="102"/>
      <c r="F40" s="16">
        <f>SUM('Stavební rozpočet'!BQ12:BQ720)</f>
        <v>0</v>
      </c>
      <c r="G40" s="43" t="s">
        <v>769</v>
      </c>
      <c r="H40" s="43" t="s">
        <v>769</v>
      </c>
      <c r="I40" s="16">
        <f t="shared" si="1"/>
        <v>0</v>
      </c>
    </row>
    <row r="41" spans="1:9" ht="15" customHeight="1" x14ac:dyDescent="0.25">
      <c r="A41" s="115" t="s">
        <v>595</v>
      </c>
      <c r="B41" s="106"/>
      <c r="C41" s="106"/>
      <c r="D41" s="106"/>
      <c r="E41" s="102"/>
      <c r="F41" s="16">
        <f>SUM('Stavební rozpočet'!BR12:BR720)</f>
        <v>0</v>
      </c>
      <c r="G41" s="43" t="s">
        <v>769</v>
      </c>
      <c r="H41" s="43" t="s">
        <v>769</v>
      </c>
      <c r="I41" s="16">
        <f t="shared" si="1"/>
        <v>0</v>
      </c>
    </row>
    <row r="42" spans="1:9" ht="15" customHeight="1" x14ac:dyDescent="0.25">
      <c r="A42" s="115" t="s">
        <v>1244</v>
      </c>
      <c r="B42" s="106"/>
      <c r="C42" s="106"/>
      <c r="D42" s="106"/>
      <c r="E42" s="102"/>
      <c r="F42" s="16">
        <f>SUM('Stavební rozpočet'!BS12:BS720)</f>
        <v>0</v>
      </c>
      <c r="G42" s="43" t="s">
        <v>769</v>
      </c>
      <c r="H42" s="43" t="s">
        <v>769</v>
      </c>
      <c r="I42" s="16">
        <f t="shared" si="1"/>
        <v>0</v>
      </c>
    </row>
    <row r="43" spans="1:9" ht="15" customHeight="1" x14ac:dyDescent="0.25">
      <c r="A43" s="115" t="s">
        <v>292</v>
      </c>
      <c r="B43" s="106"/>
      <c r="C43" s="106"/>
      <c r="D43" s="106"/>
      <c r="E43" s="102"/>
      <c r="F43" s="16">
        <f>SUM('Stavební rozpočet'!BT12:BT720)</f>
        <v>0</v>
      </c>
      <c r="G43" s="43" t="s">
        <v>769</v>
      </c>
      <c r="H43" s="43" t="s">
        <v>769</v>
      </c>
      <c r="I43" s="16">
        <f t="shared" si="1"/>
        <v>0</v>
      </c>
    </row>
    <row r="44" spans="1:9" ht="15" customHeight="1" x14ac:dyDescent="0.25">
      <c r="A44" s="113" t="s">
        <v>1053</v>
      </c>
      <c r="B44" s="77"/>
      <c r="C44" s="77"/>
      <c r="D44" s="77"/>
      <c r="E44" s="99"/>
      <c r="F44" s="32">
        <f>SUM('Stavební rozpočet'!BU12:BU720)</f>
        <v>0</v>
      </c>
      <c r="G44" s="18" t="s">
        <v>769</v>
      </c>
      <c r="H44" s="18" t="s">
        <v>769</v>
      </c>
      <c r="I44" s="32">
        <f t="shared" si="1"/>
        <v>0</v>
      </c>
    </row>
    <row r="45" spans="1:9" ht="15" customHeight="1" x14ac:dyDescent="0.25">
      <c r="A45" s="116" t="s">
        <v>852</v>
      </c>
      <c r="B45" s="117"/>
      <c r="C45" s="117"/>
      <c r="D45" s="117"/>
      <c r="E45" s="118"/>
      <c r="F45" s="5" t="s">
        <v>769</v>
      </c>
      <c r="G45" s="26" t="s">
        <v>769</v>
      </c>
      <c r="H45" s="26" t="s">
        <v>769</v>
      </c>
      <c r="I45" s="25">
        <f>SUM(I35:I44)</f>
        <v>0</v>
      </c>
    </row>
  </sheetData>
  <mergeCells count="60">
    <mergeCell ref="A10:B11"/>
    <mergeCell ref="E2:E3"/>
    <mergeCell ref="E4:E5"/>
    <mergeCell ref="E6:E7"/>
    <mergeCell ref="E8:E9"/>
    <mergeCell ref="A1:I1"/>
    <mergeCell ref="A2:B3"/>
    <mergeCell ref="A4:B5"/>
    <mergeCell ref="A6:B7"/>
    <mergeCell ref="A8:B9"/>
    <mergeCell ref="F10:G11"/>
    <mergeCell ref="E10:E11"/>
    <mergeCell ref="H2:H3"/>
    <mergeCell ref="H4:H5"/>
    <mergeCell ref="H6:H7"/>
    <mergeCell ref="H8:H9"/>
    <mergeCell ref="H10:H11"/>
    <mergeCell ref="A20:E20"/>
    <mergeCell ref="I2:I3"/>
    <mergeCell ref="I4:I5"/>
    <mergeCell ref="I6:I7"/>
    <mergeCell ref="I8:I9"/>
    <mergeCell ref="I10:I11"/>
    <mergeCell ref="A13:E13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A14:E14"/>
    <mergeCell ref="A15:E15"/>
    <mergeCell ref="A16:E16"/>
    <mergeCell ref="A17:E17"/>
    <mergeCell ref="A18:E18"/>
    <mergeCell ref="A35:E35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P19"/>
  <sheetViews>
    <sheetView showOutlineSymbols="0" workbookViewId="0">
      <pane ySplit="11" topLeftCell="A12" activePane="bottomLeft" state="frozenSplit"/>
      <selection activeCell="A19" sqref="A19:L19"/>
      <selection pane="bottomLeft" activeCell="I24" sqref="I24"/>
    </sheetView>
  </sheetViews>
  <sheetFormatPr defaultColWidth="14.1640625" defaultRowHeight="15" customHeight="1" x14ac:dyDescent="0.25"/>
  <cols>
    <col min="1" max="1" width="8.83203125"/>
    <col min="2" max="10" width="18.33203125"/>
    <col min="11" max="12" width="16.6640625"/>
    <col min="13" max="16" width="14.1640625" hidden="1"/>
  </cols>
  <sheetData>
    <row r="1" spans="1:16" ht="54.75" customHeight="1" x14ac:dyDescent="0.25">
      <c r="A1" s="111" t="s">
        <v>96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ht="15" customHeight="1" x14ac:dyDescent="0.25">
      <c r="A2" s="112" t="s">
        <v>86</v>
      </c>
      <c r="B2" s="105"/>
      <c r="C2" s="105"/>
      <c r="D2" s="107" t="str">
        <f>'Stavební rozpočet'!D2</f>
        <v>JSL13 Předklášteří - obnova vodovodního řadu ul. Komenského, ul. Krátká</v>
      </c>
      <c r="E2" s="108"/>
      <c r="F2" s="108"/>
      <c r="G2" s="104" t="s">
        <v>6</v>
      </c>
      <c r="H2" s="104" t="str">
        <f>'Stavební rozpočet'!H2</f>
        <v xml:space="preserve"> </v>
      </c>
      <c r="I2" s="104" t="s">
        <v>924</v>
      </c>
      <c r="J2" s="104"/>
      <c r="K2" s="105"/>
      <c r="L2" s="98"/>
    </row>
    <row r="3" spans="1:16" ht="15" customHeight="1" x14ac:dyDescent="0.25">
      <c r="A3" s="113"/>
      <c r="B3" s="77"/>
      <c r="C3" s="77"/>
      <c r="D3" s="109"/>
      <c r="E3" s="109"/>
      <c r="F3" s="109"/>
      <c r="G3" s="77"/>
      <c r="H3" s="77"/>
      <c r="I3" s="77"/>
      <c r="J3" s="77"/>
      <c r="K3" s="77"/>
      <c r="L3" s="99"/>
    </row>
    <row r="4" spans="1:16" ht="15" customHeight="1" x14ac:dyDescent="0.25">
      <c r="A4" s="114" t="s">
        <v>610</v>
      </c>
      <c r="B4" s="77"/>
      <c r="C4" s="77"/>
      <c r="D4" s="76" t="str">
        <f>'Stavební rozpočet'!D4</f>
        <v xml:space="preserve"> </v>
      </c>
      <c r="E4" s="77"/>
      <c r="F4" s="77"/>
      <c r="G4" s="76" t="s">
        <v>986</v>
      </c>
      <c r="H4" s="76" t="str">
        <f>'Stavební rozpočet'!H4</f>
        <v>28.09.2023</v>
      </c>
      <c r="I4" s="76" t="s">
        <v>767</v>
      </c>
      <c r="J4" s="76"/>
      <c r="K4" s="77"/>
      <c r="L4" s="99"/>
    </row>
    <row r="5" spans="1:16" ht="15" customHeight="1" x14ac:dyDescent="0.25">
      <c r="A5" s="113"/>
      <c r="B5" s="77"/>
      <c r="C5" s="77"/>
      <c r="D5" s="77"/>
      <c r="E5" s="77"/>
      <c r="F5" s="77"/>
      <c r="G5" s="77"/>
      <c r="H5" s="77"/>
      <c r="I5" s="77"/>
      <c r="J5" s="77"/>
      <c r="K5" s="77"/>
      <c r="L5" s="99"/>
    </row>
    <row r="6" spans="1:16" ht="15" customHeight="1" x14ac:dyDescent="0.25">
      <c r="A6" s="114" t="s">
        <v>104</v>
      </c>
      <c r="B6" s="77"/>
      <c r="C6" s="77"/>
      <c r="D6" s="76" t="str">
        <f>'Stavební rozpočet'!D6</f>
        <v>Předklášteří</v>
      </c>
      <c r="E6" s="77"/>
      <c r="F6" s="77"/>
      <c r="G6" s="76" t="s">
        <v>359</v>
      </c>
      <c r="H6" s="76" t="str">
        <f>'Stavební rozpočet'!H6</f>
        <v xml:space="preserve"> </v>
      </c>
      <c r="I6" s="76" t="s">
        <v>967</v>
      </c>
      <c r="J6" s="76"/>
      <c r="K6" s="77"/>
      <c r="L6" s="99"/>
    </row>
    <row r="7" spans="1:16" ht="15" customHeight="1" x14ac:dyDescent="0.25">
      <c r="A7" s="113"/>
      <c r="B7" s="77"/>
      <c r="C7" s="77"/>
      <c r="D7" s="77"/>
      <c r="E7" s="77"/>
      <c r="F7" s="77"/>
      <c r="G7" s="77"/>
      <c r="H7" s="77"/>
      <c r="I7" s="77"/>
      <c r="J7" s="77"/>
      <c r="K7" s="77"/>
      <c r="L7" s="99"/>
    </row>
    <row r="8" spans="1:16" ht="15" customHeight="1" x14ac:dyDescent="0.25">
      <c r="A8" s="114" t="s">
        <v>546</v>
      </c>
      <c r="B8" s="77"/>
      <c r="C8" s="77"/>
      <c r="D8" s="76" t="str">
        <f>'Stavební rozpočet'!D8</f>
        <v xml:space="preserve"> </v>
      </c>
      <c r="E8" s="77"/>
      <c r="F8" s="77"/>
      <c r="G8" s="76" t="s">
        <v>624</v>
      </c>
      <c r="H8" s="76" t="str">
        <f>'Stavební rozpočet'!H8</f>
        <v>28.09.2023</v>
      </c>
      <c r="I8" s="76" t="s">
        <v>733</v>
      </c>
      <c r="J8" s="76"/>
      <c r="K8" s="77"/>
      <c r="L8" s="99"/>
    </row>
    <row r="9" spans="1:16" ht="15" customHeight="1" x14ac:dyDescent="0.25">
      <c r="A9" s="113"/>
      <c r="B9" s="77"/>
      <c r="C9" s="77"/>
      <c r="D9" s="77"/>
      <c r="E9" s="77"/>
      <c r="F9" s="77"/>
      <c r="G9" s="77"/>
      <c r="H9" s="77"/>
      <c r="I9" s="77"/>
      <c r="J9" s="77"/>
      <c r="K9" s="77"/>
      <c r="L9" s="99"/>
    </row>
    <row r="10" spans="1:16" ht="15" customHeight="1" x14ac:dyDescent="0.25">
      <c r="A10" s="55" t="s">
        <v>1027</v>
      </c>
      <c r="B10" s="129" t="s">
        <v>1027</v>
      </c>
      <c r="C10" s="129"/>
      <c r="D10" s="129"/>
      <c r="E10" s="129"/>
      <c r="F10" s="129"/>
      <c r="G10" s="129"/>
      <c r="H10" s="129"/>
      <c r="I10" s="129"/>
      <c r="J10" s="129"/>
      <c r="K10" s="8" t="s">
        <v>712</v>
      </c>
      <c r="L10" s="19" t="s">
        <v>169</v>
      </c>
    </row>
    <row r="11" spans="1:16" ht="15" customHeight="1" x14ac:dyDescent="0.25">
      <c r="A11" s="63" t="s">
        <v>821</v>
      </c>
      <c r="B11" s="130" t="s">
        <v>1199</v>
      </c>
      <c r="C11" s="130"/>
      <c r="D11" s="130"/>
      <c r="E11" s="130"/>
      <c r="F11" s="130"/>
      <c r="G11" s="130"/>
      <c r="H11" s="130"/>
      <c r="I11" s="130"/>
      <c r="J11" s="131"/>
      <c r="K11" s="20" t="s">
        <v>114</v>
      </c>
      <c r="L11" s="20" t="s">
        <v>114</v>
      </c>
    </row>
    <row r="12" spans="1:16" ht="15" customHeight="1" x14ac:dyDescent="0.25">
      <c r="A12" s="10" t="s">
        <v>847</v>
      </c>
      <c r="B12" s="77" t="s">
        <v>437</v>
      </c>
      <c r="C12" s="77"/>
      <c r="D12" s="77"/>
      <c r="E12" s="77"/>
      <c r="F12" s="77"/>
      <c r="G12" s="77"/>
      <c r="H12" s="77"/>
      <c r="I12" s="77"/>
      <c r="J12" s="77"/>
      <c r="K12" s="56">
        <f>'Stavební rozpočet'!I12</f>
        <v>0</v>
      </c>
      <c r="L12" s="32"/>
      <c r="M12" s="41" t="s">
        <v>497</v>
      </c>
      <c r="N12" s="56">
        <f>IF(M12="F",0,K12)</f>
        <v>0</v>
      </c>
      <c r="O12" s="9" t="s">
        <v>847</v>
      </c>
      <c r="P12" s="56">
        <f>IF(M12="T",0,K12)</f>
        <v>0</v>
      </c>
    </row>
    <row r="13" spans="1:16" ht="15" customHeight="1" x14ac:dyDescent="0.25">
      <c r="A13" s="10" t="s">
        <v>262</v>
      </c>
      <c r="B13" s="77" t="s">
        <v>792</v>
      </c>
      <c r="C13" s="77"/>
      <c r="D13" s="77"/>
      <c r="E13" s="77"/>
      <c r="F13" s="77"/>
      <c r="G13" s="77"/>
      <c r="H13" s="77"/>
      <c r="I13" s="77"/>
      <c r="J13" s="77"/>
      <c r="K13" s="56">
        <f>'Stavební rozpočet'!I331</f>
        <v>0</v>
      </c>
      <c r="L13" s="32"/>
      <c r="M13" s="41" t="s">
        <v>497</v>
      </c>
      <c r="N13" s="56">
        <f>IF(M13="F",0,K13)</f>
        <v>0</v>
      </c>
      <c r="O13" s="9" t="s">
        <v>262</v>
      </c>
      <c r="P13" s="56">
        <f>IF(M13="T",0,K13)</f>
        <v>0</v>
      </c>
    </row>
    <row r="14" spans="1:16" ht="15" customHeight="1" x14ac:dyDescent="0.25">
      <c r="A14" s="10" t="s">
        <v>1212</v>
      </c>
      <c r="B14" s="77" t="s">
        <v>763</v>
      </c>
      <c r="C14" s="77"/>
      <c r="D14" s="77"/>
      <c r="E14" s="77"/>
      <c r="F14" s="77"/>
      <c r="G14" s="77"/>
      <c r="H14" s="77"/>
      <c r="I14" s="77"/>
      <c r="J14" s="77"/>
      <c r="K14" s="56">
        <f>'Stavební rozpočet'!I528</f>
        <v>0</v>
      </c>
      <c r="L14" s="32"/>
      <c r="M14" s="41" t="s">
        <v>497</v>
      </c>
      <c r="N14" s="56">
        <f>IF(M14="F",0,K14)</f>
        <v>0</v>
      </c>
      <c r="O14" s="9" t="s">
        <v>1212</v>
      </c>
      <c r="P14" s="56">
        <f>IF(M14="T",0,K14)</f>
        <v>0</v>
      </c>
    </row>
    <row r="15" spans="1:16" ht="15" customHeight="1" x14ac:dyDescent="0.25">
      <c r="A15" s="10" t="s">
        <v>439</v>
      </c>
      <c r="B15" s="77" t="s">
        <v>574</v>
      </c>
      <c r="C15" s="77"/>
      <c r="D15" s="77"/>
      <c r="E15" s="77"/>
      <c r="F15" s="77"/>
      <c r="G15" s="77"/>
      <c r="H15" s="77"/>
      <c r="I15" s="77"/>
      <c r="J15" s="77"/>
      <c r="K15" s="56">
        <f>'Stavební rozpočet'!I653</f>
        <v>0</v>
      </c>
      <c r="L15" s="32"/>
      <c r="M15" s="41" t="s">
        <v>497</v>
      </c>
      <c r="N15" s="56">
        <f>IF(M15="F",0,K15)</f>
        <v>0</v>
      </c>
      <c r="O15" s="9" t="s">
        <v>439</v>
      </c>
      <c r="P15" s="56">
        <f>IF(M15="T",0,K15)</f>
        <v>0</v>
      </c>
    </row>
    <row r="16" spans="1:16" ht="15" customHeight="1" x14ac:dyDescent="0.25">
      <c r="A16" s="45" t="s">
        <v>438</v>
      </c>
      <c r="B16" s="106" t="s">
        <v>468</v>
      </c>
      <c r="C16" s="106"/>
      <c r="D16" s="106"/>
      <c r="E16" s="106"/>
      <c r="F16" s="106"/>
      <c r="G16" s="106"/>
      <c r="H16" s="106"/>
      <c r="I16" s="106"/>
      <c r="J16" s="106"/>
      <c r="K16" s="12">
        <f>'Stavební rozpočet'!I709</f>
        <v>0</v>
      </c>
      <c r="L16" s="16"/>
      <c r="M16" s="41" t="s">
        <v>497</v>
      </c>
      <c r="N16" s="56">
        <f>IF(M16="F",0,K16)</f>
        <v>0</v>
      </c>
      <c r="O16" s="9" t="s">
        <v>438</v>
      </c>
      <c r="P16" s="56">
        <f>IF(M16="T",0,K16)</f>
        <v>0</v>
      </c>
    </row>
    <row r="17" spans="1:12" ht="15" customHeight="1" x14ac:dyDescent="0.25">
      <c r="I17" s="109" t="s">
        <v>876</v>
      </c>
      <c r="J17" s="109"/>
      <c r="K17" s="34">
        <f>ROUND(SUM(P12:P16),1)</f>
        <v>0</v>
      </c>
    </row>
    <row r="18" spans="1:12" ht="15" customHeight="1" x14ac:dyDescent="0.25">
      <c r="A18" s="46" t="s">
        <v>101</v>
      </c>
    </row>
    <row r="19" spans="1:12" ht="12.75" customHeight="1" x14ac:dyDescent="0.25">
      <c r="A19" s="76" t="s">
        <v>769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</sheetData>
  <mergeCells count="34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H8:H9"/>
    <mergeCell ref="I2:I3"/>
    <mergeCell ref="I4:I5"/>
    <mergeCell ref="I6:I7"/>
    <mergeCell ref="I8:I9"/>
    <mergeCell ref="J2:L3"/>
    <mergeCell ref="J4:L5"/>
    <mergeCell ref="J6:L7"/>
    <mergeCell ref="J8:L9"/>
    <mergeCell ref="B16:J16"/>
    <mergeCell ref="I17:J17"/>
    <mergeCell ref="A19:L19"/>
    <mergeCell ref="B10:J10"/>
    <mergeCell ref="B11:J11"/>
    <mergeCell ref="B12:J12"/>
    <mergeCell ref="B13:J13"/>
    <mergeCell ref="B14:J14"/>
    <mergeCell ref="B15:J15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BV723"/>
  <sheetViews>
    <sheetView tabSelected="1" showOutlineSymbols="0" workbookViewId="0">
      <pane ySplit="11" topLeftCell="A121" activePane="bottomLeft" state="frozenSplit"/>
      <selection activeCell="A723" sqref="A723:K723"/>
      <selection pane="bottomLeft" activeCell="H130" sqref="H130"/>
    </sheetView>
  </sheetViews>
  <sheetFormatPr defaultColWidth="14.1640625" defaultRowHeight="15" customHeight="1" x14ac:dyDescent="0.25"/>
  <cols>
    <col min="1" max="1" width="4.6640625"/>
    <col min="2" max="2" width="8.83203125"/>
    <col min="3" max="3" width="20.83203125"/>
    <col min="4" max="4" width="50"/>
    <col min="5" max="5" width="41.6640625"/>
    <col min="6" max="6" width="5"/>
    <col min="7" max="7" width="15"/>
    <col min="8" max="8" width="14"/>
    <col min="9" max="9" width="18.33203125"/>
    <col min="10" max="10" width="15.6640625"/>
    <col min="24" max="74" width="14.1640625" hidden="1"/>
  </cols>
  <sheetData>
    <row r="1" spans="1:74" ht="54.75" customHeight="1" x14ac:dyDescent="0.25">
      <c r="A1" s="111" t="s">
        <v>1007</v>
      </c>
      <c r="B1" s="111"/>
      <c r="C1" s="111"/>
      <c r="D1" s="111"/>
      <c r="E1" s="111"/>
      <c r="F1" s="111"/>
      <c r="G1" s="111"/>
      <c r="H1" s="111"/>
      <c r="I1" s="111"/>
      <c r="J1" s="111"/>
      <c r="AR1" s="14">
        <f>SUM(AI1:AI2)</f>
        <v>0</v>
      </c>
      <c r="AS1" s="14">
        <f>SUM(AJ1:AJ2)</f>
        <v>0</v>
      </c>
      <c r="AT1" s="14">
        <f>SUM(AK1:AK2)</f>
        <v>0</v>
      </c>
    </row>
    <row r="2" spans="1:74" ht="15" customHeight="1" x14ac:dyDescent="0.25">
      <c r="A2" s="112" t="s">
        <v>86</v>
      </c>
      <c r="B2" s="105"/>
      <c r="C2" s="105"/>
      <c r="D2" s="107" t="s">
        <v>948</v>
      </c>
      <c r="E2" s="108"/>
      <c r="F2" s="105" t="s">
        <v>6</v>
      </c>
      <c r="G2" s="105"/>
      <c r="H2" s="105" t="s">
        <v>1027</v>
      </c>
      <c r="I2" s="104" t="s">
        <v>924</v>
      </c>
      <c r="J2" s="98"/>
    </row>
    <row r="3" spans="1:74" ht="15" customHeight="1" x14ac:dyDescent="0.25">
      <c r="A3" s="113"/>
      <c r="B3" s="77"/>
      <c r="C3" s="77"/>
      <c r="D3" s="109"/>
      <c r="E3" s="109"/>
      <c r="F3" s="77"/>
      <c r="G3" s="77"/>
      <c r="H3" s="77"/>
      <c r="I3" s="77"/>
      <c r="J3" s="99"/>
    </row>
    <row r="4" spans="1:74" ht="15" customHeight="1" x14ac:dyDescent="0.25">
      <c r="A4" s="114" t="s">
        <v>610</v>
      </c>
      <c r="B4" s="77"/>
      <c r="C4" s="77"/>
      <c r="D4" s="76" t="s">
        <v>1027</v>
      </c>
      <c r="E4" s="77"/>
      <c r="F4" s="77" t="s">
        <v>986</v>
      </c>
      <c r="G4" s="77"/>
      <c r="H4" s="77" t="s">
        <v>1064</v>
      </c>
      <c r="I4" s="76" t="s">
        <v>767</v>
      </c>
      <c r="J4" s="99"/>
    </row>
    <row r="5" spans="1:74" ht="15" customHeight="1" x14ac:dyDescent="0.25">
      <c r="A5" s="113"/>
      <c r="B5" s="77"/>
      <c r="C5" s="77"/>
      <c r="D5" s="77"/>
      <c r="E5" s="77"/>
      <c r="F5" s="77"/>
      <c r="G5" s="77"/>
      <c r="H5" s="77"/>
      <c r="I5" s="77"/>
      <c r="J5" s="99"/>
    </row>
    <row r="6" spans="1:74" ht="15" customHeight="1" x14ac:dyDescent="0.25">
      <c r="A6" s="114" t="s">
        <v>104</v>
      </c>
      <c r="B6" s="77"/>
      <c r="C6" s="77"/>
      <c r="D6" s="76" t="s">
        <v>47</v>
      </c>
      <c r="E6" s="77"/>
      <c r="F6" s="77" t="s">
        <v>359</v>
      </c>
      <c r="G6" s="77"/>
      <c r="H6" s="77" t="s">
        <v>1027</v>
      </c>
      <c r="I6" s="76" t="s">
        <v>967</v>
      </c>
      <c r="J6" s="99"/>
    </row>
    <row r="7" spans="1:74" ht="15" customHeight="1" x14ac:dyDescent="0.25">
      <c r="A7" s="113"/>
      <c r="B7" s="77"/>
      <c r="C7" s="77"/>
      <c r="D7" s="77"/>
      <c r="E7" s="77"/>
      <c r="F7" s="77"/>
      <c r="G7" s="77"/>
      <c r="H7" s="77"/>
      <c r="I7" s="77"/>
      <c r="J7" s="99"/>
    </row>
    <row r="8" spans="1:74" ht="15" customHeight="1" x14ac:dyDescent="0.25">
      <c r="A8" s="114" t="s">
        <v>546</v>
      </c>
      <c r="B8" s="77"/>
      <c r="C8" s="77"/>
      <c r="D8" s="76" t="s">
        <v>1027</v>
      </c>
      <c r="E8" s="77"/>
      <c r="F8" s="77" t="s">
        <v>624</v>
      </c>
      <c r="G8" s="77"/>
      <c r="H8" s="77" t="s">
        <v>1064</v>
      </c>
      <c r="I8" s="76" t="s">
        <v>733</v>
      </c>
      <c r="J8" s="99"/>
    </row>
    <row r="9" spans="1:74" ht="15" customHeight="1" x14ac:dyDescent="0.25">
      <c r="A9" s="113"/>
      <c r="B9" s="77"/>
      <c r="C9" s="77"/>
      <c r="D9" s="77"/>
      <c r="E9" s="77"/>
      <c r="F9" s="77"/>
      <c r="G9" s="77"/>
      <c r="H9" s="77"/>
      <c r="I9" s="77"/>
      <c r="J9" s="99"/>
    </row>
    <row r="10" spans="1:74" ht="15" customHeight="1" x14ac:dyDescent="0.25">
      <c r="A10" s="4" t="s">
        <v>93</v>
      </c>
      <c r="B10" s="13" t="s">
        <v>821</v>
      </c>
      <c r="C10" s="13" t="s">
        <v>368</v>
      </c>
      <c r="D10" s="140" t="s">
        <v>768</v>
      </c>
      <c r="E10" s="141"/>
      <c r="F10" s="13" t="s">
        <v>391</v>
      </c>
      <c r="G10" s="1" t="s">
        <v>665</v>
      </c>
      <c r="H10" s="49" t="s">
        <v>357</v>
      </c>
      <c r="I10" s="8" t="s">
        <v>712</v>
      </c>
      <c r="J10" s="7" t="s">
        <v>302</v>
      </c>
      <c r="BJ10" s="30" t="s">
        <v>449</v>
      </c>
      <c r="BK10" s="40" t="s">
        <v>589</v>
      </c>
      <c r="BV10" s="40" t="s">
        <v>1224</v>
      </c>
    </row>
    <row r="11" spans="1:74" ht="15" customHeight="1" x14ac:dyDescent="0.25">
      <c r="A11" s="65" t="s">
        <v>1027</v>
      </c>
      <c r="B11" s="39" t="s">
        <v>1027</v>
      </c>
      <c r="C11" s="39" t="s">
        <v>1027</v>
      </c>
      <c r="D11" s="130" t="s">
        <v>1118</v>
      </c>
      <c r="E11" s="131"/>
      <c r="F11" s="39" t="s">
        <v>1027</v>
      </c>
      <c r="G11" s="39" t="s">
        <v>1027</v>
      </c>
      <c r="H11" s="69" t="s">
        <v>1061</v>
      </c>
      <c r="I11" s="17" t="s">
        <v>114</v>
      </c>
      <c r="J11" s="11" t="s">
        <v>282</v>
      </c>
      <c r="Y11" s="30" t="s">
        <v>866</v>
      </c>
      <c r="Z11" s="30" t="s">
        <v>683</v>
      </c>
      <c r="AA11" s="30" t="s">
        <v>1143</v>
      </c>
      <c r="AB11" s="30" t="s">
        <v>319</v>
      </c>
      <c r="AC11" s="30" t="s">
        <v>939</v>
      </c>
      <c r="AD11" s="30" t="s">
        <v>415</v>
      </c>
      <c r="AE11" s="30" t="s">
        <v>998</v>
      </c>
      <c r="AF11" s="30" t="s">
        <v>487</v>
      </c>
      <c r="AG11" s="30" t="s">
        <v>288</v>
      </c>
      <c r="BG11" s="30" t="s">
        <v>867</v>
      </c>
      <c r="BH11" s="30" t="s">
        <v>1126</v>
      </c>
      <c r="BI11" s="30" t="s">
        <v>1209</v>
      </c>
    </row>
    <row r="12" spans="1:74" ht="15" customHeight="1" x14ac:dyDescent="0.25">
      <c r="A12" s="27" t="s">
        <v>769</v>
      </c>
      <c r="B12" s="28" t="s">
        <v>847</v>
      </c>
      <c r="C12" s="28" t="s">
        <v>769</v>
      </c>
      <c r="D12" s="132" t="s">
        <v>437</v>
      </c>
      <c r="E12" s="133"/>
      <c r="F12" s="23" t="s">
        <v>1027</v>
      </c>
      <c r="G12" s="23" t="s">
        <v>1027</v>
      </c>
      <c r="H12" s="23" t="s">
        <v>1027</v>
      </c>
      <c r="I12" s="14">
        <f>I13+I34+I39+I53+I60+I65+I87+I90+I98+I120+I127+I135+I164+I227+I279+I289+I292+I299+I316+I318+I321</f>
        <v>0</v>
      </c>
      <c r="J12" s="44" t="s">
        <v>769</v>
      </c>
    </row>
    <row r="13" spans="1:74" ht="15" customHeight="1" x14ac:dyDescent="0.25">
      <c r="A13" s="27" t="s">
        <v>769</v>
      </c>
      <c r="B13" s="28" t="s">
        <v>847</v>
      </c>
      <c r="C13" s="28" t="s">
        <v>917</v>
      </c>
      <c r="D13" s="132" t="s">
        <v>611</v>
      </c>
      <c r="E13" s="133"/>
      <c r="F13" s="23" t="s">
        <v>1027</v>
      </c>
      <c r="G13" s="23" t="s">
        <v>1027</v>
      </c>
      <c r="H13" s="23" t="s">
        <v>1027</v>
      </c>
      <c r="I13" s="14">
        <f>SUM(I14:I32)</f>
        <v>0</v>
      </c>
      <c r="J13" s="44" t="s">
        <v>769</v>
      </c>
      <c r="AH13" s="30" t="s">
        <v>847</v>
      </c>
      <c r="AR13" s="14">
        <f>SUM(AI14:AI32)</f>
        <v>0</v>
      </c>
      <c r="AS13" s="14">
        <f>SUM(AJ14:AJ32)</f>
        <v>0</v>
      </c>
      <c r="AT13" s="14">
        <f>SUM(AK14:AK32)</f>
        <v>0</v>
      </c>
    </row>
    <row r="14" spans="1:74" ht="13.5" customHeight="1" x14ac:dyDescent="0.25">
      <c r="A14" s="10" t="s">
        <v>1109</v>
      </c>
      <c r="B14" s="9" t="s">
        <v>847</v>
      </c>
      <c r="C14" s="9" t="s">
        <v>978</v>
      </c>
      <c r="D14" s="76" t="s">
        <v>489</v>
      </c>
      <c r="E14" s="77"/>
      <c r="F14" s="9" t="s">
        <v>1095</v>
      </c>
      <c r="G14" s="56">
        <v>7</v>
      </c>
      <c r="H14" s="56">
        <v>0</v>
      </c>
      <c r="I14" s="56">
        <f>G14*H14</f>
        <v>0</v>
      </c>
      <c r="J14" s="54" t="s">
        <v>501</v>
      </c>
      <c r="Y14" s="56">
        <f>IF(AP14="5",BI14,0)</f>
        <v>0</v>
      </c>
      <c r="AA14" s="56">
        <f>IF(AP14="1",BG14,0)</f>
        <v>0</v>
      </c>
      <c r="AB14" s="56">
        <f>IF(AP14="1",BH14,0)</f>
        <v>0</v>
      </c>
      <c r="AC14" s="56">
        <f>IF(AP14="7",BG14,0)</f>
        <v>0</v>
      </c>
      <c r="AD14" s="56">
        <f>IF(AP14="7",BH14,0)</f>
        <v>0</v>
      </c>
      <c r="AE14" s="56">
        <f>IF(AP14="2",BG14,0)</f>
        <v>0</v>
      </c>
      <c r="AF14" s="56">
        <f>IF(AP14="2",BH14,0)</f>
        <v>0</v>
      </c>
      <c r="AG14" s="56">
        <f>IF(AP14="0",BI14,0)</f>
        <v>0</v>
      </c>
      <c r="AH14" s="30" t="s">
        <v>847</v>
      </c>
      <c r="AI14" s="56">
        <f>IF(AM14=0,I14,0)</f>
        <v>0</v>
      </c>
      <c r="AJ14" s="56">
        <f>IF(AM14=15,I14,0)</f>
        <v>0</v>
      </c>
      <c r="AK14" s="56">
        <f>IF(AM14=21,I14,0)</f>
        <v>0</v>
      </c>
      <c r="AM14" s="56">
        <v>21</v>
      </c>
      <c r="AN14" s="56">
        <f>H14*0</f>
        <v>0</v>
      </c>
      <c r="AO14" s="56">
        <f>H14*(1-0)</f>
        <v>0</v>
      </c>
      <c r="AP14" s="41" t="s">
        <v>1109</v>
      </c>
      <c r="AU14" s="56">
        <f>AV14+AW14</f>
        <v>0</v>
      </c>
      <c r="AV14" s="56">
        <f>G14*AN14</f>
        <v>0</v>
      </c>
      <c r="AW14" s="56">
        <f>G14*AO14</f>
        <v>0</v>
      </c>
      <c r="AX14" s="41" t="s">
        <v>124</v>
      </c>
      <c r="AY14" s="41" t="s">
        <v>738</v>
      </c>
      <c r="AZ14" s="30" t="s">
        <v>1000</v>
      </c>
      <c r="BB14" s="56">
        <f>AV14+AW14</f>
        <v>0</v>
      </c>
      <c r="BC14" s="56">
        <f>H14/(100-BD14)*100</f>
        <v>0</v>
      </c>
      <c r="BD14" s="56">
        <v>0</v>
      </c>
      <c r="BE14" s="56" t="e">
        <f>#REF!</f>
        <v>#REF!</v>
      </c>
      <c r="BG14" s="56">
        <f>G14*AN14</f>
        <v>0</v>
      </c>
      <c r="BH14" s="56">
        <f>G14*AO14</f>
        <v>0</v>
      </c>
      <c r="BI14" s="56">
        <f>G14*H14</f>
        <v>0</v>
      </c>
      <c r="BJ14" s="56"/>
      <c r="BK14" s="56">
        <v>11</v>
      </c>
      <c r="BV14" s="56">
        <v>21</v>
      </c>
    </row>
    <row r="15" spans="1:74" ht="13.5" customHeight="1" x14ac:dyDescent="0.25">
      <c r="A15" s="10" t="s">
        <v>766</v>
      </c>
      <c r="B15" s="9" t="s">
        <v>847</v>
      </c>
      <c r="C15" s="9" t="s">
        <v>1158</v>
      </c>
      <c r="D15" s="76" t="s">
        <v>480</v>
      </c>
      <c r="E15" s="77"/>
      <c r="F15" s="9" t="s">
        <v>1095</v>
      </c>
      <c r="G15" s="56">
        <v>21.5</v>
      </c>
      <c r="H15" s="56">
        <v>0</v>
      </c>
      <c r="I15" s="56">
        <f>G15*H15</f>
        <v>0</v>
      </c>
      <c r="J15" s="54" t="s">
        <v>501</v>
      </c>
      <c r="Y15" s="56">
        <f>IF(AP15="5",BI15,0)</f>
        <v>0</v>
      </c>
      <c r="AA15" s="56">
        <f>IF(AP15="1",BG15,0)</f>
        <v>0</v>
      </c>
      <c r="AB15" s="56">
        <f>IF(AP15="1",BH15,0)</f>
        <v>0</v>
      </c>
      <c r="AC15" s="56">
        <f>IF(AP15="7",BG15,0)</f>
        <v>0</v>
      </c>
      <c r="AD15" s="56">
        <f>IF(AP15="7",BH15,0)</f>
        <v>0</v>
      </c>
      <c r="AE15" s="56">
        <f>IF(AP15="2",BG15,0)</f>
        <v>0</v>
      </c>
      <c r="AF15" s="56">
        <f>IF(AP15="2",BH15,0)</f>
        <v>0</v>
      </c>
      <c r="AG15" s="56">
        <f>IF(AP15="0",BI15,0)</f>
        <v>0</v>
      </c>
      <c r="AH15" s="30" t="s">
        <v>847</v>
      </c>
      <c r="AI15" s="56">
        <f>IF(AM15=0,I15,0)</f>
        <v>0</v>
      </c>
      <c r="AJ15" s="56">
        <f>IF(AM15=15,I15,0)</f>
        <v>0</v>
      </c>
      <c r="AK15" s="56">
        <f>IF(AM15=21,I15,0)</f>
        <v>0</v>
      </c>
      <c r="AM15" s="56">
        <v>21</v>
      </c>
      <c r="AN15" s="56">
        <f>H15*0</f>
        <v>0</v>
      </c>
      <c r="AO15" s="56">
        <f>H15*(1-0)</f>
        <v>0</v>
      </c>
      <c r="AP15" s="41" t="s">
        <v>1109</v>
      </c>
      <c r="AU15" s="56">
        <f>AV15+AW15</f>
        <v>0</v>
      </c>
      <c r="AV15" s="56">
        <f>G15*AN15</f>
        <v>0</v>
      </c>
      <c r="AW15" s="56">
        <f>G15*AO15</f>
        <v>0</v>
      </c>
      <c r="AX15" s="41" t="s">
        <v>124</v>
      </c>
      <c r="AY15" s="41" t="s">
        <v>738</v>
      </c>
      <c r="AZ15" s="30" t="s">
        <v>1000</v>
      </c>
      <c r="BB15" s="56">
        <f>AV15+AW15</f>
        <v>0</v>
      </c>
      <c r="BC15" s="56">
        <f>H15/(100-BD15)*100</f>
        <v>0</v>
      </c>
      <c r="BD15" s="56">
        <v>0</v>
      </c>
      <c r="BE15" s="56" t="e">
        <f>#REF!</f>
        <v>#REF!</v>
      </c>
      <c r="BG15" s="56">
        <f>G15*AN15</f>
        <v>0</v>
      </c>
      <c r="BH15" s="56">
        <f>G15*AO15</f>
        <v>0</v>
      </c>
      <c r="BI15" s="56">
        <f>G15*H15</f>
        <v>0</v>
      </c>
      <c r="BJ15" s="56"/>
      <c r="BK15" s="56">
        <v>11</v>
      </c>
      <c r="BV15" s="56">
        <v>21</v>
      </c>
    </row>
    <row r="16" spans="1:74" ht="13.5" customHeight="1" x14ac:dyDescent="0.25">
      <c r="A16" s="10" t="s">
        <v>952</v>
      </c>
      <c r="B16" s="9" t="s">
        <v>847</v>
      </c>
      <c r="C16" s="9" t="s">
        <v>980</v>
      </c>
      <c r="D16" s="76" t="s">
        <v>283</v>
      </c>
      <c r="E16" s="77"/>
      <c r="F16" s="9" t="s">
        <v>1095</v>
      </c>
      <c r="G16" s="56">
        <v>2</v>
      </c>
      <c r="H16" s="56">
        <v>0</v>
      </c>
      <c r="I16" s="56">
        <f>G16*H16</f>
        <v>0</v>
      </c>
      <c r="J16" s="54" t="s">
        <v>501</v>
      </c>
      <c r="Y16" s="56">
        <f>IF(AP16="5",BI16,0)</f>
        <v>0</v>
      </c>
      <c r="AA16" s="56">
        <f>IF(AP16="1",BG16,0)</f>
        <v>0</v>
      </c>
      <c r="AB16" s="56">
        <f>IF(AP16="1",BH16,0)</f>
        <v>0</v>
      </c>
      <c r="AC16" s="56">
        <f>IF(AP16="7",BG16,0)</f>
        <v>0</v>
      </c>
      <c r="AD16" s="56">
        <f>IF(AP16="7",BH16,0)</f>
        <v>0</v>
      </c>
      <c r="AE16" s="56">
        <f>IF(AP16="2",BG16,0)</f>
        <v>0</v>
      </c>
      <c r="AF16" s="56">
        <f>IF(AP16="2",BH16,0)</f>
        <v>0</v>
      </c>
      <c r="AG16" s="56">
        <f>IF(AP16="0",BI16,0)</f>
        <v>0</v>
      </c>
      <c r="AH16" s="30" t="s">
        <v>847</v>
      </c>
      <c r="AI16" s="56">
        <f>IF(AM16=0,I16,0)</f>
        <v>0</v>
      </c>
      <c r="AJ16" s="56">
        <f>IF(AM16=15,I16,0)</f>
        <v>0</v>
      </c>
      <c r="AK16" s="56">
        <f>IF(AM16=21,I16,0)</f>
        <v>0</v>
      </c>
      <c r="AM16" s="56">
        <v>21</v>
      </c>
      <c r="AN16" s="56">
        <f>H16*0</f>
        <v>0</v>
      </c>
      <c r="AO16" s="56">
        <f>H16*(1-0)</f>
        <v>0</v>
      </c>
      <c r="AP16" s="41" t="s">
        <v>1109</v>
      </c>
      <c r="AU16" s="56">
        <f>AV16+AW16</f>
        <v>0</v>
      </c>
      <c r="AV16" s="56">
        <f>G16*AN16</f>
        <v>0</v>
      </c>
      <c r="AW16" s="56">
        <f>G16*AO16</f>
        <v>0</v>
      </c>
      <c r="AX16" s="41" t="s">
        <v>124</v>
      </c>
      <c r="AY16" s="41" t="s">
        <v>738</v>
      </c>
      <c r="AZ16" s="30" t="s">
        <v>1000</v>
      </c>
      <c r="BB16" s="56">
        <f>AV16+AW16</f>
        <v>0</v>
      </c>
      <c r="BC16" s="56">
        <f>H16/(100-BD16)*100</f>
        <v>0</v>
      </c>
      <c r="BD16" s="56">
        <v>0</v>
      </c>
      <c r="BE16" s="56" t="e">
        <f>#REF!</f>
        <v>#REF!</v>
      </c>
      <c r="BG16" s="56">
        <f>G16*AN16</f>
        <v>0</v>
      </c>
      <c r="BH16" s="56">
        <f>G16*AO16</f>
        <v>0</v>
      </c>
      <c r="BI16" s="56">
        <f>G16*H16</f>
        <v>0</v>
      </c>
      <c r="BJ16" s="56"/>
      <c r="BK16" s="56">
        <v>11</v>
      </c>
      <c r="BV16" s="56">
        <v>21</v>
      </c>
    </row>
    <row r="17" spans="1:74" ht="13.5" customHeight="1" x14ac:dyDescent="0.25">
      <c r="A17" s="10" t="s">
        <v>127</v>
      </c>
      <c r="B17" s="9" t="s">
        <v>847</v>
      </c>
      <c r="C17" s="9" t="s">
        <v>327</v>
      </c>
      <c r="D17" s="76" t="s">
        <v>215</v>
      </c>
      <c r="E17" s="77"/>
      <c r="F17" s="9" t="s">
        <v>1095</v>
      </c>
      <c r="G17" s="56">
        <v>368.65</v>
      </c>
      <c r="H17" s="56">
        <v>0</v>
      </c>
      <c r="I17" s="56">
        <f>G17*H17</f>
        <v>0</v>
      </c>
      <c r="J17" s="54" t="s">
        <v>501</v>
      </c>
      <c r="Y17" s="56">
        <f>IF(AP17="5",BI17,0)</f>
        <v>0</v>
      </c>
      <c r="AA17" s="56">
        <f>IF(AP17="1",BG17,0)</f>
        <v>0</v>
      </c>
      <c r="AB17" s="56">
        <f>IF(AP17="1",BH17,0)</f>
        <v>0</v>
      </c>
      <c r="AC17" s="56">
        <f>IF(AP17="7",BG17,0)</f>
        <v>0</v>
      </c>
      <c r="AD17" s="56">
        <f>IF(AP17="7",BH17,0)</f>
        <v>0</v>
      </c>
      <c r="AE17" s="56">
        <f>IF(AP17="2",BG17,0)</f>
        <v>0</v>
      </c>
      <c r="AF17" s="56">
        <f>IF(AP17="2",BH17,0)</f>
        <v>0</v>
      </c>
      <c r="AG17" s="56">
        <f>IF(AP17="0",BI17,0)</f>
        <v>0</v>
      </c>
      <c r="AH17" s="30" t="s">
        <v>847</v>
      </c>
      <c r="AI17" s="56">
        <f>IF(AM17=0,I17,0)</f>
        <v>0</v>
      </c>
      <c r="AJ17" s="56">
        <f>IF(AM17=15,I17,0)</f>
        <v>0</v>
      </c>
      <c r="AK17" s="56">
        <f>IF(AM17=21,I17,0)</f>
        <v>0</v>
      </c>
      <c r="AM17" s="56">
        <v>21</v>
      </c>
      <c r="AN17" s="56">
        <f>H17*0</f>
        <v>0</v>
      </c>
      <c r="AO17" s="56">
        <f>H17*(1-0)</f>
        <v>0</v>
      </c>
      <c r="AP17" s="41" t="s">
        <v>1109</v>
      </c>
      <c r="AU17" s="56">
        <f>AV17+AW17</f>
        <v>0</v>
      </c>
      <c r="AV17" s="56">
        <f>G17*AN17</f>
        <v>0</v>
      </c>
      <c r="AW17" s="56">
        <f>G17*AO17</f>
        <v>0</v>
      </c>
      <c r="AX17" s="41" t="s">
        <v>124</v>
      </c>
      <c r="AY17" s="41" t="s">
        <v>738</v>
      </c>
      <c r="AZ17" s="30" t="s">
        <v>1000</v>
      </c>
      <c r="BB17" s="56">
        <f>AV17+AW17</f>
        <v>0</v>
      </c>
      <c r="BC17" s="56">
        <f>H17/(100-BD17)*100</f>
        <v>0</v>
      </c>
      <c r="BD17" s="56">
        <v>0</v>
      </c>
      <c r="BE17" s="56" t="e">
        <f>#REF!</f>
        <v>#REF!</v>
      </c>
      <c r="BG17" s="56">
        <f>G17*AN17</f>
        <v>0</v>
      </c>
      <c r="BH17" s="56">
        <f>G17*AO17</f>
        <v>0</v>
      </c>
      <c r="BI17" s="56">
        <f>G17*H17</f>
        <v>0</v>
      </c>
      <c r="BJ17" s="56"/>
      <c r="BK17" s="56">
        <v>11</v>
      </c>
      <c r="BV17" s="56">
        <v>21</v>
      </c>
    </row>
    <row r="18" spans="1:74" ht="15" customHeight="1" x14ac:dyDescent="0.25">
      <c r="A18" s="53"/>
      <c r="D18" s="52" t="s">
        <v>1113</v>
      </c>
      <c r="E18" s="37" t="s">
        <v>616</v>
      </c>
      <c r="G18" s="21">
        <v>336.6</v>
      </c>
      <c r="J18" s="48"/>
    </row>
    <row r="19" spans="1:74" ht="15" customHeight="1" x14ac:dyDescent="0.25">
      <c r="A19" s="53"/>
      <c r="D19" s="52" t="s">
        <v>577</v>
      </c>
      <c r="E19" s="37" t="s">
        <v>33</v>
      </c>
      <c r="G19" s="21">
        <v>16</v>
      </c>
      <c r="J19" s="48"/>
    </row>
    <row r="20" spans="1:74" ht="15" customHeight="1" x14ac:dyDescent="0.25">
      <c r="A20" s="53"/>
      <c r="D20" s="52" t="s">
        <v>136</v>
      </c>
      <c r="E20" s="37" t="s">
        <v>1092</v>
      </c>
      <c r="G20" s="21">
        <v>4.0500000000000007</v>
      </c>
      <c r="J20" s="48"/>
    </row>
    <row r="21" spans="1:74" ht="15" customHeight="1" x14ac:dyDescent="0.25">
      <c r="A21" s="53"/>
      <c r="D21" s="52" t="s">
        <v>1241</v>
      </c>
      <c r="E21" s="37" t="s">
        <v>1033</v>
      </c>
      <c r="G21" s="21">
        <v>12.000000000000002</v>
      </c>
      <c r="J21" s="48"/>
    </row>
    <row r="22" spans="1:74" ht="13.5" customHeight="1" x14ac:dyDescent="0.25">
      <c r="A22" s="10" t="s">
        <v>596</v>
      </c>
      <c r="B22" s="9" t="s">
        <v>847</v>
      </c>
      <c r="C22" s="9" t="s">
        <v>649</v>
      </c>
      <c r="D22" s="76" t="s">
        <v>567</v>
      </c>
      <c r="E22" s="77"/>
      <c r="F22" s="9" t="s">
        <v>1095</v>
      </c>
      <c r="G22" s="56">
        <v>644.48</v>
      </c>
      <c r="H22" s="56">
        <v>0</v>
      </c>
      <c r="I22" s="56">
        <f>G22*H22</f>
        <v>0</v>
      </c>
      <c r="J22" s="54" t="s">
        <v>501</v>
      </c>
      <c r="Y22" s="56">
        <f>IF(AP22="5",BI22,0)</f>
        <v>0</v>
      </c>
      <c r="AA22" s="56">
        <f>IF(AP22="1",BG22,0)</f>
        <v>0</v>
      </c>
      <c r="AB22" s="56">
        <f>IF(AP22="1",BH22,0)</f>
        <v>0</v>
      </c>
      <c r="AC22" s="56">
        <f>IF(AP22="7",BG22,0)</f>
        <v>0</v>
      </c>
      <c r="AD22" s="56">
        <f>IF(AP22="7",BH22,0)</f>
        <v>0</v>
      </c>
      <c r="AE22" s="56">
        <f>IF(AP22="2",BG22,0)</f>
        <v>0</v>
      </c>
      <c r="AF22" s="56">
        <f>IF(AP22="2",BH22,0)</f>
        <v>0</v>
      </c>
      <c r="AG22" s="56">
        <f>IF(AP22="0",BI22,0)</f>
        <v>0</v>
      </c>
      <c r="AH22" s="30" t="s">
        <v>847</v>
      </c>
      <c r="AI22" s="56">
        <f>IF(AM22=0,I22,0)</f>
        <v>0</v>
      </c>
      <c r="AJ22" s="56">
        <f>IF(AM22=15,I22,0)</f>
        <v>0</v>
      </c>
      <c r="AK22" s="56">
        <f>IF(AM22=21,I22,0)</f>
        <v>0</v>
      </c>
      <c r="AM22" s="56">
        <v>21</v>
      </c>
      <c r="AN22" s="56">
        <f>H22*0</f>
        <v>0</v>
      </c>
      <c r="AO22" s="56">
        <f>H22*(1-0)</f>
        <v>0</v>
      </c>
      <c r="AP22" s="41" t="s">
        <v>1109</v>
      </c>
      <c r="AU22" s="56">
        <f>AV22+AW22</f>
        <v>0</v>
      </c>
      <c r="AV22" s="56">
        <f>G22*AN22</f>
        <v>0</v>
      </c>
      <c r="AW22" s="56">
        <f>G22*AO22</f>
        <v>0</v>
      </c>
      <c r="AX22" s="41" t="s">
        <v>124</v>
      </c>
      <c r="AY22" s="41" t="s">
        <v>738</v>
      </c>
      <c r="AZ22" s="30" t="s">
        <v>1000</v>
      </c>
      <c r="BB22" s="56">
        <f>AV22+AW22</f>
        <v>0</v>
      </c>
      <c r="BC22" s="56">
        <f>H22/(100-BD22)*100</f>
        <v>0</v>
      </c>
      <c r="BD22" s="56">
        <v>0</v>
      </c>
      <c r="BE22" s="56" t="e">
        <f>#REF!</f>
        <v>#REF!</v>
      </c>
      <c r="BG22" s="56">
        <f>G22*AN22</f>
        <v>0</v>
      </c>
      <c r="BH22" s="56">
        <f>G22*AO22</f>
        <v>0</v>
      </c>
      <c r="BI22" s="56">
        <f>G22*H22</f>
        <v>0</v>
      </c>
      <c r="BJ22" s="56"/>
      <c r="BK22" s="56">
        <v>11</v>
      </c>
      <c r="BV22" s="56">
        <v>21</v>
      </c>
    </row>
    <row r="23" spans="1:74" ht="15" customHeight="1" x14ac:dyDescent="0.25">
      <c r="A23" s="53"/>
      <c r="D23" s="52" t="s">
        <v>1070</v>
      </c>
      <c r="E23" s="37" t="s">
        <v>769</v>
      </c>
      <c r="G23" s="21">
        <v>644.48</v>
      </c>
      <c r="J23" s="48"/>
    </row>
    <row r="24" spans="1:74" ht="13.5" customHeight="1" x14ac:dyDescent="0.25">
      <c r="A24" s="10" t="s">
        <v>177</v>
      </c>
      <c r="B24" s="9" t="s">
        <v>847</v>
      </c>
      <c r="C24" s="9" t="s">
        <v>600</v>
      </c>
      <c r="D24" s="76" t="s">
        <v>378</v>
      </c>
      <c r="E24" s="77"/>
      <c r="F24" s="9" t="s">
        <v>1095</v>
      </c>
      <c r="G24" s="56">
        <v>624.63</v>
      </c>
      <c r="H24" s="56">
        <v>0</v>
      </c>
      <c r="I24" s="56">
        <f>G24*H24</f>
        <v>0</v>
      </c>
      <c r="J24" s="54" t="s">
        <v>501</v>
      </c>
      <c r="Y24" s="56">
        <f>IF(AP24="5",BI24,0)</f>
        <v>0</v>
      </c>
      <c r="AA24" s="56">
        <f>IF(AP24="1",BG24,0)</f>
        <v>0</v>
      </c>
      <c r="AB24" s="56">
        <f>IF(AP24="1",BH24,0)</f>
        <v>0</v>
      </c>
      <c r="AC24" s="56">
        <f>IF(AP24="7",BG24,0)</f>
        <v>0</v>
      </c>
      <c r="AD24" s="56">
        <f>IF(AP24="7",BH24,0)</f>
        <v>0</v>
      </c>
      <c r="AE24" s="56">
        <f>IF(AP24="2",BG24,0)</f>
        <v>0</v>
      </c>
      <c r="AF24" s="56">
        <f>IF(AP24="2",BH24,0)</f>
        <v>0</v>
      </c>
      <c r="AG24" s="56">
        <f>IF(AP24="0",BI24,0)</f>
        <v>0</v>
      </c>
      <c r="AH24" s="30" t="s">
        <v>847</v>
      </c>
      <c r="AI24" s="56">
        <f>IF(AM24=0,I24,0)</f>
        <v>0</v>
      </c>
      <c r="AJ24" s="56">
        <f>IF(AM24=15,I24,0)</f>
        <v>0</v>
      </c>
      <c r="AK24" s="56">
        <f>IF(AM24=21,I24,0)</f>
        <v>0</v>
      </c>
      <c r="AM24" s="56">
        <v>21</v>
      </c>
      <c r="AN24" s="56">
        <f>H24*0</f>
        <v>0</v>
      </c>
      <c r="AO24" s="56">
        <f>H24*(1-0)</f>
        <v>0</v>
      </c>
      <c r="AP24" s="41" t="s">
        <v>1109</v>
      </c>
      <c r="AU24" s="56">
        <f>AV24+AW24</f>
        <v>0</v>
      </c>
      <c r="AV24" s="56">
        <f>G24*AN24</f>
        <v>0</v>
      </c>
      <c r="AW24" s="56">
        <f>G24*AO24</f>
        <v>0</v>
      </c>
      <c r="AX24" s="41" t="s">
        <v>124</v>
      </c>
      <c r="AY24" s="41" t="s">
        <v>738</v>
      </c>
      <c r="AZ24" s="30" t="s">
        <v>1000</v>
      </c>
      <c r="BB24" s="56">
        <f>AV24+AW24</f>
        <v>0</v>
      </c>
      <c r="BC24" s="56">
        <f>H24/(100-BD24)*100</f>
        <v>0</v>
      </c>
      <c r="BD24" s="56">
        <v>0</v>
      </c>
      <c r="BE24" s="56" t="e">
        <f>#REF!</f>
        <v>#REF!</v>
      </c>
      <c r="BG24" s="56">
        <f>G24*AN24</f>
        <v>0</v>
      </c>
      <c r="BH24" s="56">
        <f>G24*AO24</f>
        <v>0</v>
      </c>
      <c r="BI24" s="56">
        <f>G24*H24</f>
        <v>0</v>
      </c>
      <c r="BJ24" s="56"/>
      <c r="BK24" s="56">
        <v>11</v>
      </c>
      <c r="BV24" s="56">
        <v>21</v>
      </c>
    </row>
    <row r="25" spans="1:74" ht="15" customHeight="1" x14ac:dyDescent="0.25">
      <c r="A25" s="53"/>
      <c r="D25" s="52" t="s">
        <v>122</v>
      </c>
      <c r="E25" s="37" t="s">
        <v>769</v>
      </c>
      <c r="G25" s="21">
        <v>624.63</v>
      </c>
      <c r="J25" s="48"/>
    </row>
    <row r="26" spans="1:74" ht="13.5" customHeight="1" x14ac:dyDescent="0.25">
      <c r="A26" s="10" t="s">
        <v>1114</v>
      </c>
      <c r="B26" s="9" t="s">
        <v>847</v>
      </c>
      <c r="C26" s="9" t="s">
        <v>790</v>
      </c>
      <c r="D26" s="76" t="s">
        <v>1040</v>
      </c>
      <c r="E26" s="77"/>
      <c r="F26" s="9" t="s">
        <v>909</v>
      </c>
      <c r="G26" s="56">
        <v>17</v>
      </c>
      <c r="H26" s="56">
        <v>0</v>
      </c>
      <c r="I26" s="56">
        <f>G26*H26</f>
        <v>0</v>
      </c>
      <c r="J26" s="54" t="s">
        <v>501</v>
      </c>
      <c r="Y26" s="56">
        <f>IF(AP26="5",BI26,0)</f>
        <v>0</v>
      </c>
      <c r="AA26" s="56">
        <f>IF(AP26="1",BG26,0)</f>
        <v>0</v>
      </c>
      <c r="AB26" s="56">
        <f>IF(AP26="1",BH26,0)</f>
        <v>0</v>
      </c>
      <c r="AC26" s="56">
        <f>IF(AP26="7",BG26,0)</f>
        <v>0</v>
      </c>
      <c r="AD26" s="56">
        <f>IF(AP26="7",BH26,0)</f>
        <v>0</v>
      </c>
      <c r="AE26" s="56">
        <f>IF(AP26="2",BG26,0)</f>
        <v>0</v>
      </c>
      <c r="AF26" s="56">
        <f>IF(AP26="2",BH26,0)</f>
        <v>0</v>
      </c>
      <c r="AG26" s="56">
        <f>IF(AP26="0",BI26,0)</f>
        <v>0</v>
      </c>
      <c r="AH26" s="30" t="s">
        <v>847</v>
      </c>
      <c r="AI26" s="56">
        <f>IF(AM26=0,I26,0)</f>
        <v>0</v>
      </c>
      <c r="AJ26" s="56">
        <f>IF(AM26=15,I26,0)</f>
        <v>0</v>
      </c>
      <c r="AK26" s="56">
        <f>IF(AM26=21,I26,0)</f>
        <v>0</v>
      </c>
      <c r="AM26" s="56">
        <v>21</v>
      </c>
      <c r="AN26" s="56">
        <f>H26*0</f>
        <v>0</v>
      </c>
      <c r="AO26" s="56">
        <f>H26*(1-0)</f>
        <v>0</v>
      </c>
      <c r="AP26" s="41" t="s">
        <v>1109</v>
      </c>
      <c r="AU26" s="56">
        <f>AV26+AW26</f>
        <v>0</v>
      </c>
      <c r="AV26" s="56">
        <f>G26*AN26</f>
        <v>0</v>
      </c>
      <c r="AW26" s="56">
        <f>G26*AO26</f>
        <v>0</v>
      </c>
      <c r="AX26" s="41" t="s">
        <v>124</v>
      </c>
      <c r="AY26" s="41" t="s">
        <v>738</v>
      </c>
      <c r="AZ26" s="30" t="s">
        <v>1000</v>
      </c>
      <c r="BB26" s="56">
        <f>AV26+AW26</f>
        <v>0</v>
      </c>
      <c r="BC26" s="56">
        <f>H26/(100-BD26)*100</f>
        <v>0</v>
      </c>
      <c r="BD26" s="56">
        <v>0</v>
      </c>
      <c r="BE26" s="56" t="e">
        <f>#REF!</f>
        <v>#REF!</v>
      </c>
      <c r="BG26" s="56">
        <f>G26*AN26</f>
        <v>0</v>
      </c>
      <c r="BH26" s="56">
        <f>G26*AO26</f>
        <v>0</v>
      </c>
      <c r="BI26" s="56">
        <f>G26*H26</f>
        <v>0</v>
      </c>
      <c r="BJ26" s="56"/>
      <c r="BK26" s="56">
        <v>11</v>
      </c>
      <c r="BV26" s="56">
        <v>21</v>
      </c>
    </row>
    <row r="27" spans="1:74" ht="13.5" customHeight="1" x14ac:dyDescent="0.25">
      <c r="A27" s="10" t="s">
        <v>874</v>
      </c>
      <c r="B27" s="9" t="s">
        <v>847</v>
      </c>
      <c r="C27" s="9" t="s">
        <v>511</v>
      </c>
      <c r="D27" s="76" t="s">
        <v>541</v>
      </c>
      <c r="E27" s="77"/>
      <c r="F27" s="9" t="s">
        <v>909</v>
      </c>
      <c r="G27" s="56">
        <v>310</v>
      </c>
      <c r="H27" s="56">
        <v>0</v>
      </c>
      <c r="I27" s="56">
        <f>G27*H27</f>
        <v>0</v>
      </c>
      <c r="J27" s="54" t="s">
        <v>501</v>
      </c>
      <c r="Y27" s="56">
        <f>IF(AP27="5",BI27,0)</f>
        <v>0</v>
      </c>
      <c r="AA27" s="56">
        <f>IF(AP27="1",BG27,0)</f>
        <v>0</v>
      </c>
      <c r="AB27" s="56">
        <f>IF(AP27="1",BH27,0)</f>
        <v>0</v>
      </c>
      <c r="AC27" s="56">
        <f>IF(AP27="7",BG27,0)</f>
        <v>0</v>
      </c>
      <c r="AD27" s="56">
        <f>IF(AP27="7",BH27,0)</f>
        <v>0</v>
      </c>
      <c r="AE27" s="56">
        <f>IF(AP27="2",BG27,0)</f>
        <v>0</v>
      </c>
      <c r="AF27" s="56">
        <f>IF(AP27="2",BH27,0)</f>
        <v>0</v>
      </c>
      <c r="AG27" s="56">
        <f>IF(AP27="0",BI27,0)</f>
        <v>0</v>
      </c>
      <c r="AH27" s="30" t="s">
        <v>847</v>
      </c>
      <c r="AI27" s="56">
        <f>IF(AM27=0,I27,0)</f>
        <v>0</v>
      </c>
      <c r="AJ27" s="56">
        <f>IF(AM27=15,I27,0)</f>
        <v>0</v>
      </c>
      <c r="AK27" s="56">
        <f>IF(AM27=21,I27,0)</f>
        <v>0</v>
      </c>
      <c r="AM27" s="56">
        <v>21</v>
      </c>
      <c r="AN27" s="56">
        <f>H27*0</f>
        <v>0</v>
      </c>
      <c r="AO27" s="56">
        <f>H27*(1-0)</f>
        <v>0</v>
      </c>
      <c r="AP27" s="41" t="s">
        <v>1109</v>
      </c>
      <c r="AU27" s="56">
        <f>AV27+AW27</f>
        <v>0</v>
      </c>
      <c r="AV27" s="56">
        <f>G27*AN27</f>
        <v>0</v>
      </c>
      <c r="AW27" s="56">
        <f>G27*AO27</f>
        <v>0</v>
      </c>
      <c r="AX27" s="41" t="s">
        <v>124</v>
      </c>
      <c r="AY27" s="41" t="s">
        <v>738</v>
      </c>
      <c r="AZ27" s="30" t="s">
        <v>1000</v>
      </c>
      <c r="BB27" s="56">
        <f>AV27+AW27</f>
        <v>0</v>
      </c>
      <c r="BC27" s="56">
        <f>H27/(100-BD27)*100</f>
        <v>0</v>
      </c>
      <c r="BD27" s="56">
        <v>0</v>
      </c>
      <c r="BE27" s="56" t="e">
        <f>#REF!</f>
        <v>#REF!</v>
      </c>
      <c r="BG27" s="56">
        <f>G27*AN27</f>
        <v>0</v>
      </c>
      <c r="BH27" s="56">
        <f>G27*AO27</f>
        <v>0</v>
      </c>
      <c r="BI27" s="56">
        <f>G27*H27</f>
        <v>0</v>
      </c>
      <c r="BJ27" s="56"/>
      <c r="BK27" s="56">
        <v>11</v>
      </c>
      <c r="BV27" s="56">
        <v>21</v>
      </c>
    </row>
    <row r="28" spans="1:74" ht="13.5" customHeight="1" x14ac:dyDescent="0.25">
      <c r="A28" s="53"/>
      <c r="C28" s="66" t="s">
        <v>578</v>
      </c>
      <c r="D28" s="137" t="s">
        <v>349</v>
      </c>
      <c r="E28" s="138"/>
      <c r="F28" s="138"/>
      <c r="G28" s="138"/>
      <c r="H28" s="138"/>
      <c r="I28" s="138"/>
      <c r="J28" s="139"/>
    </row>
    <row r="29" spans="1:74" ht="15" customHeight="1" x14ac:dyDescent="0.25">
      <c r="A29" s="53"/>
      <c r="D29" s="52" t="s">
        <v>309</v>
      </c>
      <c r="E29" s="37" t="s">
        <v>987</v>
      </c>
      <c r="G29" s="21">
        <v>310</v>
      </c>
      <c r="J29" s="48"/>
    </row>
    <row r="30" spans="1:74" ht="13.5" customHeight="1" x14ac:dyDescent="0.25">
      <c r="A30" s="10" t="s">
        <v>423</v>
      </c>
      <c r="B30" s="9" t="s">
        <v>847</v>
      </c>
      <c r="C30" s="9" t="s">
        <v>804</v>
      </c>
      <c r="D30" s="76" t="s">
        <v>697</v>
      </c>
      <c r="E30" s="77"/>
      <c r="F30" s="9" t="s">
        <v>909</v>
      </c>
      <c r="G30" s="56">
        <v>1</v>
      </c>
      <c r="H30" s="56">
        <v>0</v>
      </c>
      <c r="I30" s="56">
        <f>G30*H30</f>
        <v>0</v>
      </c>
      <c r="J30" s="54" t="s">
        <v>501</v>
      </c>
      <c r="Y30" s="56">
        <f>IF(AP30="5",BI30,0)</f>
        <v>0</v>
      </c>
      <c r="AA30" s="56">
        <f>IF(AP30="1",BG30,0)</f>
        <v>0</v>
      </c>
      <c r="AB30" s="56">
        <f>IF(AP30="1",BH30,0)</f>
        <v>0</v>
      </c>
      <c r="AC30" s="56">
        <f>IF(AP30="7",BG30,0)</f>
        <v>0</v>
      </c>
      <c r="AD30" s="56">
        <f>IF(AP30="7",BH30,0)</f>
        <v>0</v>
      </c>
      <c r="AE30" s="56">
        <f>IF(AP30="2",BG30,0)</f>
        <v>0</v>
      </c>
      <c r="AF30" s="56">
        <f>IF(AP30="2",BH30,0)</f>
        <v>0</v>
      </c>
      <c r="AG30" s="56">
        <f>IF(AP30="0",BI30,0)</f>
        <v>0</v>
      </c>
      <c r="AH30" s="30" t="s">
        <v>847</v>
      </c>
      <c r="AI30" s="56">
        <f>IF(AM30=0,I30,0)</f>
        <v>0</v>
      </c>
      <c r="AJ30" s="56">
        <f>IF(AM30=15,I30,0)</f>
        <v>0</v>
      </c>
      <c r="AK30" s="56">
        <f>IF(AM30=21,I30,0)</f>
        <v>0</v>
      </c>
      <c r="AM30" s="56">
        <v>21</v>
      </c>
      <c r="AN30" s="56">
        <f>H30*0.341992238033635</f>
        <v>0</v>
      </c>
      <c r="AO30" s="56">
        <f>H30*(1-0.341992238033635)</f>
        <v>0</v>
      </c>
      <c r="AP30" s="41" t="s">
        <v>1109</v>
      </c>
      <c r="AU30" s="56">
        <f>AV30+AW30</f>
        <v>0</v>
      </c>
      <c r="AV30" s="56">
        <f>G30*AN30</f>
        <v>0</v>
      </c>
      <c r="AW30" s="56">
        <f>G30*AO30</f>
        <v>0</v>
      </c>
      <c r="AX30" s="41" t="s">
        <v>124</v>
      </c>
      <c r="AY30" s="41" t="s">
        <v>738</v>
      </c>
      <c r="AZ30" s="30" t="s">
        <v>1000</v>
      </c>
      <c r="BB30" s="56">
        <f>AV30+AW30</f>
        <v>0</v>
      </c>
      <c r="BC30" s="56">
        <f>H30/(100-BD30)*100</f>
        <v>0</v>
      </c>
      <c r="BD30" s="56">
        <v>0</v>
      </c>
      <c r="BE30" s="56" t="e">
        <f>#REF!</f>
        <v>#REF!</v>
      </c>
      <c r="BG30" s="56">
        <f>G30*AN30</f>
        <v>0</v>
      </c>
      <c r="BH30" s="56">
        <f>G30*AO30</f>
        <v>0</v>
      </c>
      <c r="BI30" s="56">
        <f>G30*H30</f>
        <v>0</v>
      </c>
      <c r="BJ30" s="56"/>
      <c r="BK30" s="56">
        <v>11</v>
      </c>
      <c r="BV30" s="56">
        <v>21</v>
      </c>
    </row>
    <row r="31" spans="1:74" ht="15" customHeight="1" x14ac:dyDescent="0.25">
      <c r="A31" s="53"/>
      <c r="D31" s="52" t="s">
        <v>796</v>
      </c>
      <c r="E31" s="37" t="s">
        <v>266</v>
      </c>
      <c r="G31" s="21">
        <v>1</v>
      </c>
      <c r="J31" s="48"/>
    </row>
    <row r="32" spans="1:74" ht="13.5" customHeight="1" x14ac:dyDescent="0.25">
      <c r="A32" s="10" t="s">
        <v>640</v>
      </c>
      <c r="B32" s="9" t="s">
        <v>847</v>
      </c>
      <c r="C32" s="9" t="s">
        <v>747</v>
      </c>
      <c r="D32" s="76" t="s">
        <v>332</v>
      </c>
      <c r="E32" s="77"/>
      <c r="F32" s="9" t="s">
        <v>494</v>
      </c>
      <c r="G32" s="56">
        <v>120</v>
      </c>
      <c r="H32" s="56">
        <v>0</v>
      </c>
      <c r="I32" s="56">
        <f>G32*H32</f>
        <v>0</v>
      </c>
      <c r="J32" s="54" t="s">
        <v>501</v>
      </c>
      <c r="Y32" s="56">
        <f>IF(AP32="5",BI32,0)</f>
        <v>0</v>
      </c>
      <c r="AA32" s="56">
        <f>IF(AP32="1",BG32,0)</f>
        <v>0</v>
      </c>
      <c r="AB32" s="56">
        <f>IF(AP32="1",BH32,0)</f>
        <v>0</v>
      </c>
      <c r="AC32" s="56">
        <f>IF(AP32="7",BG32,0)</f>
        <v>0</v>
      </c>
      <c r="AD32" s="56">
        <f>IF(AP32="7",BH32,0)</f>
        <v>0</v>
      </c>
      <c r="AE32" s="56">
        <f>IF(AP32="2",BG32,0)</f>
        <v>0</v>
      </c>
      <c r="AF32" s="56">
        <f>IF(AP32="2",BH32,0)</f>
        <v>0</v>
      </c>
      <c r="AG32" s="56">
        <f>IF(AP32="0",BI32,0)</f>
        <v>0</v>
      </c>
      <c r="AH32" s="30" t="s">
        <v>847</v>
      </c>
      <c r="AI32" s="56">
        <f>IF(AM32=0,I32,0)</f>
        <v>0</v>
      </c>
      <c r="AJ32" s="56">
        <f>IF(AM32=15,I32,0)</f>
        <v>0</v>
      </c>
      <c r="AK32" s="56">
        <f>IF(AM32=21,I32,0)</f>
        <v>0</v>
      </c>
      <c r="AM32" s="56">
        <v>21</v>
      </c>
      <c r="AN32" s="56">
        <f>H32*0</f>
        <v>0</v>
      </c>
      <c r="AO32" s="56">
        <f>H32*(1-0)</f>
        <v>0</v>
      </c>
      <c r="AP32" s="41" t="s">
        <v>1109</v>
      </c>
      <c r="AU32" s="56">
        <f>AV32+AW32</f>
        <v>0</v>
      </c>
      <c r="AV32" s="56">
        <f>G32*AN32</f>
        <v>0</v>
      </c>
      <c r="AW32" s="56">
        <f>G32*AO32</f>
        <v>0</v>
      </c>
      <c r="AX32" s="41" t="s">
        <v>124</v>
      </c>
      <c r="AY32" s="41" t="s">
        <v>738</v>
      </c>
      <c r="AZ32" s="30" t="s">
        <v>1000</v>
      </c>
      <c r="BB32" s="56">
        <f>AV32+AW32</f>
        <v>0</v>
      </c>
      <c r="BC32" s="56">
        <f>H32/(100-BD32)*100</f>
        <v>0</v>
      </c>
      <c r="BD32" s="56">
        <v>0</v>
      </c>
      <c r="BE32" s="56" t="e">
        <f>#REF!</f>
        <v>#REF!</v>
      </c>
      <c r="BG32" s="56">
        <f>G32*AN32</f>
        <v>0</v>
      </c>
      <c r="BH32" s="56">
        <f>G32*AO32</f>
        <v>0</v>
      </c>
      <c r="BI32" s="56">
        <f>G32*H32</f>
        <v>0</v>
      </c>
      <c r="BJ32" s="56"/>
      <c r="BK32" s="56">
        <v>11</v>
      </c>
      <c r="BV32" s="56">
        <v>21</v>
      </c>
    </row>
    <row r="33" spans="1:74" ht="13.5" customHeight="1" x14ac:dyDescent="0.25">
      <c r="A33" s="53"/>
      <c r="C33" s="66" t="s">
        <v>578</v>
      </c>
      <c r="D33" s="137" t="s">
        <v>321</v>
      </c>
      <c r="E33" s="138"/>
      <c r="F33" s="138"/>
      <c r="G33" s="138"/>
      <c r="H33" s="138"/>
      <c r="I33" s="138"/>
      <c r="J33" s="139"/>
    </row>
    <row r="34" spans="1:74" ht="15" customHeight="1" x14ac:dyDescent="0.25">
      <c r="A34" s="27" t="s">
        <v>769</v>
      </c>
      <c r="B34" s="28" t="s">
        <v>847</v>
      </c>
      <c r="C34" s="28" t="s">
        <v>815</v>
      </c>
      <c r="D34" s="132" t="s">
        <v>276</v>
      </c>
      <c r="E34" s="133"/>
      <c r="F34" s="23" t="s">
        <v>1027</v>
      </c>
      <c r="G34" s="23" t="s">
        <v>1027</v>
      </c>
      <c r="H34" s="23" t="s">
        <v>1027</v>
      </c>
      <c r="I34" s="14">
        <f>SUM(I35:I37)</f>
        <v>0</v>
      </c>
      <c r="J34" s="44" t="s">
        <v>769</v>
      </c>
      <c r="AH34" s="30" t="s">
        <v>847</v>
      </c>
      <c r="AR34" s="14">
        <f>SUM(AI35:AI37)</f>
        <v>0</v>
      </c>
      <c r="AS34" s="14">
        <f>SUM(AJ35:AJ37)</f>
        <v>0</v>
      </c>
      <c r="AT34" s="14">
        <f>SUM(AK35:AK37)</f>
        <v>0</v>
      </c>
    </row>
    <row r="35" spans="1:74" ht="13.5" customHeight="1" x14ac:dyDescent="0.25">
      <c r="A35" s="10" t="s">
        <v>917</v>
      </c>
      <c r="B35" s="9" t="s">
        <v>847</v>
      </c>
      <c r="C35" s="9" t="s">
        <v>1004</v>
      </c>
      <c r="D35" s="76" t="s">
        <v>284</v>
      </c>
      <c r="E35" s="77"/>
      <c r="F35" s="9" t="s">
        <v>1079</v>
      </c>
      <c r="G35" s="56">
        <v>1.6</v>
      </c>
      <c r="H35" s="56">
        <v>0</v>
      </c>
      <c r="I35" s="56">
        <f>G35*H35</f>
        <v>0</v>
      </c>
      <c r="J35" s="54" t="s">
        <v>501</v>
      </c>
      <c r="Y35" s="56">
        <f>IF(AP35="5",BI35,0)</f>
        <v>0</v>
      </c>
      <c r="AA35" s="56">
        <f>IF(AP35="1",BG35,0)</f>
        <v>0</v>
      </c>
      <c r="AB35" s="56">
        <f>IF(AP35="1",BH35,0)</f>
        <v>0</v>
      </c>
      <c r="AC35" s="56">
        <f>IF(AP35="7",BG35,0)</f>
        <v>0</v>
      </c>
      <c r="AD35" s="56">
        <f>IF(AP35="7",BH35,0)</f>
        <v>0</v>
      </c>
      <c r="AE35" s="56">
        <f>IF(AP35="2",BG35,0)</f>
        <v>0</v>
      </c>
      <c r="AF35" s="56">
        <f>IF(AP35="2",BH35,0)</f>
        <v>0</v>
      </c>
      <c r="AG35" s="56">
        <f>IF(AP35="0",BI35,0)</f>
        <v>0</v>
      </c>
      <c r="AH35" s="30" t="s">
        <v>847</v>
      </c>
      <c r="AI35" s="56">
        <f>IF(AM35=0,I35,0)</f>
        <v>0</v>
      </c>
      <c r="AJ35" s="56">
        <f>IF(AM35=15,I35,0)</f>
        <v>0</v>
      </c>
      <c r="AK35" s="56">
        <f>IF(AM35=21,I35,0)</f>
        <v>0</v>
      </c>
      <c r="AM35" s="56">
        <v>21</v>
      </c>
      <c r="AN35" s="56">
        <f>H35*0</f>
        <v>0</v>
      </c>
      <c r="AO35" s="56">
        <f>H35*(1-0)</f>
        <v>0</v>
      </c>
      <c r="AP35" s="41" t="s">
        <v>1109</v>
      </c>
      <c r="AU35" s="56">
        <f>AV35+AW35</f>
        <v>0</v>
      </c>
      <c r="AV35" s="56">
        <f>G35*AN35</f>
        <v>0</v>
      </c>
      <c r="AW35" s="56">
        <f>G35*AO35</f>
        <v>0</v>
      </c>
      <c r="AX35" s="41" t="s">
        <v>569</v>
      </c>
      <c r="AY35" s="41" t="s">
        <v>738</v>
      </c>
      <c r="AZ35" s="30" t="s">
        <v>1000</v>
      </c>
      <c r="BB35" s="56">
        <f>AV35+AW35</f>
        <v>0</v>
      </c>
      <c r="BC35" s="56">
        <f>H35/(100-BD35)*100</f>
        <v>0</v>
      </c>
      <c r="BD35" s="56">
        <v>0</v>
      </c>
      <c r="BE35" s="56" t="e">
        <f>#REF!</f>
        <v>#REF!</v>
      </c>
      <c r="BG35" s="56">
        <f>G35*AN35</f>
        <v>0</v>
      </c>
      <c r="BH35" s="56">
        <f>G35*AO35</f>
        <v>0</v>
      </c>
      <c r="BI35" s="56">
        <f>G35*H35</f>
        <v>0</v>
      </c>
      <c r="BJ35" s="56"/>
      <c r="BK35" s="56">
        <v>12</v>
      </c>
      <c r="BV35" s="56">
        <v>21</v>
      </c>
    </row>
    <row r="36" spans="1:74" ht="15" customHeight="1" x14ac:dyDescent="0.25">
      <c r="A36" s="53"/>
      <c r="D36" s="52" t="s">
        <v>1060</v>
      </c>
      <c r="E36" s="37" t="s">
        <v>769</v>
      </c>
      <c r="G36" s="21">
        <v>1.6</v>
      </c>
      <c r="J36" s="48"/>
    </row>
    <row r="37" spans="1:74" ht="13.5" customHeight="1" x14ac:dyDescent="0.25">
      <c r="A37" s="10" t="s">
        <v>815</v>
      </c>
      <c r="B37" s="9" t="s">
        <v>847</v>
      </c>
      <c r="C37" s="9" t="s">
        <v>383</v>
      </c>
      <c r="D37" s="76" t="s">
        <v>76</v>
      </c>
      <c r="E37" s="77"/>
      <c r="F37" s="9" t="s">
        <v>1079</v>
      </c>
      <c r="G37" s="56">
        <v>3.7</v>
      </c>
      <c r="H37" s="56">
        <v>0</v>
      </c>
      <c r="I37" s="56">
        <f>G37*H37</f>
        <v>0</v>
      </c>
      <c r="J37" s="54" t="s">
        <v>501</v>
      </c>
      <c r="Y37" s="56">
        <f>IF(AP37="5",BI37,0)</f>
        <v>0</v>
      </c>
      <c r="AA37" s="56">
        <f>IF(AP37="1",BG37,0)</f>
        <v>0</v>
      </c>
      <c r="AB37" s="56">
        <f>IF(AP37="1",BH37,0)</f>
        <v>0</v>
      </c>
      <c r="AC37" s="56">
        <f>IF(AP37="7",BG37,0)</f>
        <v>0</v>
      </c>
      <c r="AD37" s="56">
        <f>IF(AP37="7",BH37,0)</f>
        <v>0</v>
      </c>
      <c r="AE37" s="56">
        <f>IF(AP37="2",BG37,0)</f>
        <v>0</v>
      </c>
      <c r="AF37" s="56">
        <f>IF(AP37="2",BH37,0)</f>
        <v>0</v>
      </c>
      <c r="AG37" s="56">
        <f>IF(AP37="0",BI37,0)</f>
        <v>0</v>
      </c>
      <c r="AH37" s="30" t="s">
        <v>847</v>
      </c>
      <c r="AI37" s="56">
        <f>IF(AM37=0,I37,0)</f>
        <v>0</v>
      </c>
      <c r="AJ37" s="56">
        <f>IF(AM37=15,I37,0)</f>
        <v>0</v>
      </c>
      <c r="AK37" s="56">
        <f>IF(AM37=21,I37,0)</f>
        <v>0</v>
      </c>
      <c r="AM37" s="56">
        <v>21</v>
      </c>
      <c r="AN37" s="56">
        <f>H37*0</f>
        <v>0</v>
      </c>
      <c r="AO37" s="56">
        <f>H37*(1-0)</f>
        <v>0</v>
      </c>
      <c r="AP37" s="41" t="s">
        <v>1109</v>
      </c>
      <c r="AU37" s="56">
        <f>AV37+AW37</f>
        <v>0</v>
      </c>
      <c r="AV37" s="56">
        <f>G37*AN37</f>
        <v>0</v>
      </c>
      <c r="AW37" s="56">
        <f>G37*AO37</f>
        <v>0</v>
      </c>
      <c r="AX37" s="41" t="s">
        <v>569</v>
      </c>
      <c r="AY37" s="41" t="s">
        <v>738</v>
      </c>
      <c r="AZ37" s="30" t="s">
        <v>1000</v>
      </c>
      <c r="BB37" s="56">
        <f>AV37+AW37</f>
        <v>0</v>
      </c>
      <c r="BC37" s="56">
        <f>H37/(100-BD37)*100</f>
        <v>0</v>
      </c>
      <c r="BD37" s="56">
        <v>0</v>
      </c>
      <c r="BE37" s="56" t="e">
        <f>#REF!</f>
        <v>#REF!</v>
      </c>
      <c r="BG37" s="56">
        <f>G37*AN37</f>
        <v>0</v>
      </c>
      <c r="BH37" s="56">
        <f>G37*AO37</f>
        <v>0</v>
      </c>
      <c r="BI37" s="56">
        <f>G37*H37</f>
        <v>0</v>
      </c>
      <c r="BJ37" s="56"/>
      <c r="BK37" s="56">
        <v>12</v>
      </c>
      <c r="BV37" s="56">
        <v>21</v>
      </c>
    </row>
    <row r="38" spans="1:74" ht="15" customHeight="1" x14ac:dyDescent="0.25">
      <c r="A38" s="53"/>
      <c r="D38" s="52" t="s">
        <v>1142</v>
      </c>
      <c r="E38" s="37" t="s">
        <v>660</v>
      </c>
      <c r="G38" s="21">
        <v>3.7</v>
      </c>
      <c r="J38" s="48"/>
    </row>
    <row r="39" spans="1:74" ht="15" customHeight="1" x14ac:dyDescent="0.25">
      <c r="A39" s="27" t="s">
        <v>769</v>
      </c>
      <c r="B39" s="28" t="s">
        <v>847</v>
      </c>
      <c r="C39" s="28" t="s">
        <v>333</v>
      </c>
      <c r="D39" s="132" t="s">
        <v>7</v>
      </c>
      <c r="E39" s="133"/>
      <c r="F39" s="23" t="s">
        <v>1027</v>
      </c>
      <c r="G39" s="23" t="s">
        <v>1027</v>
      </c>
      <c r="H39" s="23" t="s">
        <v>1027</v>
      </c>
      <c r="I39" s="14">
        <f>SUM(I40:I51)</f>
        <v>0</v>
      </c>
      <c r="J39" s="44" t="s">
        <v>769</v>
      </c>
      <c r="AH39" s="30" t="s">
        <v>847</v>
      </c>
      <c r="AR39" s="14">
        <f>SUM(AI40:AI51)</f>
        <v>0</v>
      </c>
      <c r="AS39" s="14">
        <f>SUM(AJ40:AJ51)</f>
        <v>0</v>
      </c>
      <c r="AT39" s="14">
        <f>SUM(AK40:AK51)</f>
        <v>0</v>
      </c>
    </row>
    <row r="40" spans="1:74" ht="13.5" customHeight="1" x14ac:dyDescent="0.25">
      <c r="A40" s="10" t="s">
        <v>333</v>
      </c>
      <c r="B40" s="9" t="s">
        <v>847</v>
      </c>
      <c r="C40" s="9" t="s">
        <v>638</v>
      </c>
      <c r="D40" s="76" t="s">
        <v>351</v>
      </c>
      <c r="E40" s="77"/>
      <c r="F40" s="9" t="s">
        <v>1079</v>
      </c>
      <c r="G40" s="56">
        <v>514.82600000000002</v>
      </c>
      <c r="H40" s="56">
        <v>0</v>
      </c>
      <c r="I40" s="56">
        <f>G40*H40</f>
        <v>0</v>
      </c>
      <c r="J40" s="54" t="s">
        <v>501</v>
      </c>
      <c r="Y40" s="56">
        <f>IF(AP40="5",BI40,0)</f>
        <v>0</v>
      </c>
      <c r="AA40" s="56">
        <f>IF(AP40="1",BG40,0)</f>
        <v>0</v>
      </c>
      <c r="AB40" s="56">
        <f>IF(AP40="1",BH40,0)</f>
        <v>0</v>
      </c>
      <c r="AC40" s="56">
        <f>IF(AP40="7",BG40,0)</f>
        <v>0</v>
      </c>
      <c r="AD40" s="56">
        <f>IF(AP40="7",BH40,0)</f>
        <v>0</v>
      </c>
      <c r="AE40" s="56">
        <f>IF(AP40="2",BG40,0)</f>
        <v>0</v>
      </c>
      <c r="AF40" s="56">
        <f>IF(AP40="2",BH40,0)</f>
        <v>0</v>
      </c>
      <c r="AG40" s="56">
        <f>IF(AP40="0",BI40,0)</f>
        <v>0</v>
      </c>
      <c r="AH40" s="30" t="s">
        <v>847</v>
      </c>
      <c r="AI40" s="56">
        <f>IF(AM40=0,I40,0)</f>
        <v>0</v>
      </c>
      <c r="AJ40" s="56">
        <f>IF(AM40=15,I40,0)</f>
        <v>0</v>
      </c>
      <c r="AK40" s="56">
        <f>IF(AM40=21,I40,0)</f>
        <v>0</v>
      </c>
      <c r="AM40" s="56">
        <v>21</v>
      </c>
      <c r="AN40" s="56">
        <f>H40*0</f>
        <v>0</v>
      </c>
      <c r="AO40" s="56">
        <f>H40*(1-0)</f>
        <v>0</v>
      </c>
      <c r="AP40" s="41" t="s">
        <v>1109</v>
      </c>
      <c r="AU40" s="56">
        <f>AV40+AW40</f>
        <v>0</v>
      </c>
      <c r="AV40" s="56">
        <f>G40*AN40</f>
        <v>0</v>
      </c>
      <c r="AW40" s="56">
        <f>G40*AO40</f>
        <v>0</v>
      </c>
      <c r="AX40" s="41" t="s">
        <v>1001</v>
      </c>
      <c r="AY40" s="41" t="s">
        <v>738</v>
      </c>
      <c r="AZ40" s="30" t="s">
        <v>1000</v>
      </c>
      <c r="BB40" s="56">
        <f>AV40+AW40</f>
        <v>0</v>
      </c>
      <c r="BC40" s="56">
        <f>H40/(100-BD40)*100</f>
        <v>0</v>
      </c>
      <c r="BD40" s="56">
        <v>0</v>
      </c>
      <c r="BE40" s="56" t="e">
        <f>#REF!</f>
        <v>#REF!</v>
      </c>
      <c r="BG40" s="56">
        <f>G40*AN40</f>
        <v>0</v>
      </c>
      <c r="BH40" s="56">
        <f>G40*AO40</f>
        <v>0</v>
      </c>
      <c r="BI40" s="56">
        <f>G40*H40</f>
        <v>0</v>
      </c>
      <c r="BJ40" s="56"/>
      <c r="BK40" s="56">
        <v>13</v>
      </c>
      <c r="BV40" s="56">
        <v>21</v>
      </c>
    </row>
    <row r="41" spans="1:74" ht="15" customHeight="1" x14ac:dyDescent="0.25">
      <c r="A41" s="53"/>
      <c r="D41" s="52" t="s">
        <v>414</v>
      </c>
      <c r="E41" s="37" t="s">
        <v>769</v>
      </c>
      <c r="G41" s="21">
        <v>639.54000000000008</v>
      </c>
      <c r="J41" s="48"/>
    </row>
    <row r="42" spans="1:74" ht="15" customHeight="1" x14ac:dyDescent="0.25">
      <c r="A42" s="53"/>
      <c r="D42" s="52" t="s">
        <v>693</v>
      </c>
      <c r="E42" s="37" t="s">
        <v>211</v>
      </c>
      <c r="G42" s="21">
        <v>17.400000000000002</v>
      </c>
      <c r="J42" s="48"/>
    </row>
    <row r="43" spans="1:74" ht="15" customHeight="1" x14ac:dyDescent="0.25">
      <c r="A43" s="53"/>
      <c r="D43" s="52" t="s">
        <v>339</v>
      </c>
      <c r="E43" s="37" t="s">
        <v>985</v>
      </c>
      <c r="G43" s="21">
        <v>-149.49</v>
      </c>
      <c r="J43" s="48"/>
    </row>
    <row r="44" spans="1:74" ht="15" customHeight="1" x14ac:dyDescent="0.25">
      <c r="A44" s="53"/>
      <c r="D44" s="52" t="s">
        <v>968</v>
      </c>
      <c r="E44" s="37" t="s">
        <v>108</v>
      </c>
      <c r="G44" s="21">
        <v>-0.44000000000000006</v>
      </c>
      <c r="J44" s="48"/>
    </row>
    <row r="45" spans="1:74" ht="15" customHeight="1" x14ac:dyDescent="0.25">
      <c r="A45" s="53"/>
      <c r="D45" s="52" t="s">
        <v>570</v>
      </c>
      <c r="E45" s="37" t="s">
        <v>752</v>
      </c>
      <c r="G45" s="21">
        <v>7.8160000000000007</v>
      </c>
      <c r="J45" s="48"/>
    </row>
    <row r="46" spans="1:74" ht="13.5" customHeight="1" x14ac:dyDescent="0.25">
      <c r="A46" s="10" t="s">
        <v>654</v>
      </c>
      <c r="B46" s="9" t="s">
        <v>847</v>
      </c>
      <c r="C46" s="9" t="s">
        <v>802</v>
      </c>
      <c r="D46" s="76" t="s">
        <v>97</v>
      </c>
      <c r="E46" s="77"/>
      <c r="F46" s="9" t="s">
        <v>1079</v>
      </c>
      <c r="G46" s="56">
        <v>257.41300000000001</v>
      </c>
      <c r="H46" s="56">
        <v>0</v>
      </c>
      <c r="I46" s="56">
        <f>G46*H46</f>
        <v>0</v>
      </c>
      <c r="J46" s="54" t="s">
        <v>501</v>
      </c>
      <c r="Y46" s="56">
        <f>IF(AP46="5",BI46,0)</f>
        <v>0</v>
      </c>
      <c r="AA46" s="56">
        <f>IF(AP46="1",BG46,0)</f>
        <v>0</v>
      </c>
      <c r="AB46" s="56">
        <f>IF(AP46="1",BH46,0)</f>
        <v>0</v>
      </c>
      <c r="AC46" s="56">
        <f>IF(AP46="7",BG46,0)</f>
        <v>0</v>
      </c>
      <c r="AD46" s="56">
        <f>IF(AP46="7",BH46,0)</f>
        <v>0</v>
      </c>
      <c r="AE46" s="56">
        <f>IF(AP46="2",BG46,0)</f>
        <v>0</v>
      </c>
      <c r="AF46" s="56">
        <f>IF(AP46="2",BH46,0)</f>
        <v>0</v>
      </c>
      <c r="AG46" s="56">
        <f>IF(AP46="0",BI46,0)</f>
        <v>0</v>
      </c>
      <c r="AH46" s="30" t="s">
        <v>847</v>
      </c>
      <c r="AI46" s="56">
        <f>IF(AM46=0,I46,0)</f>
        <v>0</v>
      </c>
      <c r="AJ46" s="56">
        <f>IF(AM46=15,I46,0)</f>
        <v>0</v>
      </c>
      <c r="AK46" s="56">
        <f>IF(AM46=21,I46,0)</f>
        <v>0</v>
      </c>
      <c r="AM46" s="56">
        <v>21</v>
      </c>
      <c r="AN46" s="56">
        <f>H46*0</f>
        <v>0</v>
      </c>
      <c r="AO46" s="56">
        <f>H46*(1-0)</f>
        <v>0</v>
      </c>
      <c r="AP46" s="41" t="s">
        <v>1109</v>
      </c>
      <c r="AU46" s="56">
        <f>AV46+AW46</f>
        <v>0</v>
      </c>
      <c r="AV46" s="56">
        <f>G46*AN46</f>
        <v>0</v>
      </c>
      <c r="AW46" s="56">
        <f>G46*AO46</f>
        <v>0</v>
      </c>
      <c r="AX46" s="41" t="s">
        <v>1001</v>
      </c>
      <c r="AY46" s="41" t="s">
        <v>738</v>
      </c>
      <c r="AZ46" s="30" t="s">
        <v>1000</v>
      </c>
      <c r="BB46" s="56">
        <f>AV46+AW46</f>
        <v>0</v>
      </c>
      <c r="BC46" s="56">
        <f>H46/(100-BD46)*100</f>
        <v>0</v>
      </c>
      <c r="BD46" s="56">
        <v>0</v>
      </c>
      <c r="BE46" s="56" t="e">
        <f>#REF!</f>
        <v>#REF!</v>
      </c>
      <c r="BG46" s="56">
        <f>G46*AN46</f>
        <v>0</v>
      </c>
      <c r="BH46" s="56">
        <f>G46*AO46</f>
        <v>0</v>
      </c>
      <c r="BI46" s="56">
        <f>G46*H46</f>
        <v>0</v>
      </c>
      <c r="BJ46" s="56"/>
      <c r="BK46" s="56">
        <v>13</v>
      </c>
      <c r="BV46" s="56">
        <v>21</v>
      </c>
    </row>
    <row r="47" spans="1:74" ht="15" customHeight="1" x14ac:dyDescent="0.25">
      <c r="A47" s="53"/>
      <c r="D47" s="52" t="s">
        <v>559</v>
      </c>
      <c r="E47" s="37" t="s">
        <v>769</v>
      </c>
      <c r="G47" s="21">
        <v>257.41300000000001</v>
      </c>
      <c r="J47" s="48"/>
    </row>
    <row r="48" spans="1:74" ht="13.5" customHeight="1" x14ac:dyDescent="0.25">
      <c r="A48" s="10" t="s">
        <v>442</v>
      </c>
      <c r="B48" s="9" t="s">
        <v>847</v>
      </c>
      <c r="C48" s="9" t="s">
        <v>914</v>
      </c>
      <c r="D48" s="76" t="s">
        <v>981</v>
      </c>
      <c r="E48" s="77"/>
      <c r="F48" s="9" t="s">
        <v>1079</v>
      </c>
      <c r="G48" s="56">
        <v>20.05</v>
      </c>
      <c r="H48" s="56">
        <v>0</v>
      </c>
      <c r="I48" s="56">
        <f>G48*H48</f>
        <v>0</v>
      </c>
      <c r="J48" s="54" t="s">
        <v>501</v>
      </c>
      <c r="Y48" s="56">
        <f>IF(AP48="5",BI48,0)</f>
        <v>0</v>
      </c>
      <c r="AA48" s="56">
        <f>IF(AP48="1",BG48,0)</f>
        <v>0</v>
      </c>
      <c r="AB48" s="56">
        <f>IF(AP48="1",BH48,0)</f>
        <v>0</v>
      </c>
      <c r="AC48" s="56">
        <f>IF(AP48="7",BG48,0)</f>
        <v>0</v>
      </c>
      <c r="AD48" s="56">
        <f>IF(AP48="7",BH48,0)</f>
        <v>0</v>
      </c>
      <c r="AE48" s="56">
        <f>IF(AP48="2",BG48,0)</f>
        <v>0</v>
      </c>
      <c r="AF48" s="56">
        <f>IF(AP48="2",BH48,0)</f>
        <v>0</v>
      </c>
      <c r="AG48" s="56">
        <f>IF(AP48="0",BI48,0)</f>
        <v>0</v>
      </c>
      <c r="AH48" s="30" t="s">
        <v>847</v>
      </c>
      <c r="AI48" s="56">
        <f>IF(AM48=0,I48,0)</f>
        <v>0</v>
      </c>
      <c r="AJ48" s="56">
        <f>IF(AM48=15,I48,0)</f>
        <v>0</v>
      </c>
      <c r="AK48" s="56">
        <f>IF(AM48=21,I48,0)</f>
        <v>0</v>
      </c>
      <c r="AM48" s="56">
        <v>21</v>
      </c>
      <c r="AN48" s="56">
        <f>H48*0</f>
        <v>0</v>
      </c>
      <c r="AO48" s="56">
        <f>H48*(1-0)</f>
        <v>0</v>
      </c>
      <c r="AP48" s="41" t="s">
        <v>1109</v>
      </c>
      <c r="AU48" s="56">
        <f>AV48+AW48</f>
        <v>0</v>
      </c>
      <c r="AV48" s="56">
        <f>G48*AN48</f>
        <v>0</v>
      </c>
      <c r="AW48" s="56">
        <f>G48*AO48</f>
        <v>0</v>
      </c>
      <c r="AX48" s="41" t="s">
        <v>1001</v>
      </c>
      <c r="AY48" s="41" t="s">
        <v>738</v>
      </c>
      <c r="AZ48" s="30" t="s">
        <v>1000</v>
      </c>
      <c r="BB48" s="56">
        <f>AV48+AW48</f>
        <v>0</v>
      </c>
      <c r="BC48" s="56">
        <f>H48/(100-BD48)*100</f>
        <v>0</v>
      </c>
      <c r="BD48" s="56">
        <v>0</v>
      </c>
      <c r="BE48" s="56" t="e">
        <f>#REF!</f>
        <v>#REF!</v>
      </c>
      <c r="BG48" s="56">
        <f>G48*AN48</f>
        <v>0</v>
      </c>
      <c r="BH48" s="56">
        <f>G48*AO48</f>
        <v>0</v>
      </c>
      <c r="BI48" s="56">
        <f>G48*H48</f>
        <v>0</v>
      </c>
      <c r="BJ48" s="56"/>
      <c r="BK48" s="56">
        <v>13</v>
      </c>
      <c r="BV48" s="56">
        <v>21</v>
      </c>
    </row>
    <row r="49" spans="1:74" ht="15" customHeight="1" x14ac:dyDescent="0.25">
      <c r="A49" s="53"/>
      <c r="D49" s="52" t="s">
        <v>577</v>
      </c>
      <c r="E49" s="37" t="s">
        <v>33</v>
      </c>
      <c r="G49" s="21">
        <v>16</v>
      </c>
      <c r="J49" s="48"/>
    </row>
    <row r="50" spans="1:74" ht="15" customHeight="1" x14ac:dyDescent="0.25">
      <c r="A50" s="53"/>
      <c r="D50" s="52" t="s">
        <v>136</v>
      </c>
      <c r="E50" s="37" t="s">
        <v>1092</v>
      </c>
      <c r="G50" s="21">
        <v>4.0500000000000007</v>
      </c>
      <c r="J50" s="48"/>
    </row>
    <row r="51" spans="1:74" ht="13.5" customHeight="1" x14ac:dyDescent="0.25">
      <c r="A51" s="10" t="s">
        <v>107</v>
      </c>
      <c r="B51" s="9" t="s">
        <v>847</v>
      </c>
      <c r="C51" s="9" t="s">
        <v>1235</v>
      </c>
      <c r="D51" s="76" t="s">
        <v>872</v>
      </c>
      <c r="E51" s="77"/>
      <c r="F51" s="9" t="s">
        <v>1079</v>
      </c>
      <c r="G51" s="56">
        <v>10.025</v>
      </c>
      <c r="H51" s="56">
        <v>0</v>
      </c>
      <c r="I51" s="56">
        <f>G51*H51</f>
        <v>0</v>
      </c>
      <c r="J51" s="54" t="s">
        <v>501</v>
      </c>
      <c r="Y51" s="56">
        <f>IF(AP51="5",BI51,0)</f>
        <v>0</v>
      </c>
      <c r="AA51" s="56">
        <f>IF(AP51="1",BG51,0)</f>
        <v>0</v>
      </c>
      <c r="AB51" s="56">
        <f>IF(AP51="1",BH51,0)</f>
        <v>0</v>
      </c>
      <c r="AC51" s="56">
        <f>IF(AP51="7",BG51,0)</f>
        <v>0</v>
      </c>
      <c r="AD51" s="56">
        <f>IF(AP51="7",BH51,0)</f>
        <v>0</v>
      </c>
      <c r="AE51" s="56">
        <f>IF(AP51="2",BG51,0)</f>
        <v>0</v>
      </c>
      <c r="AF51" s="56">
        <f>IF(AP51="2",BH51,0)</f>
        <v>0</v>
      </c>
      <c r="AG51" s="56">
        <f>IF(AP51="0",BI51,0)</f>
        <v>0</v>
      </c>
      <c r="AH51" s="30" t="s">
        <v>847</v>
      </c>
      <c r="AI51" s="56">
        <f>IF(AM51=0,I51,0)</f>
        <v>0</v>
      </c>
      <c r="AJ51" s="56">
        <f>IF(AM51=15,I51,0)</f>
        <v>0</v>
      </c>
      <c r="AK51" s="56">
        <f>IF(AM51=21,I51,0)</f>
        <v>0</v>
      </c>
      <c r="AM51" s="56">
        <v>21</v>
      </c>
      <c r="AN51" s="56">
        <f>H51*0</f>
        <v>0</v>
      </c>
      <c r="AO51" s="56">
        <f>H51*(1-0)</f>
        <v>0</v>
      </c>
      <c r="AP51" s="41" t="s">
        <v>1109</v>
      </c>
      <c r="AU51" s="56">
        <f>AV51+AW51</f>
        <v>0</v>
      </c>
      <c r="AV51" s="56">
        <f>G51*AN51</f>
        <v>0</v>
      </c>
      <c r="AW51" s="56">
        <f>G51*AO51</f>
        <v>0</v>
      </c>
      <c r="AX51" s="41" t="s">
        <v>1001</v>
      </c>
      <c r="AY51" s="41" t="s">
        <v>738</v>
      </c>
      <c r="AZ51" s="30" t="s">
        <v>1000</v>
      </c>
      <c r="BB51" s="56">
        <f>AV51+AW51</f>
        <v>0</v>
      </c>
      <c r="BC51" s="56">
        <f>H51/(100-BD51)*100</f>
        <v>0</v>
      </c>
      <c r="BD51" s="56">
        <v>0</v>
      </c>
      <c r="BE51" s="56" t="e">
        <f>#REF!</f>
        <v>#REF!</v>
      </c>
      <c r="BG51" s="56">
        <f>G51*AN51</f>
        <v>0</v>
      </c>
      <c r="BH51" s="56">
        <f>G51*AO51</f>
        <v>0</v>
      </c>
      <c r="BI51" s="56">
        <f>G51*H51</f>
        <v>0</v>
      </c>
      <c r="BJ51" s="56"/>
      <c r="BK51" s="56">
        <v>13</v>
      </c>
      <c r="BV51" s="56">
        <v>21</v>
      </c>
    </row>
    <row r="52" spans="1:74" ht="15" customHeight="1" x14ac:dyDescent="0.25">
      <c r="A52" s="53"/>
      <c r="D52" s="52" t="s">
        <v>488</v>
      </c>
      <c r="E52" s="37" t="s">
        <v>769</v>
      </c>
      <c r="G52" s="21">
        <v>10.025</v>
      </c>
      <c r="J52" s="48"/>
    </row>
    <row r="53" spans="1:74" ht="15" customHeight="1" x14ac:dyDescent="0.25">
      <c r="A53" s="27" t="s">
        <v>769</v>
      </c>
      <c r="B53" s="28" t="s">
        <v>847</v>
      </c>
      <c r="C53" s="28" t="s">
        <v>442</v>
      </c>
      <c r="D53" s="132" t="s">
        <v>957</v>
      </c>
      <c r="E53" s="133"/>
      <c r="F53" s="23" t="s">
        <v>1027</v>
      </c>
      <c r="G53" s="23" t="s">
        <v>1027</v>
      </c>
      <c r="H53" s="23" t="s">
        <v>1027</v>
      </c>
      <c r="I53" s="14">
        <f>SUM(I54:I59)</f>
        <v>0</v>
      </c>
      <c r="J53" s="44" t="s">
        <v>769</v>
      </c>
      <c r="AH53" s="30" t="s">
        <v>847</v>
      </c>
      <c r="AR53" s="14">
        <f>SUM(AI54:AI59)</f>
        <v>0</v>
      </c>
      <c r="AS53" s="14">
        <f>SUM(AJ54:AJ59)</f>
        <v>0</v>
      </c>
      <c r="AT53" s="14">
        <f>SUM(AK54:AK59)</f>
        <v>0</v>
      </c>
    </row>
    <row r="54" spans="1:74" ht="13.5" customHeight="1" x14ac:dyDescent="0.25">
      <c r="A54" s="10" t="s">
        <v>774</v>
      </c>
      <c r="B54" s="9" t="s">
        <v>847</v>
      </c>
      <c r="C54" s="9" t="s">
        <v>1218</v>
      </c>
      <c r="D54" s="76" t="s">
        <v>247</v>
      </c>
      <c r="E54" s="77"/>
      <c r="F54" s="9" t="s">
        <v>1095</v>
      </c>
      <c r="G54" s="56">
        <v>1203.82</v>
      </c>
      <c r="H54" s="56">
        <v>0</v>
      </c>
      <c r="I54" s="56">
        <f>G54*H54</f>
        <v>0</v>
      </c>
      <c r="J54" s="54" t="s">
        <v>501</v>
      </c>
      <c r="Y54" s="56">
        <f>IF(AP54="5",BI54,0)</f>
        <v>0</v>
      </c>
      <c r="AA54" s="56">
        <f>IF(AP54="1",BG54,0)</f>
        <v>0</v>
      </c>
      <c r="AB54" s="56">
        <f>IF(AP54="1",BH54,0)</f>
        <v>0</v>
      </c>
      <c r="AC54" s="56">
        <f>IF(AP54="7",BG54,0)</f>
        <v>0</v>
      </c>
      <c r="AD54" s="56">
        <f>IF(AP54="7",BH54,0)</f>
        <v>0</v>
      </c>
      <c r="AE54" s="56">
        <f>IF(AP54="2",BG54,0)</f>
        <v>0</v>
      </c>
      <c r="AF54" s="56">
        <f>IF(AP54="2",BH54,0)</f>
        <v>0</v>
      </c>
      <c r="AG54" s="56">
        <f>IF(AP54="0",BI54,0)</f>
        <v>0</v>
      </c>
      <c r="AH54" s="30" t="s">
        <v>847</v>
      </c>
      <c r="AI54" s="56">
        <f>IF(AM54=0,I54,0)</f>
        <v>0</v>
      </c>
      <c r="AJ54" s="56">
        <f>IF(AM54=15,I54,0)</f>
        <v>0</v>
      </c>
      <c r="AK54" s="56">
        <f>IF(AM54=21,I54,0)</f>
        <v>0</v>
      </c>
      <c r="AM54" s="56">
        <v>21</v>
      </c>
      <c r="AN54" s="56">
        <f>H54*0.0852029747180664</f>
        <v>0</v>
      </c>
      <c r="AO54" s="56">
        <f>H54*(1-0.0852029747180664)</f>
        <v>0</v>
      </c>
      <c r="AP54" s="41" t="s">
        <v>1109</v>
      </c>
      <c r="AU54" s="56">
        <f>AV54+AW54</f>
        <v>0</v>
      </c>
      <c r="AV54" s="56">
        <f>G54*AN54</f>
        <v>0</v>
      </c>
      <c r="AW54" s="56">
        <f>G54*AO54</f>
        <v>0</v>
      </c>
      <c r="AX54" s="41" t="s">
        <v>784</v>
      </c>
      <c r="AY54" s="41" t="s">
        <v>738</v>
      </c>
      <c r="AZ54" s="30" t="s">
        <v>1000</v>
      </c>
      <c r="BB54" s="56">
        <f>AV54+AW54</f>
        <v>0</v>
      </c>
      <c r="BC54" s="56">
        <f>H54/(100-BD54)*100</f>
        <v>0</v>
      </c>
      <c r="BD54" s="56">
        <v>0</v>
      </c>
      <c r="BE54" s="56" t="e">
        <f>#REF!</f>
        <v>#REF!</v>
      </c>
      <c r="BG54" s="56">
        <f>G54*AN54</f>
        <v>0</v>
      </c>
      <c r="BH54" s="56">
        <f>G54*AO54</f>
        <v>0</v>
      </c>
      <c r="BI54" s="56">
        <f>G54*H54</f>
        <v>0</v>
      </c>
      <c r="BJ54" s="56"/>
      <c r="BK54" s="56">
        <v>15</v>
      </c>
      <c r="BV54" s="56">
        <v>21</v>
      </c>
    </row>
    <row r="55" spans="1:74" ht="15" customHeight="1" x14ac:dyDescent="0.25">
      <c r="A55" s="53"/>
      <c r="D55" s="52" t="s">
        <v>300</v>
      </c>
      <c r="E55" s="37" t="s">
        <v>769</v>
      </c>
      <c r="G55" s="21">
        <v>1162.8000000000002</v>
      </c>
      <c r="J55" s="48"/>
    </row>
    <row r="56" spans="1:74" ht="15" customHeight="1" x14ac:dyDescent="0.25">
      <c r="A56" s="53"/>
      <c r="D56" s="52" t="s">
        <v>366</v>
      </c>
      <c r="E56" s="37" t="s">
        <v>34</v>
      </c>
      <c r="G56" s="21">
        <v>7.2</v>
      </c>
      <c r="J56" s="48"/>
    </row>
    <row r="57" spans="1:74" ht="15" customHeight="1" x14ac:dyDescent="0.25">
      <c r="A57" s="53"/>
      <c r="D57" s="52" t="s">
        <v>1009</v>
      </c>
      <c r="E57" s="37" t="s">
        <v>33</v>
      </c>
      <c r="G57" s="21">
        <v>15.200000000000001</v>
      </c>
      <c r="J57" s="48"/>
    </row>
    <row r="58" spans="1:74" ht="15" customHeight="1" x14ac:dyDescent="0.25">
      <c r="A58" s="53"/>
      <c r="D58" s="52" t="s">
        <v>1248</v>
      </c>
      <c r="E58" s="37" t="s">
        <v>752</v>
      </c>
      <c r="G58" s="21">
        <v>18.62</v>
      </c>
      <c r="J58" s="48"/>
    </row>
    <row r="59" spans="1:74" ht="13.5" customHeight="1" x14ac:dyDescent="0.25">
      <c r="A59" s="10" t="s">
        <v>882</v>
      </c>
      <c r="B59" s="9" t="s">
        <v>847</v>
      </c>
      <c r="C59" s="9" t="s">
        <v>748</v>
      </c>
      <c r="D59" s="76" t="s">
        <v>1080</v>
      </c>
      <c r="E59" s="77"/>
      <c r="F59" s="9" t="s">
        <v>1095</v>
      </c>
      <c r="G59" s="56">
        <v>1203.82</v>
      </c>
      <c r="H59" s="56">
        <v>0</v>
      </c>
      <c r="I59" s="56">
        <f>G59*H59</f>
        <v>0</v>
      </c>
      <c r="J59" s="54" t="s">
        <v>501</v>
      </c>
      <c r="Y59" s="56">
        <f>IF(AP59="5",BI59,0)</f>
        <v>0</v>
      </c>
      <c r="AA59" s="56">
        <f>IF(AP59="1",BG59,0)</f>
        <v>0</v>
      </c>
      <c r="AB59" s="56">
        <f>IF(AP59="1",BH59,0)</f>
        <v>0</v>
      </c>
      <c r="AC59" s="56">
        <f>IF(AP59="7",BG59,0)</f>
        <v>0</v>
      </c>
      <c r="AD59" s="56">
        <f>IF(AP59="7",BH59,0)</f>
        <v>0</v>
      </c>
      <c r="AE59" s="56">
        <f>IF(AP59="2",BG59,0)</f>
        <v>0</v>
      </c>
      <c r="AF59" s="56">
        <f>IF(AP59="2",BH59,0)</f>
        <v>0</v>
      </c>
      <c r="AG59" s="56">
        <f>IF(AP59="0",BI59,0)</f>
        <v>0</v>
      </c>
      <c r="AH59" s="30" t="s">
        <v>847</v>
      </c>
      <c r="AI59" s="56">
        <f>IF(AM59=0,I59,0)</f>
        <v>0</v>
      </c>
      <c r="AJ59" s="56">
        <f>IF(AM59=15,I59,0)</f>
        <v>0</v>
      </c>
      <c r="AK59" s="56">
        <f>IF(AM59=21,I59,0)</f>
        <v>0</v>
      </c>
      <c r="AM59" s="56">
        <v>21</v>
      </c>
      <c r="AN59" s="56">
        <f>H59*0</f>
        <v>0</v>
      </c>
      <c r="AO59" s="56">
        <f>H59*(1-0)</f>
        <v>0</v>
      </c>
      <c r="AP59" s="41" t="s">
        <v>1109</v>
      </c>
      <c r="AU59" s="56">
        <f>AV59+AW59</f>
        <v>0</v>
      </c>
      <c r="AV59" s="56">
        <f>G59*AN59</f>
        <v>0</v>
      </c>
      <c r="AW59" s="56">
        <f>G59*AO59</f>
        <v>0</v>
      </c>
      <c r="AX59" s="41" t="s">
        <v>784</v>
      </c>
      <c r="AY59" s="41" t="s">
        <v>738</v>
      </c>
      <c r="AZ59" s="30" t="s">
        <v>1000</v>
      </c>
      <c r="BB59" s="56">
        <f>AV59+AW59</f>
        <v>0</v>
      </c>
      <c r="BC59" s="56">
        <f>H59/(100-BD59)*100</f>
        <v>0</v>
      </c>
      <c r="BD59" s="56">
        <v>0</v>
      </c>
      <c r="BE59" s="56" t="e">
        <f>#REF!</f>
        <v>#REF!</v>
      </c>
      <c r="BG59" s="56">
        <f>G59*AN59</f>
        <v>0</v>
      </c>
      <c r="BH59" s="56">
        <f>G59*AO59</f>
        <v>0</v>
      </c>
      <c r="BI59" s="56">
        <f>G59*H59</f>
        <v>0</v>
      </c>
      <c r="BJ59" s="56"/>
      <c r="BK59" s="56">
        <v>15</v>
      </c>
      <c r="BV59" s="56">
        <v>21</v>
      </c>
    </row>
    <row r="60" spans="1:74" ht="15" customHeight="1" x14ac:dyDescent="0.25">
      <c r="A60" s="27" t="s">
        <v>769</v>
      </c>
      <c r="B60" s="28" t="s">
        <v>847</v>
      </c>
      <c r="C60" s="28" t="s">
        <v>107</v>
      </c>
      <c r="D60" s="132" t="s">
        <v>916</v>
      </c>
      <c r="E60" s="133"/>
      <c r="F60" s="23" t="s">
        <v>1027</v>
      </c>
      <c r="G60" s="23" t="s">
        <v>1027</v>
      </c>
      <c r="H60" s="23" t="s">
        <v>1027</v>
      </c>
      <c r="I60" s="14">
        <f>SUM(I61:I63)</f>
        <v>0</v>
      </c>
      <c r="J60" s="44" t="s">
        <v>769</v>
      </c>
      <c r="AH60" s="30" t="s">
        <v>847</v>
      </c>
      <c r="AR60" s="14">
        <f>SUM(AI61:AI63)</f>
        <v>0</v>
      </c>
      <c r="AS60" s="14">
        <f>SUM(AJ61:AJ63)</f>
        <v>0</v>
      </c>
      <c r="AT60" s="14">
        <f>SUM(AK61:AK63)</f>
        <v>0</v>
      </c>
    </row>
    <row r="61" spans="1:74" ht="13.5" customHeight="1" x14ac:dyDescent="0.25">
      <c r="A61" s="10" t="s">
        <v>706</v>
      </c>
      <c r="B61" s="9" t="s">
        <v>847</v>
      </c>
      <c r="C61" s="9" t="s">
        <v>12</v>
      </c>
      <c r="D61" s="76" t="s">
        <v>919</v>
      </c>
      <c r="E61" s="77"/>
      <c r="F61" s="9" t="s">
        <v>1079</v>
      </c>
      <c r="G61" s="56">
        <v>529.70600000000002</v>
      </c>
      <c r="H61" s="56">
        <v>0</v>
      </c>
      <c r="I61" s="56">
        <f>G61*H61</f>
        <v>0</v>
      </c>
      <c r="J61" s="54" t="s">
        <v>501</v>
      </c>
      <c r="Y61" s="56">
        <f>IF(AP61="5",BI61,0)</f>
        <v>0</v>
      </c>
      <c r="AA61" s="56">
        <f>IF(AP61="1",BG61,0)</f>
        <v>0</v>
      </c>
      <c r="AB61" s="56">
        <f>IF(AP61="1",BH61,0)</f>
        <v>0</v>
      </c>
      <c r="AC61" s="56">
        <f>IF(AP61="7",BG61,0)</f>
        <v>0</v>
      </c>
      <c r="AD61" s="56">
        <f>IF(AP61="7",BH61,0)</f>
        <v>0</v>
      </c>
      <c r="AE61" s="56">
        <f>IF(AP61="2",BG61,0)</f>
        <v>0</v>
      </c>
      <c r="AF61" s="56">
        <f>IF(AP61="2",BH61,0)</f>
        <v>0</v>
      </c>
      <c r="AG61" s="56">
        <f>IF(AP61="0",BI61,0)</f>
        <v>0</v>
      </c>
      <c r="AH61" s="30" t="s">
        <v>847</v>
      </c>
      <c r="AI61" s="56">
        <f>IF(AM61=0,I61,0)</f>
        <v>0</v>
      </c>
      <c r="AJ61" s="56">
        <f>IF(AM61=15,I61,0)</f>
        <v>0</v>
      </c>
      <c r="AK61" s="56">
        <f>IF(AM61=21,I61,0)</f>
        <v>0</v>
      </c>
      <c r="AM61" s="56">
        <v>21</v>
      </c>
      <c r="AN61" s="56">
        <f>H61*0</f>
        <v>0</v>
      </c>
      <c r="AO61" s="56">
        <f>H61*(1-0)</f>
        <v>0</v>
      </c>
      <c r="AP61" s="41" t="s">
        <v>1109</v>
      </c>
      <c r="AU61" s="56">
        <f>AV61+AW61</f>
        <v>0</v>
      </c>
      <c r="AV61" s="56">
        <f>G61*AN61</f>
        <v>0</v>
      </c>
      <c r="AW61" s="56">
        <f>G61*AO61</f>
        <v>0</v>
      </c>
      <c r="AX61" s="41" t="s">
        <v>1028</v>
      </c>
      <c r="AY61" s="41" t="s">
        <v>738</v>
      </c>
      <c r="AZ61" s="30" t="s">
        <v>1000</v>
      </c>
      <c r="BB61" s="56">
        <f>AV61+AW61</f>
        <v>0</v>
      </c>
      <c r="BC61" s="56">
        <f>H61/(100-BD61)*100</f>
        <v>0</v>
      </c>
      <c r="BD61" s="56">
        <v>0</v>
      </c>
      <c r="BE61" s="56" t="e">
        <f>#REF!</f>
        <v>#REF!</v>
      </c>
      <c r="BG61" s="56">
        <f>G61*AN61</f>
        <v>0</v>
      </c>
      <c r="BH61" s="56">
        <f>G61*AO61</f>
        <v>0</v>
      </c>
      <c r="BI61" s="56">
        <f>G61*H61</f>
        <v>0</v>
      </c>
      <c r="BJ61" s="56"/>
      <c r="BK61" s="56">
        <v>16</v>
      </c>
      <c r="BV61" s="56">
        <v>21</v>
      </c>
    </row>
    <row r="62" spans="1:74" ht="15" customHeight="1" x14ac:dyDescent="0.25">
      <c r="A62" s="53"/>
      <c r="D62" s="52" t="s">
        <v>1037</v>
      </c>
      <c r="E62" s="37" t="s">
        <v>769</v>
      </c>
      <c r="G62" s="21">
        <v>529.70600000000002</v>
      </c>
      <c r="J62" s="48"/>
    </row>
    <row r="63" spans="1:74" ht="13.5" customHeight="1" x14ac:dyDescent="0.25">
      <c r="A63" s="10" t="s">
        <v>61</v>
      </c>
      <c r="B63" s="9" t="s">
        <v>847</v>
      </c>
      <c r="C63" s="9" t="s">
        <v>521</v>
      </c>
      <c r="D63" s="76" t="s">
        <v>602</v>
      </c>
      <c r="E63" s="77"/>
      <c r="F63" s="9" t="s">
        <v>1079</v>
      </c>
      <c r="G63" s="56">
        <v>5297.06</v>
      </c>
      <c r="H63" s="56">
        <v>0</v>
      </c>
      <c r="I63" s="56">
        <f>G63*H63</f>
        <v>0</v>
      </c>
      <c r="J63" s="54" t="s">
        <v>501</v>
      </c>
      <c r="Y63" s="56">
        <f>IF(AP63="5",BI63,0)</f>
        <v>0</v>
      </c>
      <c r="AA63" s="56">
        <f>IF(AP63="1",BG63,0)</f>
        <v>0</v>
      </c>
      <c r="AB63" s="56">
        <f>IF(AP63="1",BH63,0)</f>
        <v>0</v>
      </c>
      <c r="AC63" s="56">
        <f>IF(AP63="7",BG63,0)</f>
        <v>0</v>
      </c>
      <c r="AD63" s="56">
        <f>IF(AP63="7",BH63,0)</f>
        <v>0</v>
      </c>
      <c r="AE63" s="56">
        <f>IF(AP63="2",BG63,0)</f>
        <v>0</v>
      </c>
      <c r="AF63" s="56">
        <f>IF(AP63="2",BH63,0)</f>
        <v>0</v>
      </c>
      <c r="AG63" s="56">
        <f>IF(AP63="0",BI63,0)</f>
        <v>0</v>
      </c>
      <c r="AH63" s="30" t="s">
        <v>847</v>
      </c>
      <c r="AI63" s="56">
        <f>IF(AM63=0,I63,0)</f>
        <v>0</v>
      </c>
      <c r="AJ63" s="56">
        <f>IF(AM63=15,I63,0)</f>
        <v>0</v>
      </c>
      <c r="AK63" s="56">
        <f>IF(AM63=21,I63,0)</f>
        <v>0</v>
      </c>
      <c r="AM63" s="56">
        <v>21</v>
      </c>
      <c r="AN63" s="56">
        <f>H63*0</f>
        <v>0</v>
      </c>
      <c r="AO63" s="56">
        <f>H63*(1-0)</f>
        <v>0</v>
      </c>
      <c r="AP63" s="41" t="s">
        <v>1109</v>
      </c>
      <c r="AU63" s="56">
        <f>AV63+AW63</f>
        <v>0</v>
      </c>
      <c r="AV63" s="56">
        <f>G63*AN63</f>
        <v>0</v>
      </c>
      <c r="AW63" s="56">
        <f>G63*AO63</f>
        <v>0</v>
      </c>
      <c r="AX63" s="41" t="s">
        <v>1028</v>
      </c>
      <c r="AY63" s="41" t="s">
        <v>738</v>
      </c>
      <c r="AZ63" s="30" t="s">
        <v>1000</v>
      </c>
      <c r="BB63" s="56">
        <f>AV63+AW63</f>
        <v>0</v>
      </c>
      <c r="BC63" s="56">
        <f>H63/(100-BD63)*100</f>
        <v>0</v>
      </c>
      <c r="BD63" s="56">
        <v>0</v>
      </c>
      <c r="BE63" s="56" t="e">
        <f>#REF!</f>
        <v>#REF!</v>
      </c>
      <c r="BG63" s="56">
        <f>G63*AN63</f>
        <v>0</v>
      </c>
      <c r="BH63" s="56">
        <f>G63*AO63</f>
        <v>0</v>
      </c>
      <c r="BI63" s="56">
        <f>G63*H63</f>
        <v>0</v>
      </c>
      <c r="BJ63" s="56"/>
      <c r="BK63" s="56">
        <v>16</v>
      </c>
      <c r="BV63" s="56">
        <v>21</v>
      </c>
    </row>
    <row r="64" spans="1:74" ht="15" customHeight="1" x14ac:dyDescent="0.25">
      <c r="A64" s="53"/>
      <c r="D64" s="52" t="s">
        <v>1230</v>
      </c>
      <c r="E64" s="37" t="s">
        <v>446</v>
      </c>
      <c r="G64" s="21">
        <v>5297.06</v>
      </c>
      <c r="J64" s="48"/>
    </row>
    <row r="65" spans="1:74" ht="15" customHeight="1" x14ac:dyDescent="0.25">
      <c r="A65" s="27" t="s">
        <v>769</v>
      </c>
      <c r="B65" s="28" t="s">
        <v>847</v>
      </c>
      <c r="C65" s="28" t="s">
        <v>774</v>
      </c>
      <c r="D65" s="132" t="s">
        <v>150</v>
      </c>
      <c r="E65" s="133"/>
      <c r="F65" s="23" t="s">
        <v>1027</v>
      </c>
      <c r="G65" s="23" t="s">
        <v>1027</v>
      </c>
      <c r="H65" s="23" t="s">
        <v>1027</v>
      </c>
      <c r="I65" s="14">
        <f>SUM(I66:I77)</f>
        <v>0</v>
      </c>
      <c r="J65" s="44" t="s">
        <v>769</v>
      </c>
      <c r="AH65" s="30" t="s">
        <v>847</v>
      </c>
      <c r="AR65" s="14">
        <f>SUM(AI66:AI77)</f>
        <v>0</v>
      </c>
      <c r="AS65" s="14">
        <f>SUM(AJ66:AJ77)</f>
        <v>0</v>
      </c>
      <c r="AT65" s="14">
        <f>SUM(AK66:AK77)</f>
        <v>0</v>
      </c>
    </row>
    <row r="66" spans="1:74" ht="13.5" customHeight="1" x14ac:dyDescent="0.25">
      <c r="A66" s="10" t="s">
        <v>786</v>
      </c>
      <c r="B66" s="9" t="s">
        <v>847</v>
      </c>
      <c r="C66" s="9" t="s">
        <v>356</v>
      </c>
      <c r="D66" s="76" t="s">
        <v>1089</v>
      </c>
      <c r="E66" s="77"/>
      <c r="F66" s="9" t="s">
        <v>1079</v>
      </c>
      <c r="G66" s="56">
        <v>529.70600000000002</v>
      </c>
      <c r="H66" s="56">
        <v>0</v>
      </c>
      <c r="I66" s="56">
        <f>G66*H66</f>
        <v>0</v>
      </c>
      <c r="J66" s="54" t="s">
        <v>501</v>
      </c>
      <c r="Y66" s="56">
        <f>IF(AP66="5",BI66,0)</f>
        <v>0</v>
      </c>
      <c r="AA66" s="56">
        <f>IF(AP66="1",BG66,0)</f>
        <v>0</v>
      </c>
      <c r="AB66" s="56">
        <f>IF(AP66="1",BH66,0)</f>
        <v>0</v>
      </c>
      <c r="AC66" s="56">
        <f>IF(AP66="7",BG66,0)</f>
        <v>0</v>
      </c>
      <c r="AD66" s="56">
        <f>IF(AP66="7",BH66,0)</f>
        <v>0</v>
      </c>
      <c r="AE66" s="56">
        <f>IF(AP66="2",BG66,0)</f>
        <v>0</v>
      </c>
      <c r="AF66" s="56">
        <f>IF(AP66="2",BH66,0)</f>
        <v>0</v>
      </c>
      <c r="AG66" s="56">
        <f>IF(AP66="0",BI66,0)</f>
        <v>0</v>
      </c>
      <c r="AH66" s="30" t="s">
        <v>847</v>
      </c>
      <c r="AI66" s="56">
        <f>IF(AM66=0,I66,0)</f>
        <v>0</v>
      </c>
      <c r="AJ66" s="56">
        <f>IF(AM66=15,I66,0)</f>
        <v>0</v>
      </c>
      <c r="AK66" s="56">
        <f>IF(AM66=21,I66,0)</f>
        <v>0</v>
      </c>
      <c r="AM66" s="56">
        <v>21</v>
      </c>
      <c r="AN66" s="56">
        <f>H66*0</f>
        <v>0</v>
      </c>
      <c r="AO66" s="56">
        <f>H66*(1-0)</f>
        <v>0</v>
      </c>
      <c r="AP66" s="41" t="s">
        <v>1109</v>
      </c>
      <c r="AU66" s="56">
        <f>AV66+AW66</f>
        <v>0</v>
      </c>
      <c r="AV66" s="56">
        <f>G66*AN66</f>
        <v>0</v>
      </c>
      <c r="AW66" s="56">
        <f>G66*AO66</f>
        <v>0</v>
      </c>
      <c r="AX66" s="41" t="s">
        <v>223</v>
      </c>
      <c r="AY66" s="41" t="s">
        <v>738</v>
      </c>
      <c r="AZ66" s="30" t="s">
        <v>1000</v>
      </c>
      <c r="BB66" s="56">
        <f>AV66+AW66</f>
        <v>0</v>
      </c>
      <c r="BC66" s="56">
        <f>H66/(100-BD66)*100</f>
        <v>0</v>
      </c>
      <c r="BD66" s="56">
        <v>0</v>
      </c>
      <c r="BE66" s="56" t="e">
        <f>#REF!</f>
        <v>#REF!</v>
      </c>
      <c r="BG66" s="56">
        <f>G66*AN66</f>
        <v>0</v>
      </c>
      <c r="BH66" s="56">
        <f>G66*AO66</f>
        <v>0</v>
      </c>
      <c r="BI66" s="56">
        <f>G66*H66</f>
        <v>0</v>
      </c>
      <c r="BJ66" s="56"/>
      <c r="BK66" s="56">
        <v>17</v>
      </c>
      <c r="BV66" s="56">
        <v>21</v>
      </c>
    </row>
    <row r="67" spans="1:74" ht="13.5" customHeight="1" x14ac:dyDescent="0.25">
      <c r="A67" s="10" t="s">
        <v>1065</v>
      </c>
      <c r="B67" s="9" t="s">
        <v>847</v>
      </c>
      <c r="C67" s="9" t="s">
        <v>756</v>
      </c>
      <c r="D67" s="76" t="s">
        <v>1192</v>
      </c>
      <c r="E67" s="77"/>
      <c r="F67" s="9" t="s">
        <v>1079</v>
      </c>
      <c r="G67" s="56">
        <v>529.70600000000002</v>
      </c>
      <c r="H67" s="56">
        <v>0</v>
      </c>
      <c r="I67" s="56">
        <f>G67*H67</f>
        <v>0</v>
      </c>
      <c r="J67" s="54" t="s">
        <v>501</v>
      </c>
      <c r="Y67" s="56">
        <f>IF(AP67="5",BI67,0)</f>
        <v>0</v>
      </c>
      <c r="AA67" s="56">
        <f>IF(AP67="1",BG67,0)</f>
        <v>0</v>
      </c>
      <c r="AB67" s="56">
        <f>IF(AP67="1",BH67,0)</f>
        <v>0</v>
      </c>
      <c r="AC67" s="56">
        <f>IF(AP67="7",BG67,0)</f>
        <v>0</v>
      </c>
      <c r="AD67" s="56">
        <f>IF(AP67="7",BH67,0)</f>
        <v>0</v>
      </c>
      <c r="AE67" s="56">
        <f>IF(AP67="2",BG67,0)</f>
        <v>0</v>
      </c>
      <c r="AF67" s="56">
        <f>IF(AP67="2",BH67,0)</f>
        <v>0</v>
      </c>
      <c r="AG67" s="56">
        <f>IF(AP67="0",BI67,0)</f>
        <v>0</v>
      </c>
      <c r="AH67" s="30" t="s">
        <v>847</v>
      </c>
      <c r="AI67" s="56">
        <f>IF(AM67=0,I67,0)</f>
        <v>0</v>
      </c>
      <c r="AJ67" s="56">
        <f>IF(AM67=15,I67,0)</f>
        <v>0</v>
      </c>
      <c r="AK67" s="56">
        <f>IF(AM67=21,I67,0)</f>
        <v>0</v>
      </c>
      <c r="AM67" s="56">
        <v>21</v>
      </c>
      <c r="AN67" s="56">
        <f>H67*0</f>
        <v>0</v>
      </c>
      <c r="AO67" s="56">
        <f>H67*(1-0)</f>
        <v>0</v>
      </c>
      <c r="AP67" s="41" t="s">
        <v>1109</v>
      </c>
      <c r="AU67" s="56">
        <f>AV67+AW67</f>
        <v>0</v>
      </c>
      <c r="AV67" s="56">
        <f>G67*AN67</f>
        <v>0</v>
      </c>
      <c r="AW67" s="56">
        <f>G67*AO67</f>
        <v>0</v>
      </c>
      <c r="AX67" s="41" t="s">
        <v>223</v>
      </c>
      <c r="AY67" s="41" t="s">
        <v>738</v>
      </c>
      <c r="AZ67" s="30" t="s">
        <v>1000</v>
      </c>
      <c r="BB67" s="56">
        <f>AV67+AW67</f>
        <v>0</v>
      </c>
      <c r="BC67" s="56">
        <f>H67/(100-BD67)*100</f>
        <v>0</v>
      </c>
      <c r="BD67" s="56">
        <v>0</v>
      </c>
      <c r="BE67" s="56" t="e">
        <f>#REF!</f>
        <v>#REF!</v>
      </c>
      <c r="BG67" s="56">
        <f>G67*AN67</f>
        <v>0</v>
      </c>
      <c r="BH67" s="56">
        <f>G67*AO67</f>
        <v>0</v>
      </c>
      <c r="BI67" s="56">
        <f>G67*H67</f>
        <v>0</v>
      </c>
      <c r="BJ67" s="56"/>
      <c r="BK67" s="56">
        <v>17</v>
      </c>
      <c r="BV67" s="56">
        <v>21</v>
      </c>
    </row>
    <row r="68" spans="1:74" ht="13.5" customHeight="1" x14ac:dyDescent="0.25">
      <c r="A68" s="10" t="s">
        <v>500</v>
      </c>
      <c r="B68" s="9" t="s">
        <v>847</v>
      </c>
      <c r="C68" s="9" t="s">
        <v>810</v>
      </c>
      <c r="D68" s="76" t="s">
        <v>587</v>
      </c>
      <c r="E68" s="77"/>
      <c r="F68" s="9" t="s">
        <v>1079</v>
      </c>
      <c r="G68" s="56">
        <v>249.91800000000001</v>
      </c>
      <c r="H68" s="56">
        <v>0</v>
      </c>
      <c r="I68" s="56">
        <f>G68*H68</f>
        <v>0</v>
      </c>
      <c r="J68" s="54" t="s">
        <v>501</v>
      </c>
      <c r="Y68" s="56">
        <f>IF(AP68="5",BI68,0)</f>
        <v>0</v>
      </c>
      <c r="AA68" s="56">
        <f>IF(AP68="1",BG68,0)</f>
        <v>0</v>
      </c>
      <c r="AB68" s="56">
        <f>IF(AP68="1",BH68,0)</f>
        <v>0</v>
      </c>
      <c r="AC68" s="56">
        <f>IF(AP68="7",BG68,0)</f>
        <v>0</v>
      </c>
      <c r="AD68" s="56">
        <f>IF(AP68="7",BH68,0)</f>
        <v>0</v>
      </c>
      <c r="AE68" s="56">
        <f>IF(AP68="2",BG68,0)</f>
        <v>0</v>
      </c>
      <c r="AF68" s="56">
        <f>IF(AP68="2",BH68,0)</f>
        <v>0</v>
      </c>
      <c r="AG68" s="56">
        <f>IF(AP68="0",BI68,0)</f>
        <v>0</v>
      </c>
      <c r="AH68" s="30" t="s">
        <v>847</v>
      </c>
      <c r="AI68" s="56">
        <f>IF(AM68=0,I68,0)</f>
        <v>0</v>
      </c>
      <c r="AJ68" s="56">
        <f>IF(AM68=15,I68,0)</f>
        <v>0</v>
      </c>
      <c r="AK68" s="56">
        <f>IF(AM68=21,I68,0)</f>
        <v>0</v>
      </c>
      <c r="AM68" s="56">
        <v>21</v>
      </c>
      <c r="AN68" s="56">
        <f>H68*0</f>
        <v>0</v>
      </c>
      <c r="AO68" s="56">
        <f>H68*(1-0)</f>
        <v>0</v>
      </c>
      <c r="AP68" s="41" t="s">
        <v>1109</v>
      </c>
      <c r="AU68" s="56">
        <f>AV68+AW68</f>
        <v>0</v>
      </c>
      <c r="AV68" s="56">
        <f>G68*AN68</f>
        <v>0</v>
      </c>
      <c r="AW68" s="56">
        <f>G68*AO68</f>
        <v>0</v>
      </c>
      <c r="AX68" s="41" t="s">
        <v>223</v>
      </c>
      <c r="AY68" s="41" t="s">
        <v>738</v>
      </c>
      <c r="AZ68" s="30" t="s">
        <v>1000</v>
      </c>
      <c r="BB68" s="56">
        <f>AV68+AW68</f>
        <v>0</v>
      </c>
      <c r="BC68" s="56">
        <f>H68/(100-BD68)*100</f>
        <v>0</v>
      </c>
      <c r="BD68" s="56">
        <v>0</v>
      </c>
      <c r="BE68" s="56" t="e">
        <f>#REF!</f>
        <v>#REF!</v>
      </c>
      <c r="BG68" s="56">
        <f>G68*AN68</f>
        <v>0</v>
      </c>
      <c r="BH68" s="56">
        <f>G68*AO68</f>
        <v>0</v>
      </c>
      <c r="BI68" s="56">
        <f>G68*H68</f>
        <v>0</v>
      </c>
      <c r="BJ68" s="56"/>
      <c r="BK68" s="56">
        <v>17</v>
      </c>
      <c r="BV68" s="56">
        <v>21</v>
      </c>
    </row>
    <row r="69" spans="1:74" ht="15" customHeight="1" x14ac:dyDescent="0.25">
      <c r="A69" s="53"/>
      <c r="D69" s="52" t="s">
        <v>1002</v>
      </c>
      <c r="E69" s="37" t="s">
        <v>966</v>
      </c>
      <c r="G69" s="21">
        <v>224.23500000000001</v>
      </c>
      <c r="J69" s="48"/>
    </row>
    <row r="70" spans="1:74" ht="15" customHeight="1" x14ac:dyDescent="0.25">
      <c r="A70" s="53"/>
      <c r="D70" s="52" t="s">
        <v>307</v>
      </c>
      <c r="E70" s="37" t="s">
        <v>211</v>
      </c>
      <c r="G70" s="21">
        <v>8.1000000000000014</v>
      </c>
      <c r="J70" s="48"/>
    </row>
    <row r="71" spans="1:74" ht="15" customHeight="1" x14ac:dyDescent="0.25">
      <c r="A71" s="53"/>
      <c r="D71" s="52" t="s">
        <v>322</v>
      </c>
      <c r="E71" s="37" t="s">
        <v>82</v>
      </c>
      <c r="G71" s="21">
        <v>5.1700000000000008</v>
      </c>
      <c r="J71" s="48"/>
    </row>
    <row r="72" spans="1:74" ht="15" customHeight="1" x14ac:dyDescent="0.25">
      <c r="A72" s="53"/>
      <c r="D72" s="52" t="s">
        <v>1181</v>
      </c>
      <c r="E72" s="37" t="s">
        <v>33</v>
      </c>
      <c r="G72" s="21">
        <v>5.4</v>
      </c>
      <c r="J72" s="48"/>
    </row>
    <row r="73" spans="1:74" ht="15" customHeight="1" x14ac:dyDescent="0.25">
      <c r="A73" s="53"/>
      <c r="D73" s="52" t="s">
        <v>411</v>
      </c>
      <c r="E73" s="37" t="s">
        <v>1092</v>
      </c>
      <c r="G73" s="21">
        <v>2.0250000000000004</v>
      </c>
      <c r="J73" s="48"/>
    </row>
    <row r="74" spans="1:74" ht="15" customHeight="1" x14ac:dyDescent="0.25">
      <c r="A74" s="53"/>
      <c r="D74" s="52" t="s">
        <v>146</v>
      </c>
      <c r="E74" s="37" t="s">
        <v>752</v>
      </c>
      <c r="G74" s="21">
        <v>4.9880000000000004</v>
      </c>
      <c r="J74" s="48"/>
    </row>
    <row r="75" spans="1:74" ht="13.5" customHeight="1" x14ac:dyDescent="0.25">
      <c r="A75" s="57" t="s">
        <v>112</v>
      </c>
      <c r="B75" s="50" t="s">
        <v>847</v>
      </c>
      <c r="C75" s="50" t="s">
        <v>635</v>
      </c>
      <c r="D75" s="135" t="s">
        <v>678</v>
      </c>
      <c r="E75" s="136"/>
      <c r="F75" s="50" t="s">
        <v>517</v>
      </c>
      <c r="G75" s="31">
        <v>495.61500000000001</v>
      </c>
      <c r="H75" s="31">
        <v>0</v>
      </c>
      <c r="I75" s="31">
        <f>G75*H75</f>
        <v>0</v>
      </c>
      <c r="J75" s="47" t="s">
        <v>501</v>
      </c>
      <c r="Y75" s="56">
        <f>IF(AP75="5",BI75,0)</f>
        <v>0</v>
      </c>
      <c r="AA75" s="56">
        <f>IF(AP75="1",BG75,0)</f>
        <v>0</v>
      </c>
      <c r="AB75" s="56">
        <f>IF(AP75="1",BH75,0)</f>
        <v>0</v>
      </c>
      <c r="AC75" s="56">
        <f>IF(AP75="7",BG75,0)</f>
        <v>0</v>
      </c>
      <c r="AD75" s="56">
        <f>IF(AP75="7",BH75,0)</f>
        <v>0</v>
      </c>
      <c r="AE75" s="56">
        <f>IF(AP75="2",BG75,0)</f>
        <v>0</v>
      </c>
      <c r="AF75" s="56">
        <f>IF(AP75="2",BH75,0)</f>
        <v>0</v>
      </c>
      <c r="AG75" s="56">
        <f>IF(AP75="0",BI75,0)</f>
        <v>0</v>
      </c>
      <c r="AH75" s="30" t="s">
        <v>847</v>
      </c>
      <c r="AI75" s="31">
        <f>IF(AM75=0,I75,0)</f>
        <v>0</v>
      </c>
      <c r="AJ75" s="31">
        <f>IF(AM75=15,I75,0)</f>
        <v>0</v>
      </c>
      <c r="AK75" s="31">
        <f>IF(AM75=21,I75,0)</f>
        <v>0</v>
      </c>
      <c r="AM75" s="56">
        <v>21</v>
      </c>
      <c r="AN75" s="56">
        <f>H75*1</f>
        <v>0</v>
      </c>
      <c r="AO75" s="56">
        <f>H75*(1-1)</f>
        <v>0</v>
      </c>
      <c r="AP75" s="58" t="s">
        <v>1109</v>
      </c>
      <c r="AU75" s="56">
        <f>AV75+AW75</f>
        <v>0</v>
      </c>
      <c r="AV75" s="56">
        <f>G75*AN75</f>
        <v>0</v>
      </c>
      <c r="AW75" s="56">
        <f>G75*AO75</f>
        <v>0</v>
      </c>
      <c r="AX75" s="41" t="s">
        <v>223</v>
      </c>
      <c r="AY75" s="41" t="s">
        <v>738</v>
      </c>
      <c r="AZ75" s="30" t="s">
        <v>1000</v>
      </c>
      <c r="BB75" s="56">
        <f>AV75+AW75</f>
        <v>0</v>
      </c>
      <c r="BC75" s="56">
        <f>H75/(100-BD75)*100</f>
        <v>0</v>
      </c>
      <c r="BD75" s="56">
        <v>0</v>
      </c>
      <c r="BE75" s="56" t="e">
        <f>#REF!</f>
        <v>#REF!</v>
      </c>
      <c r="BG75" s="31">
        <f>G75*AN75</f>
        <v>0</v>
      </c>
      <c r="BH75" s="31">
        <f>G75*AO75</f>
        <v>0</v>
      </c>
      <c r="BI75" s="31">
        <f>G75*H75</f>
        <v>0</v>
      </c>
      <c r="BJ75" s="31"/>
      <c r="BK75" s="56">
        <v>17</v>
      </c>
      <c r="BV75" s="56">
        <v>21</v>
      </c>
    </row>
    <row r="76" spans="1:74" ht="15" customHeight="1" x14ac:dyDescent="0.25">
      <c r="A76" s="53"/>
      <c r="D76" s="52" t="s">
        <v>238</v>
      </c>
      <c r="E76" s="37" t="s">
        <v>536</v>
      </c>
      <c r="G76" s="21">
        <v>495.61500000000007</v>
      </c>
      <c r="J76" s="48"/>
    </row>
    <row r="77" spans="1:74" ht="13.5" customHeight="1" x14ac:dyDescent="0.25">
      <c r="A77" s="10" t="s">
        <v>273</v>
      </c>
      <c r="B77" s="9" t="s">
        <v>847</v>
      </c>
      <c r="C77" s="9" t="s">
        <v>969</v>
      </c>
      <c r="D77" s="76" t="s">
        <v>39</v>
      </c>
      <c r="E77" s="77"/>
      <c r="F77" s="9" t="s">
        <v>1079</v>
      </c>
      <c r="G77" s="56">
        <v>176.81</v>
      </c>
      <c r="H77" s="56">
        <v>0</v>
      </c>
      <c r="I77" s="56">
        <f>G77*H77</f>
        <v>0</v>
      </c>
      <c r="J77" s="54" t="s">
        <v>501</v>
      </c>
      <c r="Y77" s="56">
        <f>IF(AP77="5",BI77,0)</f>
        <v>0</v>
      </c>
      <c r="AA77" s="56">
        <f>IF(AP77="1",BG77,0)</f>
        <v>0</v>
      </c>
      <c r="AB77" s="56">
        <f>IF(AP77="1",BH77,0)</f>
        <v>0</v>
      </c>
      <c r="AC77" s="56">
        <f>IF(AP77="7",BG77,0)</f>
        <v>0</v>
      </c>
      <c r="AD77" s="56">
        <f>IF(AP77="7",BH77,0)</f>
        <v>0</v>
      </c>
      <c r="AE77" s="56">
        <f>IF(AP77="2",BG77,0)</f>
        <v>0</v>
      </c>
      <c r="AF77" s="56">
        <f>IF(AP77="2",BH77,0)</f>
        <v>0</v>
      </c>
      <c r="AG77" s="56">
        <f>IF(AP77="0",BI77,0)</f>
        <v>0</v>
      </c>
      <c r="AH77" s="30" t="s">
        <v>847</v>
      </c>
      <c r="AI77" s="56">
        <f>IF(AM77=0,I77,0)</f>
        <v>0</v>
      </c>
      <c r="AJ77" s="56">
        <f>IF(AM77=15,I77,0)</f>
        <v>0</v>
      </c>
      <c r="AK77" s="56">
        <f>IF(AM77=21,I77,0)</f>
        <v>0</v>
      </c>
      <c r="AM77" s="56">
        <v>21</v>
      </c>
      <c r="AN77" s="56">
        <f>H77*0.51750518647095</f>
        <v>0</v>
      </c>
      <c r="AO77" s="56">
        <f>H77*(1-0.51750518647095)</f>
        <v>0</v>
      </c>
      <c r="AP77" s="41" t="s">
        <v>1109</v>
      </c>
      <c r="AU77" s="56">
        <f>AV77+AW77</f>
        <v>0</v>
      </c>
      <c r="AV77" s="56">
        <f>G77*AN77</f>
        <v>0</v>
      </c>
      <c r="AW77" s="56">
        <f>G77*AO77</f>
        <v>0</v>
      </c>
      <c r="AX77" s="41" t="s">
        <v>223</v>
      </c>
      <c r="AY77" s="41" t="s">
        <v>738</v>
      </c>
      <c r="AZ77" s="30" t="s">
        <v>1000</v>
      </c>
      <c r="BB77" s="56">
        <f>AV77+AW77</f>
        <v>0</v>
      </c>
      <c r="BC77" s="56">
        <f>H77/(100-BD77)*100</f>
        <v>0</v>
      </c>
      <c r="BD77" s="56">
        <v>0</v>
      </c>
      <c r="BE77" s="56" t="e">
        <f>#REF!</f>
        <v>#REF!</v>
      </c>
      <c r="BG77" s="56">
        <f>G77*AN77</f>
        <v>0</v>
      </c>
      <c r="BH77" s="56">
        <f>G77*AO77</f>
        <v>0</v>
      </c>
      <c r="BI77" s="56">
        <f>G77*H77</f>
        <v>0</v>
      </c>
      <c r="BJ77" s="56"/>
      <c r="BK77" s="56">
        <v>17</v>
      </c>
      <c r="BV77" s="56">
        <v>21</v>
      </c>
    </row>
    <row r="78" spans="1:74" ht="13.5" customHeight="1" x14ac:dyDescent="0.25">
      <c r="A78" s="53"/>
      <c r="C78" s="66" t="s">
        <v>578</v>
      </c>
      <c r="D78" s="137" t="s">
        <v>0</v>
      </c>
      <c r="E78" s="138"/>
      <c r="F78" s="138"/>
      <c r="G78" s="138"/>
      <c r="H78" s="138"/>
      <c r="I78" s="138"/>
      <c r="J78" s="139"/>
    </row>
    <row r="79" spans="1:74" ht="15" customHeight="1" x14ac:dyDescent="0.25">
      <c r="A79" s="53"/>
      <c r="D79" s="52" t="s">
        <v>43</v>
      </c>
      <c r="E79" s="37" t="s">
        <v>769</v>
      </c>
      <c r="G79" s="21">
        <v>176.715</v>
      </c>
      <c r="J79" s="48"/>
    </row>
    <row r="80" spans="1:74" ht="15" customHeight="1" x14ac:dyDescent="0.25">
      <c r="A80" s="53"/>
      <c r="D80" s="52" t="s">
        <v>959</v>
      </c>
      <c r="E80" s="37" t="s">
        <v>211</v>
      </c>
      <c r="G80" s="21">
        <v>6.3000000000000007</v>
      </c>
      <c r="J80" s="48"/>
    </row>
    <row r="81" spans="1:74" ht="15" customHeight="1" x14ac:dyDescent="0.25">
      <c r="A81" s="53"/>
      <c r="D81" s="52" t="s">
        <v>727</v>
      </c>
      <c r="E81" s="37" t="s">
        <v>1250</v>
      </c>
      <c r="G81" s="21">
        <v>-12.275</v>
      </c>
      <c r="J81" s="48"/>
    </row>
    <row r="82" spans="1:74" ht="15" customHeight="1" x14ac:dyDescent="0.25">
      <c r="A82" s="53"/>
      <c r="D82" s="52" t="s">
        <v>1216</v>
      </c>
      <c r="E82" s="37" t="s">
        <v>1092</v>
      </c>
      <c r="G82" s="21">
        <v>1.5750000000000002</v>
      </c>
      <c r="J82" s="48"/>
    </row>
    <row r="83" spans="1:74" ht="15" customHeight="1" x14ac:dyDescent="0.25">
      <c r="A83" s="53"/>
      <c r="D83" s="52" t="s">
        <v>180</v>
      </c>
      <c r="E83" s="37" t="s">
        <v>1250</v>
      </c>
      <c r="G83" s="21">
        <v>-0.16</v>
      </c>
      <c r="J83" s="48"/>
    </row>
    <row r="84" spans="1:74" ht="15" customHeight="1" x14ac:dyDescent="0.25">
      <c r="A84" s="53"/>
      <c r="D84" s="52" t="s">
        <v>153</v>
      </c>
      <c r="E84" s="37" t="s">
        <v>33</v>
      </c>
      <c r="G84" s="21">
        <v>3.1500000000000004</v>
      </c>
      <c r="J84" s="48"/>
    </row>
    <row r="85" spans="1:74" ht="15" customHeight="1" x14ac:dyDescent="0.25">
      <c r="A85" s="53"/>
      <c r="D85" s="52" t="s">
        <v>341</v>
      </c>
      <c r="E85" s="37" t="s">
        <v>1250</v>
      </c>
      <c r="G85" s="21">
        <v>-8.8000000000000009E-2</v>
      </c>
      <c r="J85" s="48"/>
    </row>
    <row r="86" spans="1:74" ht="15" customHeight="1" x14ac:dyDescent="0.25">
      <c r="A86" s="53"/>
      <c r="D86" s="52" t="s">
        <v>42</v>
      </c>
      <c r="E86" s="37" t="s">
        <v>752</v>
      </c>
      <c r="G86" s="21">
        <v>1.5930000000000002</v>
      </c>
      <c r="J86" s="48"/>
    </row>
    <row r="87" spans="1:74" ht="15" customHeight="1" x14ac:dyDescent="0.25">
      <c r="A87" s="27" t="s">
        <v>769</v>
      </c>
      <c r="B87" s="28" t="s">
        <v>847</v>
      </c>
      <c r="C87" s="28" t="s">
        <v>882</v>
      </c>
      <c r="D87" s="132" t="s">
        <v>1127</v>
      </c>
      <c r="E87" s="133"/>
      <c r="F87" s="23" t="s">
        <v>1027</v>
      </c>
      <c r="G87" s="23" t="s">
        <v>1027</v>
      </c>
      <c r="H87" s="23" t="s">
        <v>1027</v>
      </c>
      <c r="I87" s="14">
        <f>SUM(I88:I89)</f>
        <v>0</v>
      </c>
      <c r="J87" s="44" t="s">
        <v>769</v>
      </c>
      <c r="AH87" s="30" t="s">
        <v>847</v>
      </c>
      <c r="AR87" s="14">
        <f>SUM(AI88:AI89)</f>
        <v>0</v>
      </c>
      <c r="AS87" s="14">
        <f>SUM(AJ88:AJ89)</f>
        <v>0</v>
      </c>
      <c r="AT87" s="14">
        <f>SUM(AK88:AK89)</f>
        <v>0</v>
      </c>
    </row>
    <row r="88" spans="1:74" ht="13.5" customHeight="1" x14ac:dyDescent="0.25">
      <c r="A88" s="10" t="s">
        <v>142</v>
      </c>
      <c r="B88" s="9" t="s">
        <v>847</v>
      </c>
      <c r="C88" s="9" t="s">
        <v>573</v>
      </c>
      <c r="D88" s="76" t="s">
        <v>904</v>
      </c>
      <c r="E88" s="77"/>
      <c r="F88" s="9" t="s">
        <v>1095</v>
      </c>
      <c r="G88" s="56">
        <v>20</v>
      </c>
      <c r="H88" s="56">
        <v>0</v>
      </c>
      <c r="I88" s="56">
        <f>G88*H88</f>
        <v>0</v>
      </c>
      <c r="J88" s="54" t="s">
        <v>501</v>
      </c>
      <c r="Y88" s="56">
        <f>IF(AP88="5",BI88,0)</f>
        <v>0</v>
      </c>
      <c r="AA88" s="56">
        <f>IF(AP88="1",BG88,0)</f>
        <v>0</v>
      </c>
      <c r="AB88" s="56">
        <f>IF(AP88="1",BH88,0)</f>
        <v>0</v>
      </c>
      <c r="AC88" s="56">
        <f>IF(AP88="7",BG88,0)</f>
        <v>0</v>
      </c>
      <c r="AD88" s="56">
        <f>IF(AP88="7",BH88,0)</f>
        <v>0</v>
      </c>
      <c r="AE88" s="56">
        <f>IF(AP88="2",BG88,0)</f>
        <v>0</v>
      </c>
      <c r="AF88" s="56">
        <f>IF(AP88="2",BH88,0)</f>
        <v>0</v>
      </c>
      <c r="AG88" s="56">
        <f>IF(AP88="0",BI88,0)</f>
        <v>0</v>
      </c>
      <c r="AH88" s="30" t="s">
        <v>847</v>
      </c>
      <c r="AI88" s="56">
        <f>IF(AM88=0,I88,0)</f>
        <v>0</v>
      </c>
      <c r="AJ88" s="56">
        <f>IF(AM88=15,I88,0)</f>
        <v>0</v>
      </c>
      <c r="AK88" s="56">
        <f>IF(AM88=21,I88,0)</f>
        <v>0</v>
      </c>
      <c r="AM88" s="56">
        <v>21</v>
      </c>
      <c r="AN88" s="56">
        <f>H88*0</f>
        <v>0</v>
      </c>
      <c r="AO88" s="56">
        <f>H88*(1-0)</f>
        <v>0</v>
      </c>
      <c r="AP88" s="41" t="s">
        <v>1109</v>
      </c>
      <c r="AU88" s="56">
        <f>AV88+AW88</f>
        <v>0</v>
      </c>
      <c r="AV88" s="56">
        <f>G88*AN88</f>
        <v>0</v>
      </c>
      <c r="AW88" s="56">
        <f>G88*AO88</f>
        <v>0</v>
      </c>
      <c r="AX88" s="41" t="s">
        <v>557</v>
      </c>
      <c r="AY88" s="41" t="s">
        <v>738</v>
      </c>
      <c r="AZ88" s="30" t="s">
        <v>1000</v>
      </c>
      <c r="BB88" s="56">
        <f>AV88+AW88</f>
        <v>0</v>
      </c>
      <c r="BC88" s="56">
        <f>H88/(100-BD88)*100</f>
        <v>0</v>
      </c>
      <c r="BD88" s="56">
        <v>0</v>
      </c>
      <c r="BE88" s="56" t="e">
        <f>#REF!</f>
        <v>#REF!</v>
      </c>
      <c r="BG88" s="56">
        <f>G88*AN88</f>
        <v>0</v>
      </c>
      <c r="BH88" s="56">
        <f>G88*AO88</f>
        <v>0</v>
      </c>
      <c r="BI88" s="56">
        <f>G88*H88</f>
        <v>0</v>
      </c>
      <c r="BJ88" s="56"/>
      <c r="BK88" s="56">
        <v>18</v>
      </c>
      <c r="BV88" s="56">
        <v>21</v>
      </c>
    </row>
    <row r="89" spans="1:74" ht="13.5" customHeight="1" x14ac:dyDescent="0.25">
      <c r="A89" s="10" t="s">
        <v>1091</v>
      </c>
      <c r="B89" s="9" t="s">
        <v>847</v>
      </c>
      <c r="C89" s="9" t="s">
        <v>1102</v>
      </c>
      <c r="D89" s="76" t="s">
        <v>4</v>
      </c>
      <c r="E89" s="77"/>
      <c r="F89" s="9" t="s">
        <v>1095</v>
      </c>
      <c r="G89" s="56">
        <v>20</v>
      </c>
      <c r="H89" s="56">
        <v>0</v>
      </c>
      <c r="I89" s="56">
        <f>G89*H89</f>
        <v>0</v>
      </c>
      <c r="J89" s="54" t="s">
        <v>501</v>
      </c>
      <c r="Y89" s="56">
        <f>IF(AP89="5",BI89,0)</f>
        <v>0</v>
      </c>
      <c r="AA89" s="56">
        <f>IF(AP89="1",BG89,0)</f>
        <v>0</v>
      </c>
      <c r="AB89" s="56">
        <f>IF(AP89="1",BH89,0)</f>
        <v>0</v>
      </c>
      <c r="AC89" s="56">
        <f>IF(AP89="7",BG89,0)</f>
        <v>0</v>
      </c>
      <c r="AD89" s="56">
        <f>IF(AP89="7",BH89,0)</f>
        <v>0</v>
      </c>
      <c r="AE89" s="56">
        <f>IF(AP89="2",BG89,0)</f>
        <v>0</v>
      </c>
      <c r="AF89" s="56">
        <f>IF(AP89="2",BH89,0)</f>
        <v>0</v>
      </c>
      <c r="AG89" s="56">
        <f>IF(AP89="0",BI89,0)</f>
        <v>0</v>
      </c>
      <c r="AH89" s="30" t="s">
        <v>847</v>
      </c>
      <c r="AI89" s="56">
        <f>IF(AM89=0,I89,0)</f>
        <v>0</v>
      </c>
      <c r="AJ89" s="56">
        <f>IF(AM89=15,I89,0)</f>
        <v>0</v>
      </c>
      <c r="AK89" s="56">
        <f>IF(AM89=21,I89,0)</f>
        <v>0</v>
      </c>
      <c r="AM89" s="56">
        <v>21</v>
      </c>
      <c r="AN89" s="56">
        <f>H89*0.21166813251246</f>
        <v>0</v>
      </c>
      <c r="AO89" s="56">
        <f>H89*(1-0.21166813251246)</f>
        <v>0</v>
      </c>
      <c r="AP89" s="41" t="s">
        <v>1109</v>
      </c>
      <c r="AU89" s="56">
        <f>AV89+AW89</f>
        <v>0</v>
      </c>
      <c r="AV89" s="56">
        <f>G89*AN89</f>
        <v>0</v>
      </c>
      <c r="AW89" s="56">
        <f>G89*AO89</f>
        <v>0</v>
      </c>
      <c r="AX89" s="41" t="s">
        <v>557</v>
      </c>
      <c r="AY89" s="41" t="s">
        <v>738</v>
      </c>
      <c r="AZ89" s="30" t="s">
        <v>1000</v>
      </c>
      <c r="BB89" s="56">
        <f>AV89+AW89</f>
        <v>0</v>
      </c>
      <c r="BC89" s="56">
        <f>H89/(100-BD89)*100</f>
        <v>0</v>
      </c>
      <c r="BD89" s="56">
        <v>0</v>
      </c>
      <c r="BE89" s="56" t="e">
        <f>#REF!</f>
        <v>#REF!</v>
      </c>
      <c r="BG89" s="56">
        <f>G89*AN89</f>
        <v>0</v>
      </c>
      <c r="BH89" s="56">
        <f>G89*AO89</f>
        <v>0</v>
      </c>
      <c r="BI89" s="56">
        <f>G89*H89</f>
        <v>0</v>
      </c>
      <c r="BJ89" s="56"/>
      <c r="BK89" s="56">
        <v>18</v>
      </c>
      <c r="BV89" s="56">
        <v>21</v>
      </c>
    </row>
    <row r="90" spans="1:74" ht="15" customHeight="1" x14ac:dyDescent="0.25">
      <c r="A90" s="27" t="s">
        <v>769</v>
      </c>
      <c r="B90" s="28" t="s">
        <v>847</v>
      </c>
      <c r="C90" s="28" t="s">
        <v>393</v>
      </c>
      <c r="D90" s="132" t="s">
        <v>860</v>
      </c>
      <c r="E90" s="133"/>
      <c r="F90" s="23" t="s">
        <v>1027</v>
      </c>
      <c r="G90" s="23" t="s">
        <v>1027</v>
      </c>
      <c r="H90" s="23" t="s">
        <v>1027</v>
      </c>
      <c r="I90" s="14">
        <f>SUM(I91:I91)</f>
        <v>0</v>
      </c>
      <c r="J90" s="44" t="s">
        <v>769</v>
      </c>
      <c r="AH90" s="30" t="s">
        <v>847</v>
      </c>
      <c r="AR90" s="14">
        <f>SUM(AI91:AI91)</f>
        <v>0</v>
      </c>
      <c r="AS90" s="14">
        <f>SUM(AJ91:AJ91)</f>
        <v>0</v>
      </c>
      <c r="AT90" s="14">
        <f>SUM(AK91:AK91)</f>
        <v>0</v>
      </c>
    </row>
    <row r="91" spans="1:74" ht="13.5" customHeight="1" x14ac:dyDescent="0.25">
      <c r="A91" s="10" t="s">
        <v>1201</v>
      </c>
      <c r="B91" s="9" t="s">
        <v>847</v>
      </c>
      <c r="C91" s="9" t="s">
        <v>1039</v>
      </c>
      <c r="D91" s="76" t="s">
        <v>335</v>
      </c>
      <c r="E91" s="77"/>
      <c r="F91" s="9" t="s">
        <v>1079</v>
      </c>
      <c r="G91" s="56">
        <v>34.914999999999999</v>
      </c>
      <c r="H91" s="56">
        <v>0</v>
      </c>
      <c r="I91" s="56">
        <f>G91*H91</f>
        <v>0</v>
      </c>
      <c r="J91" s="54" t="s">
        <v>501</v>
      </c>
      <c r="Y91" s="56">
        <f>IF(AP91="5",BI91,0)</f>
        <v>0</v>
      </c>
      <c r="AA91" s="56">
        <f>IF(AP91="1",BG91,0)</f>
        <v>0</v>
      </c>
      <c r="AB91" s="56">
        <f>IF(AP91="1",BH91,0)</f>
        <v>0</v>
      </c>
      <c r="AC91" s="56">
        <f>IF(AP91="7",BG91,0)</f>
        <v>0</v>
      </c>
      <c r="AD91" s="56">
        <f>IF(AP91="7",BH91,0)</f>
        <v>0</v>
      </c>
      <c r="AE91" s="56">
        <f>IF(AP91="2",BG91,0)</f>
        <v>0</v>
      </c>
      <c r="AF91" s="56">
        <f>IF(AP91="2",BH91,0)</f>
        <v>0</v>
      </c>
      <c r="AG91" s="56">
        <f>IF(AP91="0",BI91,0)</f>
        <v>0</v>
      </c>
      <c r="AH91" s="30" t="s">
        <v>847</v>
      </c>
      <c r="AI91" s="56">
        <f>IF(AM91=0,I91,0)</f>
        <v>0</v>
      </c>
      <c r="AJ91" s="56">
        <f>IF(AM91=15,I91,0)</f>
        <v>0</v>
      </c>
      <c r="AK91" s="56">
        <f>IF(AM91=21,I91,0)</f>
        <v>0</v>
      </c>
      <c r="AM91" s="56">
        <v>21</v>
      </c>
      <c r="AN91" s="56">
        <f>H91*0.464157829758129</f>
        <v>0</v>
      </c>
      <c r="AO91" s="56">
        <f>H91*(1-0.464157829758129)</f>
        <v>0</v>
      </c>
      <c r="AP91" s="41" t="s">
        <v>1109</v>
      </c>
      <c r="AU91" s="56">
        <f>AV91+AW91</f>
        <v>0</v>
      </c>
      <c r="AV91" s="56">
        <f>G91*AN91</f>
        <v>0</v>
      </c>
      <c r="AW91" s="56">
        <f>G91*AO91</f>
        <v>0</v>
      </c>
      <c r="AX91" s="41" t="s">
        <v>547</v>
      </c>
      <c r="AY91" s="41" t="s">
        <v>926</v>
      </c>
      <c r="AZ91" s="30" t="s">
        <v>1000</v>
      </c>
      <c r="BB91" s="56">
        <f>AV91+AW91</f>
        <v>0</v>
      </c>
      <c r="BC91" s="56">
        <f>H91/(100-BD91)*100</f>
        <v>0</v>
      </c>
      <c r="BD91" s="56">
        <v>0</v>
      </c>
      <c r="BE91" s="56" t="e">
        <f>#REF!</f>
        <v>#REF!</v>
      </c>
      <c r="BG91" s="56">
        <f>G91*AN91</f>
        <v>0</v>
      </c>
      <c r="BH91" s="56">
        <f>G91*AO91</f>
        <v>0</v>
      </c>
      <c r="BI91" s="56">
        <f>G91*H91</f>
        <v>0</v>
      </c>
      <c r="BJ91" s="56"/>
      <c r="BK91" s="56">
        <v>45</v>
      </c>
      <c r="BV91" s="56">
        <v>21</v>
      </c>
    </row>
    <row r="92" spans="1:74" ht="15" customHeight="1" x14ac:dyDescent="0.25">
      <c r="A92" s="53"/>
      <c r="D92" s="52" t="s">
        <v>461</v>
      </c>
      <c r="E92" s="37" t="s">
        <v>769</v>
      </c>
      <c r="G92" s="21">
        <v>30.910000000000004</v>
      </c>
      <c r="J92" s="48"/>
    </row>
    <row r="93" spans="1:74" ht="15" customHeight="1" x14ac:dyDescent="0.25">
      <c r="A93" s="53"/>
      <c r="D93" s="52" t="s">
        <v>1136</v>
      </c>
      <c r="E93" s="37" t="s">
        <v>211</v>
      </c>
      <c r="G93" s="21">
        <v>1.2000000000000002</v>
      </c>
      <c r="J93" s="48"/>
    </row>
    <row r="94" spans="1:74" ht="15" customHeight="1" x14ac:dyDescent="0.25">
      <c r="A94" s="53"/>
      <c r="D94" s="52" t="s">
        <v>1110</v>
      </c>
      <c r="E94" s="37" t="s">
        <v>949</v>
      </c>
      <c r="G94" s="21">
        <v>0.81500000000000006</v>
      </c>
      <c r="J94" s="48"/>
    </row>
    <row r="95" spans="1:74" ht="15" customHeight="1" x14ac:dyDescent="0.25">
      <c r="A95" s="53"/>
      <c r="D95" s="52" t="s">
        <v>221</v>
      </c>
      <c r="E95" s="37" t="s">
        <v>1092</v>
      </c>
      <c r="G95" s="21">
        <v>0.30000000000000004</v>
      </c>
      <c r="J95" s="48"/>
    </row>
    <row r="96" spans="1:74" ht="15" customHeight="1" x14ac:dyDescent="0.25">
      <c r="A96" s="53"/>
      <c r="D96" s="52" t="s">
        <v>903</v>
      </c>
      <c r="E96" s="37" t="s">
        <v>1221</v>
      </c>
      <c r="G96" s="21">
        <v>1.2000000000000002</v>
      </c>
      <c r="J96" s="48"/>
    </row>
    <row r="97" spans="1:74" ht="15" customHeight="1" x14ac:dyDescent="0.25">
      <c r="A97" s="53"/>
      <c r="D97" s="52" t="s">
        <v>603</v>
      </c>
      <c r="E97" s="37" t="s">
        <v>752</v>
      </c>
      <c r="G97" s="21">
        <v>0.49000000000000005</v>
      </c>
      <c r="J97" s="48"/>
    </row>
    <row r="98" spans="1:74" ht="15" customHeight="1" x14ac:dyDescent="0.25">
      <c r="A98" s="27" t="s">
        <v>769</v>
      </c>
      <c r="B98" s="28" t="s">
        <v>847</v>
      </c>
      <c r="C98" s="28" t="s">
        <v>700</v>
      </c>
      <c r="D98" s="132" t="s">
        <v>739</v>
      </c>
      <c r="E98" s="133"/>
      <c r="F98" s="23" t="s">
        <v>1027</v>
      </c>
      <c r="G98" s="23" t="s">
        <v>1027</v>
      </c>
      <c r="H98" s="23" t="s">
        <v>1027</v>
      </c>
      <c r="I98" s="14">
        <f>SUM(I99:I116)</f>
        <v>0</v>
      </c>
      <c r="J98" s="44" t="s">
        <v>769</v>
      </c>
      <c r="AH98" s="30" t="s">
        <v>847</v>
      </c>
      <c r="AR98" s="14">
        <f>SUM(AI99:AI116)</f>
        <v>0</v>
      </c>
      <c r="AS98" s="14">
        <f>SUM(AJ99:AJ116)</f>
        <v>0</v>
      </c>
      <c r="AT98" s="14">
        <f>SUM(AK99:AK116)</f>
        <v>0</v>
      </c>
    </row>
    <row r="99" spans="1:74" ht="13.5" customHeight="1" x14ac:dyDescent="0.25">
      <c r="A99" s="10" t="s">
        <v>89</v>
      </c>
      <c r="B99" s="9" t="s">
        <v>847</v>
      </c>
      <c r="C99" s="9" t="s">
        <v>555</v>
      </c>
      <c r="D99" s="76" t="s">
        <v>1063</v>
      </c>
      <c r="E99" s="77"/>
      <c r="F99" s="9" t="s">
        <v>1095</v>
      </c>
      <c r="G99" s="56">
        <v>405.5</v>
      </c>
      <c r="H99" s="56">
        <v>0</v>
      </c>
      <c r="I99" s="56">
        <f>G99*H99</f>
        <v>0</v>
      </c>
      <c r="J99" s="54" t="s">
        <v>501</v>
      </c>
      <c r="Y99" s="56">
        <f>IF(AP99="5",BI99,0)</f>
        <v>0</v>
      </c>
      <c r="AA99" s="56">
        <f>IF(AP99="1",BG99,0)</f>
        <v>0</v>
      </c>
      <c r="AB99" s="56">
        <f>IF(AP99="1",BH99,0)</f>
        <v>0</v>
      </c>
      <c r="AC99" s="56">
        <f>IF(AP99="7",BG99,0)</f>
        <v>0</v>
      </c>
      <c r="AD99" s="56">
        <f>IF(AP99="7",BH99,0)</f>
        <v>0</v>
      </c>
      <c r="AE99" s="56">
        <f>IF(AP99="2",BG99,0)</f>
        <v>0</v>
      </c>
      <c r="AF99" s="56">
        <f>IF(AP99="2",BH99,0)</f>
        <v>0</v>
      </c>
      <c r="AG99" s="56">
        <f>IF(AP99="0",BI99,0)</f>
        <v>0</v>
      </c>
      <c r="AH99" s="30" t="s">
        <v>847</v>
      </c>
      <c r="AI99" s="56">
        <f>IF(AM99=0,I99,0)</f>
        <v>0</v>
      </c>
      <c r="AJ99" s="56">
        <f>IF(AM99=15,I99,0)</f>
        <v>0</v>
      </c>
      <c r="AK99" s="56">
        <f>IF(AM99=21,I99,0)</f>
        <v>0</v>
      </c>
      <c r="AM99" s="56">
        <v>21</v>
      </c>
      <c r="AN99" s="56">
        <f>H99*0.825274772404959</f>
        <v>0</v>
      </c>
      <c r="AO99" s="56">
        <f>H99*(1-0.825274772404959)</f>
        <v>0</v>
      </c>
      <c r="AP99" s="41" t="s">
        <v>1109</v>
      </c>
      <c r="AU99" s="56">
        <f>AV99+AW99</f>
        <v>0</v>
      </c>
      <c r="AV99" s="56">
        <f>G99*AN99</f>
        <v>0</v>
      </c>
      <c r="AW99" s="56">
        <f>G99*AO99</f>
        <v>0</v>
      </c>
      <c r="AX99" s="41" t="s">
        <v>1152</v>
      </c>
      <c r="AY99" s="41" t="s">
        <v>856</v>
      </c>
      <c r="AZ99" s="30" t="s">
        <v>1000</v>
      </c>
      <c r="BB99" s="56">
        <f>AV99+AW99</f>
        <v>0</v>
      </c>
      <c r="BC99" s="56">
        <f>H99/(100-BD99)*100</f>
        <v>0</v>
      </c>
      <c r="BD99" s="56">
        <v>0</v>
      </c>
      <c r="BE99" s="56" t="e">
        <f>#REF!</f>
        <v>#REF!</v>
      </c>
      <c r="BG99" s="56">
        <f>G99*AN99</f>
        <v>0</v>
      </c>
      <c r="BH99" s="56">
        <f>G99*AO99</f>
        <v>0</v>
      </c>
      <c r="BI99" s="56">
        <f>G99*H99</f>
        <v>0</v>
      </c>
      <c r="BJ99" s="56"/>
      <c r="BK99" s="56">
        <v>56</v>
      </c>
      <c r="BV99" s="56">
        <v>21</v>
      </c>
    </row>
    <row r="100" spans="1:74" ht="13.5" customHeight="1" x14ac:dyDescent="0.25">
      <c r="A100" s="53"/>
      <c r="C100" s="66" t="s">
        <v>578</v>
      </c>
      <c r="D100" s="137" t="s">
        <v>604</v>
      </c>
      <c r="E100" s="138"/>
      <c r="F100" s="138"/>
      <c r="G100" s="138"/>
      <c r="H100" s="138"/>
      <c r="I100" s="138"/>
      <c r="J100" s="139"/>
    </row>
    <row r="101" spans="1:74" ht="15" customHeight="1" x14ac:dyDescent="0.25">
      <c r="A101" s="53"/>
      <c r="D101" s="52" t="s">
        <v>679</v>
      </c>
      <c r="E101" s="37" t="s">
        <v>601</v>
      </c>
      <c r="G101" s="21">
        <v>375.00000000000006</v>
      </c>
      <c r="J101" s="48"/>
    </row>
    <row r="102" spans="1:74" ht="15" customHeight="1" x14ac:dyDescent="0.25">
      <c r="A102" s="53"/>
      <c r="D102" s="52" t="s">
        <v>897</v>
      </c>
      <c r="E102" s="37" t="s">
        <v>776</v>
      </c>
      <c r="G102" s="21">
        <v>2</v>
      </c>
      <c r="J102" s="48"/>
    </row>
    <row r="103" spans="1:74" ht="15" customHeight="1" x14ac:dyDescent="0.25">
      <c r="A103" s="53"/>
      <c r="D103" s="52" t="s">
        <v>1242</v>
      </c>
      <c r="E103" s="37" t="s">
        <v>989</v>
      </c>
      <c r="G103" s="21">
        <v>21.5</v>
      </c>
      <c r="J103" s="48"/>
    </row>
    <row r="104" spans="1:74" ht="15" customHeight="1" x14ac:dyDescent="0.25">
      <c r="A104" s="53"/>
      <c r="D104" s="52" t="s">
        <v>1137</v>
      </c>
      <c r="E104" s="37" t="s">
        <v>526</v>
      </c>
      <c r="G104" s="21">
        <v>7.0000000000000009</v>
      </c>
      <c r="J104" s="48"/>
    </row>
    <row r="105" spans="1:74" ht="13.5" customHeight="1" x14ac:dyDescent="0.25">
      <c r="A105" s="10" t="s">
        <v>717</v>
      </c>
      <c r="B105" s="9" t="s">
        <v>847</v>
      </c>
      <c r="C105" s="9" t="s">
        <v>65</v>
      </c>
      <c r="D105" s="76" t="s">
        <v>1063</v>
      </c>
      <c r="E105" s="77"/>
      <c r="F105" s="9" t="s">
        <v>1095</v>
      </c>
      <c r="G105" s="56">
        <v>375</v>
      </c>
      <c r="H105" s="56">
        <v>0</v>
      </c>
      <c r="I105" s="56">
        <f>G105*H105</f>
        <v>0</v>
      </c>
      <c r="J105" s="54" t="s">
        <v>501</v>
      </c>
      <c r="Y105" s="56">
        <f>IF(AP105="5",BI105,0)</f>
        <v>0</v>
      </c>
      <c r="AA105" s="56">
        <f>IF(AP105="1",BG105,0)</f>
        <v>0</v>
      </c>
      <c r="AB105" s="56">
        <f>IF(AP105="1",BH105,0)</f>
        <v>0</v>
      </c>
      <c r="AC105" s="56">
        <f>IF(AP105="7",BG105,0)</f>
        <v>0</v>
      </c>
      <c r="AD105" s="56">
        <f>IF(AP105="7",BH105,0)</f>
        <v>0</v>
      </c>
      <c r="AE105" s="56">
        <f>IF(AP105="2",BG105,0)</f>
        <v>0</v>
      </c>
      <c r="AF105" s="56">
        <f>IF(AP105="2",BH105,0)</f>
        <v>0</v>
      </c>
      <c r="AG105" s="56">
        <f>IF(AP105="0",BI105,0)</f>
        <v>0</v>
      </c>
      <c r="AH105" s="30" t="s">
        <v>847</v>
      </c>
      <c r="AI105" s="56">
        <f>IF(AM105=0,I105,0)</f>
        <v>0</v>
      </c>
      <c r="AJ105" s="56">
        <f>IF(AM105=15,I105,0)</f>
        <v>0</v>
      </c>
      <c r="AK105" s="56">
        <f>IF(AM105=21,I105,0)</f>
        <v>0</v>
      </c>
      <c r="AM105" s="56">
        <v>21</v>
      </c>
      <c r="AN105" s="56">
        <f>H105*0.835300546448087</f>
        <v>0</v>
      </c>
      <c r="AO105" s="56">
        <f>H105*(1-0.835300546448087)</f>
        <v>0</v>
      </c>
      <c r="AP105" s="41" t="s">
        <v>1109</v>
      </c>
      <c r="AU105" s="56">
        <f>AV105+AW105</f>
        <v>0</v>
      </c>
      <c r="AV105" s="56">
        <f>G105*AN105</f>
        <v>0</v>
      </c>
      <c r="AW105" s="56">
        <f>G105*AO105</f>
        <v>0</v>
      </c>
      <c r="AX105" s="41" t="s">
        <v>1152</v>
      </c>
      <c r="AY105" s="41" t="s">
        <v>856</v>
      </c>
      <c r="AZ105" s="30" t="s">
        <v>1000</v>
      </c>
      <c r="BB105" s="56">
        <f>AV105+AW105</f>
        <v>0</v>
      </c>
      <c r="BC105" s="56">
        <f>H105/(100-BD105)*100</f>
        <v>0</v>
      </c>
      <c r="BD105" s="56">
        <v>0</v>
      </c>
      <c r="BE105" s="56" t="e">
        <f>#REF!</f>
        <v>#REF!</v>
      </c>
      <c r="BG105" s="56">
        <f>G105*AN105</f>
        <v>0</v>
      </c>
      <c r="BH105" s="56">
        <f>G105*AO105</f>
        <v>0</v>
      </c>
      <c r="BI105" s="56">
        <f>G105*H105</f>
        <v>0</v>
      </c>
      <c r="BJ105" s="56"/>
      <c r="BK105" s="56">
        <v>56</v>
      </c>
      <c r="BV105" s="56">
        <v>21</v>
      </c>
    </row>
    <row r="106" spans="1:74" ht="13.5" customHeight="1" x14ac:dyDescent="0.25">
      <c r="A106" s="53"/>
      <c r="C106" s="66" t="s">
        <v>578</v>
      </c>
      <c r="D106" s="137" t="s">
        <v>930</v>
      </c>
      <c r="E106" s="138"/>
      <c r="F106" s="138"/>
      <c r="G106" s="138"/>
      <c r="H106" s="138"/>
      <c r="I106" s="138"/>
      <c r="J106" s="139"/>
    </row>
    <row r="107" spans="1:74" ht="15" customHeight="1" x14ac:dyDescent="0.25">
      <c r="A107" s="53"/>
      <c r="D107" s="52" t="s">
        <v>679</v>
      </c>
      <c r="E107" s="37" t="s">
        <v>601</v>
      </c>
      <c r="G107" s="21">
        <v>375.00000000000006</v>
      </c>
      <c r="J107" s="48"/>
    </row>
    <row r="108" spans="1:74" ht="13.5" customHeight="1" x14ac:dyDescent="0.25">
      <c r="A108" s="10" t="s">
        <v>657</v>
      </c>
      <c r="B108" s="9" t="s">
        <v>847</v>
      </c>
      <c r="C108" s="9" t="s">
        <v>842</v>
      </c>
      <c r="D108" s="76" t="s">
        <v>301</v>
      </c>
      <c r="E108" s="77"/>
      <c r="F108" s="9" t="s">
        <v>1095</v>
      </c>
      <c r="G108" s="56">
        <v>30.5</v>
      </c>
      <c r="H108" s="56">
        <v>0</v>
      </c>
      <c r="I108" s="56">
        <f>G108*H108</f>
        <v>0</v>
      </c>
      <c r="J108" s="54" t="s">
        <v>501</v>
      </c>
      <c r="Y108" s="56">
        <f>IF(AP108="5",BI108,0)</f>
        <v>0</v>
      </c>
      <c r="AA108" s="56">
        <f>IF(AP108="1",BG108,0)</f>
        <v>0</v>
      </c>
      <c r="AB108" s="56">
        <f>IF(AP108="1",BH108,0)</f>
        <v>0</v>
      </c>
      <c r="AC108" s="56">
        <f>IF(AP108="7",BG108,0)</f>
        <v>0</v>
      </c>
      <c r="AD108" s="56">
        <f>IF(AP108="7",BH108,0)</f>
        <v>0</v>
      </c>
      <c r="AE108" s="56">
        <f>IF(AP108="2",BG108,0)</f>
        <v>0</v>
      </c>
      <c r="AF108" s="56">
        <f>IF(AP108="2",BH108,0)</f>
        <v>0</v>
      </c>
      <c r="AG108" s="56">
        <f>IF(AP108="0",BI108,0)</f>
        <v>0</v>
      </c>
      <c r="AH108" s="30" t="s">
        <v>847</v>
      </c>
      <c r="AI108" s="56">
        <f>IF(AM108=0,I108,0)</f>
        <v>0</v>
      </c>
      <c r="AJ108" s="56">
        <f>IF(AM108=15,I108,0)</f>
        <v>0</v>
      </c>
      <c r="AK108" s="56">
        <f>IF(AM108=21,I108,0)</f>
        <v>0</v>
      </c>
      <c r="AM108" s="56">
        <v>21</v>
      </c>
      <c r="AN108" s="56">
        <f>H108*0.85366289539887</f>
        <v>0</v>
      </c>
      <c r="AO108" s="56">
        <f>H108*(1-0.85366289539887)</f>
        <v>0</v>
      </c>
      <c r="AP108" s="41" t="s">
        <v>1109</v>
      </c>
      <c r="AU108" s="56">
        <f>AV108+AW108</f>
        <v>0</v>
      </c>
      <c r="AV108" s="56">
        <f>G108*AN108</f>
        <v>0</v>
      </c>
      <c r="AW108" s="56">
        <f>G108*AO108</f>
        <v>0</v>
      </c>
      <c r="AX108" s="41" t="s">
        <v>1152</v>
      </c>
      <c r="AY108" s="41" t="s">
        <v>856</v>
      </c>
      <c r="AZ108" s="30" t="s">
        <v>1000</v>
      </c>
      <c r="BB108" s="56">
        <f>AV108+AW108</f>
        <v>0</v>
      </c>
      <c r="BC108" s="56">
        <f>H108/(100-BD108)*100</f>
        <v>0</v>
      </c>
      <c r="BD108" s="56">
        <v>0</v>
      </c>
      <c r="BE108" s="56" t="e">
        <f>#REF!</f>
        <v>#REF!</v>
      </c>
      <c r="BG108" s="56">
        <f>G108*AN108</f>
        <v>0</v>
      </c>
      <c r="BH108" s="56">
        <f>G108*AO108</f>
        <v>0</v>
      </c>
      <c r="BI108" s="56">
        <f>G108*H108</f>
        <v>0</v>
      </c>
      <c r="BJ108" s="56"/>
      <c r="BK108" s="56">
        <v>56</v>
      </c>
      <c r="BV108" s="56">
        <v>21</v>
      </c>
    </row>
    <row r="109" spans="1:74" ht="13.5" customHeight="1" x14ac:dyDescent="0.25">
      <c r="A109" s="53"/>
      <c r="C109" s="66" t="s">
        <v>578</v>
      </c>
      <c r="D109" s="137" t="s">
        <v>930</v>
      </c>
      <c r="E109" s="138"/>
      <c r="F109" s="138"/>
      <c r="G109" s="138"/>
      <c r="H109" s="138"/>
      <c r="I109" s="138"/>
      <c r="J109" s="139"/>
    </row>
    <row r="110" spans="1:74" ht="15" customHeight="1" x14ac:dyDescent="0.25">
      <c r="A110" s="53"/>
      <c r="D110" s="52" t="s">
        <v>897</v>
      </c>
      <c r="E110" s="37" t="s">
        <v>776</v>
      </c>
      <c r="G110" s="21">
        <v>2</v>
      </c>
      <c r="J110" s="48"/>
    </row>
    <row r="111" spans="1:74" ht="15" customHeight="1" x14ac:dyDescent="0.25">
      <c r="A111" s="53"/>
      <c r="D111" s="52" t="s">
        <v>1242</v>
      </c>
      <c r="E111" s="37" t="s">
        <v>989</v>
      </c>
      <c r="G111" s="21">
        <v>21.5</v>
      </c>
      <c r="J111" s="48"/>
    </row>
    <row r="112" spans="1:74" ht="15" customHeight="1" x14ac:dyDescent="0.25">
      <c r="A112" s="53"/>
      <c r="D112" s="52" t="s">
        <v>1137</v>
      </c>
      <c r="E112" s="37" t="s">
        <v>526</v>
      </c>
      <c r="G112" s="21">
        <v>7.0000000000000009</v>
      </c>
      <c r="J112" s="48"/>
    </row>
    <row r="113" spans="1:74" ht="13.5" customHeight="1" x14ac:dyDescent="0.25">
      <c r="A113" s="10" t="s">
        <v>922</v>
      </c>
      <c r="B113" s="9" t="s">
        <v>847</v>
      </c>
      <c r="C113" s="9" t="s">
        <v>1072</v>
      </c>
      <c r="D113" s="76" t="s">
        <v>629</v>
      </c>
      <c r="E113" s="77"/>
      <c r="F113" s="9" t="s">
        <v>1095</v>
      </c>
      <c r="G113" s="56">
        <v>522.38</v>
      </c>
      <c r="H113" s="56">
        <v>0</v>
      </c>
      <c r="I113" s="56">
        <f>G113*H113</f>
        <v>0</v>
      </c>
      <c r="J113" s="54" t="s">
        <v>501</v>
      </c>
      <c r="Y113" s="56">
        <f>IF(AP113="5",BI113,0)</f>
        <v>0</v>
      </c>
      <c r="AA113" s="56">
        <f>IF(AP113="1",BG113,0)</f>
        <v>0</v>
      </c>
      <c r="AB113" s="56">
        <f>IF(AP113="1",BH113,0)</f>
        <v>0</v>
      </c>
      <c r="AC113" s="56">
        <f>IF(AP113="7",BG113,0)</f>
        <v>0</v>
      </c>
      <c r="AD113" s="56">
        <f>IF(AP113="7",BH113,0)</f>
        <v>0</v>
      </c>
      <c r="AE113" s="56">
        <f>IF(AP113="2",BG113,0)</f>
        <v>0</v>
      </c>
      <c r="AF113" s="56">
        <f>IF(AP113="2",BH113,0)</f>
        <v>0</v>
      </c>
      <c r="AG113" s="56">
        <f>IF(AP113="0",BI113,0)</f>
        <v>0</v>
      </c>
      <c r="AH113" s="30" t="s">
        <v>847</v>
      </c>
      <c r="AI113" s="56">
        <f>IF(AM113=0,I113,0)</f>
        <v>0</v>
      </c>
      <c r="AJ113" s="56">
        <f>IF(AM113=15,I113,0)</f>
        <v>0</v>
      </c>
      <c r="AK113" s="56">
        <f>IF(AM113=21,I113,0)</f>
        <v>0</v>
      </c>
      <c r="AM113" s="56">
        <v>21</v>
      </c>
      <c r="AN113" s="56">
        <f>H113*0.928801430754066</f>
        <v>0</v>
      </c>
      <c r="AO113" s="56">
        <f>H113*(1-0.928801430754066)</f>
        <v>0</v>
      </c>
      <c r="AP113" s="41" t="s">
        <v>1109</v>
      </c>
      <c r="AU113" s="56">
        <f>AV113+AW113</f>
        <v>0</v>
      </c>
      <c r="AV113" s="56">
        <f>G113*AN113</f>
        <v>0</v>
      </c>
      <c r="AW113" s="56">
        <f>G113*AO113</f>
        <v>0</v>
      </c>
      <c r="AX113" s="41" t="s">
        <v>1152</v>
      </c>
      <c r="AY113" s="41" t="s">
        <v>856</v>
      </c>
      <c r="AZ113" s="30" t="s">
        <v>1000</v>
      </c>
      <c r="BB113" s="56">
        <f>AV113+AW113</f>
        <v>0</v>
      </c>
      <c r="BC113" s="56">
        <f>H113/(100-BD113)*100</f>
        <v>0</v>
      </c>
      <c r="BD113" s="56">
        <v>0</v>
      </c>
      <c r="BE113" s="56" t="e">
        <f>#REF!</f>
        <v>#REF!</v>
      </c>
      <c r="BG113" s="56">
        <f>G113*AN113</f>
        <v>0</v>
      </c>
      <c r="BH113" s="56">
        <f>G113*AO113</f>
        <v>0</v>
      </c>
      <c r="BI113" s="56">
        <f>G113*H113</f>
        <v>0</v>
      </c>
      <c r="BJ113" s="56"/>
      <c r="BK113" s="56">
        <v>56</v>
      </c>
      <c r="BV113" s="56">
        <v>21</v>
      </c>
    </row>
    <row r="114" spans="1:74" ht="15" customHeight="1" x14ac:dyDescent="0.25">
      <c r="A114" s="53"/>
      <c r="D114" s="52" t="s">
        <v>581</v>
      </c>
      <c r="E114" s="37" t="s">
        <v>881</v>
      </c>
      <c r="G114" s="21">
        <v>506.21000000000004</v>
      </c>
      <c r="J114" s="48"/>
    </row>
    <row r="115" spans="1:74" ht="15" customHeight="1" x14ac:dyDescent="0.25">
      <c r="A115" s="53"/>
      <c r="D115" s="52" t="s">
        <v>1238</v>
      </c>
      <c r="E115" s="37" t="s">
        <v>1005</v>
      </c>
      <c r="G115" s="21">
        <v>16.170000000000002</v>
      </c>
      <c r="J115" s="48"/>
    </row>
    <row r="116" spans="1:74" ht="13.5" customHeight="1" x14ac:dyDescent="0.25">
      <c r="A116" s="10" t="s">
        <v>232</v>
      </c>
      <c r="B116" s="9" t="s">
        <v>847</v>
      </c>
      <c r="C116" s="9" t="s">
        <v>591</v>
      </c>
      <c r="D116" s="76" t="s">
        <v>296</v>
      </c>
      <c r="E116" s="77"/>
      <c r="F116" s="9" t="s">
        <v>1095</v>
      </c>
      <c r="G116" s="56">
        <v>644.48</v>
      </c>
      <c r="H116" s="56">
        <v>0</v>
      </c>
      <c r="I116" s="56">
        <f>G116*H116</f>
        <v>0</v>
      </c>
      <c r="J116" s="54" t="s">
        <v>501</v>
      </c>
      <c r="Y116" s="56">
        <f>IF(AP116="5",BI116,0)</f>
        <v>0</v>
      </c>
      <c r="AA116" s="56">
        <f>IF(AP116="1",BG116,0)</f>
        <v>0</v>
      </c>
      <c r="AB116" s="56">
        <f>IF(AP116="1",BH116,0)</f>
        <v>0</v>
      </c>
      <c r="AC116" s="56">
        <f>IF(AP116="7",BG116,0)</f>
        <v>0</v>
      </c>
      <c r="AD116" s="56">
        <f>IF(AP116="7",BH116,0)</f>
        <v>0</v>
      </c>
      <c r="AE116" s="56">
        <f>IF(AP116="2",BG116,0)</f>
        <v>0</v>
      </c>
      <c r="AF116" s="56">
        <f>IF(AP116="2",BH116,0)</f>
        <v>0</v>
      </c>
      <c r="AG116" s="56">
        <f>IF(AP116="0",BI116,0)</f>
        <v>0</v>
      </c>
      <c r="AH116" s="30" t="s">
        <v>847</v>
      </c>
      <c r="AI116" s="56">
        <f>IF(AM116=0,I116,0)</f>
        <v>0</v>
      </c>
      <c r="AJ116" s="56">
        <f>IF(AM116=15,I116,0)</f>
        <v>0</v>
      </c>
      <c r="AK116" s="56">
        <f>IF(AM116=21,I116,0)</f>
        <v>0</v>
      </c>
      <c r="AM116" s="56">
        <v>21</v>
      </c>
      <c r="AN116" s="56">
        <f>H116*0.630527102401563</f>
        <v>0</v>
      </c>
      <c r="AO116" s="56">
        <f>H116*(1-0.630527102401563)</f>
        <v>0</v>
      </c>
      <c r="AP116" s="41" t="s">
        <v>1109</v>
      </c>
      <c r="AU116" s="56">
        <f>AV116+AW116</f>
        <v>0</v>
      </c>
      <c r="AV116" s="56">
        <f>G116*AN116</f>
        <v>0</v>
      </c>
      <c r="AW116" s="56">
        <f>G116*AO116</f>
        <v>0</v>
      </c>
      <c r="AX116" s="41" t="s">
        <v>1152</v>
      </c>
      <c r="AY116" s="41" t="s">
        <v>856</v>
      </c>
      <c r="AZ116" s="30" t="s">
        <v>1000</v>
      </c>
      <c r="BB116" s="56">
        <f>AV116+AW116</f>
        <v>0</v>
      </c>
      <c r="BC116" s="56">
        <f>H116/(100-BD116)*100</f>
        <v>0</v>
      </c>
      <c r="BD116" s="56">
        <v>0</v>
      </c>
      <c r="BE116" s="56" t="e">
        <f>#REF!</f>
        <v>#REF!</v>
      </c>
      <c r="BG116" s="56">
        <f>G116*AN116</f>
        <v>0</v>
      </c>
      <c r="BH116" s="56">
        <f>G116*AO116</f>
        <v>0</v>
      </c>
      <c r="BI116" s="56">
        <f>G116*H116</f>
        <v>0</v>
      </c>
      <c r="BJ116" s="56"/>
      <c r="BK116" s="56">
        <v>56</v>
      </c>
      <c r="BV116" s="56">
        <v>21</v>
      </c>
    </row>
    <row r="117" spans="1:74" ht="13.5" customHeight="1" x14ac:dyDescent="0.25">
      <c r="A117" s="53"/>
      <c r="C117" s="66" t="s">
        <v>578</v>
      </c>
      <c r="D117" s="137" t="s">
        <v>1141</v>
      </c>
      <c r="E117" s="138"/>
      <c r="F117" s="138"/>
      <c r="G117" s="138"/>
      <c r="H117" s="138"/>
      <c r="I117" s="138"/>
      <c r="J117" s="139"/>
    </row>
    <row r="118" spans="1:74" ht="15" customHeight="1" x14ac:dyDescent="0.25">
      <c r="A118" s="53"/>
      <c r="D118" s="52" t="s">
        <v>1042</v>
      </c>
      <c r="E118" s="37" t="s">
        <v>881</v>
      </c>
      <c r="G118" s="21">
        <v>619.09</v>
      </c>
      <c r="J118" s="48"/>
    </row>
    <row r="119" spans="1:74" ht="15" customHeight="1" x14ac:dyDescent="0.25">
      <c r="A119" s="53"/>
      <c r="D119" s="52" t="s">
        <v>217</v>
      </c>
      <c r="E119" s="37" t="s">
        <v>1005</v>
      </c>
      <c r="G119" s="21">
        <v>25.39</v>
      </c>
      <c r="J119" s="48"/>
    </row>
    <row r="120" spans="1:74" ht="15" customHeight="1" x14ac:dyDescent="0.25">
      <c r="A120" s="27" t="s">
        <v>769</v>
      </c>
      <c r="B120" s="28" t="s">
        <v>847</v>
      </c>
      <c r="C120" s="28" t="s">
        <v>1058</v>
      </c>
      <c r="D120" s="132" t="s">
        <v>571</v>
      </c>
      <c r="E120" s="133"/>
      <c r="F120" s="23" t="s">
        <v>1027</v>
      </c>
      <c r="G120" s="23" t="s">
        <v>1027</v>
      </c>
      <c r="H120" s="23" t="s">
        <v>1027</v>
      </c>
      <c r="I120" s="14">
        <f>SUM(I121:I124)</f>
        <v>0</v>
      </c>
      <c r="J120" s="44" t="s">
        <v>769</v>
      </c>
      <c r="AH120" s="30" t="s">
        <v>847</v>
      </c>
      <c r="AR120" s="14">
        <f>SUM(AI121:AI124)</f>
        <v>0</v>
      </c>
      <c r="AS120" s="14">
        <f>SUM(AJ121:AJ124)</f>
        <v>0</v>
      </c>
      <c r="AT120" s="14">
        <f>SUM(AK121:AK124)</f>
        <v>0</v>
      </c>
    </row>
    <row r="121" spans="1:74" ht="13.5" customHeight="1" x14ac:dyDescent="0.25">
      <c r="A121" s="10" t="s">
        <v>1229</v>
      </c>
      <c r="B121" s="9" t="s">
        <v>847</v>
      </c>
      <c r="C121" s="9" t="s">
        <v>607</v>
      </c>
      <c r="D121" s="76" t="s">
        <v>420</v>
      </c>
      <c r="E121" s="77"/>
      <c r="F121" s="9" t="s">
        <v>1095</v>
      </c>
      <c r="G121" s="56">
        <v>1269.1099999999999</v>
      </c>
      <c r="H121" s="56">
        <v>0</v>
      </c>
      <c r="I121" s="56">
        <f>G121*H121</f>
        <v>0</v>
      </c>
      <c r="J121" s="54" t="s">
        <v>501</v>
      </c>
      <c r="Y121" s="56">
        <f>IF(AP121="5",BI121,0)</f>
        <v>0</v>
      </c>
      <c r="AA121" s="56">
        <f>IF(AP121="1",BG121,0)</f>
        <v>0</v>
      </c>
      <c r="AB121" s="56">
        <f>IF(AP121="1",BH121,0)</f>
        <v>0</v>
      </c>
      <c r="AC121" s="56">
        <f>IF(AP121="7",BG121,0)</f>
        <v>0</v>
      </c>
      <c r="AD121" s="56">
        <f>IF(AP121="7",BH121,0)</f>
        <v>0</v>
      </c>
      <c r="AE121" s="56">
        <f>IF(AP121="2",BG121,0)</f>
        <v>0</v>
      </c>
      <c r="AF121" s="56">
        <f>IF(AP121="2",BH121,0)</f>
        <v>0</v>
      </c>
      <c r="AG121" s="56">
        <f>IF(AP121="0",BI121,0)</f>
        <v>0</v>
      </c>
      <c r="AH121" s="30" t="s">
        <v>847</v>
      </c>
      <c r="AI121" s="56">
        <f>IF(AM121=0,I121,0)</f>
        <v>0</v>
      </c>
      <c r="AJ121" s="56">
        <f>IF(AM121=15,I121,0)</f>
        <v>0</v>
      </c>
      <c r="AK121" s="56">
        <f>IF(AM121=21,I121,0)</f>
        <v>0</v>
      </c>
      <c r="AM121" s="56">
        <v>21</v>
      </c>
      <c r="AN121" s="56">
        <f>H121*0.853687396839879</f>
        <v>0</v>
      </c>
      <c r="AO121" s="56">
        <f>H121*(1-0.853687396839879)</f>
        <v>0</v>
      </c>
      <c r="AP121" s="41" t="s">
        <v>1109</v>
      </c>
      <c r="AU121" s="56">
        <f>AV121+AW121</f>
        <v>0</v>
      </c>
      <c r="AV121" s="56">
        <f>G121*AN121</f>
        <v>0</v>
      </c>
      <c r="AW121" s="56">
        <f>G121*AO121</f>
        <v>0</v>
      </c>
      <c r="AX121" s="41" t="s">
        <v>450</v>
      </c>
      <c r="AY121" s="41" t="s">
        <v>856</v>
      </c>
      <c r="AZ121" s="30" t="s">
        <v>1000</v>
      </c>
      <c r="BB121" s="56">
        <f>AV121+AW121</f>
        <v>0</v>
      </c>
      <c r="BC121" s="56">
        <f>H121/(100-BD121)*100</f>
        <v>0</v>
      </c>
      <c r="BD121" s="56">
        <v>0</v>
      </c>
      <c r="BE121" s="56" t="e">
        <f>#REF!</f>
        <v>#REF!</v>
      </c>
      <c r="BG121" s="56">
        <f>G121*AN121</f>
        <v>0</v>
      </c>
      <c r="BH121" s="56">
        <f>G121*AO121</f>
        <v>0</v>
      </c>
      <c r="BI121" s="56">
        <f>G121*H121</f>
        <v>0</v>
      </c>
      <c r="BJ121" s="56"/>
      <c r="BK121" s="56">
        <v>57</v>
      </c>
      <c r="BV121" s="56">
        <v>21</v>
      </c>
    </row>
    <row r="122" spans="1:74" ht="15" customHeight="1" x14ac:dyDescent="0.25">
      <c r="A122" s="53"/>
      <c r="D122" s="52" t="s">
        <v>520</v>
      </c>
      <c r="E122" s="37" t="s">
        <v>881</v>
      </c>
      <c r="G122" s="21">
        <v>1230</v>
      </c>
      <c r="J122" s="48"/>
    </row>
    <row r="123" spans="1:74" ht="15" customHeight="1" x14ac:dyDescent="0.25">
      <c r="A123" s="53"/>
      <c r="D123" s="52" t="s">
        <v>315</v>
      </c>
      <c r="E123" s="37" t="s">
        <v>1005</v>
      </c>
      <c r="G123" s="21">
        <v>39.110000000000007</v>
      </c>
      <c r="J123" s="48"/>
    </row>
    <row r="124" spans="1:74" ht="13.5" customHeight="1" x14ac:dyDescent="0.25">
      <c r="A124" s="10" t="s">
        <v>982</v>
      </c>
      <c r="B124" s="9" t="s">
        <v>847</v>
      </c>
      <c r="C124" s="9" t="s">
        <v>656</v>
      </c>
      <c r="D124" s="76" t="s">
        <v>643</v>
      </c>
      <c r="E124" s="77"/>
      <c r="F124" s="9" t="s">
        <v>1095</v>
      </c>
      <c r="G124" s="56">
        <v>1269.1099999999999</v>
      </c>
      <c r="H124" s="56">
        <v>0</v>
      </c>
      <c r="I124" s="56">
        <f>G124*H124</f>
        <v>0</v>
      </c>
      <c r="J124" s="54" t="s">
        <v>501</v>
      </c>
      <c r="Y124" s="56">
        <f>IF(AP124="5",BI124,0)</f>
        <v>0</v>
      </c>
      <c r="AA124" s="56">
        <f>IF(AP124="1",BG124,0)</f>
        <v>0</v>
      </c>
      <c r="AB124" s="56">
        <f>IF(AP124="1",BH124,0)</f>
        <v>0</v>
      </c>
      <c r="AC124" s="56">
        <f>IF(AP124="7",BG124,0)</f>
        <v>0</v>
      </c>
      <c r="AD124" s="56">
        <f>IF(AP124="7",BH124,0)</f>
        <v>0</v>
      </c>
      <c r="AE124" s="56">
        <f>IF(AP124="2",BG124,0)</f>
        <v>0</v>
      </c>
      <c r="AF124" s="56">
        <f>IF(AP124="2",BH124,0)</f>
        <v>0</v>
      </c>
      <c r="AG124" s="56">
        <f>IF(AP124="0",BI124,0)</f>
        <v>0</v>
      </c>
      <c r="AH124" s="30" t="s">
        <v>847</v>
      </c>
      <c r="AI124" s="56">
        <f>IF(AM124=0,I124,0)</f>
        <v>0</v>
      </c>
      <c r="AJ124" s="56">
        <f>IF(AM124=15,I124,0)</f>
        <v>0</v>
      </c>
      <c r="AK124" s="56">
        <f>IF(AM124=21,I124,0)</f>
        <v>0</v>
      </c>
      <c r="AM124" s="56">
        <v>21</v>
      </c>
      <c r="AN124" s="56">
        <f>H124*0.594936389087724</f>
        <v>0</v>
      </c>
      <c r="AO124" s="56">
        <f>H124*(1-0.594936389087724)</f>
        <v>0</v>
      </c>
      <c r="AP124" s="41" t="s">
        <v>1109</v>
      </c>
      <c r="AU124" s="56">
        <f>AV124+AW124</f>
        <v>0</v>
      </c>
      <c r="AV124" s="56">
        <f>G124*AN124</f>
        <v>0</v>
      </c>
      <c r="AW124" s="56">
        <f>G124*AO124</f>
        <v>0</v>
      </c>
      <c r="AX124" s="41" t="s">
        <v>450</v>
      </c>
      <c r="AY124" s="41" t="s">
        <v>856</v>
      </c>
      <c r="AZ124" s="30" t="s">
        <v>1000</v>
      </c>
      <c r="BB124" s="56">
        <f>AV124+AW124</f>
        <v>0</v>
      </c>
      <c r="BC124" s="56">
        <f>H124/(100-BD124)*100</f>
        <v>0</v>
      </c>
      <c r="BD124" s="56">
        <v>0</v>
      </c>
      <c r="BE124" s="56" t="e">
        <f>#REF!</f>
        <v>#REF!</v>
      </c>
      <c r="BG124" s="56">
        <f>G124*AN124</f>
        <v>0</v>
      </c>
      <c r="BH124" s="56">
        <f>G124*AO124</f>
        <v>0</v>
      </c>
      <c r="BI124" s="56">
        <f>G124*H124</f>
        <v>0</v>
      </c>
      <c r="BJ124" s="56"/>
      <c r="BK124" s="56">
        <v>57</v>
      </c>
      <c r="BV124" s="56">
        <v>21</v>
      </c>
    </row>
    <row r="125" spans="1:74" ht="15" customHeight="1" x14ac:dyDescent="0.25">
      <c r="A125" s="53"/>
      <c r="D125" s="52" t="s">
        <v>520</v>
      </c>
      <c r="E125" s="37" t="s">
        <v>881</v>
      </c>
      <c r="G125" s="21">
        <v>1230</v>
      </c>
      <c r="J125" s="48"/>
    </row>
    <row r="126" spans="1:74" ht="15" customHeight="1" x14ac:dyDescent="0.25">
      <c r="A126" s="53"/>
      <c r="D126" s="52" t="s">
        <v>315</v>
      </c>
      <c r="E126" s="37" t="s">
        <v>1005</v>
      </c>
      <c r="G126" s="21">
        <v>39.110000000000007</v>
      </c>
      <c r="J126" s="48"/>
    </row>
    <row r="127" spans="1:74" ht="15" customHeight="1" x14ac:dyDescent="0.25">
      <c r="A127" s="27" t="s">
        <v>769</v>
      </c>
      <c r="B127" s="28" t="s">
        <v>847</v>
      </c>
      <c r="C127" s="28" t="s">
        <v>512</v>
      </c>
      <c r="D127" s="132" t="s">
        <v>1047</v>
      </c>
      <c r="E127" s="133"/>
      <c r="F127" s="23" t="s">
        <v>1027</v>
      </c>
      <c r="G127" s="23" t="s">
        <v>1027</v>
      </c>
      <c r="H127" s="23" t="s">
        <v>1027</v>
      </c>
      <c r="I127" s="14">
        <f>SUM(I128:I134)</f>
        <v>0</v>
      </c>
      <c r="J127" s="44" t="s">
        <v>769</v>
      </c>
      <c r="AH127" s="30" t="s">
        <v>847</v>
      </c>
      <c r="AR127" s="14">
        <f>SUM(AI128:AI134)</f>
        <v>0</v>
      </c>
      <c r="AS127" s="14">
        <f>SUM(AJ128:AJ134)</f>
        <v>0</v>
      </c>
      <c r="AT127" s="14">
        <f>SUM(AK128:AK134)</f>
        <v>0</v>
      </c>
    </row>
    <row r="128" spans="1:74" ht="13.5" customHeight="1" x14ac:dyDescent="0.25">
      <c r="A128" s="10" t="s">
        <v>647</v>
      </c>
      <c r="B128" s="9" t="s">
        <v>847</v>
      </c>
      <c r="C128" s="9" t="s">
        <v>447</v>
      </c>
      <c r="D128" s="76" t="s">
        <v>728</v>
      </c>
      <c r="E128" s="77"/>
      <c r="F128" s="9" t="s">
        <v>1095</v>
      </c>
      <c r="G128" s="56">
        <v>21.5</v>
      </c>
      <c r="H128" s="56">
        <v>0</v>
      </c>
      <c r="I128" s="56">
        <f>G128*H128</f>
        <v>0</v>
      </c>
      <c r="J128" s="54" t="s">
        <v>501</v>
      </c>
      <c r="Y128" s="56">
        <f>IF(AP128="5",BI128,0)</f>
        <v>0</v>
      </c>
      <c r="AA128" s="56">
        <f>IF(AP128="1",BG128,0)</f>
        <v>0</v>
      </c>
      <c r="AB128" s="56">
        <f>IF(AP128="1",BH128,0)</f>
        <v>0</v>
      </c>
      <c r="AC128" s="56">
        <f>IF(AP128="7",BG128,0)</f>
        <v>0</v>
      </c>
      <c r="AD128" s="56">
        <f>IF(AP128="7",BH128,0)</f>
        <v>0</v>
      </c>
      <c r="AE128" s="56">
        <f>IF(AP128="2",BG128,0)</f>
        <v>0</v>
      </c>
      <c r="AF128" s="56">
        <f>IF(AP128="2",BH128,0)</f>
        <v>0</v>
      </c>
      <c r="AG128" s="56">
        <f>IF(AP128="0",BI128,0)</f>
        <v>0</v>
      </c>
      <c r="AH128" s="30" t="s">
        <v>847</v>
      </c>
      <c r="AI128" s="56">
        <f>IF(AM128=0,I128,0)</f>
        <v>0</v>
      </c>
      <c r="AJ128" s="56">
        <f>IF(AM128=15,I128,0)</f>
        <v>0</v>
      </c>
      <c r="AK128" s="56">
        <f>IF(AM128=21,I128,0)</f>
        <v>0</v>
      </c>
      <c r="AM128" s="56">
        <v>21</v>
      </c>
      <c r="AN128" s="56">
        <f>H128*0.17168284789644</f>
        <v>0</v>
      </c>
      <c r="AO128" s="56">
        <f>H128*(1-0.17168284789644)</f>
        <v>0</v>
      </c>
      <c r="AP128" s="41" t="s">
        <v>1109</v>
      </c>
      <c r="AU128" s="56">
        <f>AV128+AW128</f>
        <v>0</v>
      </c>
      <c r="AV128" s="56">
        <f>G128*AN128</f>
        <v>0</v>
      </c>
      <c r="AW128" s="56">
        <f>G128*AO128</f>
        <v>0</v>
      </c>
      <c r="AX128" s="41" t="s">
        <v>1100</v>
      </c>
      <c r="AY128" s="41" t="s">
        <v>856</v>
      </c>
      <c r="AZ128" s="30" t="s">
        <v>1000</v>
      </c>
      <c r="BB128" s="56">
        <f>AV128+AW128</f>
        <v>0</v>
      </c>
      <c r="BC128" s="56">
        <f>H128/(100-BD128)*100</f>
        <v>0</v>
      </c>
      <c r="BD128" s="56">
        <v>0</v>
      </c>
      <c r="BE128" s="56" t="e">
        <f>#REF!</f>
        <v>#REF!</v>
      </c>
      <c r="BG128" s="56">
        <f>G128*AN128</f>
        <v>0</v>
      </c>
      <c r="BH128" s="56">
        <f>G128*AO128</f>
        <v>0</v>
      </c>
      <c r="BI128" s="56">
        <f>G128*H128</f>
        <v>0</v>
      </c>
      <c r="BJ128" s="56"/>
      <c r="BK128" s="56">
        <v>59</v>
      </c>
      <c r="BV128" s="56">
        <v>21</v>
      </c>
    </row>
    <row r="129" spans="1:74" ht="13.5" customHeight="1" x14ac:dyDescent="0.25">
      <c r="A129" s="57" t="s">
        <v>1093</v>
      </c>
      <c r="B129" s="50" t="s">
        <v>847</v>
      </c>
      <c r="C129" s="50" t="s">
        <v>696</v>
      </c>
      <c r="D129" s="135" t="s">
        <v>231</v>
      </c>
      <c r="E129" s="136"/>
      <c r="F129" s="50" t="s">
        <v>1095</v>
      </c>
      <c r="G129" s="31">
        <v>2</v>
      </c>
      <c r="H129" s="31">
        <v>0</v>
      </c>
      <c r="I129" s="31">
        <f>G129*H129</f>
        <v>0</v>
      </c>
      <c r="J129" s="47" t="s">
        <v>501</v>
      </c>
      <c r="Y129" s="56">
        <f>IF(AP129="5",BI129,0)</f>
        <v>0</v>
      </c>
      <c r="AA129" s="56">
        <f>IF(AP129="1",BG129,0)</f>
        <v>0</v>
      </c>
      <c r="AB129" s="56">
        <f>IF(AP129="1",BH129,0)</f>
        <v>0</v>
      </c>
      <c r="AC129" s="56">
        <f>IF(AP129="7",BG129,0)</f>
        <v>0</v>
      </c>
      <c r="AD129" s="56">
        <f>IF(AP129="7",BH129,0)</f>
        <v>0</v>
      </c>
      <c r="AE129" s="56">
        <f>IF(AP129="2",BG129,0)</f>
        <v>0</v>
      </c>
      <c r="AF129" s="56">
        <f>IF(AP129="2",BH129,0)</f>
        <v>0</v>
      </c>
      <c r="AG129" s="56">
        <f>IF(AP129="0",BI129,0)</f>
        <v>0</v>
      </c>
      <c r="AH129" s="30" t="s">
        <v>847</v>
      </c>
      <c r="AI129" s="31">
        <f>IF(AM129=0,I129,0)</f>
        <v>0</v>
      </c>
      <c r="AJ129" s="31">
        <f>IF(AM129=15,I129,0)</f>
        <v>0</v>
      </c>
      <c r="AK129" s="31">
        <f>IF(AM129=21,I129,0)</f>
        <v>0</v>
      </c>
      <c r="AM129" s="56">
        <v>21</v>
      </c>
      <c r="AN129" s="56">
        <f>H129*1</f>
        <v>0</v>
      </c>
      <c r="AO129" s="56">
        <f>H129*(1-1)</f>
        <v>0</v>
      </c>
      <c r="AP129" s="58" t="s">
        <v>1109</v>
      </c>
      <c r="AU129" s="56">
        <f>AV129+AW129</f>
        <v>0</v>
      </c>
      <c r="AV129" s="56">
        <f>G129*AN129</f>
        <v>0</v>
      </c>
      <c r="AW129" s="56">
        <f>G129*AO129</f>
        <v>0</v>
      </c>
      <c r="AX129" s="41" t="s">
        <v>1100</v>
      </c>
      <c r="AY129" s="41" t="s">
        <v>856</v>
      </c>
      <c r="AZ129" s="30" t="s">
        <v>1000</v>
      </c>
      <c r="BB129" s="56">
        <f>AV129+AW129</f>
        <v>0</v>
      </c>
      <c r="BC129" s="56">
        <f>H129/(100-BD129)*100</f>
        <v>0</v>
      </c>
      <c r="BD129" s="56">
        <v>0</v>
      </c>
      <c r="BE129" s="56" t="e">
        <f>#REF!</f>
        <v>#REF!</v>
      </c>
      <c r="BG129" s="31">
        <f>G129*AN129</f>
        <v>0</v>
      </c>
      <c r="BH129" s="31">
        <f>G129*AO129</f>
        <v>0</v>
      </c>
      <c r="BI129" s="31">
        <f>G129*H129</f>
        <v>0</v>
      </c>
      <c r="BJ129" s="31"/>
      <c r="BK129" s="56">
        <v>59</v>
      </c>
      <c r="BV129" s="56">
        <v>21</v>
      </c>
    </row>
    <row r="130" spans="1:74" ht="15" customHeight="1" x14ac:dyDescent="0.25">
      <c r="A130" s="53"/>
      <c r="D130" s="52" t="s">
        <v>897</v>
      </c>
      <c r="E130" s="37" t="s">
        <v>412</v>
      </c>
      <c r="G130" s="21">
        <v>2</v>
      </c>
      <c r="J130" s="48"/>
    </row>
    <row r="131" spans="1:74" ht="13.5" customHeight="1" x14ac:dyDescent="0.25">
      <c r="A131" s="10" t="s">
        <v>669</v>
      </c>
      <c r="B131" s="9" t="s">
        <v>847</v>
      </c>
      <c r="C131" s="9" t="s">
        <v>761</v>
      </c>
      <c r="D131" s="76" t="s">
        <v>299</v>
      </c>
      <c r="E131" s="77"/>
      <c r="F131" s="9" t="s">
        <v>1095</v>
      </c>
      <c r="G131" s="56">
        <v>7</v>
      </c>
      <c r="H131" s="56">
        <v>0</v>
      </c>
      <c r="I131" s="56">
        <f>G131*H131</f>
        <v>0</v>
      </c>
      <c r="J131" s="54" t="s">
        <v>501</v>
      </c>
      <c r="Y131" s="56">
        <f>IF(AP131="5",BI131,0)</f>
        <v>0</v>
      </c>
      <c r="AA131" s="56">
        <f>IF(AP131="1",BG131,0)</f>
        <v>0</v>
      </c>
      <c r="AB131" s="56">
        <f>IF(AP131="1",BH131,0)</f>
        <v>0</v>
      </c>
      <c r="AC131" s="56">
        <f>IF(AP131="7",BG131,0)</f>
        <v>0</v>
      </c>
      <c r="AD131" s="56">
        <f>IF(AP131="7",BH131,0)</f>
        <v>0</v>
      </c>
      <c r="AE131" s="56">
        <f>IF(AP131="2",BG131,0)</f>
        <v>0</v>
      </c>
      <c r="AF131" s="56">
        <f>IF(AP131="2",BH131,0)</f>
        <v>0</v>
      </c>
      <c r="AG131" s="56">
        <f>IF(AP131="0",BI131,0)</f>
        <v>0</v>
      </c>
      <c r="AH131" s="30" t="s">
        <v>847</v>
      </c>
      <c r="AI131" s="56">
        <f>IF(AM131=0,I131,0)</f>
        <v>0</v>
      </c>
      <c r="AJ131" s="56">
        <f>IF(AM131=15,I131,0)</f>
        <v>0</v>
      </c>
      <c r="AK131" s="56">
        <f>IF(AM131=21,I131,0)</f>
        <v>0</v>
      </c>
      <c r="AM131" s="56">
        <v>21</v>
      </c>
      <c r="AN131" s="56">
        <f>H131*0.113940774487472</f>
        <v>0</v>
      </c>
      <c r="AO131" s="56">
        <f>H131*(1-0.113940774487472)</f>
        <v>0</v>
      </c>
      <c r="AP131" s="41" t="s">
        <v>1109</v>
      </c>
      <c r="AU131" s="56">
        <f>AV131+AW131</f>
        <v>0</v>
      </c>
      <c r="AV131" s="56">
        <f>G131*AN131</f>
        <v>0</v>
      </c>
      <c r="AW131" s="56">
        <f>G131*AO131</f>
        <v>0</v>
      </c>
      <c r="AX131" s="41" t="s">
        <v>1100</v>
      </c>
      <c r="AY131" s="41" t="s">
        <v>856</v>
      </c>
      <c r="AZ131" s="30" t="s">
        <v>1000</v>
      </c>
      <c r="BB131" s="56">
        <f>AV131+AW131</f>
        <v>0</v>
      </c>
      <c r="BC131" s="56">
        <f>H131/(100-BD131)*100</f>
        <v>0</v>
      </c>
      <c r="BD131" s="56">
        <v>0</v>
      </c>
      <c r="BE131" s="56" t="e">
        <f>#REF!</f>
        <v>#REF!</v>
      </c>
      <c r="BG131" s="56">
        <f>G131*AN131</f>
        <v>0</v>
      </c>
      <c r="BH131" s="56">
        <f>G131*AO131</f>
        <v>0</v>
      </c>
      <c r="BI131" s="56">
        <f>G131*H131</f>
        <v>0</v>
      </c>
      <c r="BJ131" s="56"/>
      <c r="BK131" s="56">
        <v>59</v>
      </c>
      <c r="BV131" s="56">
        <v>21</v>
      </c>
    </row>
    <row r="132" spans="1:74" ht="13.5" customHeight="1" x14ac:dyDescent="0.25">
      <c r="A132" s="57" t="s">
        <v>716</v>
      </c>
      <c r="B132" s="50" t="s">
        <v>847</v>
      </c>
      <c r="C132" s="50" t="s">
        <v>742</v>
      </c>
      <c r="D132" s="135" t="s">
        <v>144</v>
      </c>
      <c r="E132" s="136"/>
      <c r="F132" s="50" t="s">
        <v>1095</v>
      </c>
      <c r="G132" s="31">
        <v>0.7</v>
      </c>
      <c r="H132" s="31">
        <v>0</v>
      </c>
      <c r="I132" s="31">
        <f>G132*H132</f>
        <v>0</v>
      </c>
      <c r="J132" s="47" t="s">
        <v>501</v>
      </c>
      <c r="Y132" s="56">
        <f>IF(AP132="5",BI132,0)</f>
        <v>0</v>
      </c>
      <c r="AA132" s="56">
        <f>IF(AP132="1",BG132,0)</f>
        <v>0</v>
      </c>
      <c r="AB132" s="56">
        <f>IF(AP132="1",BH132,0)</f>
        <v>0</v>
      </c>
      <c r="AC132" s="56">
        <f>IF(AP132="7",BG132,0)</f>
        <v>0</v>
      </c>
      <c r="AD132" s="56">
        <f>IF(AP132="7",BH132,0)</f>
        <v>0</v>
      </c>
      <c r="AE132" s="56">
        <f>IF(AP132="2",BG132,0)</f>
        <v>0</v>
      </c>
      <c r="AF132" s="56">
        <f>IF(AP132="2",BH132,0)</f>
        <v>0</v>
      </c>
      <c r="AG132" s="56">
        <f>IF(AP132="0",BI132,0)</f>
        <v>0</v>
      </c>
      <c r="AH132" s="30" t="s">
        <v>847</v>
      </c>
      <c r="AI132" s="31">
        <f>IF(AM132=0,I132,0)</f>
        <v>0</v>
      </c>
      <c r="AJ132" s="31">
        <f>IF(AM132=15,I132,0)</f>
        <v>0</v>
      </c>
      <c r="AK132" s="31">
        <f>IF(AM132=21,I132,0)</f>
        <v>0</v>
      </c>
      <c r="AM132" s="56">
        <v>21</v>
      </c>
      <c r="AN132" s="56">
        <f>H132*1</f>
        <v>0</v>
      </c>
      <c r="AO132" s="56">
        <f>H132*(1-1)</f>
        <v>0</v>
      </c>
      <c r="AP132" s="58" t="s">
        <v>1109</v>
      </c>
      <c r="AU132" s="56">
        <f>AV132+AW132</f>
        <v>0</v>
      </c>
      <c r="AV132" s="56">
        <f>G132*AN132</f>
        <v>0</v>
      </c>
      <c r="AW132" s="56">
        <f>G132*AO132</f>
        <v>0</v>
      </c>
      <c r="AX132" s="41" t="s">
        <v>1100</v>
      </c>
      <c r="AY132" s="41" t="s">
        <v>856</v>
      </c>
      <c r="AZ132" s="30" t="s">
        <v>1000</v>
      </c>
      <c r="BB132" s="56">
        <f>AV132+AW132</f>
        <v>0</v>
      </c>
      <c r="BC132" s="56">
        <f>H132/(100-BD132)*100</f>
        <v>0</v>
      </c>
      <c r="BD132" s="56">
        <v>0</v>
      </c>
      <c r="BE132" s="56" t="e">
        <f>#REF!</f>
        <v>#REF!</v>
      </c>
      <c r="BG132" s="31">
        <f>G132*AN132</f>
        <v>0</v>
      </c>
      <c r="BH132" s="31">
        <f>G132*AO132</f>
        <v>0</v>
      </c>
      <c r="BI132" s="31">
        <f>G132*H132</f>
        <v>0</v>
      </c>
      <c r="BJ132" s="31"/>
      <c r="BK132" s="56">
        <v>59</v>
      </c>
      <c r="BV132" s="56">
        <v>21</v>
      </c>
    </row>
    <row r="133" spans="1:74" ht="15" customHeight="1" x14ac:dyDescent="0.25">
      <c r="A133" s="53"/>
      <c r="D133" s="52" t="s">
        <v>613</v>
      </c>
      <c r="E133" s="37" t="s">
        <v>412</v>
      </c>
      <c r="G133" s="21">
        <v>0.70000000000000007</v>
      </c>
      <c r="J133" s="48"/>
    </row>
    <row r="134" spans="1:74" ht="13.5" customHeight="1" x14ac:dyDescent="0.25">
      <c r="A134" s="10" t="s">
        <v>394</v>
      </c>
      <c r="B134" s="9" t="s">
        <v>847</v>
      </c>
      <c r="C134" s="9" t="s">
        <v>848</v>
      </c>
      <c r="D134" s="76" t="s">
        <v>750</v>
      </c>
      <c r="E134" s="77"/>
      <c r="F134" s="9" t="s">
        <v>1095</v>
      </c>
      <c r="G134" s="56">
        <v>2</v>
      </c>
      <c r="H134" s="56">
        <v>0</v>
      </c>
      <c r="I134" s="56">
        <f>G134*H134</f>
        <v>0</v>
      </c>
      <c r="J134" s="54" t="s">
        <v>501</v>
      </c>
      <c r="Y134" s="56">
        <f>IF(AP134="5",BI134,0)</f>
        <v>0</v>
      </c>
      <c r="AA134" s="56">
        <f>IF(AP134="1",BG134,0)</f>
        <v>0</v>
      </c>
      <c r="AB134" s="56">
        <f>IF(AP134="1",BH134,0)</f>
        <v>0</v>
      </c>
      <c r="AC134" s="56">
        <f>IF(AP134="7",BG134,0)</f>
        <v>0</v>
      </c>
      <c r="AD134" s="56">
        <f>IF(AP134="7",BH134,0)</f>
        <v>0</v>
      </c>
      <c r="AE134" s="56">
        <f>IF(AP134="2",BG134,0)</f>
        <v>0</v>
      </c>
      <c r="AF134" s="56">
        <f>IF(AP134="2",BH134,0)</f>
        <v>0</v>
      </c>
      <c r="AG134" s="56">
        <f>IF(AP134="0",BI134,0)</f>
        <v>0</v>
      </c>
      <c r="AH134" s="30" t="s">
        <v>847</v>
      </c>
      <c r="AI134" s="56">
        <f>IF(AM134=0,I134,0)</f>
        <v>0</v>
      </c>
      <c r="AJ134" s="56">
        <f>IF(AM134=15,I134,0)</f>
        <v>0</v>
      </c>
      <c r="AK134" s="56">
        <f>IF(AM134=21,I134,0)</f>
        <v>0</v>
      </c>
      <c r="AM134" s="56">
        <v>21</v>
      </c>
      <c r="AN134" s="56">
        <f>H134*0.0616990291262136</f>
        <v>0</v>
      </c>
      <c r="AO134" s="56">
        <f>H134*(1-0.0616990291262136)</f>
        <v>0</v>
      </c>
      <c r="AP134" s="41" t="s">
        <v>1109</v>
      </c>
      <c r="AU134" s="56">
        <f>AV134+AW134</f>
        <v>0</v>
      </c>
      <c r="AV134" s="56">
        <f>G134*AN134</f>
        <v>0</v>
      </c>
      <c r="AW134" s="56">
        <f>G134*AO134</f>
        <v>0</v>
      </c>
      <c r="AX134" s="41" t="s">
        <v>1100</v>
      </c>
      <c r="AY134" s="41" t="s">
        <v>856</v>
      </c>
      <c r="AZ134" s="30" t="s">
        <v>1000</v>
      </c>
      <c r="BB134" s="56">
        <f>AV134+AW134</f>
        <v>0</v>
      </c>
      <c r="BC134" s="56">
        <f>H134/(100-BD134)*100</f>
        <v>0</v>
      </c>
      <c r="BD134" s="56">
        <v>0</v>
      </c>
      <c r="BE134" s="56" t="e">
        <f>#REF!</f>
        <v>#REF!</v>
      </c>
      <c r="BG134" s="56">
        <f>G134*AN134</f>
        <v>0</v>
      </c>
      <c r="BH134" s="56">
        <f>G134*AO134</f>
        <v>0</v>
      </c>
      <c r="BI134" s="56">
        <f>G134*H134</f>
        <v>0</v>
      </c>
      <c r="BJ134" s="56"/>
      <c r="BK134" s="56">
        <v>59</v>
      </c>
      <c r="BV134" s="56">
        <v>21</v>
      </c>
    </row>
    <row r="135" spans="1:74" ht="15" customHeight="1" x14ac:dyDescent="0.25">
      <c r="A135" s="27" t="s">
        <v>769</v>
      </c>
      <c r="B135" s="28" t="s">
        <v>847</v>
      </c>
      <c r="C135" s="28" t="s">
        <v>552</v>
      </c>
      <c r="D135" s="132" t="s">
        <v>509</v>
      </c>
      <c r="E135" s="133"/>
      <c r="F135" s="23" t="s">
        <v>1027</v>
      </c>
      <c r="G135" s="23" t="s">
        <v>1027</v>
      </c>
      <c r="H135" s="23" t="s">
        <v>1027</v>
      </c>
      <c r="I135" s="14">
        <f>SUM(I136:I162)</f>
        <v>0</v>
      </c>
      <c r="J135" s="44" t="s">
        <v>769</v>
      </c>
      <c r="AH135" s="30" t="s">
        <v>847</v>
      </c>
      <c r="AR135" s="14">
        <f>SUM(AI136:AI162)</f>
        <v>0</v>
      </c>
      <c r="AS135" s="14">
        <f>SUM(AJ136:AJ162)</f>
        <v>0</v>
      </c>
      <c r="AT135" s="14">
        <f>SUM(AK136:AK162)</f>
        <v>0</v>
      </c>
    </row>
    <row r="136" spans="1:74" ht="13.5" customHeight="1" x14ac:dyDescent="0.25">
      <c r="A136" s="10" t="s">
        <v>1096</v>
      </c>
      <c r="B136" s="9" t="s">
        <v>847</v>
      </c>
      <c r="C136" s="9" t="s">
        <v>527</v>
      </c>
      <c r="D136" s="76" t="s">
        <v>631</v>
      </c>
      <c r="E136" s="77"/>
      <c r="F136" s="9" t="s">
        <v>275</v>
      </c>
      <c r="G136" s="56">
        <v>5</v>
      </c>
      <c r="H136" s="56">
        <v>0</v>
      </c>
      <c r="I136" s="56">
        <f>G136*H136</f>
        <v>0</v>
      </c>
      <c r="J136" s="54" t="s">
        <v>501</v>
      </c>
      <c r="Y136" s="56">
        <f>IF(AP136="5",BI136,0)</f>
        <v>0</v>
      </c>
      <c r="AA136" s="56">
        <f>IF(AP136="1",BG136,0)</f>
        <v>0</v>
      </c>
      <c r="AB136" s="56">
        <f>IF(AP136="1",BH136,0)</f>
        <v>0</v>
      </c>
      <c r="AC136" s="56">
        <f>IF(AP136="7",BG136,0)</f>
        <v>0</v>
      </c>
      <c r="AD136" s="56">
        <f>IF(AP136="7",BH136,0)</f>
        <v>0</v>
      </c>
      <c r="AE136" s="56">
        <f>IF(AP136="2",BG136,0)</f>
        <v>0</v>
      </c>
      <c r="AF136" s="56">
        <f>IF(AP136="2",BH136,0)</f>
        <v>0</v>
      </c>
      <c r="AG136" s="56">
        <f>IF(AP136="0",BI136,0)</f>
        <v>0</v>
      </c>
      <c r="AH136" s="30" t="s">
        <v>847</v>
      </c>
      <c r="AI136" s="56">
        <f>IF(AM136=0,I136,0)</f>
        <v>0</v>
      </c>
      <c r="AJ136" s="56">
        <f>IF(AM136=15,I136,0)</f>
        <v>0</v>
      </c>
      <c r="AK136" s="56">
        <f>IF(AM136=21,I136,0)</f>
        <v>0</v>
      </c>
      <c r="AM136" s="56">
        <v>21</v>
      </c>
      <c r="AN136" s="56">
        <f>H136*0.21</f>
        <v>0</v>
      </c>
      <c r="AO136" s="56">
        <f>H136*(1-0.21)</f>
        <v>0</v>
      </c>
      <c r="AP136" s="41" t="s">
        <v>1109</v>
      </c>
      <c r="AU136" s="56">
        <f>AV136+AW136</f>
        <v>0</v>
      </c>
      <c r="AV136" s="56">
        <f>G136*AN136</f>
        <v>0</v>
      </c>
      <c r="AW136" s="56">
        <f>G136*AO136</f>
        <v>0</v>
      </c>
      <c r="AX136" s="41" t="s">
        <v>958</v>
      </c>
      <c r="AY136" s="41" t="s">
        <v>246</v>
      </c>
      <c r="AZ136" s="30" t="s">
        <v>1000</v>
      </c>
      <c r="BB136" s="56">
        <f>AV136+AW136</f>
        <v>0</v>
      </c>
      <c r="BC136" s="56">
        <f>H136/(100-BD136)*100</f>
        <v>0</v>
      </c>
      <c r="BD136" s="56">
        <v>0</v>
      </c>
      <c r="BE136" s="56" t="e">
        <f>#REF!</f>
        <v>#REF!</v>
      </c>
      <c r="BG136" s="56">
        <f>G136*AN136</f>
        <v>0</v>
      </c>
      <c r="BH136" s="56">
        <f>G136*AO136</f>
        <v>0</v>
      </c>
      <c r="BI136" s="56">
        <f>G136*H136</f>
        <v>0</v>
      </c>
      <c r="BJ136" s="56"/>
      <c r="BK136" s="56">
        <v>85</v>
      </c>
      <c r="BV136" s="56">
        <v>21</v>
      </c>
    </row>
    <row r="137" spans="1:74" ht="13.5" customHeight="1" x14ac:dyDescent="0.25">
      <c r="A137" s="57" t="s">
        <v>196</v>
      </c>
      <c r="B137" s="50" t="s">
        <v>847</v>
      </c>
      <c r="C137" s="50" t="s">
        <v>51</v>
      </c>
      <c r="D137" s="135" t="s">
        <v>350</v>
      </c>
      <c r="E137" s="136"/>
      <c r="F137" s="50" t="s">
        <v>275</v>
      </c>
      <c r="G137" s="31">
        <v>2</v>
      </c>
      <c r="H137" s="31">
        <v>0</v>
      </c>
      <c r="I137" s="31">
        <f>G137*H137</f>
        <v>0</v>
      </c>
      <c r="J137" s="47" t="s">
        <v>501</v>
      </c>
      <c r="Y137" s="56">
        <f>IF(AP137="5",BI137,0)</f>
        <v>0</v>
      </c>
      <c r="AA137" s="56">
        <f>IF(AP137="1",BG137,0)</f>
        <v>0</v>
      </c>
      <c r="AB137" s="56">
        <f>IF(AP137="1",BH137,0)</f>
        <v>0</v>
      </c>
      <c r="AC137" s="56">
        <f>IF(AP137="7",BG137,0)</f>
        <v>0</v>
      </c>
      <c r="AD137" s="56">
        <f>IF(AP137="7",BH137,0)</f>
        <v>0</v>
      </c>
      <c r="AE137" s="56">
        <f>IF(AP137="2",BG137,0)</f>
        <v>0</v>
      </c>
      <c r="AF137" s="56">
        <f>IF(AP137="2",BH137,0)</f>
        <v>0</v>
      </c>
      <c r="AG137" s="56">
        <f>IF(AP137="0",BI137,0)</f>
        <v>0</v>
      </c>
      <c r="AH137" s="30" t="s">
        <v>847</v>
      </c>
      <c r="AI137" s="31">
        <f>IF(AM137=0,I137,0)</f>
        <v>0</v>
      </c>
      <c r="AJ137" s="31">
        <f>IF(AM137=15,I137,0)</f>
        <v>0</v>
      </c>
      <c r="AK137" s="31">
        <f>IF(AM137=21,I137,0)</f>
        <v>0</v>
      </c>
      <c r="AM137" s="56">
        <v>21</v>
      </c>
      <c r="AN137" s="56">
        <f>H137*1</f>
        <v>0</v>
      </c>
      <c r="AO137" s="56">
        <f>H137*(1-1)</f>
        <v>0</v>
      </c>
      <c r="AP137" s="58" t="s">
        <v>1109</v>
      </c>
      <c r="AU137" s="56">
        <f>AV137+AW137</f>
        <v>0</v>
      </c>
      <c r="AV137" s="56">
        <f>G137*AN137</f>
        <v>0</v>
      </c>
      <c r="AW137" s="56">
        <f>G137*AO137</f>
        <v>0</v>
      </c>
      <c r="AX137" s="41" t="s">
        <v>958</v>
      </c>
      <c r="AY137" s="41" t="s">
        <v>246</v>
      </c>
      <c r="AZ137" s="30" t="s">
        <v>1000</v>
      </c>
      <c r="BB137" s="56">
        <f>AV137+AW137</f>
        <v>0</v>
      </c>
      <c r="BC137" s="56">
        <f>H137/(100-BD137)*100</f>
        <v>0</v>
      </c>
      <c r="BD137" s="56">
        <v>0</v>
      </c>
      <c r="BE137" s="56" t="e">
        <f>#REF!</f>
        <v>#REF!</v>
      </c>
      <c r="BG137" s="31">
        <f>G137*AN137</f>
        <v>0</v>
      </c>
      <c r="BH137" s="31">
        <f>G137*AO137</f>
        <v>0</v>
      </c>
      <c r="BI137" s="31">
        <f>G137*H137</f>
        <v>0</v>
      </c>
      <c r="BJ137" s="31"/>
      <c r="BK137" s="56">
        <v>85</v>
      </c>
      <c r="BV137" s="56">
        <v>21</v>
      </c>
    </row>
    <row r="138" spans="1:74" ht="15" customHeight="1" x14ac:dyDescent="0.25">
      <c r="A138" s="53"/>
      <c r="D138" s="52" t="s">
        <v>766</v>
      </c>
      <c r="E138" s="37" t="s">
        <v>291</v>
      </c>
      <c r="G138" s="21">
        <v>2</v>
      </c>
      <c r="J138" s="48"/>
    </row>
    <row r="139" spans="1:74" ht="13.5" customHeight="1" x14ac:dyDescent="0.25">
      <c r="A139" s="57" t="s">
        <v>370</v>
      </c>
      <c r="B139" s="50" t="s">
        <v>847</v>
      </c>
      <c r="C139" s="50" t="s">
        <v>704</v>
      </c>
      <c r="D139" s="135" t="s">
        <v>469</v>
      </c>
      <c r="E139" s="136"/>
      <c r="F139" s="50" t="s">
        <v>275</v>
      </c>
      <c r="G139" s="31">
        <v>1</v>
      </c>
      <c r="H139" s="31">
        <v>0</v>
      </c>
      <c r="I139" s="31">
        <f>G139*H139</f>
        <v>0</v>
      </c>
      <c r="J139" s="47" t="s">
        <v>501</v>
      </c>
      <c r="Y139" s="56">
        <f>IF(AP139="5",BI139,0)</f>
        <v>0</v>
      </c>
      <c r="AA139" s="56">
        <f>IF(AP139="1",BG139,0)</f>
        <v>0</v>
      </c>
      <c r="AB139" s="56">
        <f>IF(AP139="1",BH139,0)</f>
        <v>0</v>
      </c>
      <c r="AC139" s="56">
        <f>IF(AP139="7",BG139,0)</f>
        <v>0</v>
      </c>
      <c r="AD139" s="56">
        <f>IF(AP139="7",BH139,0)</f>
        <v>0</v>
      </c>
      <c r="AE139" s="56">
        <f>IF(AP139="2",BG139,0)</f>
        <v>0</v>
      </c>
      <c r="AF139" s="56">
        <f>IF(AP139="2",BH139,0)</f>
        <v>0</v>
      </c>
      <c r="AG139" s="56">
        <f>IF(AP139="0",BI139,0)</f>
        <v>0</v>
      </c>
      <c r="AH139" s="30" t="s">
        <v>847</v>
      </c>
      <c r="AI139" s="31">
        <f>IF(AM139=0,I139,0)</f>
        <v>0</v>
      </c>
      <c r="AJ139" s="31">
        <f>IF(AM139=15,I139,0)</f>
        <v>0</v>
      </c>
      <c r="AK139" s="31">
        <f>IF(AM139=21,I139,0)</f>
        <v>0</v>
      </c>
      <c r="AM139" s="56">
        <v>21</v>
      </c>
      <c r="AN139" s="56">
        <f>H139*1</f>
        <v>0</v>
      </c>
      <c r="AO139" s="56">
        <f>H139*(1-1)</f>
        <v>0</v>
      </c>
      <c r="AP139" s="58" t="s">
        <v>1109</v>
      </c>
      <c r="AU139" s="56">
        <f>AV139+AW139</f>
        <v>0</v>
      </c>
      <c r="AV139" s="56">
        <f>G139*AN139</f>
        <v>0</v>
      </c>
      <c r="AW139" s="56">
        <f>G139*AO139</f>
        <v>0</v>
      </c>
      <c r="AX139" s="41" t="s">
        <v>958</v>
      </c>
      <c r="AY139" s="41" t="s">
        <v>246</v>
      </c>
      <c r="AZ139" s="30" t="s">
        <v>1000</v>
      </c>
      <c r="BB139" s="56">
        <f>AV139+AW139</f>
        <v>0</v>
      </c>
      <c r="BC139" s="56">
        <f>H139/(100-BD139)*100</f>
        <v>0</v>
      </c>
      <c r="BD139" s="56">
        <v>0</v>
      </c>
      <c r="BE139" s="56" t="e">
        <f>#REF!</f>
        <v>#REF!</v>
      </c>
      <c r="BG139" s="31">
        <f>G139*AN139</f>
        <v>0</v>
      </c>
      <c r="BH139" s="31">
        <f>G139*AO139</f>
        <v>0</v>
      </c>
      <c r="BI139" s="31">
        <f>G139*H139</f>
        <v>0</v>
      </c>
      <c r="BJ139" s="31"/>
      <c r="BK139" s="56">
        <v>85</v>
      </c>
      <c r="BV139" s="56">
        <v>21</v>
      </c>
    </row>
    <row r="140" spans="1:74" ht="15" customHeight="1" x14ac:dyDescent="0.25">
      <c r="A140" s="53"/>
      <c r="D140" s="52" t="s">
        <v>1109</v>
      </c>
      <c r="E140" s="37" t="s">
        <v>224</v>
      </c>
      <c r="G140" s="21">
        <v>1</v>
      </c>
      <c r="J140" s="48"/>
    </row>
    <row r="141" spans="1:74" ht="13.5" customHeight="1" x14ac:dyDescent="0.25">
      <c r="A141" s="57" t="s">
        <v>491</v>
      </c>
      <c r="B141" s="50" t="s">
        <v>847</v>
      </c>
      <c r="C141" s="50" t="s">
        <v>954</v>
      </c>
      <c r="D141" s="135" t="s">
        <v>1175</v>
      </c>
      <c r="E141" s="136"/>
      <c r="F141" s="50" t="s">
        <v>275</v>
      </c>
      <c r="G141" s="31">
        <v>2</v>
      </c>
      <c r="H141" s="31">
        <v>0</v>
      </c>
      <c r="I141" s="31">
        <f>G141*H141</f>
        <v>0</v>
      </c>
      <c r="J141" s="47" t="s">
        <v>501</v>
      </c>
      <c r="Y141" s="56">
        <f>IF(AP141="5",BI141,0)</f>
        <v>0</v>
      </c>
      <c r="AA141" s="56">
        <f>IF(AP141="1",BG141,0)</f>
        <v>0</v>
      </c>
      <c r="AB141" s="56">
        <f>IF(AP141="1",BH141,0)</f>
        <v>0</v>
      </c>
      <c r="AC141" s="56">
        <f>IF(AP141="7",BG141,0)</f>
        <v>0</v>
      </c>
      <c r="AD141" s="56">
        <f>IF(AP141="7",BH141,0)</f>
        <v>0</v>
      </c>
      <c r="AE141" s="56">
        <f>IF(AP141="2",BG141,0)</f>
        <v>0</v>
      </c>
      <c r="AF141" s="56">
        <f>IF(AP141="2",BH141,0)</f>
        <v>0</v>
      </c>
      <c r="AG141" s="56">
        <f>IF(AP141="0",BI141,0)</f>
        <v>0</v>
      </c>
      <c r="AH141" s="30" t="s">
        <v>847</v>
      </c>
      <c r="AI141" s="31">
        <f>IF(AM141=0,I141,0)</f>
        <v>0</v>
      </c>
      <c r="AJ141" s="31">
        <f>IF(AM141=15,I141,0)</f>
        <v>0</v>
      </c>
      <c r="AK141" s="31">
        <f>IF(AM141=21,I141,0)</f>
        <v>0</v>
      </c>
      <c r="AM141" s="56">
        <v>21</v>
      </c>
      <c r="AN141" s="56">
        <f>H141*1</f>
        <v>0</v>
      </c>
      <c r="AO141" s="56">
        <f>H141*(1-1)</f>
        <v>0</v>
      </c>
      <c r="AP141" s="58" t="s">
        <v>1109</v>
      </c>
      <c r="AU141" s="56">
        <f>AV141+AW141</f>
        <v>0</v>
      </c>
      <c r="AV141" s="56">
        <f>G141*AN141</f>
        <v>0</v>
      </c>
      <c r="AW141" s="56">
        <f>G141*AO141</f>
        <v>0</v>
      </c>
      <c r="AX141" s="41" t="s">
        <v>958</v>
      </c>
      <c r="AY141" s="41" t="s">
        <v>246</v>
      </c>
      <c r="AZ141" s="30" t="s">
        <v>1000</v>
      </c>
      <c r="BB141" s="56">
        <f>AV141+AW141</f>
        <v>0</v>
      </c>
      <c r="BC141" s="56">
        <f>H141/(100-BD141)*100</f>
        <v>0</v>
      </c>
      <c r="BD141" s="56">
        <v>0</v>
      </c>
      <c r="BE141" s="56" t="e">
        <f>#REF!</f>
        <v>#REF!</v>
      </c>
      <c r="BG141" s="31">
        <f>G141*AN141</f>
        <v>0</v>
      </c>
      <c r="BH141" s="31">
        <f>G141*AO141</f>
        <v>0</v>
      </c>
      <c r="BI141" s="31">
        <f>G141*H141</f>
        <v>0</v>
      </c>
      <c r="BJ141" s="31"/>
      <c r="BK141" s="56">
        <v>85</v>
      </c>
      <c r="BV141" s="56">
        <v>21</v>
      </c>
    </row>
    <row r="142" spans="1:74" ht="15" customHeight="1" x14ac:dyDescent="0.25">
      <c r="A142" s="53"/>
      <c r="D142" s="52" t="s">
        <v>766</v>
      </c>
      <c r="E142" s="37" t="s">
        <v>473</v>
      </c>
      <c r="G142" s="21">
        <v>2</v>
      </c>
      <c r="J142" s="48"/>
    </row>
    <row r="143" spans="1:74" ht="13.5" customHeight="1" x14ac:dyDescent="0.25">
      <c r="A143" s="10" t="s">
        <v>393</v>
      </c>
      <c r="B143" s="9" t="s">
        <v>847</v>
      </c>
      <c r="C143" s="9" t="s">
        <v>1237</v>
      </c>
      <c r="D143" s="76" t="s">
        <v>913</v>
      </c>
      <c r="E143" s="77"/>
      <c r="F143" s="9" t="s">
        <v>275</v>
      </c>
      <c r="G143" s="56">
        <v>1</v>
      </c>
      <c r="H143" s="56">
        <v>0</v>
      </c>
      <c r="I143" s="56">
        <f>G143*H143</f>
        <v>0</v>
      </c>
      <c r="J143" s="54" t="s">
        <v>501</v>
      </c>
      <c r="Y143" s="56">
        <f>IF(AP143="5",BI143,0)</f>
        <v>0</v>
      </c>
      <c r="AA143" s="56">
        <f>IF(AP143="1",BG143,0)</f>
        <v>0</v>
      </c>
      <c r="AB143" s="56">
        <f>IF(AP143="1",BH143,0)</f>
        <v>0</v>
      </c>
      <c r="AC143" s="56">
        <f>IF(AP143="7",BG143,0)</f>
        <v>0</v>
      </c>
      <c r="AD143" s="56">
        <f>IF(AP143="7",BH143,0)</f>
        <v>0</v>
      </c>
      <c r="AE143" s="56">
        <f>IF(AP143="2",BG143,0)</f>
        <v>0</v>
      </c>
      <c r="AF143" s="56">
        <f>IF(AP143="2",BH143,0)</f>
        <v>0</v>
      </c>
      <c r="AG143" s="56">
        <f>IF(AP143="0",BI143,0)</f>
        <v>0</v>
      </c>
      <c r="AH143" s="30" t="s">
        <v>847</v>
      </c>
      <c r="AI143" s="56">
        <f>IF(AM143=0,I143,0)</f>
        <v>0</v>
      </c>
      <c r="AJ143" s="56">
        <f>IF(AM143=15,I143,0)</f>
        <v>0</v>
      </c>
      <c r="AK143" s="56">
        <f>IF(AM143=21,I143,0)</f>
        <v>0</v>
      </c>
      <c r="AM143" s="56">
        <v>21</v>
      </c>
      <c r="AN143" s="56">
        <f>H143*0.302760252365931</f>
        <v>0</v>
      </c>
      <c r="AO143" s="56">
        <f>H143*(1-0.302760252365931)</f>
        <v>0</v>
      </c>
      <c r="AP143" s="41" t="s">
        <v>1109</v>
      </c>
      <c r="AU143" s="56">
        <f>AV143+AW143</f>
        <v>0</v>
      </c>
      <c r="AV143" s="56">
        <f>G143*AN143</f>
        <v>0</v>
      </c>
      <c r="AW143" s="56">
        <f>G143*AO143</f>
        <v>0</v>
      </c>
      <c r="AX143" s="41" t="s">
        <v>958</v>
      </c>
      <c r="AY143" s="41" t="s">
        <v>246</v>
      </c>
      <c r="AZ143" s="30" t="s">
        <v>1000</v>
      </c>
      <c r="BB143" s="56">
        <f>AV143+AW143</f>
        <v>0</v>
      </c>
      <c r="BC143" s="56">
        <f>H143/(100-BD143)*100</f>
        <v>0</v>
      </c>
      <c r="BD143" s="56">
        <v>0</v>
      </c>
      <c r="BE143" s="56" t="e">
        <f>#REF!</f>
        <v>#REF!</v>
      </c>
      <c r="BG143" s="56">
        <f>G143*AN143</f>
        <v>0</v>
      </c>
      <c r="BH143" s="56">
        <f>G143*AO143</f>
        <v>0</v>
      </c>
      <c r="BI143" s="56">
        <f>G143*H143</f>
        <v>0</v>
      </c>
      <c r="BJ143" s="56"/>
      <c r="BK143" s="56">
        <v>85</v>
      </c>
      <c r="BV143" s="56">
        <v>21</v>
      </c>
    </row>
    <row r="144" spans="1:74" ht="13.5" customHeight="1" x14ac:dyDescent="0.25">
      <c r="A144" s="57" t="s">
        <v>886</v>
      </c>
      <c r="B144" s="50" t="s">
        <v>847</v>
      </c>
      <c r="C144" s="50" t="s">
        <v>172</v>
      </c>
      <c r="D144" s="135" t="s">
        <v>771</v>
      </c>
      <c r="E144" s="136"/>
      <c r="F144" s="50" t="s">
        <v>275</v>
      </c>
      <c r="G144" s="31">
        <v>1</v>
      </c>
      <c r="H144" s="31">
        <v>0</v>
      </c>
      <c r="I144" s="31">
        <f>G144*H144</f>
        <v>0</v>
      </c>
      <c r="J144" s="47" t="s">
        <v>501</v>
      </c>
      <c r="Y144" s="56">
        <f>IF(AP144="5",BI144,0)</f>
        <v>0</v>
      </c>
      <c r="AA144" s="56">
        <f>IF(AP144="1",BG144,0)</f>
        <v>0</v>
      </c>
      <c r="AB144" s="56">
        <f>IF(AP144="1",BH144,0)</f>
        <v>0</v>
      </c>
      <c r="AC144" s="56">
        <f>IF(AP144="7",BG144,0)</f>
        <v>0</v>
      </c>
      <c r="AD144" s="56">
        <f>IF(AP144="7",BH144,0)</f>
        <v>0</v>
      </c>
      <c r="AE144" s="56">
        <f>IF(AP144="2",BG144,0)</f>
        <v>0</v>
      </c>
      <c r="AF144" s="56">
        <f>IF(AP144="2",BH144,0)</f>
        <v>0</v>
      </c>
      <c r="AG144" s="56">
        <f>IF(AP144="0",BI144,0)</f>
        <v>0</v>
      </c>
      <c r="AH144" s="30" t="s">
        <v>847</v>
      </c>
      <c r="AI144" s="31">
        <f>IF(AM144=0,I144,0)</f>
        <v>0</v>
      </c>
      <c r="AJ144" s="31">
        <f>IF(AM144=15,I144,0)</f>
        <v>0</v>
      </c>
      <c r="AK144" s="31">
        <f>IF(AM144=21,I144,0)</f>
        <v>0</v>
      </c>
      <c r="AM144" s="56">
        <v>21</v>
      </c>
      <c r="AN144" s="56">
        <f>H144*1</f>
        <v>0</v>
      </c>
      <c r="AO144" s="56">
        <f>H144*(1-1)</f>
        <v>0</v>
      </c>
      <c r="AP144" s="58" t="s">
        <v>1109</v>
      </c>
      <c r="AU144" s="56">
        <f>AV144+AW144</f>
        <v>0</v>
      </c>
      <c r="AV144" s="56">
        <f>G144*AN144</f>
        <v>0</v>
      </c>
      <c r="AW144" s="56">
        <f>G144*AO144</f>
        <v>0</v>
      </c>
      <c r="AX144" s="41" t="s">
        <v>958</v>
      </c>
      <c r="AY144" s="41" t="s">
        <v>246</v>
      </c>
      <c r="AZ144" s="30" t="s">
        <v>1000</v>
      </c>
      <c r="BB144" s="56">
        <f>AV144+AW144</f>
        <v>0</v>
      </c>
      <c r="BC144" s="56">
        <f>H144/(100-BD144)*100</f>
        <v>0</v>
      </c>
      <c r="BD144" s="56">
        <v>0</v>
      </c>
      <c r="BE144" s="56" t="e">
        <f>#REF!</f>
        <v>#REF!</v>
      </c>
      <c r="BG144" s="31">
        <f>G144*AN144</f>
        <v>0</v>
      </c>
      <c r="BH144" s="31">
        <f>G144*AO144</f>
        <v>0</v>
      </c>
      <c r="BI144" s="31">
        <f>G144*H144</f>
        <v>0</v>
      </c>
      <c r="BJ144" s="31"/>
      <c r="BK144" s="56">
        <v>85</v>
      </c>
      <c r="BV144" s="56">
        <v>21</v>
      </c>
    </row>
    <row r="145" spans="1:74" ht="15" customHeight="1" x14ac:dyDescent="0.25">
      <c r="A145" s="53"/>
      <c r="D145" s="52" t="s">
        <v>1109</v>
      </c>
      <c r="E145" s="37" t="s">
        <v>44</v>
      </c>
      <c r="G145" s="21">
        <v>1</v>
      </c>
      <c r="J145" s="48"/>
    </row>
    <row r="146" spans="1:74" ht="13.5" customHeight="1" x14ac:dyDescent="0.25">
      <c r="A146" s="10" t="s">
        <v>1139</v>
      </c>
      <c r="B146" s="9" t="s">
        <v>847</v>
      </c>
      <c r="C146" s="9" t="s">
        <v>688</v>
      </c>
      <c r="D146" s="76" t="s">
        <v>630</v>
      </c>
      <c r="E146" s="77"/>
      <c r="F146" s="9" t="s">
        <v>275</v>
      </c>
      <c r="G146" s="56">
        <v>2</v>
      </c>
      <c r="H146" s="56">
        <v>0</v>
      </c>
      <c r="I146" s="56">
        <f>G146*H146</f>
        <v>0</v>
      </c>
      <c r="J146" s="54" t="s">
        <v>501</v>
      </c>
      <c r="Y146" s="56">
        <f>IF(AP146="5",BI146,0)</f>
        <v>0</v>
      </c>
      <c r="AA146" s="56">
        <f>IF(AP146="1",BG146,0)</f>
        <v>0</v>
      </c>
      <c r="AB146" s="56">
        <f>IF(AP146="1",BH146,0)</f>
        <v>0</v>
      </c>
      <c r="AC146" s="56">
        <f>IF(AP146="7",BG146,0)</f>
        <v>0</v>
      </c>
      <c r="AD146" s="56">
        <f>IF(AP146="7",BH146,0)</f>
        <v>0</v>
      </c>
      <c r="AE146" s="56">
        <f>IF(AP146="2",BG146,0)</f>
        <v>0</v>
      </c>
      <c r="AF146" s="56">
        <f>IF(AP146="2",BH146,0)</f>
        <v>0</v>
      </c>
      <c r="AG146" s="56">
        <f>IF(AP146="0",BI146,0)</f>
        <v>0</v>
      </c>
      <c r="AH146" s="30" t="s">
        <v>847</v>
      </c>
      <c r="AI146" s="56">
        <f>IF(AM146=0,I146,0)</f>
        <v>0</v>
      </c>
      <c r="AJ146" s="56">
        <f>IF(AM146=15,I146,0)</f>
        <v>0</v>
      </c>
      <c r="AK146" s="56">
        <f>IF(AM146=21,I146,0)</f>
        <v>0</v>
      </c>
      <c r="AM146" s="56">
        <v>21</v>
      </c>
      <c r="AN146" s="56">
        <f>H146*0.320712589073634</f>
        <v>0</v>
      </c>
      <c r="AO146" s="56">
        <f>H146*(1-0.320712589073634)</f>
        <v>0</v>
      </c>
      <c r="AP146" s="41" t="s">
        <v>1109</v>
      </c>
      <c r="AU146" s="56">
        <f>AV146+AW146</f>
        <v>0</v>
      </c>
      <c r="AV146" s="56">
        <f>G146*AN146</f>
        <v>0</v>
      </c>
      <c r="AW146" s="56">
        <f>G146*AO146</f>
        <v>0</v>
      </c>
      <c r="AX146" s="41" t="s">
        <v>958</v>
      </c>
      <c r="AY146" s="41" t="s">
        <v>246</v>
      </c>
      <c r="AZ146" s="30" t="s">
        <v>1000</v>
      </c>
      <c r="BB146" s="56">
        <f>AV146+AW146</f>
        <v>0</v>
      </c>
      <c r="BC146" s="56">
        <f>H146/(100-BD146)*100</f>
        <v>0</v>
      </c>
      <c r="BD146" s="56">
        <v>0</v>
      </c>
      <c r="BE146" s="56" t="e">
        <f>#REF!</f>
        <v>#REF!</v>
      </c>
      <c r="BG146" s="56">
        <f>G146*AN146</f>
        <v>0</v>
      </c>
      <c r="BH146" s="56">
        <f>G146*AO146</f>
        <v>0</v>
      </c>
      <c r="BI146" s="56">
        <f>G146*H146</f>
        <v>0</v>
      </c>
      <c r="BJ146" s="56"/>
      <c r="BK146" s="56">
        <v>85</v>
      </c>
      <c r="BV146" s="56">
        <v>21</v>
      </c>
    </row>
    <row r="147" spans="1:74" ht="13.5" customHeight="1" x14ac:dyDescent="0.25">
      <c r="A147" s="57" t="s">
        <v>88</v>
      </c>
      <c r="B147" s="50" t="s">
        <v>847</v>
      </c>
      <c r="C147" s="50" t="s">
        <v>401</v>
      </c>
      <c r="D147" s="135" t="s">
        <v>936</v>
      </c>
      <c r="E147" s="136"/>
      <c r="F147" s="50" t="s">
        <v>275</v>
      </c>
      <c r="G147" s="31">
        <v>1</v>
      </c>
      <c r="H147" s="31">
        <v>0</v>
      </c>
      <c r="I147" s="31">
        <f>G147*H147</f>
        <v>0</v>
      </c>
      <c r="J147" s="47" t="s">
        <v>501</v>
      </c>
      <c r="Y147" s="56">
        <f>IF(AP147="5",BI147,0)</f>
        <v>0</v>
      </c>
      <c r="AA147" s="56">
        <f>IF(AP147="1",BG147,0)</f>
        <v>0</v>
      </c>
      <c r="AB147" s="56">
        <f>IF(AP147="1",BH147,0)</f>
        <v>0</v>
      </c>
      <c r="AC147" s="56">
        <f>IF(AP147="7",BG147,0)</f>
        <v>0</v>
      </c>
      <c r="AD147" s="56">
        <f>IF(AP147="7",BH147,0)</f>
        <v>0</v>
      </c>
      <c r="AE147" s="56">
        <f>IF(AP147="2",BG147,0)</f>
        <v>0</v>
      </c>
      <c r="AF147" s="56">
        <f>IF(AP147="2",BH147,0)</f>
        <v>0</v>
      </c>
      <c r="AG147" s="56">
        <f>IF(AP147="0",BI147,0)</f>
        <v>0</v>
      </c>
      <c r="AH147" s="30" t="s">
        <v>847</v>
      </c>
      <c r="AI147" s="31">
        <f>IF(AM147=0,I147,0)</f>
        <v>0</v>
      </c>
      <c r="AJ147" s="31">
        <f>IF(AM147=15,I147,0)</f>
        <v>0</v>
      </c>
      <c r="AK147" s="31">
        <f>IF(AM147=21,I147,0)</f>
        <v>0</v>
      </c>
      <c r="AM147" s="56">
        <v>21</v>
      </c>
      <c r="AN147" s="56">
        <f>H147*1</f>
        <v>0</v>
      </c>
      <c r="AO147" s="56">
        <f>H147*(1-1)</f>
        <v>0</v>
      </c>
      <c r="AP147" s="58" t="s">
        <v>1109</v>
      </c>
      <c r="AU147" s="56">
        <f>AV147+AW147</f>
        <v>0</v>
      </c>
      <c r="AV147" s="56">
        <f>G147*AN147</f>
        <v>0</v>
      </c>
      <c r="AW147" s="56">
        <f>G147*AO147</f>
        <v>0</v>
      </c>
      <c r="AX147" s="41" t="s">
        <v>958</v>
      </c>
      <c r="AY147" s="41" t="s">
        <v>246</v>
      </c>
      <c r="AZ147" s="30" t="s">
        <v>1000</v>
      </c>
      <c r="BB147" s="56">
        <f>AV147+AW147</f>
        <v>0</v>
      </c>
      <c r="BC147" s="56">
        <f>H147/(100-BD147)*100</f>
        <v>0</v>
      </c>
      <c r="BD147" s="56">
        <v>0</v>
      </c>
      <c r="BE147" s="56" t="e">
        <f>#REF!</f>
        <v>#REF!</v>
      </c>
      <c r="BG147" s="31">
        <f>G147*AN147</f>
        <v>0</v>
      </c>
      <c r="BH147" s="31">
        <f>G147*AO147</f>
        <v>0</v>
      </c>
      <c r="BI147" s="31">
        <f>G147*H147</f>
        <v>0</v>
      </c>
      <c r="BJ147" s="31"/>
      <c r="BK147" s="56">
        <v>85</v>
      </c>
      <c r="BV147" s="56">
        <v>21</v>
      </c>
    </row>
    <row r="148" spans="1:74" ht="15" customHeight="1" x14ac:dyDescent="0.25">
      <c r="A148" s="53"/>
      <c r="D148" s="52" t="s">
        <v>1109</v>
      </c>
      <c r="E148" s="37" t="s">
        <v>781</v>
      </c>
      <c r="G148" s="21">
        <v>1</v>
      </c>
      <c r="J148" s="48"/>
    </row>
    <row r="149" spans="1:74" ht="13.5" customHeight="1" x14ac:dyDescent="0.25">
      <c r="A149" s="57" t="s">
        <v>862</v>
      </c>
      <c r="B149" s="50" t="s">
        <v>847</v>
      </c>
      <c r="C149" s="50" t="s">
        <v>25</v>
      </c>
      <c r="D149" s="135" t="s">
        <v>147</v>
      </c>
      <c r="E149" s="136"/>
      <c r="F149" s="50" t="s">
        <v>275</v>
      </c>
      <c r="G149" s="31">
        <v>1</v>
      </c>
      <c r="H149" s="31">
        <v>0</v>
      </c>
      <c r="I149" s="31">
        <f>G149*H149</f>
        <v>0</v>
      </c>
      <c r="J149" s="47" t="s">
        <v>501</v>
      </c>
      <c r="Y149" s="56">
        <f>IF(AP149="5",BI149,0)</f>
        <v>0</v>
      </c>
      <c r="AA149" s="56">
        <f>IF(AP149="1",BG149,0)</f>
        <v>0</v>
      </c>
      <c r="AB149" s="56">
        <f>IF(AP149="1",BH149,0)</f>
        <v>0</v>
      </c>
      <c r="AC149" s="56">
        <f>IF(AP149="7",BG149,0)</f>
        <v>0</v>
      </c>
      <c r="AD149" s="56">
        <f>IF(AP149="7",BH149,0)</f>
        <v>0</v>
      </c>
      <c r="AE149" s="56">
        <f>IF(AP149="2",BG149,0)</f>
        <v>0</v>
      </c>
      <c r="AF149" s="56">
        <f>IF(AP149="2",BH149,0)</f>
        <v>0</v>
      </c>
      <c r="AG149" s="56">
        <f>IF(AP149="0",BI149,0)</f>
        <v>0</v>
      </c>
      <c r="AH149" s="30" t="s">
        <v>847</v>
      </c>
      <c r="AI149" s="31">
        <f>IF(AM149=0,I149,0)</f>
        <v>0</v>
      </c>
      <c r="AJ149" s="31">
        <f>IF(AM149=15,I149,0)</f>
        <v>0</v>
      </c>
      <c r="AK149" s="31">
        <f>IF(AM149=21,I149,0)</f>
        <v>0</v>
      </c>
      <c r="AM149" s="56">
        <v>21</v>
      </c>
      <c r="AN149" s="56">
        <f>H149*1</f>
        <v>0</v>
      </c>
      <c r="AO149" s="56">
        <f>H149*(1-1)</f>
        <v>0</v>
      </c>
      <c r="AP149" s="58" t="s">
        <v>1109</v>
      </c>
      <c r="AU149" s="56">
        <f>AV149+AW149</f>
        <v>0</v>
      </c>
      <c r="AV149" s="56">
        <f>G149*AN149</f>
        <v>0</v>
      </c>
      <c r="AW149" s="56">
        <f>G149*AO149</f>
        <v>0</v>
      </c>
      <c r="AX149" s="41" t="s">
        <v>958</v>
      </c>
      <c r="AY149" s="41" t="s">
        <v>246</v>
      </c>
      <c r="AZ149" s="30" t="s">
        <v>1000</v>
      </c>
      <c r="BB149" s="56">
        <f>AV149+AW149</f>
        <v>0</v>
      </c>
      <c r="BC149" s="56">
        <f>H149/(100-BD149)*100</f>
        <v>0</v>
      </c>
      <c r="BD149" s="56">
        <v>0</v>
      </c>
      <c r="BE149" s="56" t="e">
        <f>#REF!</f>
        <v>#REF!</v>
      </c>
      <c r="BG149" s="31">
        <f>G149*AN149</f>
        <v>0</v>
      </c>
      <c r="BH149" s="31">
        <f>G149*AO149</f>
        <v>0</v>
      </c>
      <c r="BI149" s="31">
        <f>G149*H149</f>
        <v>0</v>
      </c>
      <c r="BJ149" s="31"/>
      <c r="BK149" s="56">
        <v>85</v>
      </c>
      <c r="BV149" s="56">
        <v>21</v>
      </c>
    </row>
    <row r="150" spans="1:74" ht="15" customHeight="1" x14ac:dyDescent="0.25">
      <c r="A150" s="53"/>
      <c r="D150" s="52" t="s">
        <v>1109</v>
      </c>
      <c r="E150" s="37" t="s">
        <v>1245</v>
      </c>
      <c r="G150" s="21">
        <v>1</v>
      </c>
      <c r="J150" s="48"/>
    </row>
    <row r="151" spans="1:74" ht="13.5" customHeight="1" x14ac:dyDescent="0.25">
      <c r="A151" s="10" t="s">
        <v>898</v>
      </c>
      <c r="B151" s="9" t="s">
        <v>847</v>
      </c>
      <c r="C151" s="9" t="s">
        <v>1208</v>
      </c>
      <c r="D151" s="76" t="s">
        <v>667</v>
      </c>
      <c r="E151" s="77"/>
      <c r="F151" s="9" t="s">
        <v>275</v>
      </c>
      <c r="G151" s="56">
        <v>1</v>
      </c>
      <c r="H151" s="56">
        <v>0</v>
      </c>
      <c r="I151" s="56">
        <f>G151*H151</f>
        <v>0</v>
      </c>
      <c r="J151" s="54" t="s">
        <v>501</v>
      </c>
      <c r="Y151" s="56">
        <f>IF(AP151="5",BI151,0)</f>
        <v>0</v>
      </c>
      <c r="AA151" s="56">
        <f>IF(AP151="1",BG151,0)</f>
        <v>0</v>
      </c>
      <c r="AB151" s="56">
        <f>IF(AP151="1",BH151,0)</f>
        <v>0</v>
      </c>
      <c r="AC151" s="56">
        <f>IF(AP151="7",BG151,0)</f>
        <v>0</v>
      </c>
      <c r="AD151" s="56">
        <f>IF(AP151="7",BH151,0)</f>
        <v>0</v>
      </c>
      <c r="AE151" s="56">
        <f>IF(AP151="2",BG151,0)</f>
        <v>0</v>
      </c>
      <c r="AF151" s="56">
        <f>IF(AP151="2",BH151,0)</f>
        <v>0</v>
      </c>
      <c r="AG151" s="56">
        <f>IF(AP151="0",BI151,0)</f>
        <v>0</v>
      </c>
      <c r="AH151" s="30" t="s">
        <v>847</v>
      </c>
      <c r="AI151" s="56">
        <f>IF(AM151=0,I151,0)</f>
        <v>0</v>
      </c>
      <c r="AJ151" s="56">
        <f>IF(AM151=15,I151,0)</f>
        <v>0</v>
      </c>
      <c r="AK151" s="56">
        <f>IF(AM151=21,I151,0)</f>
        <v>0</v>
      </c>
      <c r="AM151" s="56">
        <v>21</v>
      </c>
      <c r="AN151" s="56">
        <f>H151*0.0000303951367781155</f>
        <v>0</v>
      </c>
      <c r="AO151" s="56">
        <f>H151*(1-0.0000303951367781155)</f>
        <v>0</v>
      </c>
      <c r="AP151" s="41" t="s">
        <v>1109</v>
      </c>
      <c r="AU151" s="56">
        <f>AV151+AW151</f>
        <v>0</v>
      </c>
      <c r="AV151" s="56">
        <f>G151*AN151</f>
        <v>0</v>
      </c>
      <c r="AW151" s="56">
        <f>G151*AO151</f>
        <v>0</v>
      </c>
      <c r="AX151" s="41" t="s">
        <v>958</v>
      </c>
      <c r="AY151" s="41" t="s">
        <v>246</v>
      </c>
      <c r="AZ151" s="30" t="s">
        <v>1000</v>
      </c>
      <c r="BB151" s="56">
        <f>AV151+AW151</f>
        <v>0</v>
      </c>
      <c r="BC151" s="56">
        <f>H151/(100-BD151)*100</f>
        <v>0</v>
      </c>
      <c r="BD151" s="56">
        <v>0</v>
      </c>
      <c r="BE151" s="56" t="e">
        <f>#REF!</f>
        <v>#REF!</v>
      </c>
      <c r="BG151" s="56">
        <f>G151*AN151</f>
        <v>0</v>
      </c>
      <c r="BH151" s="56">
        <f>G151*AO151</f>
        <v>0</v>
      </c>
      <c r="BI151" s="56">
        <f>G151*H151</f>
        <v>0</v>
      </c>
      <c r="BJ151" s="56"/>
      <c r="BK151" s="56">
        <v>85</v>
      </c>
      <c r="BV151" s="56">
        <v>21</v>
      </c>
    </row>
    <row r="152" spans="1:74" ht="13.5" customHeight="1" x14ac:dyDescent="0.25">
      <c r="A152" s="53"/>
      <c r="C152" s="66" t="s">
        <v>578</v>
      </c>
      <c r="D152" s="137" t="s">
        <v>126</v>
      </c>
      <c r="E152" s="138"/>
      <c r="F152" s="138"/>
      <c r="G152" s="138"/>
      <c r="H152" s="138"/>
      <c r="I152" s="138"/>
      <c r="J152" s="139"/>
    </row>
    <row r="153" spans="1:74" ht="13.5" customHeight="1" x14ac:dyDescent="0.25">
      <c r="A153" s="57" t="s">
        <v>481</v>
      </c>
      <c r="B153" s="50" t="s">
        <v>847</v>
      </c>
      <c r="C153" s="50" t="s">
        <v>68</v>
      </c>
      <c r="D153" s="135" t="s">
        <v>991</v>
      </c>
      <c r="E153" s="136"/>
      <c r="F153" s="50" t="s">
        <v>275</v>
      </c>
      <c r="G153" s="31">
        <v>1</v>
      </c>
      <c r="H153" s="31">
        <v>0</v>
      </c>
      <c r="I153" s="31">
        <f>G153*H153</f>
        <v>0</v>
      </c>
      <c r="J153" s="47" t="s">
        <v>501</v>
      </c>
      <c r="Y153" s="56">
        <f>IF(AP153="5",BI153,0)</f>
        <v>0</v>
      </c>
      <c r="AA153" s="56">
        <f>IF(AP153="1",BG153,0)</f>
        <v>0</v>
      </c>
      <c r="AB153" s="56">
        <f>IF(AP153="1",BH153,0)</f>
        <v>0</v>
      </c>
      <c r="AC153" s="56">
        <f>IF(AP153="7",BG153,0)</f>
        <v>0</v>
      </c>
      <c r="AD153" s="56">
        <f>IF(AP153="7",BH153,0)</f>
        <v>0</v>
      </c>
      <c r="AE153" s="56">
        <f>IF(AP153="2",BG153,0)</f>
        <v>0</v>
      </c>
      <c r="AF153" s="56">
        <f>IF(AP153="2",BH153,0)</f>
        <v>0</v>
      </c>
      <c r="AG153" s="56">
        <f>IF(AP153="0",BI153,0)</f>
        <v>0</v>
      </c>
      <c r="AH153" s="30" t="s">
        <v>847</v>
      </c>
      <c r="AI153" s="31">
        <f>IF(AM153=0,I153,0)</f>
        <v>0</v>
      </c>
      <c r="AJ153" s="31">
        <f>IF(AM153=15,I153,0)</f>
        <v>0</v>
      </c>
      <c r="AK153" s="31">
        <f>IF(AM153=21,I153,0)</f>
        <v>0</v>
      </c>
      <c r="AM153" s="56">
        <v>21</v>
      </c>
      <c r="AN153" s="56">
        <f>H153*1</f>
        <v>0</v>
      </c>
      <c r="AO153" s="56">
        <f>H153*(1-1)</f>
        <v>0</v>
      </c>
      <c r="AP153" s="58" t="s">
        <v>1109</v>
      </c>
      <c r="AU153" s="56">
        <f>AV153+AW153</f>
        <v>0</v>
      </c>
      <c r="AV153" s="56">
        <f>G153*AN153</f>
        <v>0</v>
      </c>
      <c r="AW153" s="56">
        <f>G153*AO153</f>
        <v>0</v>
      </c>
      <c r="AX153" s="41" t="s">
        <v>958</v>
      </c>
      <c r="AY153" s="41" t="s">
        <v>246</v>
      </c>
      <c r="AZ153" s="30" t="s">
        <v>1000</v>
      </c>
      <c r="BB153" s="56">
        <f>AV153+AW153</f>
        <v>0</v>
      </c>
      <c r="BC153" s="56">
        <f>H153/(100-BD153)*100</f>
        <v>0</v>
      </c>
      <c r="BD153" s="56">
        <v>0</v>
      </c>
      <c r="BE153" s="56" t="e">
        <f>#REF!</f>
        <v>#REF!</v>
      </c>
      <c r="BG153" s="31">
        <f>G153*AN153</f>
        <v>0</v>
      </c>
      <c r="BH153" s="31">
        <f>G153*AO153</f>
        <v>0</v>
      </c>
      <c r="BI153" s="31">
        <f>G153*H153</f>
        <v>0</v>
      </c>
      <c r="BJ153" s="31"/>
      <c r="BK153" s="56">
        <v>85</v>
      </c>
      <c r="BV153" s="56">
        <v>21</v>
      </c>
    </row>
    <row r="154" spans="1:74" ht="15" customHeight="1" x14ac:dyDescent="0.25">
      <c r="A154" s="53"/>
      <c r="D154" s="52" t="s">
        <v>1109</v>
      </c>
      <c r="E154" s="37" t="s">
        <v>597</v>
      </c>
      <c r="G154" s="21">
        <v>1</v>
      </c>
      <c r="J154" s="48"/>
    </row>
    <row r="155" spans="1:74" ht="13.5" customHeight="1" x14ac:dyDescent="0.25">
      <c r="A155" s="10" t="s">
        <v>472</v>
      </c>
      <c r="B155" s="9" t="s">
        <v>847</v>
      </c>
      <c r="C155" s="9" t="s">
        <v>141</v>
      </c>
      <c r="D155" s="76" t="s">
        <v>566</v>
      </c>
      <c r="E155" s="77"/>
      <c r="F155" s="9" t="s">
        <v>275</v>
      </c>
      <c r="G155" s="56">
        <v>6</v>
      </c>
      <c r="H155" s="56">
        <v>0</v>
      </c>
      <c r="I155" s="56">
        <f>G155*H155</f>
        <v>0</v>
      </c>
      <c r="J155" s="54" t="s">
        <v>501</v>
      </c>
      <c r="Y155" s="56">
        <f>IF(AP155="5",BI155,0)</f>
        <v>0</v>
      </c>
      <c r="AA155" s="56">
        <f>IF(AP155="1",BG155,0)</f>
        <v>0</v>
      </c>
      <c r="AB155" s="56">
        <f>IF(AP155="1",BH155,0)</f>
        <v>0</v>
      </c>
      <c r="AC155" s="56">
        <f>IF(AP155="7",BG155,0)</f>
        <v>0</v>
      </c>
      <c r="AD155" s="56">
        <f>IF(AP155="7",BH155,0)</f>
        <v>0</v>
      </c>
      <c r="AE155" s="56">
        <f>IF(AP155="2",BG155,0)</f>
        <v>0</v>
      </c>
      <c r="AF155" s="56">
        <f>IF(AP155="2",BH155,0)</f>
        <v>0</v>
      </c>
      <c r="AG155" s="56">
        <f>IF(AP155="0",BI155,0)</f>
        <v>0</v>
      </c>
      <c r="AH155" s="30" t="s">
        <v>847</v>
      </c>
      <c r="AI155" s="56">
        <f>IF(AM155=0,I155,0)</f>
        <v>0</v>
      </c>
      <c r="AJ155" s="56">
        <f>IF(AM155=15,I155,0)</f>
        <v>0</v>
      </c>
      <c r="AK155" s="56">
        <f>IF(AM155=21,I155,0)</f>
        <v>0</v>
      </c>
      <c r="AM155" s="56">
        <v>21</v>
      </c>
      <c r="AN155" s="56">
        <f>H155*0.353028571428571</f>
        <v>0</v>
      </c>
      <c r="AO155" s="56">
        <f>H155*(1-0.353028571428571)</f>
        <v>0</v>
      </c>
      <c r="AP155" s="41" t="s">
        <v>1109</v>
      </c>
      <c r="AU155" s="56">
        <f>AV155+AW155</f>
        <v>0</v>
      </c>
      <c r="AV155" s="56">
        <f>G155*AN155</f>
        <v>0</v>
      </c>
      <c r="AW155" s="56">
        <f>G155*AO155</f>
        <v>0</v>
      </c>
      <c r="AX155" s="41" t="s">
        <v>958</v>
      </c>
      <c r="AY155" s="41" t="s">
        <v>246</v>
      </c>
      <c r="AZ155" s="30" t="s">
        <v>1000</v>
      </c>
      <c r="BB155" s="56">
        <f>AV155+AW155</f>
        <v>0</v>
      </c>
      <c r="BC155" s="56">
        <f>H155/(100-BD155)*100</f>
        <v>0</v>
      </c>
      <c r="BD155" s="56">
        <v>0</v>
      </c>
      <c r="BE155" s="56" t="e">
        <f>#REF!</f>
        <v>#REF!</v>
      </c>
      <c r="BG155" s="56">
        <f>G155*AN155</f>
        <v>0</v>
      </c>
      <c r="BH155" s="56">
        <f>G155*AO155</f>
        <v>0</v>
      </c>
      <c r="BI155" s="56">
        <f>G155*H155</f>
        <v>0</v>
      </c>
      <c r="BJ155" s="56"/>
      <c r="BK155" s="56">
        <v>85</v>
      </c>
      <c r="BV155" s="56">
        <v>21</v>
      </c>
    </row>
    <row r="156" spans="1:74" ht="13.5" customHeight="1" x14ac:dyDescent="0.25">
      <c r="A156" s="57" t="s">
        <v>522</v>
      </c>
      <c r="B156" s="50" t="s">
        <v>847</v>
      </c>
      <c r="C156" s="50" t="s">
        <v>455</v>
      </c>
      <c r="D156" s="135" t="s">
        <v>653</v>
      </c>
      <c r="E156" s="136"/>
      <c r="F156" s="50" t="s">
        <v>275</v>
      </c>
      <c r="G156" s="31">
        <v>1</v>
      </c>
      <c r="H156" s="31">
        <v>0</v>
      </c>
      <c r="I156" s="31">
        <f>G156*H156</f>
        <v>0</v>
      </c>
      <c r="J156" s="47" t="s">
        <v>501</v>
      </c>
      <c r="Y156" s="56">
        <f>IF(AP156="5",BI156,0)</f>
        <v>0</v>
      </c>
      <c r="AA156" s="56">
        <f>IF(AP156="1",BG156,0)</f>
        <v>0</v>
      </c>
      <c r="AB156" s="56">
        <f>IF(AP156="1",BH156,0)</f>
        <v>0</v>
      </c>
      <c r="AC156" s="56">
        <f>IF(AP156="7",BG156,0)</f>
        <v>0</v>
      </c>
      <c r="AD156" s="56">
        <f>IF(AP156="7",BH156,0)</f>
        <v>0</v>
      </c>
      <c r="AE156" s="56">
        <f>IF(AP156="2",BG156,0)</f>
        <v>0</v>
      </c>
      <c r="AF156" s="56">
        <f>IF(AP156="2",BH156,0)</f>
        <v>0</v>
      </c>
      <c r="AG156" s="56">
        <f>IF(AP156="0",BI156,0)</f>
        <v>0</v>
      </c>
      <c r="AH156" s="30" t="s">
        <v>847</v>
      </c>
      <c r="AI156" s="31">
        <f>IF(AM156=0,I156,0)</f>
        <v>0</v>
      </c>
      <c r="AJ156" s="31">
        <f>IF(AM156=15,I156,0)</f>
        <v>0</v>
      </c>
      <c r="AK156" s="31">
        <f>IF(AM156=21,I156,0)</f>
        <v>0</v>
      </c>
      <c r="AM156" s="56">
        <v>21</v>
      </c>
      <c r="AN156" s="56">
        <f>H156*1</f>
        <v>0</v>
      </c>
      <c r="AO156" s="56">
        <f>H156*(1-1)</f>
        <v>0</v>
      </c>
      <c r="AP156" s="58" t="s">
        <v>1109</v>
      </c>
      <c r="AU156" s="56">
        <f>AV156+AW156</f>
        <v>0</v>
      </c>
      <c r="AV156" s="56">
        <f>G156*AN156</f>
        <v>0</v>
      </c>
      <c r="AW156" s="56">
        <f>G156*AO156</f>
        <v>0</v>
      </c>
      <c r="AX156" s="41" t="s">
        <v>958</v>
      </c>
      <c r="AY156" s="41" t="s">
        <v>246</v>
      </c>
      <c r="AZ156" s="30" t="s">
        <v>1000</v>
      </c>
      <c r="BB156" s="56">
        <f>AV156+AW156</f>
        <v>0</v>
      </c>
      <c r="BC156" s="56">
        <f>H156/(100-BD156)*100</f>
        <v>0</v>
      </c>
      <c r="BD156" s="56">
        <v>0</v>
      </c>
      <c r="BE156" s="56" t="e">
        <f>#REF!</f>
        <v>#REF!</v>
      </c>
      <c r="BG156" s="31">
        <f>G156*AN156</f>
        <v>0</v>
      </c>
      <c r="BH156" s="31">
        <f>G156*AO156</f>
        <v>0</v>
      </c>
      <c r="BI156" s="31">
        <f>G156*H156</f>
        <v>0</v>
      </c>
      <c r="BJ156" s="31"/>
      <c r="BK156" s="56">
        <v>85</v>
      </c>
      <c r="BV156" s="56">
        <v>21</v>
      </c>
    </row>
    <row r="157" spans="1:74" ht="15" customHeight="1" x14ac:dyDescent="0.25">
      <c r="A157" s="53"/>
      <c r="D157" s="52" t="s">
        <v>1109</v>
      </c>
      <c r="E157" s="37" t="s">
        <v>1066</v>
      </c>
      <c r="G157" s="21">
        <v>1</v>
      </c>
      <c r="J157" s="48"/>
    </row>
    <row r="158" spans="1:74" ht="13.5" customHeight="1" x14ac:dyDescent="0.25">
      <c r="A158" s="57" t="s">
        <v>1023</v>
      </c>
      <c r="B158" s="50" t="s">
        <v>847</v>
      </c>
      <c r="C158" s="50" t="s">
        <v>899</v>
      </c>
      <c r="D158" s="135" t="s">
        <v>507</v>
      </c>
      <c r="E158" s="136"/>
      <c r="F158" s="50" t="s">
        <v>275</v>
      </c>
      <c r="G158" s="31">
        <v>2</v>
      </c>
      <c r="H158" s="31">
        <v>0</v>
      </c>
      <c r="I158" s="31">
        <f>G158*H158</f>
        <v>0</v>
      </c>
      <c r="J158" s="47" t="s">
        <v>501</v>
      </c>
      <c r="Y158" s="56">
        <f>IF(AP158="5",BI158,0)</f>
        <v>0</v>
      </c>
      <c r="AA158" s="56">
        <f>IF(AP158="1",BG158,0)</f>
        <v>0</v>
      </c>
      <c r="AB158" s="56">
        <f>IF(AP158="1",BH158,0)</f>
        <v>0</v>
      </c>
      <c r="AC158" s="56">
        <f>IF(AP158="7",BG158,0)</f>
        <v>0</v>
      </c>
      <c r="AD158" s="56">
        <f>IF(AP158="7",BH158,0)</f>
        <v>0</v>
      </c>
      <c r="AE158" s="56">
        <f>IF(AP158="2",BG158,0)</f>
        <v>0</v>
      </c>
      <c r="AF158" s="56">
        <f>IF(AP158="2",BH158,0)</f>
        <v>0</v>
      </c>
      <c r="AG158" s="56">
        <f>IF(AP158="0",BI158,0)</f>
        <v>0</v>
      </c>
      <c r="AH158" s="30" t="s">
        <v>847</v>
      </c>
      <c r="AI158" s="31">
        <f>IF(AM158=0,I158,0)</f>
        <v>0</v>
      </c>
      <c r="AJ158" s="31">
        <f>IF(AM158=15,I158,0)</f>
        <v>0</v>
      </c>
      <c r="AK158" s="31">
        <f>IF(AM158=21,I158,0)</f>
        <v>0</v>
      </c>
      <c r="AM158" s="56">
        <v>21</v>
      </c>
      <c r="AN158" s="56">
        <f>H158*1</f>
        <v>0</v>
      </c>
      <c r="AO158" s="56">
        <f>H158*(1-1)</f>
        <v>0</v>
      </c>
      <c r="AP158" s="58" t="s">
        <v>1109</v>
      </c>
      <c r="AU158" s="56">
        <f>AV158+AW158</f>
        <v>0</v>
      </c>
      <c r="AV158" s="56">
        <f>G158*AN158</f>
        <v>0</v>
      </c>
      <c r="AW158" s="56">
        <f>G158*AO158</f>
        <v>0</v>
      </c>
      <c r="AX158" s="41" t="s">
        <v>958</v>
      </c>
      <c r="AY158" s="41" t="s">
        <v>246</v>
      </c>
      <c r="AZ158" s="30" t="s">
        <v>1000</v>
      </c>
      <c r="BB158" s="56">
        <f>AV158+AW158</f>
        <v>0</v>
      </c>
      <c r="BC158" s="56">
        <f>H158/(100-BD158)*100</f>
        <v>0</v>
      </c>
      <c r="BD158" s="56">
        <v>0</v>
      </c>
      <c r="BE158" s="56" t="e">
        <f>#REF!</f>
        <v>#REF!</v>
      </c>
      <c r="BG158" s="31">
        <f>G158*AN158</f>
        <v>0</v>
      </c>
      <c r="BH158" s="31">
        <f>G158*AO158</f>
        <v>0</v>
      </c>
      <c r="BI158" s="31">
        <f>G158*H158</f>
        <v>0</v>
      </c>
      <c r="BJ158" s="31"/>
      <c r="BK158" s="56">
        <v>85</v>
      </c>
      <c r="BV158" s="56">
        <v>21</v>
      </c>
    </row>
    <row r="159" spans="1:74" ht="15" customHeight="1" x14ac:dyDescent="0.25">
      <c r="A159" s="53"/>
      <c r="D159" s="52" t="s">
        <v>766</v>
      </c>
      <c r="E159" s="37" t="s">
        <v>222</v>
      </c>
      <c r="G159" s="21">
        <v>2</v>
      </c>
      <c r="J159" s="48"/>
    </row>
    <row r="160" spans="1:74" ht="13.5" customHeight="1" x14ac:dyDescent="0.25">
      <c r="A160" s="57" t="s">
        <v>729</v>
      </c>
      <c r="B160" s="50" t="s">
        <v>847</v>
      </c>
      <c r="C160" s="50" t="s">
        <v>1254</v>
      </c>
      <c r="D160" s="135" t="s">
        <v>1111</v>
      </c>
      <c r="E160" s="136"/>
      <c r="F160" s="50" t="s">
        <v>275</v>
      </c>
      <c r="G160" s="31">
        <v>2</v>
      </c>
      <c r="H160" s="31">
        <v>0</v>
      </c>
      <c r="I160" s="31">
        <f>G160*H160</f>
        <v>0</v>
      </c>
      <c r="J160" s="47" t="s">
        <v>501</v>
      </c>
      <c r="Y160" s="56">
        <f>IF(AP160="5",BI160,0)</f>
        <v>0</v>
      </c>
      <c r="AA160" s="56">
        <f>IF(AP160="1",BG160,0)</f>
        <v>0</v>
      </c>
      <c r="AB160" s="56">
        <f>IF(AP160="1",BH160,0)</f>
        <v>0</v>
      </c>
      <c r="AC160" s="56">
        <f>IF(AP160="7",BG160,0)</f>
        <v>0</v>
      </c>
      <c r="AD160" s="56">
        <f>IF(AP160="7",BH160,0)</f>
        <v>0</v>
      </c>
      <c r="AE160" s="56">
        <f>IF(AP160="2",BG160,0)</f>
        <v>0</v>
      </c>
      <c r="AF160" s="56">
        <f>IF(AP160="2",BH160,0)</f>
        <v>0</v>
      </c>
      <c r="AG160" s="56">
        <f>IF(AP160="0",BI160,0)</f>
        <v>0</v>
      </c>
      <c r="AH160" s="30" t="s">
        <v>847</v>
      </c>
      <c r="AI160" s="31">
        <f>IF(AM160=0,I160,0)</f>
        <v>0</v>
      </c>
      <c r="AJ160" s="31">
        <f>IF(AM160=15,I160,0)</f>
        <v>0</v>
      </c>
      <c r="AK160" s="31">
        <f>IF(AM160=21,I160,0)</f>
        <v>0</v>
      </c>
      <c r="AM160" s="56">
        <v>21</v>
      </c>
      <c r="AN160" s="56">
        <f>H160*1</f>
        <v>0</v>
      </c>
      <c r="AO160" s="56">
        <f>H160*(1-1)</f>
        <v>0</v>
      </c>
      <c r="AP160" s="58" t="s">
        <v>1109</v>
      </c>
      <c r="AU160" s="56">
        <f>AV160+AW160</f>
        <v>0</v>
      </c>
      <c r="AV160" s="56">
        <f>G160*AN160</f>
        <v>0</v>
      </c>
      <c r="AW160" s="56">
        <f>G160*AO160</f>
        <v>0</v>
      </c>
      <c r="AX160" s="41" t="s">
        <v>958</v>
      </c>
      <c r="AY160" s="41" t="s">
        <v>246</v>
      </c>
      <c r="AZ160" s="30" t="s">
        <v>1000</v>
      </c>
      <c r="BB160" s="56">
        <f>AV160+AW160</f>
        <v>0</v>
      </c>
      <c r="BC160" s="56">
        <f>H160/(100-BD160)*100</f>
        <v>0</v>
      </c>
      <c r="BD160" s="56">
        <v>0</v>
      </c>
      <c r="BE160" s="56" t="e">
        <f>#REF!</f>
        <v>#REF!</v>
      </c>
      <c r="BG160" s="31">
        <f>G160*AN160</f>
        <v>0</v>
      </c>
      <c r="BH160" s="31">
        <f>G160*AO160</f>
        <v>0</v>
      </c>
      <c r="BI160" s="31">
        <f>G160*H160</f>
        <v>0</v>
      </c>
      <c r="BJ160" s="31"/>
      <c r="BK160" s="56">
        <v>85</v>
      </c>
      <c r="BV160" s="56">
        <v>21</v>
      </c>
    </row>
    <row r="161" spans="1:74" ht="15" customHeight="1" x14ac:dyDescent="0.25">
      <c r="A161" s="53"/>
      <c r="D161" s="52" t="s">
        <v>766</v>
      </c>
      <c r="E161" s="37" t="s">
        <v>1246</v>
      </c>
      <c r="G161" s="21">
        <v>2</v>
      </c>
      <c r="J161" s="48"/>
    </row>
    <row r="162" spans="1:74" ht="13.5" customHeight="1" x14ac:dyDescent="0.25">
      <c r="A162" s="57" t="s">
        <v>700</v>
      </c>
      <c r="B162" s="50" t="s">
        <v>847</v>
      </c>
      <c r="C162" s="50" t="s">
        <v>441</v>
      </c>
      <c r="D162" s="135" t="s">
        <v>741</v>
      </c>
      <c r="E162" s="136"/>
      <c r="F162" s="50" t="s">
        <v>275</v>
      </c>
      <c r="G162" s="31">
        <v>1</v>
      </c>
      <c r="H162" s="31">
        <v>0</v>
      </c>
      <c r="I162" s="31">
        <f>G162*H162</f>
        <v>0</v>
      </c>
      <c r="J162" s="47" t="s">
        <v>501</v>
      </c>
      <c r="Y162" s="56">
        <f>IF(AP162="5",BI162,0)</f>
        <v>0</v>
      </c>
      <c r="AA162" s="56">
        <f>IF(AP162="1",BG162,0)</f>
        <v>0</v>
      </c>
      <c r="AB162" s="56">
        <f>IF(AP162="1",BH162,0)</f>
        <v>0</v>
      </c>
      <c r="AC162" s="56">
        <f>IF(AP162="7",BG162,0)</f>
        <v>0</v>
      </c>
      <c r="AD162" s="56">
        <f>IF(AP162="7",BH162,0)</f>
        <v>0</v>
      </c>
      <c r="AE162" s="56">
        <f>IF(AP162="2",BG162,0)</f>
        <v>0</v>
      </c>
      <c r="AF162" s="56">
        <f>IF(AP162="2",BH162,0)</f>
        <v>0</v>
      </c>
      <c r="AG162" s="56">
        <f>IF(AP162="0",BI162,0)</f>
        <v>0</v>
      </c>
      <c r="AH162" s="30" t="s">
        <v>847</v>
      </c>
      <c r="AI162" s="31">
        <f>IF(AM162=0,I162,0)</f>
        <v>0</v>
      </c>
      <c r="AJ162" s="31">
        <f>IF(AM162=15,I162,0)</f>
        <v>0</v>
      </c>
      <c r="AK162" s="31">
        <f>IF(AM162=21,I162,0)</f>
        <v>0</v>
      </c>
      <c r="AM162" s="56">
        <v>21</v>
      </c>
      <c r="AN162" s="56">
        <f>H162*1</f>
        <v>0</v>
      </c>
      <c r="AO162" s="56">
        <f>H162*(1-1)</f>
        <v>0</v>
      </c>
      <c r="AP162" s="58" t="s">
        <v>1109</v>
      </c>
      <c r="AU162" s="56">
        <f>AV162+AW162</f>
        <v>0</v>
      </c>
      <c r="AV162" s="56">
        <f>G162*AN162</f>
        <v>0</v>
      </c>
      <c r="AW162" s="56">
        <f>G162*AO162</f>
        <v>0</v>
      </c>
      <c r="AX162" s="41" t="s">
        <v>958</v>
      </c>
      <c r="AY162" s="41" t="s">
        <v>246</v>
      </c>
      <c r="AZ162" s="30" t="s">
        <v>1000</v>
      </c>
      <c r="BB162" s="56">
        <f>AV162+AW162</f>
        <v>0</v>
      </c>
      <c r="BC162" s="56">
        <f>H162/(100-BD162)*100</f>
        <v>0</v>
      </c>
      <c r="BD162" s="56">
        <v>0</v>
      </c>
      <c r="BE162" s="56" t="e">
        <f>#REF!</f>
        <v>#REF!</v>
      </c>
      <c r="BG162" s="31">
        <f>G162*AN162</f>
        <v>0</v>
      </c>
      <c r="BH162" s="31">
        <f>G162*AO162</f>
        <v>0</v>
      </c>
      <c r="BI162" s="31">
        <f>G162*H162</f>
        <v>0</v>
      </c>
      <c r="BJ162" s="31"/>
      <c r="BK162" s="56">
        <v>85</v>
      </c>
      <c r="BV162" s="56">
        <v>21</v>
      </c>
    </row>
    <row r="163" spans="1:74" ht="15" customHeight="1" x14ac:dyDescent="0.25">
      <c r="A163" s="53"/>
      <c r="D163" s="52" t="s">
        <v>1109</v>
      </c>
      <c r="E163" s="37" t="s">
        <v>1116</v>
      </c>
      <c r="G163" s="21">
        <v>1</v>
      </c>
      <c r="J163" s="48"/>
    </row>
    <row r="164" spans="1:74" ht="15" customHeight="1" x14ac:dyDescent="0.25">
      <c r="A164" s="27" t="s">
        <v>769</v>
      </c>
      <c r="B164" s="28" t="s">
        <v>847</v>
      </c>
      <c r="C164" s="28" t="s">
        <v>55</v>
      </c>
      <c r="D164" s="132" t="s">
        <v>90</v>
      </c>
      <c r="E164" s="133"/>
      <c r="F164" s="23" t="s">
        <v>1027</v>
      </c>
      <c r="G164" s="23" t="s">
        <v>1027</v>
      </c>
      <c r="H164" s="23" t="s">
        <v>1027</v>
      </c>
      <c r="I164" s="14">
        <f>SUM(I165:I225)</f>
        <v>0</v>
      </c>
      <c r="J164" s="44" t="s">
        <v>769</v>
      </c>
      <c r="AH164" s="30" t="s">
        <v>847</v>
      </c>
      <c r="AR164" s="14">
        <f>SUM(AI165:AI225)</f>
        <v>0</v>
      </c>
      <c r="AS164" s="14">
        <f>SUM(AJ165:AJ225)</f>
        <v>0</v>
      </c>
      <c r="AT164" s="14">
        <f>SUM(AK165:AK225)</f>
        <v>0</v>
      </c>
    </row>
    <row r="165" spans="1:74" ht="13.5" customHeight="1" x14ac:dyDescent="0.25">
      <c r="A165" s="10" t="s">
        <v>1058</v>
      </c>
      <c r="B165" s="9" t="s">
        <v>847</v>
      </c>
      <c r="C165" s="9" t="s">
        <v>943</v>
      </c>
      <c r="D165" s="76" t="s">
        <v>551</v>
      </c>
      <c r="E165" s="77"/>
      <c r="F165" s="9" t="s">
        <v>275</v>
      </c>
      <c r="G165" s="56">
        <v>18</v>
      </c>
      <c r="H165" s="56">
        <v>0</v>
      </c>
      <c r="I165" s="56">
        <f>G165*H165</f>
        <v>0</v>
      </c>
      <c r="J165" s="54" t="s">
        <v>501</v>
      </c>
      <c r="Y165" s="56">
        <f>IF(AP165="5",BI165,0)</f>
        <v>0</v>
      </c>
      <c r="AA165" s="56">
        <f>IF(AP165="1",BG165,0)</f>
        <v>0</v>
      </c>
      <c r="AB165" s="56">
        <f>IF(AP165="1",BH165,0)</f>
        <v>0</v>
      </c>
      <c r="AC165" s="56">
        <f>IF(AP165="7",BG165,0)</f>
        <v>0</v>
      </c>
      <c r="AD165" s="56">
        <f>IF(AP165="7",BH165,0)</f>
        <v>0</v>
      </c>
      <c r="AE165" s="56">
        <f>IF(AP165="2",BG165,0)</f>
        <v>0</v>
      </c>
      <c r="AF165" s="56">
        <f>IF(AP165="2",BH165,0)</f>
        <v>0</v>
      </c>
      <c r="AG165" s="56">
        <f>IF(AP165="0",BI165,0)</f>
        <v>0</v>
      </c>
      <c r="AH165" s="30" t="s">
        <v>847</v>
      </c>
      <c r="AI165" s="56">
        <f>IF(AM165=0,I165,0)</f>
        <v>0</v>
      </c>
      <c r="AJ165" s="56">
        <f>IF(AM165=15,I165,0)</f>
        <v>0</v>
      </c>
      <c r="AK165" s="56">
        <f>IF(AM165=21,I165,0)</f>
        <v>0</v>
      </c>
      <c r="AM165" s="56">
        <v>21</v>
      </c>
      <c r="AN165" s="56">
        <f>H165*0</f>
        <v>0</v>
      </c>
      <c r="AO165" s="56">
        <f>H165*(1-0)</f>
        <v>0</v>
      </c>
      <c r="AP165" s="41" t="s">
        <v>1109</v>
      </c>
      <c r="AU165" s="56">
        <f>AV165+AW165</f>
        <v>0</v>
      </c>
      <c r="AV165" s="56">
        <f>G165*AN165</f>
        <v>0</v>
      </c>
      <c r="AW165" s="56">
        <f>G165*AO165</f>
        <v>0</v>
      </c>
      <c r="AX165" s="41" t="s">
        <v>77</v>
      </c>
      <c r="AY165" s="41" t="s">
        <v>246</v>
      </c>
      <c r="AZ165" s="30" t="s">
        <v>1000</v>
      </c>
      <c r="BB165" s="56">
        <f>AV165+AW165</f>
        <v>0</v>
      </c>
      <c r="BC165" s="56">
        <f>H165/(100-BD165)*100</f>
        <v>0</v>
      </c>
      <c r="BD165" s="56">
        <v>0</v>
      </c>
      <c r="BE165" s="56" t="e">
        <f>#REF!</f>
        <v>#REF!</v>
      </c>
      <c r="BG165" s="56">
        <f>G165*AN165</f>
        <v>0</v>
      </c>
      <c r="BH165" s="56">
        <f>G165*AO165</f>
        <v>0</v>
      </c>
      <c r="BI165" s="56">
        <f>G165*H165</f>
        <v>0</v>
      </c>
      <c r="BJ165" s="56"/>
      <c r="BK165" s="56">
        <v>87</v>
      </c>
      <c r="BV165" s="56">
        <v>21</v>
      </c>
    </row>
    <row r="166" spans="1:74" ht="13.5" customHeight="1" x14ac:dyDescent="0.25">
      <c r="A166" s="57" t="s">
        <v>644</v>
      </c>
      <c r="B166" s="50" t="s">
        <v>847</v>
      </c>
      <c r="C166" s="50" t="s">
        <v>20</v>
      </c>
      <c r="D166" s="135" t="s">
        <v>1148</v>
      </c>
      <c r="E166" s="136"/>
      <c r="F166" s="50" t="s">
        <v>275</v>
      </c>
      <c r="G166" s="31">
        <v>17</v>
      </c>
      <c r="H166" s="31">
        <v>0</v>
      </c>
      <c r="I166" s="31">
        <f>G166*H166</f>
        <v>0</v>
      </c>
      <c r="J166" s="47" t="s">
        <v>422</v>
      </c>
      <c r="Y166" s="56">
        <f>IF(AP166="5",BI166,0)</f>
        <v>0</v>
      </c>
      <c r="AA166" s="56">
        <f>IF(AP166="1",BG166,0)</f>
        <v>0</v>
      </c>
      <c r="AB166" s="56">
        <f>IF(AP166="1",BH166,0)</f>
        <v>0</v>
      </c>
      <c r="AC166" s="56">
        <f>IF(AP166="7",BG166,0)</f>
        <v>0</v>
      </c>
      <c r="AD166" s="56">
        <f>IF(AP166="7",BH166,0)</f>
        <v>0</v>
      </c>
      <c r="AE166" s="56">
        <f>IF(AP166="2",BG166,0)</f>
        <v>0</v>
      </c>
      <c r="AF166" s="56">
        <f>IF(AP166="2",BH166,0)</f>
        <v>0</v>
      </c>
      <c r="AG166" s="56">
        <f>IF(AP166="0",BI166,0)</f>
        <v>0</v>
      </c>
      <c r="AH166" s="30" t="s">
        <v>847</v>
      </c>
      <c r="AI166" s="31">
        <f>IF(AM166=0,I166,0)</f>
        <v>0</v>
      </c>
      <c r="AJ166" s="31">
        <f>IF(AM166=15,I166,0)</f>
        <v>0</v>
      </c>
      <c r="AK166" s="31">
        <f>IF(AM166=21,I166,0)</f>
        <v>0</v>
      </c>
      <c r="AM166" s="56">
        <v>21</v>
      </c>
      <c r="AN166" s="56">
        <f>H166*1</f>
        <v>0</v>
      </c>
      <c r="AO166" s="56">
        <f>H166*(1-1)</f>
        <v>0</v>
      </c>
      <c r="AP166" s="58" t="s">
        <v>1109</v>
      </c>
      <c r="AU166" s="56">
        <f>AV166+AW166</f>
        <v>0</v>
      </c>
      <c r="AV166" s="56">
        <f>G166*AN166</f>
        <v>0</v>
      </c>
      <c r="AW166" s="56">
        <f>G166*AO166</f>
        <v>0</v>
      </c>
      <c r="AX166" s="41" t="s">
        <v>77</v>
      </c>
      <c r="AY166" s="41" t="s">
        <v>246</v>
      </c>
      <c r="AZ166" s="30" t="s">
        <v>1000</v>
      </c>
      <c r="BB166" s="56">
        <f>AV166+AW166</f>
        <v>0</v>
      </c>
      <c r="BC166" s="56">
        <f>H166/(100-BD166)*100</f>
        <v>0</v>
      </c>
      <c r="BD166" s="56">
        <v>0</v>
      </c>
      <c r="BE166" s="56" t="e">
        <f>#REF!</f>
        <v>#REF!</v>
      </c>
      <c r="BG166" s="31">
        <f>G166*AN166</f>
        <v>0</v>
      </c>
      <c r="BH166" s="31">
        <f>G166*AO166</f>
        <v>0</v>
      </c>
      <c r="BI166" s="31">
        <f>G166*H166</f>
        <v>0</v>
      </c>
      <c r="BJ166" s="31"/>
      <c r="BK166" s="56">
        <v>87</v>
      </c>
      <c r="BV166" s="56">
        <v>21</v>
      </c>
    </row>
    <row r="167" spans="1:74" ht="15" customHeight="1" x14ac:dyDescent="0.25">
      <c r="A167" s="53"/>
      <c r="D167" s="52" t="s">
        <v>774</v>
      </c>
      <c r="E167" s="37" t="s">
        <v>558</v>
      </c>
      <c r="G167" s="21">
        <v>17</v>
      </c>
      <c r="J167" s="48"/>
    </row>
    <row r="168" spans="1:74" ht="13.5" customHeight="1" x14ac:dyDescent="0.25">
      <c r="A168" s="57" t="s">
        <v>512</v>
      </c>
      <c r="B168" s="50" t="s">
        <v>847</v>
      </c>
      <c r="C168" s="50" t="s">
        <v>20</v>
      </c>
      <c r="D168" s="135" t="s">
        <v>21</v>
      </c>
      <c r="E168" s="136"/>
      <c r="F168" s="50" t="s">
        <v>275</v>
      </c>
      <c r="G168" s="31">
        <v>1</v>
      </c>
      <c r="H168" s="31">
        <v>0</v>
      </c>
      <c r="I168" s="31">
        <f>G168*H168</f>
        <v>0</v>
      </c>
      <c r="J168" s="47" t="s">
        <v>422</v>
      </c>
      <c r="Y168" s="56">
        <f>IF(AP168="5",BI168,0)</f>
        <v>0</v>
      </c>
      <c r="AA168" s="56">
        <f>IF(AP168="1",BG168,0)</f>
        <v>0</v>
      </c>
      <c r="AB168" s="56">
        <f>IF(AP168="1",BH168,0)</f>
        <v>0</v>
      </c>
      <c r="AC168" s="56">
        <f>IF(AP168="7",BG168,0)</f>
        <v>0</v>
      </c>
      <c r="AD168" s="56">
        <f>IF(AP168="7",BH168,0)</f>
        <v>0</v>
      </c>
      <c r="AE168" s="56">
        <f>IF(AP168="2",BG168,0)</f>
        <v>0</v>
      </c>
      <c r="AF168" s="56">
        <f>IF(AP168="2",BH168,0)</f>
        <v>0</v>
      </c>
      <c r="AG168" s="56">
        <f>IF(AP168="0",BI168,0)</f>
        <v>0</v>
      </c>
      <c r="AH168" s="30" t="s">
        <v>847</v>
      </c>
      <c r="AI168" s="31">
        <f>IF(AM168=0,I168,0)</f>
        <v>0</v>
      </c>
      <c r="AJ168" s="31">
        <f>IF(AM168=15,I168,0)</f>
        <v>0</v>
      </c>
      <c r="AK168" s="31">
        <f>IF(AM168=21,I168,0)</f>
        <v>0</v>
      </c>
      <c r="AM168" s="56">
        <v>21</v>
      </c>
      <c r="AN168" s="56">
        <f>H168*1</f>
        <v>0</v>
      </c>
      <c r="AO168" s="56">
        <f>H168*(1-1)</f>
        <v>0</v>
      </c>
      <c r="AP168" s="58" t="s">
        <v>1109</v>
      </c>
      <c r="AU168" s="56">
        <f>AV168+AW168</f>
        <v>0</v>
      </c>
      <c r="AV168" s="56">
        <f>G168*AN168</f>
        <v>0</v>
      </c>
      <c r="AW168" s="56">
        <f>G168*AO168</f>
        <v>0</v>
      </c>
      <c r="AX168" s="41" t="s">
        <v>77</v>
      </c>
      <c r="AY168" s="41" t="s">
        <v>246</v>
      </c>
      <c r="AZ168" s="30" t="s">
        <v>1000</v>
      </c>
      <c r="BB168" s="56">
        <f>AV168+AW168</f>
        <v>0</v>
      </c>
      <c r="BC168" s="56">
        <f>H168/(100-BD168)*100</f>
        <v>0</v>
      </c>
      <c r="BD168" s="56">
        <v>0</v>
      </c>
      <c r="BE168" s="56" t="e">
        <f>#REF!</f>
        <v>#REF!</v>
      </c>
      <c r="BG168" s="31">
        <f>G168*AN168</f>
        <v>0</v>
      </c>
      <c r="BH168" s="31">
        <f>G168*AO168</f>
        <v>0</v>
      </c>
      <c r="BI168" s="31">
        <f>G168*H168</f>
        <v>0</v>
      </c>
      <c r="BJ168" s="31"/>
      <c r="BK168" s="56">
        <v>87</v>
      </c>
      <c r="BV168" s="56">
        <v>21</v>
      </c>
    </row>
    <row r="169" spans="1:74" ht="15" customHeight="1" x14ac:dyDescent="0.25">
      <c r="A169" s="53"/>
      <c r="D169" s="52" t="s">
        <v>1109</v>
      </c>
      <c r="E169" s="37" t="s">
        <v>139</v>
      </c>
      <c r="G169" s="21">
        <v>1</v>
      </c>
      <c r="J169" s="48"/>
    </row>
    <row r="170" spans="1:74" ht="13.5" customHeight="1" x14ac:dyDescent="0.25">
      <c r="A170" s="10" t="s">
        <v>135</v>
      </c>
      <c r="B170" s="9" t="s">
        <v>847</v>
      </c>
      <c r="C170" s="9" t="s">
        <v>189</v>
      </c>
      <c r="D170" s="76" t="s">
        <v>1050</v>
      </c>
      <c r="E170" s="77"/>
      <c r="F170" s="9" t="s">
        <v>275</v>
      </c>
      <c r="G170" s="56">
        <v>38</v>
      </c>
      <c r="H170" s="56">
        <v>0</v>
      </c>
      <c r="I170" s="56">
        <f>G170*H170</f>
        <v>0</v>
      </c>
      <c r="J170" s="54" t="s">
        <v>501</v>
      </c>
      <c r="Y170" s="56">
        <f>IF(AP170="5",BI170,0)</f>
        <v>0</v>
      </c>
      <c r="AA170" s="56">
        <f>IF(AP170="1",BG170,0)</f>
        <v>0</v>
      </c>
      <c r="AB170" s="56">
        <f>IF(AP170="1",BH170,0)</f>
        <v>0</v>
      </c>
      <c r="AC170" s="56">
        <f>IF(AP170="7",BG170,0)</f>
        <v>0</v>
      </c>
      <c r="AD170" s="56">
        <f>IF(AP170="7",BH170,0)</f>
        <v>0</v>
      </c>
      <c r="AE170" s="56">
        <f>IF(AP170="2",BG170,0)</f>
        <v>0</v>
      </c>
      <c r="AF170" s="56">
        <f>IF(AP170="2",BH170,0)</f>
        <v>0</v>
      </c>
      <c r="AG170" s="56">
        <f>IF(AP170="0",BI170,0)</f>
        <v>0</v>
      </c>
      <c r="AH170" s="30" t="s">
        <v>847</v>
      </c>
      <c r="AI170" s="56">
        <f>IF(AM170=0,I170,0)</f>
        <v>0</v>
      </c>
      <c r="AJ170" s="56">
        <f>IF(AM170=15,I170,0)</f>
        <v>0</v>
      </c>
      <c r="AK170" s="56">
        <f>IF(AM170=21,I170,0)</f>
        <v>0</v>
      </c>
      <c r="AM170" s="56">
        <v>21</v>
      </c>
      <c r="AN170" s="56">
        <f>H170*0</f>
        <v>0</v>
      </c>
      <c r="AO170" s="56">
        <f>H170*(1-0)</f>
        <v>0</v>
      </c>
      <c r="AP170" s="41" t="s">
        <v>1109</v>
      </c>
      <c r="AU170" s="56">
        <f>AV170+AW170</f>
        <v>0</v>
      </c>
      <c r="AV170" s="56">
        <f>G170*AN170</f>
        <v>0</v>
      </c>
      <c r="AW170" s="56">
        <f>G170*AO170</f>
        <v>0</v>
      </c>
      <c r="AX170" s="41" t="s">
        <v>77</v>
      </c>
      <c r="AY170" s="41" t="s">
        <v>246</v>
      </c>
      <c r="AZ170" s="30" t="s">
        <v>1000</v>
      </c>
      <c r="BB170" s="56">
        <f>AV170+AW170</f>
        <v>0</v>
      </c>
      <c r="BC170" s="56">
        <f>H170/(100-BD170)*100</f>
        <v>0</v>
      </c>
      <c r="BD170" s="56">
        <v>0</v>
      </c>
      <c r="BE170" s="56" t="e">
        <f>#REF!</f>
        <v>#REF!</v>
      </c>
      <c r="BG170" s="56">
        <f>G170*AN170</f>
        <v>0</v>
      </c>
      <c r="BH170" s="56">
        <f>G170*AO170</f>
        <v>0</v>
      </c>
      <c r="BI170" s="56">
        <f>G170*H170</f>
        <v>0</v>
      </c>
      <c r="BJ170" s="56"/>
      <c r="BK170" s="56">
        <v>87</v>
      </c>
      <c r="BV170" s="56">
        <v>21</v>
      </c>
    </row>
    <row r="171" spans="1:74" ht="13.5" customHeight="1" x14ac:dyDescent="0.25">
      <c r="A171" s="57" t="s">
        <v>800</v>
      </c>
      <c r="B171" s="50" t="s">
        <v>847</v>
      </c>
      <c r="C171" s="50" t="s">
        <v>103</v>
      </c>
      <c r="D171" s="135" t="s">
        <v>57</v>
      </c>
      <c r="E171" s="136"/>
      <c r="F171" s="50" t="s">
        <v>275</v>
      </c>
      <c r="G171" s="31">
        <v>2</v>
      </c>
      <c r="H171" s="31">
        <v>0</v>
      </c>
      <c r="I171" s="31">
        <f>G171*H171</f>
        <v>0</v>
      </c>
      <c r="J171" s="47" t="s">
        <v>501</v>
      </c>
      <c r="Y171" s="56">
        <f>IF(AP171="5",BI171,0)</f>
        <v>0</v>
      </c>
      <c r="AA171" s="56">
        <f>IF(AP171="1",BG171,0)</f>
        <v>0</v>
      </c>
      <c r="AB171" s="56">
        <f>IF(AP171="1",BH171,0)</f>
        <v>0</v>
      </c>
      <c r="AC171" s="56">
        <f>IF(AP171="7",BG171,0)</f>
        <v>0</v>
      </c>
      <c r="AD171" s="56">
        <f>IF(AP171="7",BH171,0)</f>
        <v>0</v>
      </c>
      <c r="AE171" s="56">
        <f>IF(AP171="2",BG171,0)</f>
        <v>0</v>
      </c>
      <c r="AF171" s="56">
        <f>IF(AP171="2",BH171,0)</f>
        <v>0</v>
      </c>
      <c r="AG171" s="56">
        <f>IF(AP171="0",BI171,0)</f>
        <v>0</v>
      </c>
      <c r="AH171" s="30" t="s">
        <v>847</v>
      </c>
      <c r="AI171" s="31">
        <f>IF(AM171=0,I171,0)</f>
        <v>0</v>
      </c>
      <c r="AJ171" s="31">
        <f>IF(AM171=15,I171,0)</f>
        <v>0</v>
      </c>
      <c r="AK171" s="31">
        <f>IF(AM171=21,I171,0)</f>
        <v>0</v>
      </c>
      <c r="AM171" s="56">
        <v>21</v>
      </c>
      <c r="AN171" s="56">
        <f>H171*1</f>
        <v>0</v>
      </c>
      <c r="AO171" s="56">
        <f>H171*(1-1)</f>
        <v>0</v>
      </c>
      <c r="AP171" s="58" t="s">
        <v>1109</v>
      </c>
      <c r="AU171" s="56">
        <f>AV171+AW171</f>
        <v>0</v>
      </c>
      <c r="AV171" s="56">
        <f>G171*AN171</f>
        <v>0</v>
      </c>
      <c r="AW171" s="56">
        <f>G171*AO171</f>
        <v>0</v>
      </c>
      <c r="AX171" s="41" t="s">
        <v>77</v>
      </c>
      <c r="AY171" s="41" t="s">
        <v>246</v>
      </c>
      <c r="AZ171" s="30" t="s">
        <v>1000</v>
      </c>
      <c r="BB171" s="56">
        <f>AV171+AW171</f>
        <v>0</v>
      </c>
      <c r="BC171" s="56">
        <f>H171/(100-BD171)*100</f>
        <v>0</v>
      </c>
      <c r="BD171" s="56">
        <v>0</v>
      </c>
      <c r="BE171" s="56" t="e">
        <f>#REF!</f>
        <v>#REF!</v>
      </c>
      <c r="BG171" s="31">
        <f>G171*AN171</f>
        <v>0</v>
      </c>
      <c r="BH171" s="31">
        <f>G171*AO171</f>
        <v>0</v>
      </c>
      <c r="BI171" s="31">
        <f>G171*H171</f>
        <v>0</v>
      </c>
      <c r="BJ171" s="31"/>
      <c r="BK171" s="56">
        <v>87</v>
      </c>
      <c r="BV171" s="56">
        <v>21</v>
      </c>
    </row>
    <row r="172" spans="1:74" ht="15" customHeight="1" x14ac:dyDescent="0.25">
      <c r="A172" s="53"/>
      <c r="D172" s="52" t="s">
        <v>766</v>
      </c>
      <c r="E172" s="37" t="s">
        <v>286</v>
      </c>
      <c r="G172" s="21">
        <v>2</v>
      </c>
      <c r="J172" s="48"/>
    </row>
    <row r="173" spans="1:74" ht="13.5" customHeight="1" x14ac:dyDescent="0.25">
      <c r="A173" s="57" t="s">
        <v>1231</v>
      </c>
      <c r="B173" s="50" t="s">
        <v>847</v>
      </c>
      <c r="C173" s="50" t="s">
        <v>946</v>
      </c>
      <c r="D173" s="135" t="s">
        <v>648</v>
      </c>
      <c r="E173" s="136"/>
      <c r="F173" s="50" t="s">
        <v>275</v>
      </c>
      <c r="G173" s="31">
        <v>36</v>
      </c>
      <c r="H173" s="31">
        <v>0</v>
      </c>
      <c r="I173" s="31">
        <f>G173*H173</f>
        <v>0</v>
      </c>
      <c r="J173" s="47" t="s">
        <v>501</v>
      </c>
      <c r="Y173" s="56">
        <f>IF(AP173="5",BI173,0)</f>
        <v>0</v>
      </c>
      <c r="AA173" s="56">
        <f>IF(AP173="1",BG173,0)</f>
        <v>0</v>
      </c>
      <c r="AB173" s="56">
        <f>IF(AP173="1",BH173,0)</f>
        <v>0</v>
      </c>
      <c r="AC173" s="56">
        <f>IF(AP173="7",BG173,0)</f>
        <v>0</v>
      </c>
      <c r="AD173" s="56">
        <f>IF(AP173="7",BH173,0)</f>
        <v>0</v>
      </c>
      <c r="AE173" s="56">
        <f>IF(AP173="2",BG173,0)</f>
        <v>0</v>
      </c>
      <c r="AF173" s="56">
        <f>IF(AP173="2",BH173,0)</f>
        <v>0</v>
      </c>
      <c r="AG173" s="56">
        <f>IF(AP173="0",BI173,0)</f>
        <v>0</v>
      </c>
      <c r="AH173" s="30" t="s">
        <v>847</v>
      </c>
      <c r="AI173" s="31">
        <f>IF(AM173=0,I173,0)</f>
        <v>0</v>
      </c>
      <c r="AJ173" s="31">
        <f>IF(AM173=15,I173,0)</f>
        <v>0</v>
      </c>
      <c r="AK173" s="31">
        <f>IF(AM173=21,I173,0)</f>
        <v>0</v>
      </c>
      <c r="AM173" s="56">
        <v>21</v>
      </c>
      <c r="AN173" s="56">
        <f>H173*1</f>
        <v>0</v>
      </c>
      <c r="AO173" s="56">
        <f>H173*(1-1)</f>
        <v>0</v>
      </c>
      <c r="AP173" s="58" t="s">
        <v>1109</v>
      </c>
      <c r="AU173" s="56">
        <f>AV173+AW173</f>
        <v>0</v>
      </c>
      <c r="AV173" s="56">
        <f>G173*AN173</f>
        <v>0</v>
      </c>
      <c r="AW173" s="56">
        <f>G173*AO173</f>
        <v>0</v>
      </c>
      <c r="AX173" s="41" t="s">
        <v>77</v>
      </c>
      <c r="AY173" s="41" t="s">
        <v>246</v>
      </c>
      <c r="AZ173" s="30" t="s">
        <v>1000</v>
      </c>
      <c r="BB173" s="56">
        <f>AV173+AW173</f>
        <v>0</v>
      </c>
      <c r="BC173" s="56">
        <f>H173/(100-BD173)*100</f>
        <v>0</v>
      </c>
      <c r="BD173" s="56">
        <v>0</v>
      </c>
      <c r="BE173" s="56" t="e">
        <f>#REF!</f>
        <v>#REF!</v>
      </c>
      <c r="BG173" s="31">
        <f>G173*AN173</f>
        <v>0</v>
      </c>
      <c r="BH173" s="31">
        <f>G173*AO173</f>
        <v>0</v>
      </c>
      <c r="BI173" s="31">
        <f>G173*H173</f>
        <v>0</v>
      </c>
      <c r="BJ173" s="31"/>
      <c r="BK173" s="56">
        <v>87</v>
      </c>
      <c r="BV173" s="56">
        <v>21</v>
      </c>
    </row>
    <row r="174" spans="1:74" ht="15" customHeight="1" x14ac:dyDescent="0.25">
      <c r="A174" s="53"/>
      <c r="D174" s="52" t="s">
        <v>647</v>
      </c>
      <c r="E174" s="37" t="s">
        <v>431</v>
      </c>
      <c r="G174" s="21">
        <v>36</v>
      </c>
      <c r="J174" s="48"/>
    </row>
    <row r="175" spans="1:74" ht="13.5" customHeight="1" x14ac:dyDescent="0.25">
      <c r="A175" s="10" t="s">
        <v>250</v>
      </c>
      <c r="B175" s="9" t="s">
        <v>847</v>
      </c>
      <c r="C175" s="9" t="s">
        <v>1187</v>
      </c>
      <c r="D175" s="76" t="s">
        <v>479</v>
      </c>
      <c r="E175" s="77"/>
      <c r="F175" s="9" t="s">
        <v>909</v>
      </c>
      <c r="G175" s="56">
        <v>84</v>
      </c>
      <c r="H175" s="56">
        <v>0</v>
      </c>
      <c r="I175" s="56">
        <f>G175*H175</f>
        <v>0</v>
      </c>
      <c r="J175" s="54" t="s">
        <v>501</v>
      </c>
      <c r="Y175" s="56">
        <f>IF(AP175="5",BI175,0)</f>
        <v>0</v>
      </c>
      <c r="AA175" s="56">
        <f>IF(AP175="1",BG175,0)</f>
        <v>0</v>
      </c>
      <c r="AB175" s="56">
        <f>IF(AP175="1",BH175,0)</f>
        <v>0</v>
      </c>
      <c r="AC175" s="56">
        <f>IF(AP175="7",BG175,0)</f>
        <v>0</v>
      </c>
      <c r="AD175" s="56">
        <f>IF(AP175="7",BH175,0)</f>
        <v>0</v>
      </c>
      <c r="AE175" s="56">
        <f>IF(AP175="2",BG175,0)</f>
        <v>0</v>
      </c>
      <c r="AF175" s="56">
        <f>IF(AP175="2",BH175,0)</f>
        <v>0</v>
      </c>
      <c r="AG175" s="56">
        <f>IF(AP175="0",BI175,0)</f>
        <v>0</v>
      </c>
      <c r="AH175" s="30" t="s">
        <v>847</v>
      </c>
      <c r="AI175" s="56">
        <f>IF(AM175=0,I175,0)</f>
        <v>0</v>
      </c>
      <c r="AJ175" s="56">
        <f>IF(AM175=15,I175,0)</f>
        <v>0</v>
      </c>
      <c r="AK175" s="56">
        <f>IF(AM175=21,I175,0)</f>
        <v>0</v>
      </c>
      <c r="AM175" s="56">
        <v>21</v>
      </c>
      <c r="AN175" s="56">
        <f>H175*0</f>
        <v>0</v>
      </c>
      <c r="AO175" s="56">
        <f>H175*(1-0)</f>
        <v>0</v>
      </c>
      <c r="AP175" s="41" t="s">
        <v>1109</v>
      </c>
      <c r="AU175" s="56">
        <f>AV175+AW175</f>
        <v>0</v>
      </c>
      <c r="AV175" s="56">
        <f>G175*AN175</f>
        <v>0</v>
      </c>
      <c r="AW175" s="56">
        <f>G175*AO175</f>
        <v>0</v>
      </c>
      <c r="AX175" s="41" t="s">
        <v>77</v>
      </c>
      <c r="AY175" s="41" t="s">
        <v>246</v>
      </c>
      <c r="AZ175" s="30" t="s">
        <v>1000</v>
      </c>
      <c r="BB175" s="56">
        <f>AV175+AW175</f>
        <v>0</v>
      </c>
      <c r="BC175" s="56">
        <f>H175/(100-BD175)*100</f>
        <v>0</v>
      </c>
      <c r="BD175" s="56">
        <v>0</v>
      </c>
      <c r="BE175" s="56" t="e">
        <f>#REF!</f>
        <v>#REF!</v>
      </c>
      <c r="BG175" s="56">
        <f>G175*AN175</f>
        <v>0</v>
      </c>
      <c r="BH175" s="56">
        <f>G175*AO175</f>
        <v>0</v>
      </c>
      <c r="BI175" s="56">
        <f>G175*H175</f>
        <v>0</v>
      </c>
      <c r="BJ175" s="56"/>
      <c r="BK175" s="56">
        <v>87</v>
      </c>
      <c r="BV175" s="56">
        <v>21</v>
      </c>
    </row>
    <row r="176" spans="1:74" ht="13.5" customHeight="1" x14ac:dyDescent="0.25">
      <c r="A176" s="53"/>
      <c r="C176" s="66" t="s">
        <v>578</v>
      </c>
      <c r="D176" s="137" t="s">
        <v>779</v>
      </c>
      <c r="E176" s="138"/>
      <c r="F176" s="138"/>
      <c r="G176" s="138"/>
      <c r="H176" s="138"/>
      <c r="I176" s="138"/>
      <c r="J176" s="139"/>
    </row>
    <row r="177" spans="1:74" ht="15" customHeight="1" x14ac:dyDescent="0.25">
      <c r="A177" s="53"/>
      <c r="D177" s="52" t="s">
        <v>659</v>
      </c>
      <c r="E177" s="37" t="s">
        <v>203</v>
      </c>
      <c r="G177" s="21">
        <v>84</v>
      </c>
      <c r="J177" s="48"/>
    </row>
    <row r="178" spans="1:74" ht="13.5" customHeight="1" x14ac:dyDescent="0.25">
      <c r="A178" s="10" t="s">
        <v>556</v>
      </c>
      <c r="B178" s="9" t="s">
        <v>847</v>
      </c>
      <c r="C178" s="9" t="s">
        <v>1013</v>
      </c>
      <c r="D178" s="76" t="s">
        <v>795</v>
      </c>
      <c r="E178" s="77"/>
      <c r="F178" s="9" t="s">
        <v>909</v>
      </c>
      <c r="G178" s="56">
        <v>14</v>
      </c>
      <c r="H178" s="56">
        <v>0</v>
      </c>
      <c r="I178" s="56">
        <f>G178*H178</f>
        <v>0</v>
      </c>
      <c r="J178" s="54" t="s">
        <v>501</v>
      </c>
      <c r="Y178" s="56">
        <f>IF(AP178="5",BI178,0)</f>
        <v>0</v>
      </c>
      <c r="AA178" s="56">
        <f>IF(AP178="1",BG178,0)</f>
        <v>0</v>
      </c>
      <c r="AB178" s="56">
        <f>IF(AP178="1",BH178,0)</f>
        <v>0</v>
      </c>
      <c r="AC178" s="56">
        <f>IF(AP178="7",BG178,0)</f>
        <v>0</v>
      </c>
      <c r="AD178" s="56">
        <f>IF(AP178="7",BH178,0)</f>
        <v>0</v>
      </c>
      <c r="AE178" s="56">
        <f>IF(AP178="2",BG178,0)</f>
        <v>0</v>
      </c>
      <c r="AF178" s="56">
        <f>IF(AP178="2",BH178,0)</f>
        <v>0</v>
      </c>
      <c r="AG178" s="56">
        <f>IF(AP178="0",BI178,0)</f>
        <v>0</v>
      </c>
      <c r="AH178" s="30" t="s">
        <v>847</v>
      </c>
      <c r="AI178" s="56">
        <f>IF(AM178=0,I178,0)</f>
        <v>0</v>
      </c>
      <c r="AJ178" s="56">
        <f>IF(AM178=15,I178,0)</f>
        <v>0</v>
      </c>
      <c r="AK178" s="56">
        <f>IF(AM178=21,I178,0)</f>
        <v>0</v>
      </c>
      <c r="AM178" s="56">
        <v>21</v>
      </c>
      <c r="AN178" s="56">
        <f>H178*0</f>
        <v>0</v>
      </c>
      <c r="AO178" s="56">
        <f>H178*(1-0)</f>
        <v>0</v>
      </c>
      <c r="AP178" s="41" t="s">
        <v>1109</v>
      </c>
      <c r="AU178" s="56">
        <f>AV178+AW178</f>
        <v>0</v>
      </c>
      <c r="AV178" s="56">
        <f>G178*AN178</f>
        <v>0</v>
      </c>
      <c r="AW178" s="56">
        <f>G178*AO178</f>
        <v>0</v>
      </c>
      <c r="AX178" s="41" t="s">
        <v>77</v>
      </c>
      <c r="AY178" s="41" t="s">
        <v>246</v>
      </c>
      <c r="AZ178" s="30" t="s">
        <v>1000</v>
      </c>
      <c r="BB178" s="56">
        <f>AV178+AW178</f>
        <v>0</v>
      </c>
      <c r="BC178" s="56">
        <f>H178/(100-BD178)*100</f>
        <v>0</v>
      </c>
      <c r="BD178" s="56">
        <v>0</v>
      </c>
      <c r="BE178" s="56" t="e">
        <f>#REF!</f>
        <v>#REF!</v>
      </c>
      <c r="BG178" s="56">
        <f>G178*AN178</f>
        <v>0</v>
      </c>
      <c r="BH178" s="56">
        <f>G178*AO178</f>
        <v>0</v>
      </c>
      <c r="BI178" s="56">
        <f>G178*H178</f>
        <v>0</v>
      </c>
      <c r="BJ178" s="56"/>
      <c r="BK178" s="56">
        <v>87</v>
      </c>
      <c r="BV178" s="56">
        <v>21</v>
      </c>
    </row>
    <row r="179" spans="1:74" ht="13.5" customHeight="1" x14ac:dyDescent="0.25">
      <c r="A179" s="57" t="s">
        <v>1223</v>
      </c>
      <c r="B179" s="50" t="s">
        <v>847</v>
      </c>
      <c r="C179" s="50" t="s">
        <v>360</v>
      </c>
      <c r="D179" s="135" t="s">
        <v>1174</v>
      </c>
      <c r="E179" s="136"/>
      <c r="F179" s="50" t="s">
        <v>909</v>
      </c>
      <c r="G179" s="31">
        <v>14</v>
      </c>
      <c r="H179" s="31">
        <v>0</v>
      </c>
      <c r="I179" s="31">
        <f>G179*H179</f>
        <v>0</v>
      </c>
      <c r="J179" s="47" t="s">
        <v>769</v>
      </c>
      <c r="Y179" s="56">
        <f>IF(AP179="5",BI179,0)</f>
        <v>0</v>
      </c>
      <c r="AA179" s="56">
        <f>IF(AP179="1",BG179,0)</f>
        <v>0</v>
      </c>
      <c r="AB179" s="56">
        <f>IF(AP179="1",BH179,0)</f>
        <v>0</v>
      </c>
      <c r="AC179" s="56">
        <f>IF(AP179="7",BG179,0)</f>
        <v>0</v>
      </c>
      <c r="AD179" s="56">
        <f>IF(AP179="7",BH179,0)</f>
        <v>0</v>
      </c>
      <c r="AE179" s="56">
        <f>IF(AP179="2",BG179,0)</f>
        <v>0</v>
      </c>
      <c r="AF179" s="56">
        <f>IF(AP179="2",BH179,0)</f>
        <v>0</v>
      </c>
      <c r="AG179" s="56">
        <f>IF(AP179="0",BI179,0)</f>
        <v>0</v>
      </c>
      <c r="AH179" s="30" t="s">
        <v>847</v>
      </c>
      <c r="AI179" s="31">
        <f>IF(AM179=0,I179,0)</f>
        <v>0</v>
      </c>
      <c r="AJ179" s="31">
        <f>IF(AM179=15,I179,0)</f>
        <v>0</v>
      </c>
      <c r="AK179" s="31">
        <f>IF(AM179=21,I179,0)</f>
        <v>0</v>
      </c>
      <c r="AM179" s="56">
        <v>21</v>
      </c>
      <c r="AN179" s="56">
        <f>H179*1</f>
        <v>0</v>
      </c>
      <c r="AO179" s="56">
        <f>H179*(1-1)</f>
        <v>0</v>
      </c>
      <c r="AP179" s="58" t="s">
        <v>1109</v>
      </c>
      <c r="AU179" s="56">
        <f>AV179+AW179</f>
        <v>0</v>
      </c>
      <c r="AV179" s="56">
        <f>G179*AN179</f>
        <v>0</v>
      </c>
      <c r="AW179" s="56">
        <f>G179*AO179</f>
        <v>0</v>
      </c>
      <c r="AX179" s="41" t="s">
        <v>77</v>
      </c>
      <c r="AY179" s="41" t="s">
        <v>246</v>
      </c>
      <c r="AZ179" s="30" t="s">
        <v>1000</v>
      </c>
      <c r="BB179" s="56">
        <f>AV179+AW179</f>
        <v>0</v>
      </c>
      <c r="BC179" s="56">
        <f>H179/(100-BD179)*100</f>
        <v>0</v>
      </c>
      <c r="BD179" s="56">
        <v>0</v>
      </c>
      <c r="BE179" s="56" t="e">
        <f>#REF!</f>
        <v>#REF!</v>
      </c>
      <c r="BG179" s="31">
        <f>G179*AN179</f>
        <v>0</v>
      </c>
      <c r="BH179" s="31">
        <f>G179*AO179</f>
        <v>0</v>
      </c>
      <c r="BI179" s="31">
        <f>G179*H179</f>
        <v>0</v>
      </c>
      <c r="BJ179" s="31"/>
      <c r="BK179" s="56">
        <v>87</v>
      </c>
      <c r="BV179" s="56">
        <v>21</v>
      </c>
    </row>
    <row r="180" spans="1:74" ht="15" customHeight="1" x14ac:dyDescent="0.25">
      <c r="A180" s="53"/>
      <c r="D180" s="52" t="s">
        <v>654</v>
      </c>
      <c r="E180" s="37" t="s">
        <v>906</v>
      </c>
      <c r="G180" s="21">
        <v>14.000000000000002</v>
      </c>
      <c r="J180" s="48"/>
    </row>
    <row r="181" spans="1:74" ht="13.5" customHeight="1" x14ac:dyDescent="0.25">
      <c r="A181" s="10" t="s">
        <v>1151</v>
      </c>
      <c r="B181" s="9" t="s">
        <v>847</v>
      </c>
      <c r="C181" s="9" t="s">
        <v>242</v>
      </c>
      <c r="D181" s="76" t="s">
        <v>582</v>
      </c>
      <c r="E181" s="77"/>
      <c r="F181" s="9" t="s">
        <v>909</v>
      </c>
      <c r="G181" s="56">
        <v>6</v>
      </c>
      <c r="H181" s="56">
        <v>0</v>
      </c>
      <c r="I181" s="56">
        <f>G181*H181</f>
        <v>0</v>
      </c>
      <c r="J181" s="54" t="s">
        <v>501</v>
      </c>
      <c r="Y181" s="56">
        <f>IF(AP181="5",BI181,0)</f>
        <v>0</v>
      </c>
      <c r="AA181" s="56">
        <f>IF(AP181="1",BG181,0)</f>
        <v>0</v>
      </c>
      <c r="AB181" s="56">
        <f>IF(AP181="1",BH181,0)</f>
        <v>0</v>
      </c>
      <c r="AC181" s="56">
        <f>IF(AP181="7",BG181,0)</f>
        <v>0</v>
      </c>
      <c r="AD181" s="56">
        <f>IF(AP181="7",BH181,0)</f>
        <v>0</v>
      </c>
      <c r="AE181" s="56">
        <f>IF(AP181="2",BG181,0)</f>
        <v>0</v>
      </c>
      <c r="AF181" s="56">
        <f>IF(AP181="2",BH181,0)</f>
        <v>0</v>
      </c>
      <c r="AG181" s="56">
        <f>IF(AP181="0",BI181,0)</f>
        <v>0</v>
      </c>
      <c r="AH181" s="30" t="s">
        <v>847</v>
      </c>
      <c r="AI181" s="56">
        <f>IF(AM181=0,I181,0)</f>
        <v>0</v>
      </c>
      <c r="AJ181" s="56">
        <f>IF(AM181=15,I181,0)</f>
        <v>0</v>
      </c>
      <c r="AK181" s="56">
        <f>IF(AM181=21,I181,0)</f>
        <v>0</v>
      </c>
      <c r="AM181" s="56">
        <v>21</v>
      </c>
      <c r="AN181" s="56">
        <f>H181*0</f>
        <v>0</v>
      </c>
      <c r="AO181" s="56">
        <f>H181*(1-0)</f>
        <v>0</v>
      </c>
      <c r="AP181" s="41" t="s">
        <v>1109</v>
      </c>
      <c r="AU181" s="56">
        <f>AV181+AW181</f>
        <v>0</v>
      </c>
      <c r="AV181" s="56">
        <f>G181*AN181</f>
        <v>0</v>
      </c>
      <c r="AW181" s="56">
        <f>G181*AO181</f>
        <v>0</v>
      </c>
      <c r="AX181" s="41" t="s">
        <v>77</v>
      </c>
      <c r="AY181" s="41" t="s">
        <v>246</v>
      </c>
      <c r="AZ181" s="30" t="s">
        <v>1000</v>
      </c>
      <c r="BB181" s="56">
        <f>AV181+AW181</f>
        <v>0</v>
      </c>
      <c r="BC181" s="56">
        <f>H181/(100-BD181)*100</f>
        <v>0</v>
      </c>
      <c r="BD181" s="56">
        <v>0</v>
      </c>
      <c r="BE181" s="56" t="e">
        <f>#REF!</f>
        <v>#REF!</v>
      </c>
      <c r="BG181" s="56">
        <f>G181*AN181</f>
        <v>0</v>
      </c>
      <c r="BH181" s="56">
        <f>G181*AO181</f>
        <v>0</v>
      </c>
      <c r="BI181" s="56">
        <f>G181*H181</f>
        <v>0</v>
      </c>
      <c r="BJ181" s="56"/>
      <c r="BK181" s="56">
        <v>87</v>
      </c>
      <c r="BV181" s="56">
        <v>21</v>
      </c>
    </row>
    <row r="182" spans="1:74" ht="13.5" customHeight="1" x14ac:dyDescent="0.25">
      <c r="A182" s="57" t="s">
        <v>18</v>
      </c>
      <c r="B182" s="50" t="s">
        <v>847</v>
      </c>
      <c r="C182" s="50" t="s">
        <v>237</v>
      </c>
      <c r="D182" s="135" t="s">
        <v>953</v>
      </c>
      <c r="E182" s="136"/>
      <c r="F182" s="50" t="s">
        <v>909</v>
      </c>
      <c r="G182" s="31">
        <v>6</v>
      </c>
      <c r="H182" s="31">
        <v>0</v>
      </c>
      <c r="I182" s="31">
        <f>G182*H182</f>
        <v>0</v>
      </c>
      <c r="J182" s="47" t="s">
        <v>501</v>
      </c>
      <c r="Y182" s="56">
        <f>IF(AP182="5",BI182,0)</f>
        <v>0</v>
      </c>
      <c r="AA182" s="56">
        <f>IF(AP182="1",BG182,0)</f>
        <v>0</v>
      </c>
      <c r="AB182" s="56">
        <f>IF(AP182="1",BH182,0)</f>
        <v>0</v>
      </c>
      <c r="AC182" s="56">
        <f>IF(AP182="7",BG182,0)</f>
        <v>0</v>
      </c>
      <c r="AD182" s="56">
        <f>IF(AP182="7",BH182,0)</f>
        <v>0</v>
      </c>
      <c r="AE182" s="56">
        <f>IF(AP182="2",BG182,0)</f>
        <v>0</v>
      </c>
      <c r="AF182" s="56">
        <f>IF(AP182="2",BH182,0)</f>
        <v>0</v>
      </c>
      <c r="AG182" s="56">
        <f>IF(AP182="0",BI182,0)</f>
        <v>0</v>
      </c>
      <c r="AH182" s="30" t="s">
        <v>847</v>
      </c>
      <c r="AI182" s="31">
        <f>IF(AM182=0,I182,0)</f>
        <v>0</v>
      </c>
      <c r="AJ182" s="31">
        <f>IF(AM182=15,I182,0)</f>
        <v>0</v>
      </c>
      <c r="AK182" s="31">
        <f>IF(AM182=21,I182,0)</f>
        <v>0</v>
      </c>
      <c r="AM182" s="56">
        <v>21</v>
      </c>
      <c r="AN182" s="56">
        <f>H182*1</f>
        <v>0</v>
      </c>
      <c r="AO182" s="56">
        <f>H182*(1-1)</f>
        <v>0</v>
      </c>
      <c r="AP182" s="58" t="s">
        <v>1109</v>
      </c>
      <c r="AU182" s="56">
        <f>AV182+AW182</f>
        <v>0</v>
      </c>
      <c r="AV182" s="56">
        <f>G182*AN182</f>
        <v>0</v>
      </c>
      <c r="AW182" s="56">
        <f>G182*AO182</f>
        <v>0</v>
      </c>
      <c r="AX182" s="41" t="s">
        <v>77</v>
      </c>
      <c r="AY182" s="41" t="s">
        <v>246</v>
      </c>
      <c r="AZ182" s="30" t="s">
        <v>1000</v>
      </c>
      <c r="BB182" s="56">
        <f>AV182+AW182</f>
        <v>0</v>
      </c>
      <c r="BC182" s="56">
        <f>H182/(100-BD182)*100</f>
        <v>0</v>
      </c>
      <c r="BD182" s="56">
        <v>0</v>
      </c>
      <c r="BE182" s="56" t="e">
        <f>#REF!</f>
        <v>#REF!</v>
      </c>
      <c r="BG182" s="31">
        <f>G182*AN182</f>
        <v>0</v>
      </c>
      <c r="BH182" s="31">
        <f>G182*AO182</f>
        <v>0</v>
      </c>
      <c r="BI182" s="31">
        <f>G182*H182</f>
        <v>0</v>
      </c>
      <c r="BJ182" s="31"/>
      <c r="BK182" s="56">
        <v>87</v>
      </c>
      <c r="BV182" s="56">
        <v>21</v>
      </c>
    </row>
    <row r="183" spans="1:74" ht="15" customHeight="1" x14ac:dyDescent="0.25">
      <c r="A183" s="53"/>
      <c r="D183" s="52" t="s">
        <v>177</v>
      </c>
      <c r="E183" s="37" t="s">
        <v>1022</v>
      </c>
      <c r="G183" s="21">
        <v>6.0000000000000009</v>
      </c>
      <c r="J183" s="48"/>
    </row>
    <row r="184" spans="1:74" ht="13.5" customHeight="1" x14ac:dyDescent="0.25">
      <c r="A184" s="10" t="s">
        <v>181</v>
      </c>
      <c r="B184" s="9" t="s">
        <v>847</v>
      </c>
      <c r="C184" s="9" t="s">
        <v>731</v>
      </c>
      <c r="D184" s="76" t="s">
        <v>701</v>
      </c>
      <c r="E184" s="77"/>
      <c r="F184" s="9" t="s">
        <v>909</v>
      </c>
      <c r="G184" s="56">
        <v>2</v>
      </c>
      <c r="H184" s="56">
        <v>0</v>
      </c>
      <c r="I184" s="56">
        <f>G184*H184</f>
        <v>0</v>
      </c>
      <c r="J184" s="54" t="s">
        <v>501</v>
      </c>
      <c r="Y184" s="56">
        <f>IF(AP184="5",BI184,0)</f>
        <v>0</v>
      </c>
      <c r="AA184" s="56">
        <f>IF(AP184="1",BG184,0)</f>
        <v>0</v>
      </c>
      <c r="AB184" s="56">
        <f>IF(AP184="1",BH184,0)</f>
        <v>0</v>
      </c>
      <c r="AC184" s="56">
        <f>IF(AP184="7",BG184,0)</f>
        <v>0</v>
      </c>
      <c r="AD184" s="56">
        <f>IF(AP184="7",BH184,0)</f>
        <v>0</v>
      </c>
      <c r="AE184" s="56">
        <f>IF(AP184="2",BG184,0)</f>
        <v>0</v>
      </c>
      <c r="AF184" s="56">
        <f>IF(AP184="2",BH184,0)</f>
        <v>0</v>
      </c>
      <c r="AG184" s="56">
        <f>IF(AP184="0",BI184,0)</f>
        <v>0</v>
      </c>
      <c r="AH184" s="30" t="s">
        <v>847</v>
      </c>
      <c r="AI184" s="56">
        <f>IF(AM184=0,I184,0)</f>
        <v>0</v>
      </c>
      <c r="AJ184" s="56">
        <f>IF(AM184=15,I184,0)</f>
        <v>0</v>
      </c>
      <c r="AK184" s="56">
        <f>IF(AM184=21,I184,0)</f>
        <v>0</v>
      </c>
      <c r="AM184" s="56">
        <v>21</v>
      </c>
      <c r="AN184" s="56">
        <f>H184*0</f>
        <v>0</v>
      </c>
      <c r="AO184" s="56">
        <f>H184*(1-0)</f>
        <v>0</v>
      </c>
      <c r="AP184" s="41" t="s">
        <v>1109</v>
      </c>
      <c r="AU184" s="56">
        <f>AV184+AW184</f>
        <v>0</v>
      </c>
      <c r="AV184" s="56">
        <f>G184*AN184</f>
        <v>0</v>
      </c>
      <c r="AW184" s="56">
        <f>G184*AO184</f>
        <v>0</v>
      </c>
      <c r="AX184" s="41" t="s">
        <v>77</v>
      </c>
      <c r="AY184" s="41" t="s">
        <v>246</v>
      </c>
      <c r="AZ184" s="30" t="s">
        <v>1000</v>
      </c>
      <c r="BB184" s="56">
        <f>AV184+AW184</f>
        <v>0</v>
      </c>
      <c r="BC184" s="56">
        <f>H184/(100-BD184)*100</f>
        <v>0</v>
      </c>
      <c r="BD184" s="56">
        <v>0</v>
      </c>
      <c r="BE184" s="56" t="e">
        <f>#REF!</f>
        <v>#REF!</v>
      </c>
      <c r="BG184" s="56">
        <f>G184*AN184</f>
        <v>0</v>
      </c>
      <c r="BH184" s="56">
        <f>G184*AO184</f>
        <v>0</v>
      </c>
      <c r="BI184" s="56">
        <f>G184*H184</f>
        <v>0</v>
      </c>
      <c r="BJ184" s="56"/>
      <c r="BK184" s="56">
        <v>87</v>
      </c>
      <c r="BV184" s="56">
        <v>21</v>
      </c>
    </row>
    <row r="185" spans="1:74" ht="13.5" customHeight="1" x14ac:dyDescent="0.25">
      <c r="A185" s="57" t="s">
        <v>227</v>
      </c>
      <c r="B185" s="50" t="s">
        <v>847</v>
      </c>
      <c r="C185" s="50" t="s">
        <v>1166</v>
      </c>
      <c r="D185" s="135" t="s">
        <v>184</v>
      </c>
      <c r="E185" s="136"/>
      <c r="F185" s="50" t="s">
        <v>909</v>
      </c>
      <c r="G185" s="31">
        <v>2</v>
      </c>
      <c r="H185" s="31">
        <v>0</v>
      </c>
      <c r="I185" s="31">
        <f>G185*H185</f>
        <v>0</v>
      </c>
      <c r="J185" s="47" t="s">
        <v>501</v>
      </c>
      <c r="Y185" s="56">
        <f>IF(AP185="5",BI185,0)</f>
        <v>0</v>
      </c>
      <c r="AA185" s="56">
        <f>IF(AP185="1",BG185,0)</f>
        <v>0</v>
      </c>
      <c r="AB185" s="56">
        <f>IF(AP185="1",BH185,0)</f>
        <v>0</v>
      </c>
      <c r="AC185" s="56">
        <f>IF(AP185="7",BG185,0)</f>
        <v>0</v>
      </c>
      <c r="AD185" s="56">
        <f>IF(AP185="7",BH185,0)</f>
        <v>0</v>
      </c>
      <c r="AE185" s="56">
        <f>IF(AP185="2",BG185,0)</f>
        <v>0</v>
      </c>
      <c r="AF185" s="56">
        <f>IF(AP185="2",BH185,0)</f>
        <v>0</v>
      </c>
      <c r="AG185" s="56">
        <f>IF(AP185="0",BI185,0)</f>
        <v>0</v>
      </c>
      <c r="AH185" s="30" t="s">
        <v>847</v>
      </c>
      <c r="AI185" s="31">
        <f>IF(AM185=0,I185,0)</f>
        <v>0</v>
      </c>
      <c r="AJ185" s="31">
        <f>IF(AM185=15,I185,0)</f>
        <v>0</v>
      </c>
      <c r="AK185" s="31">
        <f>IF(AM185=21,I185,0)</f>
        <v>0</v>
      </c>
      <c r="AM185" s="56">
        <v>21</v>
      </c>
      <c r="AN185" s="56">
        <f>H185*1</f>
        <v>0</v>
      </c>
      <c r="AO185" s="56">
        <f>H185*(1-1)</f>
        <v>0</v>
      </c>
      <c r="AP185" s="58" t="s">
        <v>1109</v>
      </c>
      <c r="AU185" s="56">
        <f>AV185+AW185</f>
        <v>0</v>
      </c>
      <c r="AV185" s="56">
        <f>G185*AN185</f>
        <v>0</v>
      </c>
      <c r="AW185" s="56">
        <f>G185*AO185</f>
        <v>0</v>
      </c>
      <c r="AX185" s="41" t="s">
        <v>77</v>
      </c>
      <c r="AY185" s="41" t="s">
        <v>246</v>
      </c>
      <c r="AZ185" s="30" t="s">
        <v>1000</v>
      </c>
      <c r="BB185" s="56">
        <f>AV185+AW185</f>
        <v>0</v>
      </c>
      <c r="BC185" s="56">
        <f>H185/(100-BD185)*100</f>
        <v>0</v>
      </c>
      <c r="BD185" s="56">
        <v>0</v>
      </c>
      <c r="BE185" s="56" t="e">
        <f>#REF!</f>
        <v>#REF!</v>
      </c>
      <c r="BG185" s="31">
        <f>G185*AN185</f>
        <v>0</v>
      </c>
      <c r="BH185" s="31">
        <f>G185*AO185</f>
        <v>0</v>
      </c>
      <c r="BI185" s="31">
        <f>G185*H185</f>
        <v>0</v>
      </c>
      <c r="BJ185" s="31"/>
      <c r="BK185" s="56">
        <v>87</v>
      </c>
      <c r="BV185" s="56">
        <v>21</v>
      </c>
    </row>
    <row r="186" spans="1:74" ht="15" customHeight="1" x14ac:dyDescent="0.25">
      <c r="A186" s="53"/>
      <c r="D186" s="52" t="s">
        <v>766</v>
      </c>
      <c r="E186" s="37" t="s">
        <v>751</v>
      </c>
      <c r="G186" s="21">
        <v>2</v>
      </c>
      <c r="J186" s="48"/>
    </row>
    <row r="187" spans="1:74" ht="13.5" customHeight="1" x14ac:dyDescent="0.25">
      <c r="A187" s="10" t="s">
        <v>871</v>
      </c>
      <c r="B187" s="9" t="s">
        <v>847</v>
      </c>
      <c r="C187" s="9" t="s">
        <v>328</v>
      </c>
      <c r="D187" s="76" t="s">
        <v>73</v>
      </c>
      <c r="E187" s="77"/>
      <c r="F187" s="9" t="s">
        <v>909</v>
      </c>
      <c r="G187" s="56">
        <v>1</v>
      </c>
      <c r="H187" s="56">
        <v>0</v>
      </c>
      <c r="I187" s="56">
        <f>G187*H187</f>
        <v>0</v>
      </c>
      <c r="J187" s="54" t="s">
        <v>501</v>
      </c>
      <c r="Y187" s="56">
        <f>IF(AP187="5",BI187,0)</f>
        <v>0</v>
      </c>
      <c r="AA187" s="56">
        <f>IF(AP187="1",BG187,0)</f>
        <v>0</v>
      </c>
      <c r="AB187" s="56">
        <f>IF(AP187="1",BH187,0)</f>
        <v>0</v>
      </c>
      <c r="AC187" s="56">
        <f>IF(AP187="7",BG187,0)</f>
        <v>0</v>
      </c>
      <c r="AD187" s="56">
        <f>IF(AP187="7",BH187,0)</f>
        <v>0</v>
      </c>
      <c r="AE187" s="56">
        <f>IF(AP187="2",BG187,0)</f>
        <v>0</v>
      </c>
      <c r="AF187" s="56">
        <f>IF(AP187="2",BH187,0)</f>
        <v>0</v>
      </c>
      <c r="AG187" s="56">
        <f>IF(AP187="0",BI187,0)</f>
        <v>0</v>
      </c>
      <c r="AH187" s="30" t="s">
        <v>847</v>
      </c>
      <c r="AI187" s="56">
        <f>IF(AM187=0,I187,0)</f>
        <v>0</v>
      </c>
      <c r="AJ187" s="56">
        <f>IF(AM187=15,I187,0)</f>
        <v>0</v>
      </c>
      <c r="AK187" s="56">
        <f>IF(AM187=21,I187,0)</f>
        <v>0</v>
      </c>
      <c r="AM187" s="56">
        <v>21</v>
      </c>
      <c r="AN187" s="56">
        <f>H187*0</f>
        <v>0</v>
      </c>
      <c r="AO187" s="56">
        <f>H187*(1-0)</f>
        <v>0</v>
      </c>
      <c r="AP187" s="41" t="s">
        <v>1109</v>
      </c>
      <c r="AU187" s="56">
        <f>AV187+AW187</f>
        <v>0</v>
      </c>
      <c r="AV187" s="56">
        <f>G187*AN187</f>
        <v>0</v>
      </c>
      <c r="AW187" s="56">
        <f>G187*AO187</f>
        <v>0</v>
      </c>
      <c r="AX187" s="41" t="s">
        <v>77</v>
      </c>
      <c r="AY187" s="41" t="s">
        <v>246</v>
      </c>
      <c r="AZ187" s="30" t="s">
        <v>1000</v>
      </c>
      <c r="BB187" s="56">
        <f>AV187+AW187</f>
        <v>0</v>
      </c>
      <c r="BC187" s="56">
        <f>H187/(100-BD187)*100</f>
        <v>0</v>
      </c>
      <c r="BD187" s="56">
        <v>0</v>
      </c>
      <c r="BE187" s="56" t="e">
        <f>#REF!</f>
        <v>#REF!</v>
      </c>
      <c r="BG187" s="56">
        <f>G187*AN187</f>
        <v>0</v>
      </c>
      <c r="BH187" s="56">
        <f>G187*AO187</f>
        <v>0</v>
      </c>
      <c r="BI187" s="56">
        <f>G187*H187</f>
        <v>0</v>
      </c>
      <c r="BJ187" s="56"/>
      <c r="BK187" s="56">
        <v>87</v>
      </c>
      <c r="BV187" s="56">
        <v>21</v>
      </c>
    </row>
    <row r="188" spans="1:74" ht="13.5" customHeight="1" x14ac:dyDescent="0.25">
      <c r="A188" s="57" t="s">
        <v>106</v>
      </c>
      <c r="B188" s="50" t="s">
        <v>847</v>
      </c>
      <c r="C188" s="50" t="s">
        <v>875</v>
      </c>
      <c r="D188" s="135" t="s">
        <v>91</v>
      </c>
      <c r="E188" s="136"/>
      <c r="F188" s="50" t="s">
        <v>909</v>
      </c>
      <c r="G188" s="31">
        <v>1</v>
      </c>
      <c r="H188" s="31">
        <v>0</v>
      </c>
      <c r="I188" s="31">
        <f>G188*H188</f>
        <v>0</v>
      </c>
      <c r="J188" s="47" t="s">
        <v>501</v>
      </c>
      <c r="Y188" s="56">
        <f>IF(AP188="5",BI188,0)</f>
        <v>0</v>
      </c>
      <c r="AA188" s="56">
        <f>IF(AP188="1",BG188,0)</f>
        <v>0</v>
      </c>
      <c r="AB188" s="56">
        <f>IF(AP188="1",BH188,0)</f>
        <v>0</v>
      </c>
      <c r="AC188" s="56">
        <f>IF(AP188="7",BG188,0)</f>
        <v>0</v>
      </c>
      <c r="AD188" s="56">
        <f>IF(AP188="7",BH188,0)</f>
        <v>0</v>
      </c>
      <c r="AE188" s="56">
        <f>IF(AP188="2",BG188,0)</f>
        <v>0</v>
      </c>
      <c r="AF188" s="56">
        <f>IF(AP188="2",BH188,0)</f>
        <v>0</v>
      </c>
      <c r="AG188" s="56">
        <f>IF(AP188="0",BI188,0)</f>
        <v>0</v>
      </c>
      <c r="AH188" s="30" t="s">
        <v>847</v>
      </c>
      <c r="AI188" s="31">
        <f>IF(AM188=0,I188,0)</f>
        <v>0</v>
      </c>
      <c r="AJ188" s="31">
        <f>IF(AM188=15,I188,0)</f>
        <v>0</v>
      </c>
      <c r="AK188" s="31">
        <f>IF(AM188=21,I188,0)</f>
        <v>0</v>
      </c>
      <c r="AM188" s="56">
        <v>21</v>
      </c>
      <c r="AN188" s="56">
        <f>H188*1</f>
        <v>0</v>
      </c>
      <c r="AO188" s="56">
        <f>H188*(1-1)</f>
        <v>0</v>
      </c>
      <c r="AP188" s="58" t="s">
        <v>1109</v>
      </c>
      <c r="AU188" s="56">
        <f>AV188+AW188</f>
        <v>0</v>
      </c>
      <c r="AV188" s="56">
        <f>G188*AN188</f>
        <v>0</v>
      </c>
      <c r="AW188" s="56">
        <f>G188*AO188</f>
        <v>0</v>
      </c>
      <c r="AX188" s="41" t="s">
        <v>77</v>
      </c>
      <c r="AY188" s="41" t="s">
        <v>246</v>
      </c>
      <c r="AZ188" s="30" t="s">
        <v>1000</v>
      </c>
      <c r="BB188" s="56">
        <f>AV188+AW188</f>
        <v>0</v>
      </c>
      <c r="BC188" s="56">
        <f>H188/(100-BD188)*100</f>
        <v>0</v>
      </c>
      <c r="BD188" s="56">
        <v>0</v>
      </c>
      <c r="BE188" s="56" t="e">
        <f>#REF!</f>
        <v>#REF!</v>
      </c>
      <c r="BG188" s="31">
        <f>G188*AN188</f>
        <v>0</v>
      </c>
      <c r="BH188" s="31">
        <f>G188*AO188</f>
        <v>0</v>
      </c>
      <c r="BI188" s="31">
        <f>G188*H188</f>
        <v>0</v>
      </c>
      <c r="BJ188" s="31"/>
      <c r="BK188" s="56">
        <v>87</v>
      </c>
      <c r="BV188" s="56">
        <v>21</v>
      </c>
    </row>
    <row r="189" spans="1:74" ht="15" customHeight="1" x14ac:dyDescent="0.25">
      <c r="A189" s="53"/>
      <c r="D189" s="52" t="s">
        <v>1109</v>
      </c>
      <c r="E189" s="37" t="s">
        <v>934</v>
      </c>
      <c r="G189" s="21">
        <v>1</v>
      </c>
      <c r="J189" s="48"/>
    </row>
    <row r="190" spans="1:74" ht="13.5" customHeight="1" x14ac:dyDescent="0.25">
      <c r="A190" s="10" t="s">
        <v>863</v>
      </c>
      <c r="B190" s="9" t="s">
        <v>847</v>
      </c>
      <c r="C190" s="9" t="s">
        <v>1213</v>
      </c>
      <c r="D190" s="76" t="s">
        <v>167</v>
      </c>
      <c r="E190" s="77"/>
      <c r="F190" s="9" t="s">
        <v>909</v>
      </c>
      <c r="G190" s="56">
        <v>306</v>
      </c>
      <c r="H190" s="56">
        <v>0</v>
      </c>
      <c r="I190" s="56">
        <f>G190*H190</f>
        <v>0</v>
      </c>
      <c r="J190" s="54" t="s">
        <v>501</v>
      </c>
      <c r="Y190" s="56">
        <f>IF(AP190="5",BI190,0)</f>
        <v>0</v>
      </c>
      <c r="AA190" s="56">
        <f>IF(AP190="1",BG190,0)</f>
        <v>0</v>
      </c>
      <c r="AB190" s="56">
        <f>IF(AP190="1",BH190,0)</f>
        <v>0</v>
      </c>
      <c r="AC190" s="56">
        <f>IF(AP190="7",BG190,0)</f>
        <v>0</v>
      </c>
      <c r="AD190" s="56">
        <f>IF(AP190="7",BH190,0)</f>
        <v>0</v>
      </c>
      <c r="AE190" s="56">
        <f>IF(AP190="2",BG190,0)</f>
        <v>0</v>
      </c>
      <c r="AF190" s="56">
        <f>IF(AP190="2",BH190,0)</f>
        <v>0</v>
      </c>
      <c r="AG190" s="56">
        <f>IF(AP190="0",BI190,0)</f>
        <v>0</v>
      </c>
      <c r="AH190" s="30" t="s">
        <v>847</v>
      </c>
      <c r="AI190" s="56">
        <f>IF(AM190=0,I190,0)</f>
        <v>0</v>
      </c>
      <c r="AJ190" s="56">
        <f>IF(AM190=15,I190,0)</f>
        <v>0</v>
      </c>
      <c r="AK190" s="56">
        <f>IF(AM190=21,I190,0)</f>
        <v>0</v>
      </c>
      <c r="AM190" s="56">
        <v>21</v>
      </c>
      <c r="AN190" s="56">
        <f>H190*0</f>
        <v>0</v>
      </c>
      <c r="AO190" s="56">
        <f>H190*(1-0)</f>
        <v>0</v>
      </c>
      <c r="AP190" s="41" t="s">
        <v>1109</v>
      </c>
      <c r="AU190" s="56">
        <f>AV190+AW190</f>
        <v>0</v>
      </c>
      <c r="AV190" s="56">
        <f>G190*AN190</f>
        <v>0</v>
      </c>
      <c r="AW190" s="56">
        <f>G190*AO190</f>
        <v>0</v>
      </c>
      <c r="AX190" s="41" t="s">
        <v>77</v>
      </c>
      <c r="AY190" s="41" t="s">
        <v>246</v>
      </c>
      <c r="AZ190" s="30" t="s">
        <v>1000</v>
      </c>
      <c r="BB190" s="56">
        <f>AV190+AW190</f>
        <v>0</v>
      </c>
      <c r="BC190" s="56">
        <f>H190/(100-BD190)*100</f>
        <v>0</v>
      </c>
      <c r="BD190" s="56">
        <v>0</v>
      </c>
      <c r="BE190" s="56" t="e">
        <f>#REF!</f>
        <v>#REF!</v>
      </c>
      <c r="BG190" s="56">
        <f>G190*AN190</f>
        <v>0</v>
      </c>
      <c r="BH190" s="56">
        <f>G190*AO190</f>
        <v>0</v>
      </c>
      <c r="BI190" s="56">
        <f>G190*H190</f>
        <v>0</v>
      </c>
      <c r="BJ190" s="56"/>
      <c r="BK190" s="56">
        <v>87</v>
      </c>
      <c r="BV190" s="56">
        <v>21</v>
      </c>
    </row>
    <row r="191" spans="1:74" ht="13.5" customHeight="1" x14ac:dyDescent="0.25">
      <c r="A191" s="57" t="s">
        <v>685</v>
      </c>
      <c r="B191" s="50" t="s">
        <v>847</v>
      </c>
      <c r="C191" s="50" t="s">
        <v>694</v>
      </c>
      <c r="D191" s="135" t="s">
        <v>539</v>
      </c>
      <c r="E191" s="136"/>
      <c r="F191" s="50" t="s">
        <v>909</v>
      </c>
      <c r="G191" s="31">
        <v>310</v>
      </c>
      <c r="H191" s="31">
        <v>0</v>
      </c>
      <c r="I191" s="31">
        <f>G191*H191</f>
        <v>0</v>
      </c>
      <c r="J191" s="47" t="s">
        <v>501</v>
      </c>
      <c r="Y191" s="56">
        <f>IF(AP191="5",BI191,0)</f>
        <v>0</v>
      </c>
      <c r="AA191" s="56">
        <f>IF(AP191="1",BG191,0)</f>
        <v>0</v>
      </c>
      <c r="AB191" s="56">
        <f>IF(AP191="1",BH191,0)</f>
        <v>0</v>
      </c>
      <c r="AC191" s="56">
        <f>IF(AP191="7",BG191,0)</f>
        <v>0</v>
      </c>
      <c r="AD191" s="56">
        <f>IF(AP191="7",BH191,0)</f>
        <v>0</v>
      </c>
      <c r="AE191" s="56">
        <f>IF(AP191="2",BG191,0)</f>
        <v>0</v>
      </c>
      <c r="AF191" s="56">
        <f>IF(AP191="2",BH191,0)</f>
        <v>0</v>
      </c>
      <c r="AG191" s="56">
        <f>IF(AP191="0",BI191,0)</f>
        <v>0</v>
      </c>
      <c r="AH191" s="30" t="s">
        <v>847</v>
      </c>
      <c r="AI191" s="31">
        <f>IF(AM191=0,I191,0)</f>
        <v>0</v>
      </c>
      <c r="AJ191" s="31">
        <f>IF(AM191=15,I191,0)</f>
        <v>0</v>
      </c>
      <c r="AK191" s="31">
        <f>IF(AM191=21,I191,0)</f>
        <v>0</v>
      </c>
      <c r="AM191" s="56">
        <v>21</v>
      </c>
      <c r="AN191" s="56">
        <f>H191*1</f>
        <v>0</v>
      </c>
      <c r="AO191" s="56">
        <f>H191*(1-1)</f>
        <v>0</v>
      </c>
      <c r="AP191" s="58" t="s">
        <v>1109</v>
      </c>
      <c r="AU191" s="56">
        <f>AV191+AW191</f>
        <v>0</v>
      </c>
      <c r="AV191" s="56">
        <f>G191*AN191</f>
        <v>0</v>
      </c>
      <c r="AW191" s="56">
        <f>G191*AO191</f>
        <v>0</v>
      </c>
      <c r="AX191" s="41" t="s">
        <v>77</v>
      </c>
      <c r="AY191" s="41" t="s">
        <v>246</v>
      </c>
      <c r="AZ191" s="30" t="s">
        <v>1000</v>
      </c>
      <c r="BB191" s="56">
        <f>AV191+AW191</f>
        <v>0</v>
      </c>
      <c r="BC191" s="56">
        <f>H191/(100-BD191)*100</f>
        <v>0</v>
      </c>
      <c r="BD191" s="56">
        <v>0</v>
      </c>
      <c r="BE191" s="56" t="e">
        <f>#REF!</f>
        <v>#REF!</v>
      </c>
      <c r="BG191" s="31">
        <f>G191*AN191</f>
        <v>0</v>
      </c>
      <c r="BH191" s="31">
        <f>G191*AO191</f>
        <v>0</v>
      </c>
      <c r="BI191" s="31">
        <f>G191*H191</f>
        <v>0</v>
      </c>
      <c r="BJ191" s="31"/>
      <c r="BK191" s="56">
        <v>87</v>
      </c>
      <c r="BV191" s="56">
        <v>21</v>
      </c>
    </row>
    <row r="192" spans="1:74" ht="15" customHeight="1" x14ac:dyDescent="0.25">
      <c r="A192" s="53"/>
      <c r="D192" s="52" t="s">
        <v>309</v>
      </c>
      <c r="E192" s="37" t="s">
        <v>1251</v>
      </c>
      <c r="G192" s="21">
        <v>310</v>
      </c>
      <c r="J192" s="48"/>
    </row>
    <row r="193" spans="1:74" ht="13.5" customHeight="1" x14ac:dyDescent="0.25">
      <c r="A193" s="10" t="s">
        <v>1121</v>
      </c>
      <c r="B193" s="9" t="s">
        <v>847</v>
      </c>
      <c r="C193" s="9" t="s">
        <v>749</v>
      </c>
      <c r="D193" s="76" t="s">
        <v>305</v>
      </c>
      <c r="E193" s="77"/>
      <c r="F193" s="9" t="s">
        <v>275</v>
      </c>
      <c r="G193" s="56">
        <v>2</v>
      </c>
      <c r="H193" s="56">
        <v>0</v>
      </c>
      <c r="I193" s="56">
        <f>G193*H193</f>
        <v>0</v>
      </c>
      <c r="J193" s="54" t="s">
        <v>501</v>
      </c>
      <c r="Y193" s="56">
        <f>IF(AP193="5",BI193,0)</f>
        <v>0</v>
      </c>
      <c r="AA193" s="56">
        <f>IF(AP193="1",BG193,0)</f>
        <v>0</v>
      </c>
      <c r="AB193" s="56">
        <f>IF(AP193="1",BH193,0)</f>
        <v>0</v>
      </c>
      <c r="AC193" s="56">
        <f>IF(AP193="7",BG193,0)</f>
        <v>0</v>
      </c>
      <c r="AD193" s="56">
        <f>IF(AP193="7",BH193,0)</f>
        <v>0</v>
      </c>
      <c r="AE193" s="56">
        <f>IF(AP193="2",BG193,0)</f>
        <v>0</v>
      </c>
      <c r="AF193" s="56">
        <f>IF(AP193="2",BH193,0)</f>
        <v>0</v>
      </c>
      <c r="AG193" s="56">
        <f>IF(AP193="0",BI193,0)</f>
        <v>0</v>
      </c>
      <c r="AH193" s="30" t="s">
        <v>847</v>
      </c>
      <c r="AI193" s="56">
        <f>IF(AM193=0,I193,0)</f>
        <v>0</v>
      </c>
      <c r="AJ193" s="56">
        <f>IF(AM193=15,I193,0)</f>
        <v>0</v>
      </c>
      <c r="AK193" s="56">
        <f>IF(AM193=21,I193,0)</f>
        <v>0</v>
      </c>
      <c r="AM193" s="56">
        <v>21</v>
      </c>
      <c r="AN193" s="56">
        <f>H193*0</f>
        <v>0</v>
      </c>
      <c r="AO193" s="56">
        <f>H193*(1-0)</f>
        <v>0</v>
      </c>
      <c r="AP193" s="41" t="s">
        <v>1109</v>
      </c>
      <c r="AU193" s="56">
        <f>AV193+AW193</f>
        <v>0</v>
      </c>
      <c r="AV193" s="56">
        <f>G193*AN193</f>
        <v>0</v>
      </c>
      <c r="AW193" s="56">
        <f>G193*AO193</f>
        <v>0</v>
      </c>
      <c r="AX193" s="41" t="s">
        <v>77</v>
      </c>
      <c r="AY193" s="41" t="s">
        <v>246</v>
      </c>
      <c r="AZ193" s="30" t="s">
        <v>1000</v>
      </c>
      <c r="BB193" s="56">
        <f>AV193+AW193</f>
        <v>0</v>
      </c>
      <c r="BC193" s="56">
        <f>H193/(100-BD193)*100</f>
        <v>0</v>
      </c>
      <c r="BD193" s="56">
        <v>0</v>
      </c>
      <c r="BE193" s="56" t="e">
        <f>#REF!</f>
        <v>#REF!</v>
      </c>
      <c r="BG193" s="56">
        <f>G193*AN193</f>
        <v>0</v>
      </c>
      <c r="BH193" s="56">
        <f>G193*AO193</f>
        <v>0</v>
      </c>
      <c r="BI193" s="56">
        <f>G193*H193</f>
        <v>0</v>
      </c>
      <c r="BJ193" s="56"/>
      <c r="BK193" s="56">
        <v>87</v>
      </c>
      <c r="BV193" s="56">
        <v>21</v>
      </c>
    </row>
    <row r="194" spans="1:74" ht="13.5" customHeight="1" x14ac:dyDescent="0.25">
      <c r="A194" s="57" t="s">
        <v>1021</v>
      </c>
      <c r="B194" s="50" t="s">
        <v>847</v>
      </c>
      <c r="C194" s="50" t="s">
        <v>277</v>
      </c>
      <c r="D194" s="135" t="s">
        <v>506</v>
      </c>
      <c r="E194" s="136"/>
      <c r="F194" s="50" t="s">
        <v>275</v>
      </c>
      <c r="G194" s="31">
        <v>2</v>
      </c>
      <c r="H194" s="31">
        <v>0</v>
      </c>
      <c r="I194" s="31">
        <f>G194*H194</f>
        <v>0</v>
      </c>
      <c r="J194" s="47" t="s">
        <v>501</v>
      </c>
      <c r="Y194" s="56">
        <f>IF(AP194="5",BI194,0)</f>
        <v>0</v>
      </c>
      <c r="AA194" s="56">
        <f>IF(AP194="1",BG194,0)</f>
        <v>0</v>
      </c>
      <c r="AB194" s="56">
        <f>IF(AP194="1",BH194,0)</f>
        <v>0</v>
      </c>
      <c r="AC194" s="56">
        <f>IF(AP194="7",BG194,0)</f>
        <v>0</v>
      </c>
      <c r="AD194" s="56">
        <f>IF(AP194="7",BH194,0)</f>
        <v>0</v>
      </c>
      <c r="AE194" s="56">
        <f>IF(AP194="2",BG194,0)</f>
        <v>0</v>
      </c>
      <c r="AF194" s="56">
        <f>IF(AP194="2",BH194,0)</f>
        <v>0</v>
      </c>
      <c r="AG194" s="56">
        <f>IF(AP194="0",BI194,0)</f>
        <v>0</v>
      </c>
      <c r="AH194" s="30" t="s">
        <v>847</v>
      </c>
      <c r="AI194" s="31">
        <f>IF(AM194=0,I194,0)</f>
        <v>0</v>
      </c>
      <c r="AJ194" s="31">
        <f>IF(AM194=15,I194,0)</f>
        <v>0</v>
      </c>
      <c r="AK194" s="31">
        <f>IF(AM194=21,I194,0)</f>
        <v>0</v>
      </c>
      <c r="AM194" s="56">
        <v>21</v>
      </c>
      <c r="AN194" s="56">
        <f>H194*1</f>
        <v>0</v>
      </c>
      <c r="AO194" s="56">
        <f>H194*(1-1)</f>
        <v>0</v>
      </c>
      <c r="AP194" s="58" t="s">
        <v>1109</v>
      </c>
      <c r="AU194" s="56">
        <f>AV194+AW194</f>
        <v>0</v>
      </c>
      <c r="AV194" s="56">
        <f>G194*AN194</f>
        <v>0</v>
      </c>
      <c r="AW194" s="56">
        <f>G194*AO194</f>
        <v>0</v>
      </c>
      <c r="AX194" s="41" t="s">
        <v>77</v>
      </c>
      <c r="AY194" s="41" t="s">
        <v>246</v>
      </c>
      <c r="AZ194" s="30" t="s">
        <v>1000</v>
      </c>
      <c r="BB194" s="56">
        <f>AV194+AW194</f>
        <v>0</v>
      </c>
      <c r="BC194" s="56">
        <f>H194/(100-BD194)*100</f>
        <v>0</v>
      </c>
      <c r="BD194" s="56">
        <v>0</v>
      </c>
      <c r="BE194" s="56" t="e">
        <f>#REF!</f>
        <v>#REF!</v>
      </c>
      <c r="BG194" s="31">
        <f>G194*AN194</f>
        <v>0</v>
      </c>
      <c r="BH194" s="31">
        <f>G194*AO194</f>
        <v>0</v>
      </c>
      <c r="BI194" s="31">
        <f>G194*H194</f>
        <v>0</v>
      </c>
      <c r="BJ194" s="31"/>
      <c r="BK194" s="56">
        <v>87</v>
      </c>
      <c r="BV194" s="56">
        <v>21</v>
      </c>
    </row>
    <row r="195" spans="1:74" ht="15" customHeight="1" x14ac:dyDescent="0.25">
      <c r="A195" s="53"/>
      <c r="D195" s="52" t="s">
        <v>766</v>
      </c>
      <c r="E195" s="37" t="s">
        <v>950</v>
      </c>
      <c r="G195" s="21">
        <v>2</v>
      </c>
      <c r="J195" s="48"/>
    </row>
    <row r="196" spans="1:74" ht="13.5" customHeight="1" x14ac:dyDescent="0.25">
      <c r="A196" s="10" t="s">
        <v>736</v>
      </c>
      <c r="B196" s="9" t="s">
        <v>847</v>
      </c>
      <c r="C196" s="9" t="s">
        <v>955</v>
      </c>
      <c r="D196" s="76" t="s">
        <v>462</v>
      </c>
      <c r="E196" s="77"/>
      <c r="F196" s="9" t="s">
        <v>778</v>
      </c>
      <c r="G196" s="56">
        <v>1</v>
      </c>
      <c r="H196" s="56">
        <v>0</v>
      </c>
      <c r="I196" s="56">
        <f>G196*H196</f>
        <v>0</v>
      </c>
      <c r="J196" s="54" t="s">
        <v>501</v>
      </c>
      <c r="Y196" s="56">
        <f>IF(AP196="5",BI196,0)</f>
        <v>0</v>
      </c>
      <c r="AA196" s="56">
        <f>IF(AP196="1",BG196,0)</f>
        <v>0</v>
      </c>
      <c r="AB196" s="56">
        <f>IF(AP196="1",BH196,0)</f>
        <v>0</v>
      </c>
      <c r="AC196" s="56">
        <f>IF(AP196="7",BG196,0)</f>
        <v>0</v>
      </c>
      <c r="AD196" s="56">
        <f>IF(AP196="7",BH196,0)</f>
        <v>0</v>
      </c>
      <c r="AE196" s="56">
        <f>IF(AP196="2",BG196,0)</f>
        <v>0</v>
      </c>
      <c r="AF196" s="56">
        <f>IF(AP196="2",BH196,0)</f>
        <v>0</v>
      </c>
      <c r="AG196" s="56">
        <f>IF(AP196="0",BI196,0)</f>
        <v>0</v>
      </c>
      <c r="AH196" s="30" t="s">
        <v>847</v>
      </c>
      <c r="AI196" s="56">
        <f>IF(AM196=0,I196,0)</f>
        <v>0</v>
      </c>
      <c r="AJ196" s="56">
        <f>IF(AM196=15,I196,0)</f>
        <v>0</v>
      </c>
      <c r="AK196" s="56">
        <f>IF(AM196=21,I196,0)</f>
        <v>0</v>
      </c>
      <c r="AM196" s="56">
        <v>21</v>
      </c>
      <c r="AN196" s="56">
        <f>H196*0</f>
        <v>0</v>
      </c>
      <c r="AO196" s="56">
        <f>H196*(1-0)</f>
        <v>0</v>
      </c>
      <c r="AP196" s="41" t="s">
        <v>1109</v>
      </c>
      <c r="AU196" s="56">
        <f>AV196+AW196</f>
        <v>0</v>
      </c>
      <c r="AV196" s="56">
        <f>G196*AN196</f>
        <v>0</v>
      </c>
      <c r="AW196" s="56">
        <f>G196*AO196</f>
        <v>0</v>
      </c>
      <c r="AX196" s="41" t="s">
        <v>77</v>
      </c>
      <c r="AY196" s="41" t="s">
        <v>246</v>
      </c>
      <c r="AZ196" s="30" t="s">
        <v>1000</v>
      </c>
      <c r="BB196" s="56">
        <f>AV196+AW196</f>
        <v>0</v>
      </c>
      <c r="BC196" s="56">
        <f>H196/(100-BD196)*100</f>
        <v>0</v>
      </c>
      <c r="BD196" s="56">
        <v>0</v>
      </c>
      <c r="BE196" s="56" t="e">
        <f>#REF!</f>
        <v>#REF!</v>
      </c>
      <c r="BG196" s="56">
        <f>G196*AN196</f>
        <v>0</v>
      </c>
      <c r="BH196" s="56">
        <f>G196*AO196</f>
        <v>0</v>
      </c>
      <c r="BI196" s="56">
        <f>G196*H196</f>
        <v>0</v>
      </c>
      <c r="BJ196" s="56"/>
      <c r="BK196" s="56">
        <v>87</v>
      </c>
      <c r="BV196" s="56">
        <v>21</v>
      </c>
    </row>
    <row r="197" spans="1:74" ht="13.5" customHeight="1" x14ac:dyDescent="0.25">
      <c r="A197" s="57" t="s">
        <v>575</v>
      </c>
      <c r="B197" s="50" t="s">
        <v>847</v>
      </c>
      <c r="C197" s="50" t="s">
        <v>1147</v>
      </c>
      <c r="D197" s="135" t="s">
        <v>1055</v>
      </c>
      <c r="E197" s="136"/>
      <c r="F197" s="50" t="s">
        <v>275</v>
      </c>
      <c r="G197" s="31">
        <v>1</v>
      </c>
      <c r="H197" s="31">
        <v>0</v>
      </c>
      <c r="I197" s="31">
        <f>G197*H197</f>
        <v>0</v>
      </c>
      <c r="J197" s="47" t="s">
        <v>501</v>
      </c>
      <c r="Y197" s="56">
        <f>IF(AP197="5",BI197,0)</f>
        <v>0</v>
      </c>
      <c r="AA197" s="56">
        <f>IF(AP197="1",BG197,0)</f>
        <v>0</v>
      </c>
      <c r="AB197" s="56">
        <f>IF(AP197="1",BH197,0)</f>
        <v>0</v>
      </c>
      <c r="AC197" s="56">
        <f>IF(AP197="7",BG197,0)</f>
        <v>0</v>
      </c>
      <c r="AD197" s="56">
        <f>IF(AP197="7",BH197,0)</f>
        <v>0</v>
      </c>
      <c r="AE197" s="56">
        <f>IF(AP197="2",BG197,0)</f>
        <v>0</v>
      </c>
      <c r="AF197" s="56">
        <f>IF(AP197="2",BH197,0)</f>
        <v>0</v>
      </c>
      <c r="AG197" s="56">
        <f>IF(AP197="0",BI197,0)</f>
        <v>0</v>
      </c>
      <c r="AH197" s="30" t="s">
        <v>847</v>
      </c>
      <c r="AI197" s="31">
        <f>IF(AM197=0,I197,0)</f>
        <v>0</v>
      </c>
      <c r="AJ197" s="31">
        <f>IF(AM197=15,I197,0)</f>
        <v>0</v>
      </c>
      <c r="AK197" s="31">
        <f>IF(AM197=21,I197,0)</f>
        <v>0</v>
      </c>
      <c r="AM197" s="56">
        <v>21</v>
      </c>
      <c r="AN197" s="56">
        <f>H197*1</f>
        <v>0</v>
      </c>
      <c r="AO197" s="56">
        <f>H197*(1-1)</f>
        <v>0</v>
      </c>
      <c r="AP197" s="58" t="s">
        <v>1109</v>
      </c>
      <c r="AU197" s="56">
        <f>AV197+AW197</f>
        <v>0</v>
      </c>
      <c r="AV197" s="56">
        <f>G197*AN197</f>
        <v>0</v>
      </c>
      <c r="AW197" s="56">
        <f>G197*AO197</f>
        <v>0</v>
      </c>
      <c r="AX197" s="41" t="s">
        <v>77</v>
      </c>
      <c r="AY197" s="41" t="s">
        <v>246</v>
      </c>
      <c r="AZ197" s="30" t="s">
        <v>1000</v>
      </c>
      <c r="BB197" s="56">
        <f>AV197+AW197</f>
        <v>0</v>
      </c>
      <c r="BC197" s="56">
        <f>H197/(100-BD197)*100</f>
        <v>0</v>
      </c>
      <c r="BD197" s="56">
        <v>0</v>
      </c>
      <c r="BE197" s="56" t="e">
        <f>#REF!</f>
        <v>#REF!</v>
      </c>
      <c r="BG197" s="31">
        <f>G197*AN197</f>
        <v>0</v>
      </c>
      <c r="BH197" s="31">
        <f>G197*AO197</f>
        <v>0</v>
      </c>
      <c r="BI197" s="31">
        <f>G197*H197</f>
        <v>0</v>
      </c>
      <c r="BJ197" s="31"/>
      <c r="BK197" s="56">
        <v>87</v>
      </c>
      <c r="BV197" s="56">
        <v>21</v>
      </c>
    </row>
    <row r="198" spans="1:74" ht="15" customHeight="1" x14ac:dyDescent="0.25">
      <c r="A198" s="53"/>
      <c r="D198" s="52" t="s">
        <v>1109</v>
      </c>
      <c r="E198" s="37" t="s">
        <v>409</v>
      </c>
      <c r="G198" s="21">
        <v>1</v>
      </c>
      <c r="J198" s="48"/>
    </row>
    <row r="199" spans="1:74" ht="13.5" customHeight="1" x14ac:dyDescent="0.25">
      <c r="A199" s="10" t="s">
        <v>244</v>
      </c>
      <c r="B199" s="9" t="s">
        <v>847</v>
      </c>
      <c r="C199" s="9" t="s">
        <v>977</v>
      </c>
      <c r="D199" s="76" t="s">
        <v>179</v>
      </c>
      <c r="E199" s="77"/>
      <c r="F199" s="9" t="s">
        <v>778</v>
      </c>
      <c r="G199" s="56">
        <v>8</v>
      </c>
      <c r="H199" s="56">
        <v>0</v>
      </c>
      <c r="I199" s="56">
        <f>G199*H199</f>
        <v>0</v>
      </c>
      <c r="J199" s="54" t="s">
        <v>769</v>
      </c>
      <c r="Y199" s="56">
        <f>IF(AP199="5",BI199,0)</f>
        <v>0</v>
      </c>
      <c r="AA199" s="56">
        <f>IF(AP199="1",BG199,0)</f>
        <v>0</v>
      </c>
      <c r="AB199" s="56">
        <f>IF(AP199="1",BH199,0)</f>
        <v>0</v>
      </c>
      <c r="AC199" s="56">
        <f>IF(AP199="7",BG199,0)</f>
        <v>0</v>
      </c>
      <c r="AD199" s="56">
        <f>IF(AP199="7",BH199,0)</f>
        <v>0</v>
      </c>
      <c r="AE199" s="56">
        <f>IF(AP199="2",BG199,0)</f>
        <v>0</v>
      </c>
      <c r="AF199" s="56">
        <f>IF(AP199="2",BH199,0)</f>
        <v>0</v>
      </c>
      <c r="AG199" s="56">
        <f>IF(AP199="0",BI199,0)</f>
        <v>0</v>
      </c>
      <c r="AH199" s="30" t="s">
        <v>847</v>
      </c>
      <c r="AI199" s="56">
        <f>IF(AM199=0,I199,0)</f>
        <v>0</v>
      </c>
      <c r="AJ199" s="56">
        <f>IF(AM199=15,I199,0)</f>
        <v>0</v>
      </c>
      <c r="AK199" s="56">
        <f>IF(AM199=21,I199,0)</f>
        <v>0</v>
      </c>
      <c r="AM199" s="56">
        <v>21</v>
      </c>
      <c r="AN199" s="56">
        <f>H199*0</f>
        <v>0</v>
      </c>
      <c r="AO199" s="56">
        <f>H199*(1-0)</f>
        <v>0</v>
      </c>
      <c r="AP199" s="41" t="s">
        <v>1109</v>
      </c>
      <c r="AU199" s="56">
        <f>AV199+AW199</f>
        <v>0</v>
      </c>
      <c r="AV199" s="56">
        <f>G199*AN199</f>
        <v>0</v>
      </c>
      <c r="AW199" s="56">
        <f>G199*AO199</f>
        <v>0</v>
      </c>
      <c r="AX199" s="41" t="s">
        <v>77</v>
      </c>
      <c r="AY199" s="41" t="s">
        <v>246</v>
      </c>
      <c r="AZ199" s="30" t="s">
        <v>1000</v>
      </c>
      <c r="BB199" s="56">
        <f>AV199+AW199</f>
        <v>0</v>
      </c>
      <c r="BC199" s="56">
        <f>H199/(100-BD199)*100</f>
        <v>0</v>
      </c>
      <c r="BD199" s="56">
        <v>0</v>
      </c>
      <c r="BE199" s="56" t="e">
        <f>#REF!</f>
        <v>#REF!</v>
      </c>
      <c r="BG199" s="56">
        <f>G199*AN199</f>
        <v>0</v>
      </c>
      <c r="BH199" s="56">
        <f>G199*AO199</f>
        <v>0</v>
      </c>
      <c r="BI199" s="56">
        <f>G199*H199</f>
        <v>0</v>
      </c>
      <c r="BJ199" s="56"/>
      <c r="BK199" s="56">
        <v>87</v>
      </c>
      <c r="BV199" s="56">
        <v>21</v>
      </c>
    </row>
    <row r="200" spans="1:74" ht="13.5" customHeight="1" x14ac:dyDescent="0.25">
      <c r="A200" s="57" t="s">
        <v>105</v>
      </c>
      <c r="B200" s="50" t="s">
        <v>847</v>
      </c>
      <c r="C200" s="50" t="s">
        <v>549</v>
      </c>
      <c r="D200" s="135" t="s">
        <v>15</v>
      </c>
      <c r="E200" s="136"/>
      <c r="F200" s="50" t="s">
        <v>275</v>
      </c>
      <c r="G200" s="31">
        <v>4</v>
      </c>
      <c r="H200" s="31">
        <v>0</v>
      </c>
      <c r="I200" s="31">
        <f>G200*H200</f>
        <v>0</v>
      </c>
      <c r="J200" s="47" t="s">
        <v>501</v>
      </c>
      <c r="Y200" s="56">
        <f>IF(AP200="5",BI200,0)</f>
        <v>0</v>
      </c>
      <c r="AA200" s="56">
        <f>IF(AP200="1",BG200,0)</f>
        <v>0</v>
      </c>
      <c r="AB200" s="56">
        <f>IF(AP200="1",BH200,0)</f>
        <v>0</v>
      </c>
      <c r="AC200" s="56">
        <f>IF(AP200="7",BG200,0)</f>
        <v>0</v>
      </c>
      <c r="AD200" s="56">
        <f>IF(AP200="7",BH200,0)</f>
        <v>0</v>
      </c>
      <c r="AE200" s="56">
        <f>IF(AP200="2",BG200,0)</f>
        <v>0</v>
      </c>
      <c r="AF200" s="56">
        <f>IF(AP200="2",BH200,0)</f>
        <v>0</v>
      </c>
      <c r="AG200" s="56">
        <f>IF(AP200="0",BI200,0)</f>
        <v>0</v>
      </c>
      <c r="AH200" s="30" t="s">
        <v>847</v>
      </c>
      <c r="AI200" s="31">
        <f>IF(AM200=0,I200,0)</f>
        <v>0</v>
      </c>
      <c r="AJ200" s="31">
        <f>IF(AM200=15,I200,0)</f>
        <v>0</v>
      </c>
      <c r="AK200" s="31">
        <f>IF(AM200=21,I200,0)</f>
        <v>0</v>
      </c>
      <c r="AM200" s="56">
        <v>21</v>
      </c>
      <c r="AN200" s="56">
        <f>H200*1</f>
        <v>0</v>
      </c>
      <c r="AO200" s="56">
        <f>H200*(1-1)</f>
        <v>0</v>
      </c>
      <c r="AP200" s="58" t="s">
        <v>1109</v>
      </c>
      <c r="AU200" s="56">
        <f>AV200+AW200</f>
        <v>0</v>
      </c>
      <c r="AV200" s="56">
        <f>G200*AN200</f>
        <v>0</v>
      </c>
      <c r="AW200" s="56">
        <f>G200*AO200</f>
        <v>0</v>
      </c>
      <c r="AX200" s="41" t="s">
        <v>77</v>
      </c>
      <c r="AY200" s="41" t="s">
        <v>246</v>
      </c>
      <c r="AZ200" s="30" t="s">
        <v>1000</v>
      </c>
      <c r="BB200" s="56">
        <f>AV200+AW200</f>
        <v>0</v>
      </c>
      <c r="BC200" s="56">
        <f>H200/(100-BD200)*100</f>
        <v>0</v>
      </c>
      <c r="BD200" s="56">
        <v>0</v>
      </c>
      <c r="BE200" s="56" t="e">
        <f>#REF!</f>
        <v>#REF!</v>
      </c>
      <c r="BG200" s="31">
        <f>G200*AN200</f>
        <v>0</v>
      </c>
      <c r="BH200" s="31">
        <f>G200*AO200</f>
        <v>0</v>
      </c>
      <c r="BI200" s="31">
        <f>G200*H200</f>
        <v>0</v>
      </c>
      <c r="BJ200" s="31"/>
      <c r="BK200" s="56">
        <v>87</v>
      </c>
      <c r="BV200" s="56">
        <v>21</v>
      </c>
    </row>
    <row r="201" spans="1:74" ht="15" customHeight="1" x14ac:dyDescent="0.25">
      <c r="A201" s="53"/>
      <c r="D201" s="52" t="s">
        <v>127</v>
      </c>
      <c r="E201" s="37" t="s">
        <v>734</v>
      </c>
      <c r="G201" s="21">
        <v>4</v>
      </c>
      <c r="J201" s="48"/>
    </row>
    <row r="202" spans="1:74" ht="13.5" customHeight="1" x14ac:dyDescent="0.25">
      <c r="A202" s="57" t="s">
        <v>1094</v>
      </c>
      <c r="B202" s="50" t="s">
        <v>847</v>
      </c>
      <c r="C202" s="50" t="s">
        <v>911</v>
      </c>
      <c r="D202" s="135" t="s">
        <v>476</v>
      </c>
      <c r="E202" s="136"/>
      <c r="F202" s="50" t="s">
        <v>275</v>
      </c>
      <c r="G202" s="31">
        <v>4</v>
      </c>
      <c r="H202" s="31">
        <v>0</v>
      </c>
      <c r="I202" s="31">
        <f>G202*H202</f>
        <v>0</v>
      </c>
      <c r="J202" s="47" t="s">
        <v>501</v>
      </c>
      <c r="Y202" s="56">
        <f>IF(AP202="5",BI202,0)</f>
        <v>0</v>
      </c>
      <c r="AA202" s="56">
        <f>IF(AP202="1",BG202,0)</f>
        <v>0</v>
      </c>
      <c r="AB202" s="56">
        <f>IF(AP202="1",BH202,0)</f>
        <v>0</v>
      </c>
      <c r="AC202" s="56">
        <f>IF(AP202="7",BG202,0)</f>
        <v>0</v>
      </c>
      <c r="AD202" s="56">
        <f>IF(AP202="7",BH202,0)</f>
        <v>0</v>
      </c>
      <c r="AE202" s="56">
        <f>IF(AP202="2",BG202,0)</f>
        <v>0</v>
      </c>
      <c r="AF202" s="56">
        <f>IF(AP202="2",BH202,0)</f>
        <v>0</v>
      </c>
      <c r="AG202" s="56">
        <f>IF(AP202="0",BI202,0)</f>
        <v>0</v>
      </c>
      <c r="AH202" s="30" t="s">
        <v>847</v>
      </c>
      <c r="AI202" s="31">
        <f>IF(AM202=0,I202,0)</f>
        <v>0</v>
      </c>
      <c r="AJ202" s="31">
        <f>IF(AM202=15,I202,0)</f>
        <v>0</v>
      </c>
      <c r="AK202" s="31">
        <f>IF(AM202=21,I202,0)</f>
        <v>0</v>
      </c>
      <c r="AM202" s="56">
        <v>21</v>
      </c>
      <c r="AN202" s="56">
        <f>H202*1</f>
        <v>0</v>
      </c>
      <c r="AO202" s="56">
        <f>H202*(1-1)</f>
        <v>0</v>
      </c>
      <c r="AP202" s="58" t="s">
        <v>1109</v>
      </c>
      <c r="AU202" s="56">
        <f>AV202+AW202</f>
        <v>0</v>
      </c>
      <c r="AV202" s="56">
        <f>G202*AN202</f>
        <v>0</v>
      </c>
      <c r="AW202" s="56">
        <f>G202*AO202</f>
        <v>0</v>
      </c>
      <c r="AX202" s="41" t="s">
        <v>77</v>
      </c>
      <c r="AY202" s="41" t="s">
        <v>246</v>
      </c>
      <c r="AZ202" s="30" t="s">
        <v>1000</v>
      </c>
      <c r="BB202" s="56">
        <f>AV202+AW202</f>
        <v>0</v>
      </c>
      <c r="BC202" s="56">
        <f>H202/(100-BD202)*100</f>
        <v>0</v>
      </c>
      <c r="BD202" s="56">
        <v>0</v>
      </c>
      <c r="BE202" s="56" t="e">
        <f>#REF!</f>
        <v>#REF!</v>
      </c>
      <c r="BG202" s="31">
        <f>G202*AN202</f>
        <v>0</v>
      </c>
      <c r="BH202" s="31">
        <f>G202*AO202</f>
        <v>0</v>
      </c>
      <c r="BI202" s="31">
        <f>G202*H202</f>
        <v>0</v>
      </c>
      <c r="BJ202" s="31"/>
      <c r="BK202" s="56">
        <v>87</v>
      </c>
      <c r="BV202" s="56">
        <v>21</v>
      </c>
    </row>
    <row r="203" spans="1:74" ht="15" customHeight="1" x14ac:dyDescent="0.25">
      <c r="A203" s="53"/>
      <c r="D203" s="52" t="s">
        <v>127</v>
      </c>
      <c r="E203" s="37" t="s">
        <v>964</v>
      </c>
      <c r="G203" s="21">
        <v>4</v>
      </c>
      <c r="J203" s="48"/>
    </row>
    <row r="204" spans="1:74" ht="13.5" customHeight="1" x14ac:dyDescent="0.25">
      <c r="A204" s="10" t="s">
        <v>185</v>
      </c>
      <c r="B204" s="9" t="s">
        <v>847</v>
      </c>
      <c r="C204" s="9" t="s">
        <v>405</v>
      </c>
      <c r="D204" s="76" t="s">
        <v>970</v>
      </c>
      <c r="E204" s="77"/>
      <c r="F204" s="9" t="s">
        <v>778</v>
      </c>
      <c r="G204" s="56">
        <v>4</v>
      </c>
      <c r="H204" s="56">
        <v>0</v>
      </c>
      <c r="I204" s="56">
        <f>G204*H204</f>
        <v>0</v>
      </c>
      <c r="J204" s="54" t="s">
        <v>769</v>
      </c>
      <c r="Y204" s="56">
        <f>IF(AP204="5",BI204,0)</f>
        <v>0</v>
      </c>
      <c r="AA204" s="56">
        <f>IF(AP204="1",BG204,0)</f>
        <v>0</v>
      </c>
      <c r="AB204" s="56">
        <f>IF(AP204="1",BH204,0)</f>
        <v>0</v>
      </c>
      <c r="AC204" s="56">
        <f>IF(AP204="7",BG204,0)</f>
        <v>0</v>
      </c>
      <c r="AD204" s="56">
        <f>IF(AP204="7",BH204,0)</f>
        <v>0</v>
      </c>
      <c r="AE204" s="56">
        <f>IF(AP204="2",BG204,0)</f>
        <v>0</v>
      </c>
      <c r="AF204" s="56">
        <f>IF(AP204="2",BH204,0)</f>
        <v>0</v>
      </c>
      <c r="AG204" s="56">
        <f>IF(AP204="0",BI204,0)</f>
        <v>0</v>
      </c>
      <c r="AH204" s="30" t="s">
        <v>847</v>
      </c>
      <c r="AI204" s="56">
        <f>IF(AM204=0,I204,0)</f>
        <v>0</v>
      </c>
      <c r="AJ204" s="56">
        <f>IF(AM204=15,I204,0)</f>
        <v>0</v>
      </c>
      <c r="AK204" s="56">
        <f>IF(AM204=21,I204,0)</f>
        <v>0</v>
      </c>
      <c r="AM204" s="56">
        <v>21</v>
      </c>
      <c r="AN204" s="56">
        <f>H204*0</f>
        <v>0</v>
      </c>
      <c r="AO204" s="56">
        <f>H204*(1-0)</f>
        <v>0</v>
      </c>
      <c r="AP204" s="41" t="s">
        <v>1109</v>
      </c>
      <c r="AU204" s="56">
        <f>AV204+AW204</f>
        <v>0</v>
      </c>
      <c r="AV204" s="56">
        <f>G204*AN204</f>
        <v>0</v>
      </c>
      <c r="AW204" s="56">
        <f>G204*AO204</f>
        <v>0</v>
      </c>
      <c r="AX204" s="41" t="s">
        <v>77</v>
      </c>
      <c r="AY204" s="41" t="s">
        <v>246</v>
      </c>
      <c r="AZ204" s="30" t="s">
        <v>1000</v>
      </c>
      <c r="BB204" s="56">
        <f>AV204+AW204</f>
        <v>0</v>
      </c>
      <c r="BC204" s="56">
        <f>H204/(100-BD204)*100</f>
        <v>0</v>
      </c>
      <c r="BD204" s="56">
        <v>0</v>
      </c>
      <c r="BE204" s="56" t="e">
        <f>#REF!</f>
        <v>#REF!</v>
      </c>
      <c r="BG204" s="56">
        <f>G204*AN204</f>
        <v>0</v>
      </c>
      <c r="BH204" s="56">
        <f>G204*AO204</f>
        <v>0</v>
      </c>
      <c r="BI204" s="56">
        <f>G204*H204</f>
        <v>0</v>
      </c>
      <c r="BJ204" s="56"/>
      <c r="BK204" s="56">
        <v>87</v>
      </c>
      <c r="BV204" s="56">
        <v>21</v>
      </c>
    </row>
    <row r="205" spans="1:74" ht="13.5" customHeight="1" x14ac:dyDescent="0.25">
      <c r="A205" s="57" t="s">
        <v>200</v>
      </c>
      <c r="B205" s="50" t="s">
        <v>847</v>
      </c>
      <c r="C205" s="50" t="s">
        <v>436</v>
      </c>
      <c r="D205" s="135" t="s">
        <v>1134</v>
      </c>
      <c r="E205" s="136"/>
      <c r="F205" s="50" t="s">
        <v>275</v>
      </c>
      <c r="G205" s="31">
        <v>2</v>
      </c>
      <c r="H205" s="31">
        <v>0</v>
      </c>
      <c r="I205" s="31">
        <f>G205*H205</f>
        <v>0</v>
      </c>
      <c r="J205" s="47" t="s">
        <v>501</v>
      </c>
      <c r="Y205" s="56">
        <f>IF(AP205="5",BI205,0)</f>
        <v>0</v>
      </c>
      <c r="AA205" s="56">
        <f>IF(AP205="1",BG205,0)</f>
        <v>0</v>
      </c>
      <c r="AB205" s="56">
        <f>IF(AP205="1",BH205,0)</f>
        <v>0</v>
      </c>
      <c r="AC205" s="56">
        <f>IF(AP205="7",BG205,0)</f>
        <v>0</v>
      </c>
      <c r="AD205" s="56">
        <f>IF(AP205="7",BH205,0)</f>
        <v>0</v>
      </c>
      <c r="AE205" s="56">
        <f>IF(AP205="2",BG205,0)</f>
        <v>0</v>
      </c>
      <c r="AF205" s="56">
        <f>IF(AP205="2",BH205,0)</f>
        <v>0</v>
      </c>
      <c r="AG205" s="56">
        <f>IF(AP205="0",BI205,0)</f>
        <v>0</v>
      </c>
      <c r="AH205" s="30" t="s">
        <v>847</v>
      </c>
      <c r="AI205" s="31">
        <f>IF(AM205=0,I205,0)</f>
        <v>0</v>
      </c>
      <c r="AJ205" s="31">
        <f>IF(AM205=15,I205,0)</f>
        <v>0</v>
      </c>
      <c r="AK205" s="31">
        <f>IF(AM205=21,I205,0)</f>
        <v>0</v>
      </c>
      <c r="AM205" s="56">
        <v>21</v>
      </c>
      <c r="AN205" s="56">
        <f>H205*1</f>
        <v>0</v>
      </c>
      <c r="AO205" s="56">
        <f>H205*(1-1)</f>
        <v>0</v>
      </c>
      <c r="AP205" s="58" t="s">
        <v>1109</v>
      </c>
      <c r="AU205" s="56">
        <f>AV205+AW205</f>
        <v>0</v>
      </c>
      <c r="AV205" s="56">
        <f>G205*AN205</f>
        <v>0</v>
      </c>
      <c r="AW205" s="56">
        <f>G205*AO205</f>
        <v>0</v>
      </c>
      <c r="AX205" s="41" t="s">
        <v>77</v>
      </c>
      <c r="AY205" s="41" t="s">
        <v>246</v>
      </c>
      <c r="AZ205" s="30" t="s">
        <v>1000</v>
      </c>
      <c r="BB205" s="56">
        <f>AV205+AW205</f>
        <v>0</v>
      </c>
      <c r="BC205" s="56">
        <f>H205/(100-BD205)*100</f>
        <v>0</v>
      </c>
      <c r="BD205" s="56">
        <v>0</v>
      </c>
      <c r="BE205" s="56" t="e">
        <f>#REF!</f>
        <v>#REF!</v>
      </c>
      <c r="BG205" s="31">
        <f>G205*AN205</f>
        <v>0</v>
      </c>
      <c r="BH205" s="31">
        <f>G205*AO205</f>
        <v>0</v>
      </c>
      <c r="BI205" s="31">
        <f>G205*H205</f>
        <v>0</v>
      </c>
      <c r="BJ205" s="31"/>
      <c r="BK205" s="56">
        <v>87</v>
      </c>
      <c r="BV205" s="56">
        <v>21</v>
      </c>
    </row>
    <row r="206" spans="1:74" ht="15" customHeight="1" x14ac:dyDescent="0.25">
      <c r="A206" s="53"/>
      <c r="D206" s="52" t="s">
        <v>766</v>
      </c>
      <c r="E206" s="37" t="s">
        <v>329</v>
      </c>
      <c r="G206" s="21">
        <v>2</v>
      </c>
      <c r="J206" s="48"/>
    </row>
    <row r="207" spans="1:74" ht="13.5" customHeight="1" x14ac:dyDescent="0.25">
      <c r="A207" s="57" t="s">
        <v>1131</v>
      </c>
      <c r="B207" s="50" t="s">
        <v>847</v>
      </c>
      <c r="C207" s="50" t="s">
        <v>543</v>
      </c>
      <c r="D207" s="135" t="s">
        <v>1173</v>
      </c>
      <c r="E207" s="136"/>
      <c r="F207" s="50" t="s">
        <v>275</v>
      </c>
      <c r="G207" s="31">
        <v>2</v>
      </c>
      <c r="H207" s="31">
        <v>0</v>
      </c>
      <c r="I207" s="31">
        <f>G207*H207</f>
        <v>0</v>
      </c>
      <c r="J207" s="47" t="s">
        <v>501</v>
      </c>
      <c r="Y207" s="56">
        <f>IF(AP207="5",BI207,0)</f>
        <v>0</v>
      </c>
      <c r="AA207" s="56">
        <f>IF(AP207="1",BG207,0)</f>
        <v>0</v>
      </c>
      <c r="AB207" s="56">
        <f>IF(AP207="1",BH207,0)</f>
        <v>0</v>
      </c>
      <c r="AC207" s="56">
        <f>IF(AP207="7",BG207,0)</f>
        <v>0</v>
      </c>
      <c r="AD207" s="56">
        <f>IF(AP207="7",BH207,0)</f>
        <v>0</v>
      </c>
      <c r="AE207" s="56">
        <f>IF(AP207="2",BG207,0)</f>
        <v>0</v>
      </c>
      <c r="AF207" s="56">
        <f>IF(AP207="2",BH207,0)</f>
        <v>0</v>
      </c>
      <c r="AG207" s="56">
        <f>IF(AP207="0",BI207,0)</f>
        <v>0</v>
      </c>
      <c r="AH207" s="30" t="s">
        <v>847</v>
      </c>
      <c r="AI207" s="31">
        <f>IF(AM207=0,I207,0)</f>
        <v>0</v>
      </c>
      <c r="AJ207" s="31">
        <f>IF(AM207=15,I207,0)</f>
        <v>0</v>
      </c>
      <c r="AK207" s="31">
        <f>IF(AM207=21,I207,0)</f>
        <v>0</v>
      </c>
      <c r="AM207" s="56">
        <v>21</v>
      </c>
      <c r="AN207" s="56">
        <f>H207*1</f>
        <v>0</v>
      </c>
      <c r="AO207" s="56">
        <f>H207*(1-1)</f>
        <v>0</v>
      </c>
      <c r="AP207" s="58" t="s">
        <v>1109</v>
      </c>
      <c r="AU207" s="56">
        <f>AV207+AW207</f>
        <v>0</v>
      </c>
      <c r="AV207" s="56">
        <f>G207*AN207</f>
        <v>0</v>
      </c>
      <c r="AW207" s="56">
        <f>G207*AO207</f>
        <v>0</v>
      </c>
      <c r="AX207" s="41" t="s">
        <v>77</v>
      </c>
      <c r="AY207" s="41" t="s">
        <v>246</v>
      </c>
      <c r="AZ207" s="30" t="s">
        <v>1000</v>
      </c>
      <c r="BB207" s="56">
        <f>AV207+AW207</f>
        <v>0</v>
      </c>
      <c r="BC207" s="56">
        <f>H207/(100-BD207)*100</f>
        <v>0</v>
      </c>
      <c r="BD207" s="56">
        <v>0</v>
      </c>
      <c r="BE207" s="56" t="e">
        <f>#REF!</f>
        <v>#REF!</v>
      </c>
      <c r="BG207" s="31">
        <f>G207*AN207</f>
        <v>0</v>
      </c>
      <c r="BH207" s="31">
        <f>G207*AO207</f>
        <v>0</v>
      </c>
      <c r="BI207" s="31">
        <f>G207*H207</f>
        <v>0</v>
      </c>
      <c r="BJ207" s="31"/>
      <c r="BK207" s="56">
        <v>87</v>
      </c>
      <c r="BV207" s="56">
        <v>21</v>
      </c>
    </row>
    <row r="208" spans="1:74" ht="15" customHeight="1" x14ac:dyDescent="0.25">
      <c r="A208" s="53"/>
      <c r="D208" s="52" t="s">
        <v>766</v>
      </c>
      <c r="E208" s="37" t="s">
        <v>204</v>
      </c>
      <c r="G208" s="21">
        <v>2</v>
      </c>
      <c r="J208" s="48"/>
    </row>
    <row r="209" spans="1:74" ht="13.5" customHeight="1" x14ac:dyDescent="0.25">
      <c r="A209" s="10" t="s">
        <v>659</v>
      </c>
      <c r="B209" s="9" t="s">
        <v>847</v>
      </c>
      <c r="C209" s="9" t="s">
        <v>69</v>
      </c>
      <c r="D209" s="76" t="s">
        <v>344</v>
      </c>
      <c r="E209" s="77"/>
      <c r="F209" s="9" t="s">
        <v>778</v>
      </c>
      <c r="G209" s="56">
        <v>77</v>
      </c>
      <c r="H209" s="56">
        <v>0</v>
      </c>
      <c r="I209" s="56">
        <f>G209*H209</f>
        <v>0</v>
      </c>
      <c r="J209" s="54" t="s">
        <v>769</v>
      </c>
      <c r="Y209" s="56">
        <f>IF(AP209="5",BI209,0)</f>
        <v>0</v>
      </c>
      <c r="AA209" s="56">
        <f>IF(AP209="1",BG209,0)</f>
        <v>0</v>
      </c>
      <c r="AB209" s="56">
        <f>IF(AP209="1",BH209,0)</f>
        <v>0</v>
      </c>
      <c r="AC209" s="56">
        <f>IF(AP209="7",BG209,0)</f>
        <v>0</v>
      </c>
      <c r="AD209" s="56">
        <f>IF(AP209="7",BH209,0)</f>
        <v>0</v>
      </c>
      <c r="AE209" s="56">
        <f>IF(AP209="2",BG209,0)</f>
        <v>0</v>
      </c>
      <c r="AF209" s="56">
        <f>IF(AP209="2",BH209,0)</f>
        <v>0</v>
      </c>
      <c r="AG209" s="56">
        <f>IF(AP209="0",BI209,0)</f>
        <v>0</v>
      </c>
      <c r="AH209" s="30" t="s">
        <v>847</v>
      </c>
      <c r="AI209" s="56">
        <f>IF(AM209=0,I209,0)</f>
        <v>0</v>
      </c>
      <c r="AJ209" s="56">
        <f>IF(AM209=15,I209,0)</f>
        <v>0</v>
      </c>
      <c r="AK209" s="56">
        <f>IF(AM209=21,I209,0)</f>
        <v>0</v>
      </c>
      <c r="AM209" s="56">
        <v>21</v>
      </c>
      <c r="AN209" s="56">
        <f>H209*0</f>
        <v>0</v>
      </c>
      <c r="AO209" s="56">
        <f>H209*(1-0)</f>
        <v>0</v>
      </c>
      <c r="AP209" s="41" t="s">
        <v>1109</v>
      </c>
      <c r="AU209" s="56">
        <f>AV209+AW209</f>
        <v>0</v>
      </c>
      <c r="AV209" s="56">
        <f>G209*AN209</f>
        <v>0</v>
      </c>
      <c r="AW209" s="56">
        <f>G209*AO209</f>
        <v>0</v>
      </c>
      <c r="AX209" s="41" t="s">
        <v>77</v>
      </c>
      <c r="AY209" s="41" t="s">
        <v>246</v>
      </c>
      <c r="AZ209" s="30" t="s">
        <v>1000</v>
      </c>
      <c r="BB209" s="56">
        <f>AV209+AW209</f>
        <v>0</v>
      </c>
      <c r="BC209" s="56">
        <f>H209/(100-BD209)*100</f>
        <v>0</v>
      </c>
      <c r="BD209" s="56">
        <v>0</v>
      </c>
      <c r="BE209" s="56" t="e">
        <f>#REF!</f>
        <v>#REF!</v>
      </c>
      <c r="BG209" s="56">
        <f>G209*AN209</f>
        <v>0</v>
      </c>
      <c r="BH209" s="56">
        <f>G209*AO209</f>
        <v>0</v>
      </c>
      <c r="BI209" s="56">
        <f>G209*H209</f>
        <v>0</v>
      </c>
      <c r="BJ209" s="56"/>
      <c r="BK209" s="56">
        <v>87</v>
      </c>
      <c r="BV209" s="56">
        <v>21</v>
      </c>
    </row>
    <row r="210" spans="1:74" ht="13.5" customHeight="1" x14ac:dyDescent="0.25">
      <c r="A210" s="57" t="s">
        <v>552</v>
      </c>
      <c r="B210" s="50" t="s">
        <v>847</v>
      </c>
      <c r="C210" s="50" t="s">
        <v>186</v>
      </c>
      <c r="D210" s="135" t="s">
        <v>466</v>
      </c>
      <c r="E210" s="136"/>
      <c r="F210" s="50" t="s">
        <v>275</v>
      </c>
      <c r="G210" s="31">
        <v>65</v>
      </c>
      <c r="H210" s="31">
        <v>0</v>
      </c>
      <c r="I210" s="31">
        <f>G210*H210</f>
        <v>0</v>
      </c>
      <c r="J210" s="47" t="s">
        <v>501</v>
      </c>
      <c r="Y210" s="56">
        <f>IF(AP210="5",BI210,0)</f>
        <v>0</v>
      </c>
      <c r="AA210" s="56">
        <f>IF(AP210="1",BG210,0)</f>
        <v>0</v>
      </c>
      <c r="AB210" s="56">
        <f>IF(AP210="1",BH210,0)</f>
        <v>0</v>
      </c>
      <c r="AC210" s="56">
        <f>IF(AP210="7",BG210,0)</f>
        <v>0</v>
      </c>
      <c r="AD210" s="56">
        <f>IF(AP210="7",BH210,0)</f>
        <v>0</v>
      </c>
      <c r="AE210" s="56">
        <f>IF(AP210="2",BG210,0)</f>
        <v>0</v>
      </c>
      <c r="AF210" s="56">
        <f>IF(AP210="2",BH210,0)</f>
        <v>0</v>
      </c>
      <c r="AG210" s="56">
        <f>IF(AP210="0",BI210,0)</f>
        <v>0</v>
      </c>
      <c r="AH210" s="30" t="s">
        <v>847</v>
      </c>
      <c r="AI210" s="31">
        <f>IF(AM210=0,I210,0)</f>
        <v>0</v>
      </c>
      <c r="AJ210" s="31">
        <f>IF(AM210=15,I210,0)</f>
        <v>0</v>
      </c>
      <c r="AK210" s="31">
        <f>IF(AM210=21,I210,0)</f>
        <v>0</v>
      </c>
      <c r="AM210" s="56">
        <v>21</v>
      </c>
      <c r="AN210" s="56">
        <f>H210*1</f>
        <v>0</v>
      </c>
      <c r="AO210" s="56">
        <f>H210*(1-1)</f>
        <v>0</v>
      </c>
      <c r="AP210" s="58" t="s">
        <v>1109</v>
      </c>
      <c r="AU210" s="56">
        <f>AV210+AW210</f>
        <v>0</v>
      </c>
      <c r="AV210" s="56">
        <f>G210*AN210</f>
        <v>0</v>
      </c>
      <c r="AW210" s="56">
        <f>G210*AO210</f>
        <v>0</v>
      </c>
      <c r="AX210" s="41" t="s">
        <v>77</v>
      </c>
      <c r="AY210" s="41" t="s">
        <v>246</v>
      </c>
      <c r="AZ210" s="30" t="s">
        <v>1000</v>
      </c>
      <c r="BB210" s="56">
        <f>AV210+AW210</f>
        <v>0</v>
      </c>
      <c r="BC210" s="56">
        <f>H210/(100-BD210)*100</f>
        <v>0</v>
      </c>
      <c r="BD210" s="56">
        <v>0</v>
      </c>
      <c r="BE210" s="56" t="e">
        <f>#REF!</f>
        <v>#REF!</v>
      </c>
      <c r="BG210" s="31">
        <f>G210*AN210</f>
        <v>0</v>
      </c>
      <c r="BH210" s="31">
        <f>G210*AO210</f>
        <v>0</v>
      </c>
      <c r="BI210" s="31">
        <f>G210*H210</f>
        <v>0</v>
      </c>
      <c r="BJ210" s="31"/>
      <c r="BK210" s="56">
        <v>87</v>
      </c>
      <c r="BV210" s="56">
        <v>21</v>
      </c>
    </row>
    <row r="211" spans="1:74" ht="15" customHeight="1" x14ac:dyDescent="0.25">
      <c r="A211" s="53"/>
      <c r="D211" s="52" t="s">
        <v>1223</v>
      </c>
      <c r="E211" s="37" t="s">
        <v>695</v>
      </c>
      <c r="G211" s="21">
        <v>65</v>
      </c>
      <c r="J211" s="48"/>
    </row>
    <row r="212" spans="1:74" ht="13.5" customHeight="1" x14ac:dyDescent="0.25">
      <c r="A212" s="57" t="s">
        <v>724</v>
      </c>
      <c r="B212" s="50" t="s">
        <v>847</v>
      </c>
      <c r="C212" s="50" t="s">
        <v>662</v>
      </c>
      <c r="D212" s="135" t="s">
        <v>295</v>
      </c>
      <c r="E212" s="136"/>
      <c r="F212" s="50" t="s">
        <v>275</v>
      </c>
      <c r="G212" s="31">
        <v>2</v>
      </c>
      <c r="H212" s="31">
        <v>0</v>
      </c>
      <c r="I212" s="31">
        <f>G212*H212</f>
        <v>0</v>
      </c>
      <c r="J212" s="47" t="s">
        <v>501</v>
      </c>
      <c r="Y212" s="56">
        <f>IF(AP212="5",BI212,0)</f>
        <v>0</v>
      </c>
      <c r="AA212" s="56">
        <f>IF(AP212="1",BG212,0)</f>
        <v>0</v>
      </c>
      <c r="AB212" s="56">
        <f>IF(AP212="1",BH212,0)</f>
        <v>0</v>
      </c>
      <c r="AC212" s="56">
        <f>IF(AP212="7",BG212,0)</f>
        <v>0</v>
      </c>
      <c r="AD212" s="56">
        <f>IF(AP212="7",BH212,0)</f>
        <v>0</v>
      </c>
      <c r="AE212" s="56">
        <f>IF(AP212="2",BG212,0)</f>
        <v>0</v>
      </c>
      <c r="AF212" s="56">
        <f>IF(AP212="2",BH212,0)</f>
        <v>0</v>
      </c>
      <c r="AG212" s="56">
        <f>IF(AP212="0",BI212,0)</f>
        <v>0</v>
      </c>
      <c r="AH212" s="30" t="s">
        <v>847</v>
      </c>
      <c r="AI212" s="31">
        <f>IF(AM212=0,I212,0)</f>
        <v>0</v>
      </c>
      <c r="AJ212" s="31">
        <f>IF(AM212=15,I212,0)</f>
        <v>0</v>
      </c>
      <c r="AK212" s="31">
        <f>IF(AM212=21,I212,0)</f>
        <v>0</v>
      </c>
      <c r="AM212" s="56">
        <v>21</v>
      </c>
      <c r="AN212" s="56">
        <f>H212*1</f>
        <v>0</v>
      </c>
      <c r="AO212" s="56">
        <f>H212*(1-1)</f>
        <v>0</v>
      </c>
      <c r="AP212" s="58" t="s">
        <v>1109</v>
      </c>
      <c r="AU212" s="56">
        <f>AV212+AW212</f>
        <v>0</v>
      </c>
      <c r="AV212" s="56">
        <f>G212*AN212</f>
        <v>0</v>
      </c>
      <c r="AW212" s="56">
        <f>G212*AO212</f>
        <v>0</v>
      </c>
      <c r="AX212" s="41" t="s">
        <v>77</v>
      </c>
      <c r="AY212" s="41" t="s">
        <v>246</v>
      </c>
      <c r="AZ212" s="30" t="s">
        <v>1000</v>
      </c>
      <c r="BB212" s="56">
        <f>AV212+AW212</f>
        <v>0</v>
      </c>
      <c r="BC212" s="56">
        <f>H212/(100-BD212)*100</f>
        <v>0</v>
      </c>
      <c r="BD212" s="56">
        <v>0</v>
      </c>
      <c r="BE212" s="56" t="e">
        <f>#REF!</f>
        <v>#REF!</v>
      </c>
      <c r="BG212" s="31">
        <f>G212*AN212</f>
        <v>0</v>
      </c>
      <c r="BH212" s="31">
        <f>G212*AO212</f>
        <v>0</v>
      </c>
      <c r="BI212" s="31">
        <f>G212*H212</f>
        <v>0</v>
      </c>
      <c r="BJ212" s="31"/>
      <c r="BK212" s="56">
        <v>87</v>
      </c>
      <c r="BV212" s="56">
        <v>21</v>
      </c>
    </row>
    <row r="213" spans="1:74" ht="15" customHeight="1" x14ac:dyDescent="0.25">
      <c r="A213" s="53"/>
      <c r="D213" s="52" t="s">
        <v>766</v>
      </c>
      <c r="E213" s="37" t="s">
        <v>1078</v>
      </c>
      <c r="G213" s="21">
        <v>2</v>
      </c>
      <c r="J213" s="48"/>
    </row>
    <row r="214" spans="1:74" ht="13.5" customHeight="1" x14ac:dyDescent="0.25">
      <c r="A214" s="57" t="s">
        <v>55</v>
      </c>
      <c r="B214" s="50" t="s">
        <v>847</v>
      </c>
      <c r="C214" s="50" t="s">
        <v>367</v>
      </c>
      <c r="D214" s="135" t="s">
        <v>19</v>
      </c>
      <c r="E214" s="136"/>
      <c r="F214" s="50" t="s">
        <v>275</v>
      </c>
      <c r="G214" s="31">
        <v>10</v>
      </c>
      <c r="H214" s="31">
        <v>0</v>
      </c>
      <c r="I214" s="31">
        <f>G214*H214</f>
        <v>0</v>
      </c>
      <c r="J214" s="47" t="s">
        <v>501</v>
      </c>
      <c r="Y214" s="56">
        <f>IF(AP214="5",BI214,0)</f>
        <v>0</v>
      </c>
      <c r="AA214" s="56">
        <f>IF(AP214="1",BG214,0)</f>
        <v>0</v>
      </c>
      <c r="AB214" s="56">
        <f>IF(AP214="1",BH214,0)</f>
        <v>0</v>
      </c>
      <c r="AC214" s="56">
        <f>IF(AP214="7",BG214,0)</f>
        <v>0</v>
      </c>
      <c r="AD214" s="56">
        <f>IF(AP214="7",BH214,0)</f>
        <v>0</v>
      </c>
      <c r="AE214" s="56">
        <f>IF(AP214="2",BG214,0)</f>
        <v>0</v>
      </c>
      <c r="AF214" s="56">
        <f>IF(AP214="2",BH214,0)</f>
        <v>0</v>
      </c>
      <c r="AG214" s="56">
        <f>IF(AP214="0",BI214,0)</f>
        <v>0</v>
      </c>
      <c r="AH214" s="30" t="s">
        <v>847</v>
      </c>
      <c r="AI214" s="31">
        <f>IF(AM214=0,I214,0)</f>
        <v>0</v>
      </c>
      <c r="AJ214" s="31">
        <f>IF(AM214=15,I214,0)</f>
        <v>0</v>
      </c>
      <c r="AK214" s="31">
        <f>IF(AM214=21,I214,0)</f>
        <v>0</v>
      </c>
      <c r="AM214" s="56">
        <v>21</v>
      </c>
      <c r="AN214" s="56">
        <f>H214*1</f>
        <v>0</v>
      </c>
      <c r="AO214" s="56">
        <f>H214*(1-1)</f>
        <v>0</v>
      </c>
      <c r="AP214" s="58" t="s">
        <v>1109</v>
      </c>
      <c r="AU214" s="56">
        <f>AV214+AW214</f>
        <v>0</v>
      </c>
      <c r="AV214" s="56">
        <f>G214*AN214</f>
        <v>0</v>
      </c>
      <c r="AW214" s="56">
        <f>G214*AO214</f>
        <v>0</v>
      </c>
      <c r="AX214" s="41" t="s">
        <v>77</v>
      </c>
      <c r="AY214" s="41" t="s">
        <v>246</v>
      </c>
      <c r="AZ214" s="30" t="s">
        <v>1000</v>
      </c>
      <c r="BB214" s="56">
        <f>AV214+AW214</f>
        <v>0</v>
      </c>
      <c r="BC214" s="56">
        <f>H214/(100-BD214)*100</f>
        <v>0</v>
      </c>
      <c r="BD214" s="56">
        <v>0</v>
      </c>
      <c r="BE214" s="56" t="e">
        <f>#REF!</f>
        <v>#REF!</v>
      </c>
      <c r="BG214" s="31">
        <f>G214*AN214</f>
        <v>0</v>
      </c>
      <c r="BH214" s="31">
        <f>G214*AO214</f>
        <v>0</v>
      </c>
      <c r="BI214" s="31">
        <f>G214*H214</f>
        <v>0</v>
      </c>
      <c r="BJ214" s="31"/>
      <c r="BK214" s="56">
        <v>87</v>
      </c>
      <c r="BV214" s="56">
        <v>21</v>
      </c>
    </row>
    <row r="215" spans="1:74" ht="15" customHeight="1" x14ac:dyDescent="0.25">
      <c r="A215" s="53"/>
      <c r="D215" s="52" t="s">
        <v>640</v>
      </c>
      <c r="E215" s="37" t="s">
        <v>444</v>
      </c>
      <c r="G215" s="21">
        <v>10</v>
      </c>
      <c r="J215" s="48"/>
    </row>
    <row r="216" spans="1:74" ht="13.5" customHeight="1" x14ac:dyDescent="0.25">
      <c r="A216" s="10" t="s">
        <v>1190</v>
      </c>
      <c r="B216" s="9" t="s">
        <v>847</v>
      </c>
      <c r="C216" s="9" t="s">
        <v>817</v>
      </c>
      <c r="D216" s="76" t="s">
        <v>1243</v>
      </c>
      <c r="E216" s="77"/>
      <c r="F216" s="9" t="s">
        <v>853</v>
      </c>
      <c r="G216" s="56">
        <v>1</v>
      </c>
      <c r="H216" s="56">
        <v>0</v>
      </c>
      <c r="I216" s="56">
        <f>G216*H216</f>
        <v>0</v>
      </c>
      <c r="J216" s="54" t="s">
        <v>422</v>
      </c>
      <c r="Y216" s="56">
        <f>IF(AP216="5",BI216,0)</f>
        <v>0</v>
      </c>
      <c r="AA216" s="56">
        <f>IF(AP216="1",BG216,0)</f>
        <v>0</v>
      </c>
      <c r="AB216" s="56">
        <f>IF(AP216="1",BH216,0)</f>
        <v>0</v>
      </c>
      <c r="AC216" s="56">
        <f>IF(AP216="7",BG216,0)</f>
        <v>0</v>
      </c>
      <c r="AD216" s="56">
        <f>IF(AP216="7",BH216,0)</f>
        <v>0</v>
      </c>
      <c r="AE216" s="56">
        <f>IF(AP216="2",BG216,0)</f>
        <v>0</v>
      </c>
      <c r="AF216" s="56">
        <f>IF(AP216="2",BH216,0)</f>
        <v>0</v>
      </c>
      <c r="AG216" s="56">
        <f>IF(AP216="0",BI216,0)</f>
        <v>0</v>
      </c>
      <c r="AH216" s="30" t="s">
        <v>847</v>
      </c>
      <c r="AI216" s="56">
        <f>IF(AM216=0,I216,0)</f>
        <v>0</v>
      </c>
      <c r="AJ216" s="56">
        <f>IF(AM216=15,I216,0)</f>
        <v>0</v>
      </c>
      <c r="AK216" s="56">
        <f>IF(AM216=21,I216,0)</f>
        <v>0</v>
      </c>
      <c r="AM216" s="56">
        <v>21</v>
      </c>
      <c r="AN216" s="56">
        <f>H216*0</f>
        <v>0</v>
      </c>
      <c r="AO216" s="56">
        <f>H216*(1-0)</f>
        <v>0</v>
      </c>
      <c r="AP216" s="41" t="s">
        <v>1109</v>
      </c>
      <c r="AU216" s="56">
        <f>AV216+AW216</f>
        <v>0</v>
      </c>
      <c r="AV216" s="56">
        <f>G216*AN216</f>
        <v>0</v>
      </c>
      <c r="AW216" s="56">
        <f>G216*AO216</f>
        <v>0</v>
      </c>
      <c r="AX216" s="41" t="s">
        <v>77</v>
      </c>
      <c r="AY216" s="41" t="s">
        <v>246</v>
      </c>
      <c r="AZ216" s="30" t="s">
        <v>1000</v>
      </c>
      <c r="BB216" s="56">
        <f>AV216+AW216</f>
        <v>0</v>
      </c>
      <c r="BC216" s="56">
        <f>H216/(100-BD216)*100</f>
        <v>0</v>
      </c>
      <c r="BD216" s="56">
        <v>0</v>
      </c>
      <c r="BE216" s="56" t="e">
        <f>#REF!</f>
        <v>#REF!</v>
      </c>
      <c r="BG216" s="56">
        <f>G216*AN216</f>
        <v>0</v>
      </c>
      <c r="BH216" s="56">
        <f>G216*AO216</f>
        <v>0</v>
      </c>
      <c r="BI216" s="56">
        <f>G216*H216</f>
        <v>0</v>
      </c>
      <c r="BJ216" s="56"/>
      <c r="BK216" s="56">
        <v>87</v>
      </c>
      <c r="BV216" s="56">
        <v>21</v>
      </c>
    </row>
    <row r="217" spans="1:74" ht="13.5" customHeight="1" x14ac:dyDescent="0.25">
      <c r="A217" s="53"/>
      <c r="C217" s="66" t="s">
        <v>578</v>
      </c>
      <c r="D217" s="137" t="s">
        <v>532</v>
      </c>
      <c r="E217" s="138"/>
      <c r="F217" s="138"/>
      <c r="G217" s="138"/>
      <c r="H217" s="138"/>
      <c r="I217" s="138"/>
      <c r="J217" s="139"/>
    </row>
    <row r="218" spans="1:74" ht="15" customHeight="1" x14ac:dyDescent="0.25">
      <c r="A218" s="53"/>
      <c r="D218" s="52" t="s">
        <v>1109</v>
      </c>
      <c r="E218" s="37" t="s">
        <v>503</v>
      </c>
      <c r="G218" s="21">
        <v>1</v>
      </c>
      <c r="J218" s="48"/>
    </row>
    <row r="219" spans="1:74" ht="13.5" customHeight="1" x14ac:dyDescent="0.25">
      <c r="A219" s="57" t="s">
        <v>1171</v>
      </c>
      <c r="B219" s="50" t="s">
        <v>847</v>
      </c>
      <c r="C219" s="50" t="s">
        <v>271</v>
      </c>
      <c r="D219" s="135" t="s">
        <v>1068</v>
      </c>
      <c r="E219" s="136"/>
      <c r="F219" s="50" t="s">
        <v>909</v>
      </c>
      <c r="G219" s="31">
        <v>125</v>
      </c>
      <c r="H219" s="31">
        <v>0</v>
      </c>
      <c r="I219" s="31">
        <f>G219*H219</f>
        <v>0</v>
      </c>
      <c r="J219" s="47" t="s">
        <v>501</v>
      </c>
      <c r="Y219" s="56">
        <f>IF(AP219="5",BI219,0)</f>
        <v>0</v>
      </c>
      <c r="AA219" s="56">
        <f>IF(AP219="1",BG219,0)</f>
        <v>0</v>
      </c>
      <c r="AB219" s="56">
        <f>IF(AP219="1",BH219,0)</f>
        <v>0</v>
      </c>
      <c r="AC219" s="56">
        <f>IF(AP219="7",BG219,0)</f>
        <v>0</v>
      </c>
      <c r="AD219" s="56">
        <f>IF(AP219="7",BH219,0)</f>
        <v>0</v>
      </c>
      <c r="AE219" s="56">
        <f>IF(AP219="2",BG219,0)</f>
        <v>0</v>
      </c>
      <c r="AF219" s="56">
        <f>IF(AP219="2",BH219,0)</f>
        <v>0</v>
      </c>
      <c r="AG219" s="56">
        <f>IF(AP219="0",BI219,0)</f>
        <v>0</v>
      </c>
      <c r="AH219" s="30" t="s">
        <v>847</v>
      </c>
      <c r="AI219" s="31">
        <f>IF(AM219=0,I219,0)</f>
        <v>0</v>
      </c>
      <c r="AJ219" s="31">
        <f>IF(AM219=15,I219,0)</f>
        <v>0</v>
      </c>
      <c r="AK219" s="31">
        <f>IF(AM219=21,I219,0)</f>
        <v>0</v>
      </c>
      <c r="AM219" s="56">
        <v>21</v>
      </c>
      <c r="AN219" s="56">
        <f>H219*1</f>
        <v>0</v>
      </c>
      <c r="AO219" s="56">
        <f>H219*(1-1)</f>
        <v>0</v>
      </c>
      <c r="AP219" s="58" t="s">
        <v>1109</v>
      </c>
      <c r="AU219" s="56">
        <f>AV219+AW219</f>
        <v>0</v>
      </c>
      <c r="AV219" s="56">
        <f>G219*AN219</f>
        <v>0</v>
      </c>
      <c r="AW219" s="56">
        <f>G219*AO219</f>
        <v>0</v>
      </c>
      <c r="AX219" s="41" t="s">
        <v>77</v>
      </c>
      <c r="AY219" s="41" t="s">
        <v>246</v>
      </c>
      <c r="AZ219" s="30" t="s">
        <v>1000</v>
      </c>
      <c r="BB219" s="56">
        <f>AV219+AW219</f>
        <v>0</v>
      </c>
      <c r="BC219" s="56">
        <f>H219/(100-BD219)*100</f>
        <v>0</v>
      </c>
      <c r="BD219" s="56">
        <v>0</v>
      </c>
      <c r="BE219" s="56" t="e">
        <f>#REF!</f>
        <v>#REF!</v>
      </c>
      <c r="BG219" s="31">
        <f>G219*AN219</f>
        <v>0</v>
      </c>
      <c r="BH219" s="31">
        <f>G219*AO219</f>
        <v>0</v>
      </c>
      <c r="BI219" s="31">
        <f>G219*H219</f>
        <v>0</v>
      </c>
      <c r="BJ219" s="31"/>
      <c r="BK219" s="56">
        <v>87</v>
      </c>
      <c r="BV219" s="56">
        <v>21</v>
      </c>
    </row>
    <row r="220" spans="1:74" ht="15" customHeight="1" x14ac:dyDescent="0.25">
      <c r="A220" s="53"/>
      <c r="D220" s="52" t="s">
        <v>540</v>
      </c>
      <c r="E220" s="37" t="s">
        <v>245</v>
      </c>
      <c r="G220" s="21">
        <v>125.00000000000001</v>
      </c>
      <c r="J220" s="48"/>
    </row>
    <row r="221" spans="1:74" ht="13.5" customHeight="1" x14ac:dyDescent="0.25">
      <c r="A221" s="57" t="s">
        <v>1169</v>
      </c>
      <c r="B221" s="50" t="s">
        <v>847</v>
      </c>
      <c r="C221" s="50" t="s">
        <v>294</v>
      </c>
      <c r="D221" s="135" t="s">
        <v>758</v>
      </c>
      <c r="E221" s="136"/>
      <c r="F221" s="50" t="s">
        <v>909</v>
      </c>
      <c r="G221" s="31">
        <v>50</v>
      </c>
      <c r="H221" s="31">
        <v>0</v>
      </c>
      <c r="I221" s="31">
        <f>G221*H221</f>
        <v>0</v>
      </c>
      <c r="J221" s="47" t="s">
        <v>501</v>
      </c>
      <c r="Y221" s="56">
        <f>IF(AP221="5",BI221,0)</f>
        <v>0</v>
      </c>
      <c r="AA221" s="56">
        <f>IF(AP221="1",BG221,0)</f>
        <v>0</v>
      </c>
      <c r="AB221" s="56">
        <f>IF(AP221="1",BH221,0)</f>
        <v>0</v>
      </c>
      <c r="AC221" s="56">
        <f>IF(AP221="7",BG221,0)</f>
        <v>0</v>
      </c>
      <c r="AD221" s="56">
        <f>IF(AP221="7",BH221,0)</f>
        <v>0</v>
      </c>
      <c r="AE221" s="56">
        <f>IF(AP221="2",BG221,0)</f>
        <v>0</v>
      </c>
      <c r="AF221" s="56">
        <f>IF(AP221="2",BH221,0)</f>
        <v>0</v>
      </c>
      <c r="AG221" s="56">
        <f>IF(AP221="0",BI221,0)</f>
        <v>0</v>
      </c>
      <c r="AH221" s="30" t="s">
        <v>847</v>
      </c>
      <c r="AI221" s="31">
        <f>IF(AM221=0,I221,0)</f>
        <v>0</v>
      </c>
      <c r="AJ221" s="31">
        <f>IF(AM221=15,I221,0)</f>
        <v>0</v>
      </c>
      <c r="AK221" s="31">
        <f>IF(AM221=21,I221,0)</f>
        <v>0</v>
      </c>
      <c r="AM221" s="56">
        <v>21</v>
      </c>
      <c r="AN221" s="56">
        <f>H221*1</f>
        <v>0</v>
      </c>
      <c r="AO221" s="56">
        <f>H221*(1-1)</f>
        <v>0</v>
      </c>
      <c r="AP221" s="58" t="s">
        <v>1109</v>
      </c>
      <c r="AU221" s="56">
        <f>AV221+AW221</f>
        <v>0</v>
      </c>
      <c r="AV221" s="56">
        <f>G221*AN221</f>
        <v>0</v>
      </c>
      <c r="AW221" s="56">
        <f>G221*AO221</f>
        <v>0</v>
      </c>
      <c r="AX221" s="41" t="s">
        <v>77</v>
      </c>
      <c r="AY221" s="41" t="s">
        <v>246</v>
      </c>
      <c r="AZ221" s="30" t="s">
        <v>1000</v>
      </c>
      <c r="BB221" s="56">
        <f>AV221+AW221</f>
        <v>0</v>
      </c>
      <c r="BC221" s="56">
        <f>H221/(100-BD221)*100</f>
        <v>0</v>
      </c>
      <c r="BD221" s="56">
        <v>0</v>
      </c>
      <c r="BE221" s="56" t="e">
        <f>#REF!</f>
        <v>#REF!</v>
      </c>
      <c r="BG221" s="31">
        <f>G221*AN221</f>
        <v>0</v>
      </c>
      <c r="BH221" s="31">
        <f>G221*AO221</f>
        <v>0</v>
      </c>
      <c r="BI221" s="31">
        <f>G221*H221</f>
        <v>0</v>
      </c>
      <c r="BJ221" s="31"/>
      <c r="BK221" s="56">
        <v>87</v>
      </c>
      <c r="BV221" s="56">
        <v>21</v>
      </c>
    </row>
    <row r="222" spans="1:74" ht="15" customHeight="1" x14ac:dyDescent="0.25">
      <c r="A222" s="53"/>
      <c r="D222" s="52" t="s">
        <v>898</v>
      </c>
      <c r="E222" s="37" t="s">
        <v>553</v>
      </c>
      <c r="G222" s="21">
        <v>50.000000000000007</v>
      </c>
      <c r="J222" s="48"/>
    </row>
    <row r="223" spans="1:74" ht="13.5" customHeight="1" x14ac:dyDescent="0.25">
      <c r="A223" s="57" t="s">
        <v>54</v>
      </c>
      <c r="B223" s="50" t="s">
        <v>847</v>
      </c>
      <c r="C223" s="50" t="s">
        <v>1014</v>
      </c>
      <c r="D223" s="135" t="s">
        <v>677</v>
      </c>
      <c r="E223" s="136"/>
      <c r="F223" s="50" t="s">
        <v>275</v>
      </c>
      <c r="G223" s="31">
        <v>1</v>
      </c>
      <c r="H223" s="31">
        <v>0</v>
      </c>
      <c r="I223" s="31">
        <f>G223*H223</f>
        <v>0</v>
      </c>
      <c r="J223" s="47" t="s">
        <v>501</v>
      </c>
      <c r="Y223" s="56">
        <f>IF(AP223="5",BI223,0)</f>
        <v>0</v>
      </c>
      <c r="AA223" s="56">
        <f>IF(AP223="1",BG223,0)</f>
        <v>0</v>
      </c>
      <c r="AB223" s="56">
        <f>IF(AP223="1",BH223,0)</f>
        <v>0</v>
      </c>
      <c r="AC223" s="56">
        <f>IF(AP223="7",BG223,0)</f>
        <v>0</v>
      </c>
      <c r="AD223" s="56">
        <f>IF(AP223="7",BH223,0)</f>
        <v>0</v>
      </c>
      <c r="AE223" s="56">
        <f>IF(AP223="2",BG223,0)</f>
        <v>0</v>
      </c>
      <c r="AF223" s="56">
        <f>IF(AP223="2",BH223,0)</f>
        <v>0</v>
      </c>
      <c r="AG223" s="56">
        <f>IF(AP223="0",BI223,0)</f>
        <v>0</v>
      </c>
      <c r="AH223" s="30" t="s">
        <v>847</v>
      </c>
      <c r="AI223" s="31">
        <f>IF(AM223=0,I223,0)</f>
        <v>0</v>
      </c>
      <c r="AJ223" s="31">
        <f>IF(AM223=15,I223,0)</f>
        <v>0</v>
      </c>
      <c r="AK223" s="31">
        <f>IF(AM223=21,I223,0)</f>
        <v>0</v>
      </c>
      <c r="AM223" s="56">
        <v>21</v>
      </c>
      <c r="AN223" s="56">
        <f>H223*1</f>
        <v>0</v>
      </c>
      <c r="AO223" s="56">
        <f>H223*(1-1)</f>
        <v>0</v>
      </c>
      <c r="AP223" s="58" t="s">
        <v>1109</v>
      </c>
      <c r="AU223" s="56">
        <f>AV223+AW223</f>
        <v>0</v>
      </c>
      <c r="AV223" s="56">
        <f>G223*AN223</f>
        <v>0</v>
      </c>
      <c r="AW223" s="56">
        <f>G223*AO223</f>
        <v>0</v>
      </c>
      <c r="AX223" s="41" t="s">
        <v>77</v>
      </c>
      <c r="AY223" s="41" t="s">
        <v>246</v>
      </c>
      <c r="AZ223" s="30" t="s">
        <v>1000</v>
      </c>
      <c r="BB223" s="56">
        <f>AV223+AW223</f>
        <v>0</v>
      </c>
      <c r="BC223" s="56">
        <f>H223/(100-BD223)*100</f>
        <v>0</v>
      </c>
      <c r="BD223" s="56">
        <v>0</v>
      </c>
      <c r="BE223" s="56" t="e">
        <f>#REF!</f>
        <v>#REF!</v>
      </c>
      <c r="BG223" s="31">
        <f>G223*AN223</f>
        <v>0</v>
      </c>
      <c r="BH223" s="31">
        <f>G223*AO223</f>
        <v>0</v>
      </c>
      <c r="BI223" s="31">
        <f>G223*H223</f>
        <v>0</v>
      </c>
      <c r="BJ223" s="31"/>
      <c r="BK223" s="56">
        <v>87</v>
      </c>
      <c r="BV223" s="56">
        <v>21</v>
      </c>
    </row>
    <row r="224" spans="1:74" ht="15" customHeight="1" x14ac:dyDescent="0.25">
      <c r="A224" s="53"/>
      <c r="D224" s="52" t="s">
        <v>1109</v>
      </c>
      <c r="E224" s="37" t="s">
        <v>974</v>
      </c>
      <c r="G224" s="21">
        <v>1</v>
      </c>
      <c r="J224" s="48"/>
    </row>
    <row r="225" spans="1:74" ht="13.5" customHeight="1" x14ac:dyDescent="0.25">
      <c r="A225" s="57" t="s">
        <v>1</v>
      </c>
      <c r="B225" s="50" t="s">
        <v>847</v>
      </c>
      <c r="C225" s="50" t="s">
        <v>534</v>
      </c>
      <c r="D225" s="135" t="s">
        <v>935</v>
      </c>
      <c r="E225" s="136"/>
      <c r="F225" s="50" t="s">
        <v>275</v>
      </c>
      <c r="G225" s="31">
        <v>1</v>
      </c>
      <c r="H225" s="31">
        <v>0</v>
      </c>
      <c r="I225" s="31">
        <f>G225*H225</f>
        <v>0</v>
      </c>
      <c r="J225" s="47" t="s">
        <v>501</v>
      </c>
      <c r="Y225" s="56">
        <f>IF(AP225="5",BI225,0)</f>
        <v>0</v>
      </c>
      <c r="AA225" s="56">
        <f>IF(AP225="1",BG225,0)</f>
        <v>0</v>
      </c>
      <c r="AB225" s="56">
        <f>IF(AP225="1",BH225,0)</f>
        <v>0</v>
      </c>
      <c r="AC225" s="56">
        <f>IF(AP225="7",BG225,0)</f>
        <v>0</v>
      </c>
      <c r="AD225" s="56">
        <f>IF(AP225="7",BH225,0)</f>
        <v>0</v>
      </c>
      <c r="AE225" s="56">
        <f>IF(AP225="2",BG225,0)</f>
        <v>0</v>
      </c>
      <c r="AF225" s="56">
        <f>IF(AP225="2",BH225,0)</f>
        <v>0</v>
      </c>
      <c r="AG225" s="56">
        <f>IF(AP225="0",BI225,0)</f>
        <v>0</v>
      </c>
      <c r="AH225" s="30" t="s">
        <v>847</v>
      </c>
      <c r="AI225" s="31">
        <f>IF(AM225=0,I225,0)</f>
        <v>0</v>
      </c>
      <c r="AJ225" s="31">
        <f>IF(AM225=15,I225,0)</f>
        <v>0</v>
      </c>
      <c r="AK225" s="31">
        <f>IF(AM225=21,I225,0)</f>
        <v>0</v>
      </c>
      <c r="AM225" s="56">
        <v>21</v>
      </c>
      <c r="AN225" s="56">
        <f>H225*1</f>
        <v>0</v>
      </c>
      <c r="AO225" s="56">
        <f>H225*(1-1)</f>
        <v>0</v>
      </c>
      <c r="AP225" s="58" t="s">
        <v>1109</v>
      </c>
      <c r="AU225" s="56">
        <f>AV225+AW225</f>
        <v>0</v>
      </c>
      <c r="AV225" s="56">
        <f>G225*AN225</f>
        <v>0</v>
      </c>
      <c r="AW225" s="56">
        <f>G225*AO225</f>
        <v>0</v>
      </c>
      <c r="AX225" s="41" t="s">
        <v>77</v>
      </c>
      <c r="AY225" s="41" t="s">
        <v>246</v>
      </c>
      <c r="AZ225" s="30" t="s">
        <v>1000</v>
      </c>
      <c r="BB225" s="56">
        <f>AV225+AW225</f>
        <v>0</v>
      </c>
      <c r="BC225" s="56">
        <f>H225/(100-BD225)*100</f>
        <v>0</v>
      </c>
      <c r="BD225" s="56">
        <v>0</v>
      </c>
      <c r="BE225" s="56" t="e">
        <f>#REF!</f>
        <v>#REF!</v>
      </c>
      <c r="BG225" s="31">
        <f>G225*AN225</f>
        <v>0</v>
      </c>
      <c r="BH225" s="31">
        <f>G225*AO225</f>
        <v>0</v>
      </c>
      <c r="BI225" s="31">
        <f>G225*H225</f>
        <v>0</v>
      </c>
      <c r="BJ225" s="31"/>
      <c r="BK225" s="56">
        <v>87</v>
      </c>
      <c r="BV225" s="56">
        <v>21</v>
      </c>
    </row>
    <row r="226" spans="1:74" ht="15" customHeight="1" x14ac:dyDescent="0.25">
      <c r="A226" s="53"/>
      <c r="D226" s="52" t="s">
        <v>1109</v>
      </c>
      <c r="E226" s="37" t="s">
        <v>334</v>
      </c>
      <c r="G226" s="21">
        <v>1</v>
      </c>
      <c r="J226" s="48"/>
    </row>
    <row r="227" spans="1:74" ht="15" customHeight="1" x14ac:dyDescent="0.25">
      <c r="A227" s="27" t="s">
        <v>769</v>
      </c>
      <c r="B227" s="28" t="s">
        <v>847</v>
      </c>
      <c r="C227" s="28" t="s">
        <v>1171</v>
      </c>
      <c r="D227" s="132" t="s">
        <v>719</v>
      </c>
      <c r="E227" s="133"/>
      <c r="F227" s="23" t="s">
        <v>1027</v>
      </c>
      <c r="G227" s="23" t="s">
        <v>1027</v>
      </c>
      <c r="H227" s="23" t="s">
        <v>1027</v>
      </c>
      <c r="I227" s="14">
        <f>SUM(I228:I276)</f>
        <v>0</v>
      </c>
      <c r="J227" s="44" t="s">
        <v>769</v>
      </c>
      <c r="AH227" s="30" t="s">
        <v>847</v>
      </c>
      <c r="AR227" s="14">
        <f>SUM(AI228:AI276)</f>
        <v>0</v>
      </c>
      <c r="AS227" s="14">
        <f>SUM(AJ228:AJ276)</f>
        <v>0</v>
      </c>
      <c r="AT227" s="14">
        <f>SUM(AK228:AK276)</f>
        <v>0</v>
      </c>
    </row>
    <row r="228" spans="1:74" ht="13.5" customHeight="1" x14ac:dyDescent="0.25">
      <c r="A228" s="10" t="s">
        <v>1008</v>
      </c>
      <c r="B228" s="9" t="s">
        <v>847</v>
      </c>
      <c r="C228" s="9" t="s">
        <v>1129</v>
      </c>
      <c r="D228" s="76" t="s">
        <v>931</v>
      </c>
      <c r="E228" s="77"/>
      <c r="F228" s="9" t="s">
        <v>275</v>
      </c>
      <c r="G228" s="56">
        <v>1</v>
      </c>
      <c r="H228" s="56">
        <v>0</v>
      </c>
      <c r="I228" s="56">
        <f>G228*H228</f>
        <v>0</v>
      </c>
      <c r="J228" s="54" t="s">
        <v>501</v>
      </c>
      <c r="Y228" s="56">
        <f>IF(AP228="5",BI228,0)</f>
        <v>0</v>
      </c>
      <c r="AA228" s="56">
        <f>IF(AP228="1",BG228,0)</f>
        <v>0</v>
      </c>
      <c r="AB228" s="56">
        <f>IF(AP228="1",BH228,0)</f>
        <v>0</v>
      </c>
      <c r="AC228" s="56">
        <f>IF(AP228="7",BG228,0)</f>
        <v>0</v>
      </c>
      <c r="AD228" s="56">
        <f>IF(AP228="7",BH228,0)</f>
        <v>0</v>
      </c>
      <c r="AE228" s="56">
        <f>IF(AP228="2",BG228,0)</f>
        <v>0</v>
      </c>
      <c r="AF228" s="56">
        <f>IF(AP228="2",BH228,0)</f>
        <v>0</v>
      </c>
      <c r="AG228" s="56">
        <f>IF(AP228="0",BI228,0)</f>
        <v>0</v>
      </c>
      <c r="AH228" s="30" t="s">
        <v>847</v>
      </c>
      <c r="AI228" s="56">
        <f>IF(AM228=0,I228,0)</f>
        <v>0</v>
      </c>
      <c r="AJ228" s="56">
        <f>IF(AM228=15,I228,0)</f>
        <v>0</v>
      </c>
      <c r="AK228" s="56">
        <f>IF(AM228=21,I228,0)</f>
        <v>0</v>
      </c>
      <c r="AM228" s="56">
        <v>21</v>
      </c>
      <c r="AN228" s="56">
        <f>H228*0.0984593837535014</f>
        <v>0</v>
      </c>
      <c r="AO228" s="56">
        <f>H228*(1-0.0984593837535014)</f>
        <v>0</v>
      </c>
      <c r="AP228" s="41" t="s">
        <v>1109</v>
      </c>
      <c r="AU228" s="56">
        <f>AV228+AW228</f>
        <v>0</v>
      </c>
      <c r="AV228" s="56">
        <f>G228*AN228</f>
        <v>0</v>
      </c>
      <c r="AW228" s="56">
        <f>G228*AO228</f>
        <v>0</v>
      </c>
      <c r="AX228" s="41" t="s">
        <v>95</v>
      </c>
      <c r="AY228" s="41" t="s">
        <v>246</v>
      </c>
      <c r="AZ228" s="30" t="s">
        <v>1000</v>
      </c>
      <c r="BB228" s="56">
        <f>AV228+AW228</f>
        <v>0</v>
      </c>
      <c r="BC228" s="56">
        <f>H228/(100-BD228)*100</f>
        <v>0</v>
      </c>
      <c r="BD228" s="56">
        <v>0</v>
      </c>
      <c r="BE228" s="56" t="e">
        <f>#REF!</f>
        <v>#REF!</v>
      </c>
      <c r="BG228" s="56">
        <f>G228*AN228</f>
        <v>0</v>
      </c>
      <c r="BH228" s="56">
        <f>G228*AO228</f>
        <v>0</v>
      </c>
      <c r="BI228" s="56">
        <f>G228*H228</f>
        <v>0</v>
      </c>
      <c r="BJ228" s="56"/>
      <c r="BK228" s="56">
        <v>89</v>
      </c>
      <c r="BV228" s="56">
        <v>21</v>
      </c>
    </row>
    <row r="229" spans="1:74" ht="13.5" customHeight="1" x14ac:dyDescent="0.25">
      <c r="A229" s="57" t="s">
        <v>131</v>
      </c>
      <c r="B229" s="50" t="s">
        <v>847</v>
      </c>
      <c r="C229" s="50" t="s">
        <v>840</v>
      </c>
      <c r="D229" s="135" t="s">
        <v>70</v>
      </c>
      <c r="E229" s="136"/>
      <c r="F229" s="50" t="s">
        <v>275</v>
      </c>
      <c r="G229" s="31">
        <v>1</v>
      </c>
      <c r="H229" s="31">
        <v>0</v>
      </c>
      <c r="I229" s="31">
        <f>G229*H229</f>
        <v>0</v>
      </c>
      <c r="J229" s="47" t="s">
        <v>501</v>
      </c>
      <c r="Y229" s="56">
        <f>IF(AP229="5",BI229,0)</f>
        <v>0</v>
      </c>
      <c r="AA229" s="56">
        <f>IF(AP229="1",BG229,0)</f>
        <v>0</v>
      </c>
      <c r="AB229" s="56">
        <f>IF(AP229="1",BH229,0)</f>
        <v>0</v>
      </c>
      <c r="AC229" s="56">
        <f>IF(AP229="7",BG229,0)</f>
        <v>0</v>
      </c>
      <c r="AD229" s="56">
        <f>IF(AP229="7",BH229,0)</f>
        <v>0</v>
      </c>
      <c r="AE229" s="56">
        <f>IF(AP229="2",BG229,0)</f>
        <v>0</v>
      </c>
      <c r="AF229" s="56">
        <f>IF(AP229="2",BH229,0)</f>
        <v>0</v>
      </c>
      <c r="AG229" s="56">
        <f>IF(AP229="0",BI229,0)</f>
        <v>0</v>
      </c>
      <c r="AH229" s="30" t="s">
        <v>847</v>
      </c>
      <c r="AI229" s="31">
        <f>IF(AM229=0,I229,0)</f>
        <v>0</v>
      </c>
      <c r="AJ229" s="31">
        <f>IF(AM229=15,I229,0)</f>
        <v>0</v>
      </c>
      <c r="AK229" s="31">
        <f>IF(AM229=21,I229,0)</f>
        <v>0</v>
      </c>
      <c r="AM229" s="56">
        <v>21</v>
      </c>
      <c r="AN229" s="56">
        <f>H229*1</f>
        <v>0</v>
      </c>
      <c r="AO229" s="56">
        <f>H229*(1-1)</f>
        <v>0</v>
      </c>
      <c r="AP229" s="58" t="s">
        <v>1109</v>
      </c>
      <c r="AU229" s="56">
        <f>AV229+AW229</f>
        <v>0</v>
      </c>
      <c r="AV229" s="56">
        <f>G229*AN229</f>
        <v>0</v>
      </c>
      <c r="AW229" s="56">
        <f>G229*AO229</f>
        <v>0</v>
      </c>
      <c r="AX229" s="41" t="s">
        <v>95</v>
      </c>
      <c r="AY229" s="41" t="s">
        <v>246</v>
      </c>
      <c r="AZ229" s="30" t="s">
        <v>1000</v>
      </c>
      <c r="BB229" s="56">
        <f>AV229+AW229</f>
        <v>0</v>
      </c>
      <c r="BC229" s="56">
        <f>H229/(100-BD229)*100</f>
        <v>0</v>
      </c>
      <c r="BD229" s="56">
        <v>0</v>
      </c>
      <c r="BE229" s="56" t="e">
        <f>#REF!</f>
        <v>#REF!</v>
      </c>
      <c r="BG229" s="31">
        <f>G229*AN229</f>
        <v>0</v>
      </c>
      <c r="BH229" s="31">
        <f>G229*AO229</f>
        <v>0</v>
      </c>
      <c r="BI229" s="31">
        <f>G229*H229</f>
        <v>0</v>
      </c>
      <c r="BJ229" s="31"/>
      <c r="BK229" s="56">
        <v>89</v>
      </c>
      <c r="BV229" s="56">
        <v>21</v>
      </c>
    </row>
    <row r="230" spans="1:74" ht="15" customHeight="1" x14ac:dyDescent="0.25">
      <c r="A230" s="53"/>
      <c r="D230" s="52" t="s">
        <v>1109</v>
      </c>
      <c r="E230" s="37" t="s">
        <v>1041</v>
      </c>
      <c r="G230" s="21">
        <v>1</v>
      </c>
      <c r="J230" s="48"/>
    </row>
    <row r="231" spans="1:74" ht="13.5" customHeight="1" x14ac:dyDescent="0.25">
      <c r="A231" s="10" t="s">
        <v>445</v>
      </c>
      <c r="B231" s="9" t="s">
        <v>847</v>
      </c>
      <c r="C231" s="9" t="s">
        <v>829</v>
      </c>
      <c r="D231" s="76" t="s">
        <v>1196</v>
      </c>
      <c r="E231" s="77"/>
      <c r="F231" s="9" t="s">
        <v>275</v>
      </c>
      <c r="G231" s="56">
        <v>27</v>
      </c>
      <c r="H231" s="56">
        <v>0</v>
      </c>
      <c r="I231" s="56">
        <f>G231*H231</f>
        <v>0</v>
      </c>
      <c r="J231" s="54" t="s">
        <v>501</v>
      </c>
      <c r="Y231" s="56">
        <f>IF(AP231="5",BI231,0)</f>
        <v>0</v>
      </c>
      <c r="AA231" s="56">
        <f>IF(AP231="1",BG231,0)</f>
        <v>0</v>
      </c>
      <c r="AB231" s="56">
        <f>IF(AP231="1",BH231,0)</f>
        <v>0</v>
      </c>
      <c r="AC231" s="56">
        <f>IF(AP231="7",BG231,0)</f>
        <v>0</v>
      </c>
      <c r="AD231" s="56">
        <f>IF(AP231="7",BH231,0)</f>
        <v>0</v>
      </c>
      <c r="AE231" s="56">
        <f>IF(AP231="2",BG231,0)</f>
        <v>0</v>
      </c>
      <c r="AF231" s="56">
        <f>IF(AP231="2",BH231,0)</f>
        <v>0</v>
      </c>
      <c r="AG231" s="56">
        <f>IF(AP231="0",BI231,0)</f>
        <v>0</v>
      </c>
      <c r="AH231" s="30" t="s">
        <v>847</v>
      </c>
      <c r="AI231" s="56">
        <f>IF(AM231=0,I231,0)</f>
        <v>0</v>
      </c>
      <c r="AJ231" s="56">
        <f>IF(AM231=15,I231,0)</f>
        <v>0</v>
      </c>
      <c r="AK231" s="56">
        <f>IF(AM231=21,I231,0)</f>
        <v>0</v>
      </c>
      <c r="AM231" s="56">
        <v>21</v>
      </c>
      <c r="AN231" s="56">
        <f>H231*0</f>
        <v>0</v>
      </c>
      <c r="AO231" s="56">
        <f>H231*(1-0)</f>
        <v>0</v>
      </c>
      <c r="AP231" s="41" t="s">
        <v>1109</v>
      </c>
      <c r="AU231" s="56">
        <f>AV231+AW231</f>
        <v>0</v>
      </c>
      <c r="AV231" s="56">
        <f>G231*AN231</f>
        <v>0</v>
      </c>
      <c r="AW231" s="56">
        <f>G231*AO231</f>
        <v>0</v>
      </c>
      <c r="AX231" s="41" t="s">
        <v>95</v>
      </c>
      <c r="AY231" s="41" t="s">
        <v>246</v>
      </c>
      <c r="AZ231" s="30" t="s">
        <v>1000</v>
      </c>
      <c r="BB231" s="56">
        <f>AV231+AW231</f>
        <v>0</v>
      </c>
      <c r="BC231" s="56">
        <f>H231/(100-BD231)*100</f>
        <v>0</v>
      </c>
      <c r="BD231" s="56">
        <v>0</v>
      </c>
      <c r="BE231" s="56" t="e">
        <f>#REF!</f>
        <v>#REF!</v>
      </c>
      <c r="BG231" s="56">
        <f>G231*AN231</f>
        <v>0</v>
      </c>
      <c r="BH231" s="56">
        <f>G231*AO231</f>
        <v>0</v>
      </c>
      <c r="BI231" s="56">
        <f>G231*H231</f>
        <v>0</v>
      </c>
      <c r="BJ231" s="56"/>
      <c r="BK231" s="56">
        <v>89</v>
      </c>
      <c r="BV231" s="56">
        <v>21</v>
      </c>
    </row>
    <row r="232" spans="1:74" ht="13.5" customHeight="1" x14ac:dyDescent="0.25">
      <c r="A232" s="57" t="s">
        <v>621</v>
      </c>
      <c r="B232" s="50" t="s">
        <v>847</v>
      </c>
      <c r="C232" s="50" t="s">
        <v>545</v>
      </c>
      <c r="D232" s="135" t="s">
        <v>879</v>
      </c>
      <c r="E232" s="136"/>
      <c r="F232" s="50" t="s">
        <v>275</v>
      </c>
      <c r="G232" s="31">
        <v>8</v>
      </c>
      <c r="H232" s="31">
        <v>0</v>
      </c>
      <c r="I232" s="31">
        <f>G232*H232</f>
        <v>0</v>
      </c>
      <c r="J232" s="47" t="s">
        <v>501</v>
      </c>
      <c r="Y232" s="56">
        <f>IF(AP232="5",BI232,0)</f>
        <v>0</v>
      </c>
      <c r="AA232" s="56">
        <f>IF(AP232="1",BG232,0)</f>
        <v>0</v>
      </c>
      <c r="AB232" s="56">
        <f>IF(AP232="1",BH232,0)</f>
        <v>0</v>
      </c>
      <c r="AC232" s="56">
        <f>IF(AP232="7",BG232,0)</f>
        <v>0</v>
      </c>
      <c r="AD232" s="56">
        <f>IF(AP232="7",BH232,0)</f>
        <v>0</v>
      </c>
      <c r="AE232" s="56">
        <f>IF(AP232="2",BG232,0)</f>
        <v>0</v>
      </c>
      <c r="AF232" s="56">
        <f>IF(AP232="2",BH232,0)</f>
        <v>0</v>
      </c>
      <c r="AG232" s="56">
        <f>IF(AP232="0",BI232,0)</f>
        <v>0</v>
      </c>
      <c r="AH232" s="30" t="s">
        <v>847</v>
      </c>
      <c r="AI232" s="31">
        <f>IF(AM232=0,I232,0)</f>
        <v>0</v>
      </c>
      <c r="AJ232" s="31">
        <f>IF(AM232=15,I232,0)</f>
        <v>0</v>
      </c>
      <c r="AK232" s="31">
        <f>IF(AM232=21,I232,0)</f>
        <v>0</v>
      </c>
      <c r="AM232" s="56">
        <v>21</v>
      </c>
      <c r="AN232" s="56">
        <f>H232*1</f>
        <v>0</v>
      </c>
      <c r="AO232" s="56">
        <f>H232*(1-1)</f>
        <v>0</v>
      </c>
      <c r="AP232" s="58" t="s">
        <v>1109</v>
      </c>
      <c r="AU232" s="56">
        <f>AV232+AW232</f>
        <v>0</v>
      </c>
      <c r="AV232" s="56">
        <f>G232*AN232</f>
        <v>0</v>
      </c>
      <c r="AW232" s="56">
        <f>G232*AO232</f>
        <v>0</v>
      </c>
      <c r="AX232" s="41" t="s">
        <v>95</v>
      </c>
      <c r="AY232" s="41" t="s">
        <v>246</v>
      </c>
      <c r="AZ232" s="30" t="s">
        <v>1000</v>
      </c>
      <c r="BB232" s="56">
        <f>AV232+AW232</f>
        <v>0</v>
      </c>
      <c r="BC232" s="56">
        <f>H232/(100-BD232)*100</f>
        <v>0</v>
      </c>
      <c r="BD232" s="56">
        <v>0</v>
      </c>
      <c r="BE232" s="56" t="e">
        <f>#REF!</f>
        <v>#REF!</v>
      </c>
      <c r="BG232" s="31">
        <f>G232*AN232</f>
        <v>0</v>
      </c>
      <c r="BH232" s="31">
        <f>G232*AO232</f>
        <v>0</v>
      </c>
      <c r="BI232" s="31">
        <f>G232*H232</f>
        <v>0</v>
      </c>
      <c r="BJ232" s="31"/>
      <c r="BK232" s="56">
        <v>89</v>
      </c>
      <c r="BV232" s="56">
        <v>21</v>
      </c>
    </row>
    <row r="233" spans="1:74" ht="15" customHeight="1" x14ac:dyDescent="0.25">
      <c r="A233" s="53"/>
      <c r="D233" s="52" t="s">
        <v>874</v>
      </c>
      <c r="E233" s="37" t="s">
        <v>510</v>
      </c>
      <c r="G233" s="21">
        <v>8</v>
      </c>
      <c r="J233" s="48"/>
    </row>
    <row r="234" spans="1:74" ht="13.5" customHeight="1" x14ac:dyDescent="0.25">
      <c r="A234" s="57" t="s">
        <v>128</v>
      </c>
      <c r="B234" s="50" t="s">
        <v>847</v>
      </c>
      <c r="C234" s="50" t="s">
        <v>568</v>
      </c>
      <c r="D234" s="135" t="s">
        <v>524</v>
      </c>
      <c r="E234" s="136"/>
      <c r="F234" s="50" t="s">
        <v>275</v>
      </c>
      <c r="G234" s="31">
        <v>19</v>
      </c>
      <c r="H234" s="31">
        <v>0</v>
      </c>
      <c r="I234" s="31">
        <f>G234*H234</f>
        <v>0</v>
      </c>
      <c r="J234" s="47" t="s">
        <v>501</v>
      </c>
      <c r="Y234" s="56">
        <f>IF(AP234="5",BI234,0)</f>
        <v>0</v>
      </c>
      <c r="AA234" s="56">
        <f>IF(AP234="1",BG234,0)</f>
        <v>0</v>
      </c>
      <c r="AB234" s="56">
        <f>IF(AP234="1",BH234,0)</f>
        <v>0</v>
      </c>
      <c r="AC234" s="56">
        <f>IF(AP234="7",BG234,0)</f>
        <v>0</v>
      </c>
      <c r="AD234" s="56">
        <f>IF(AP234="7",BH234,0)</f>
        <v>0</v>
      </c>
      <c r="AE234" s="56">
        <f>IF(AP234="2",BG234,0)</f>
        <v>0</v>
      </c>
      <c r="AF234" s="56">
        <f>IF(AP234="2",BH234,0)</f>
        <v>0</v>
      </c>
      <c r="AG234" s="56">
        <f>IF(AP234="0",BI234,0)</f>
        <v>0</v>
      </c>
      <c r="AH234" s="30" t="s">
        <v>847</v>
      </c>
      <c r="AI234" s="31">
        <f>IF(AM234=0,I234,0)</f>
        <v>0</v>
      </c>
      <c r="AJ234" s="31">
        <f>IF(AM234=15,I234,0)</f>
        <v>0</v>
      </c>
      <c r="AK234" s="31">
        <f>IF(AM234=21,I234,0)</f>
        <v>0</v>
      </c>
      <c r="AM234" s="56">
        <v>21</v>
      </c>
      <c r="AN234" s="56">
        <f>H234*1</f>
        <v>0</v>
      </c>
      <c r="AO234" s="56">
        <f>H234*(1-1)</f>
        <v>0</v>
      </c>
      <c r="AP234" s="58" t="s">
        <v>1109</v>
      </c>
      <c r="AU234" s="56">
        <f>AV234+AW234</f>
        <v>0</v>
      </c>
      <c r="AV234" s="56">
        <f>G234*AN234</f>
        <v>0</v>
      </c>
      <c r="AW234" s="56">
        <f>G234*AO234</f>
        <v>0</v>
      </c>
      <c r="AX234" s="41" t="s">
        <v>95</v>
      </c>
      <c r="AY234" s="41" t="s">
        <v>246</v>
      </c>
      <c r="AZ234" s="30" t="s">
        <v>1000</v>
      </c>
      <c r="BB234" s="56">
        <f>AV234+AW234</f>
        <v>0</v>
      </c>
      <c r="BC234" s="56">
        <f>H234/(100-BD234)*100</f>
        <v>0</v>
      </c>
      <c r="BD234" s="56">
        <v>0</v>
      </c>
      <c r="BE234" s="56" t="e">
        <f>#REF!</f>
        <v>#REF!</v>
      </c>
      <c r="BG234" s="31">
        <f>G234*AN234</f>
        <v>0</v>
      </c>
      <c r="BH234" s="31">
        <f>G234*AO234</f>
        <v>0</v>
      </c>
      <c r="BI234" s="31">
        <f>G234*H234</f>
        <v>0</v>
      </c>
      <c r="BJ234" s="31"/>
      <c r="BK234" s="56">
        <v>89</v>
      </c>
      <c r="BV234" s="56">
        <v>21</v>
      </c>
    </row>
    <row r="235" spans="1:74" ht="15" customHeight="1" x14ac:dyDescent="0.25">
      <c r="A235" s="53"/>
      <c r="D235" s="52" t="s">
        <v>706</v>
      </c>
      <c r="E235" s="37" t="s">
        <v>1203</v>
      </c>
      <c r="G235" s="21">
        <v>19</v>
      </c>
      <c r="J235" s="48"/>
    </row>
    <row r="236" spans="1:74" ht="13.5" customHeight="1" x14ac:dyDescent="0.25">
      <c r="A236" s="10" t="s">
        <v>782</v>
      </c>
      <c r="B236" s="9" t="s">
        <v>847</v>
      </c>
      <c r="C236" s="9" t="s">
        <v>1049</v>
      </c>
      <c r="D236" s="76" t="s">
        <v>443</v>
      </c>
      <c r="E236" s="77"/>
      <c r="F236" s="9" t="s">
        <v>275</v>
      </c>
      <c r="G236" s="56">
        <v>2</v>
      </c>
      <c r="H236" s="56">
        <v>0</v>
      </c>
      <c r="I236" s="56">
        <f>G236*H236</f>
        <v>0</v>
      </c>
      <c r="J236" s="54" t="s">
        <v>501</v>
      </c>
      <c r="Y236" s="56">
        <f>IF(AP236="5",BI236,0)</f>
        <v>0</v>
      </c>
      <c r="AA236" s="56">
        <f>IF(AP236="1",BG236,0)</f>
        <v>0</v>
      </c>
      <c r="AB236" s="56">
        <f>IF(AP236="1",BH236,0)</f>
        <v>0</v>
      </c>
      <c r="AC236" s="56">
        <f>IF(AP236="7",BG236,0)</f>
        <v>0</v>
      </c>
      <c r="AD236" s="56">
        <f>IF(AP236="7",BH236,0)</f>
        <v>0</v>
      </c>
      <c r="AE236" s="56">
        <f>IF(AP236="2",BG236,0)</f>
        <v>0</v>
      </c>
      <c r="AF236" s="56">
        <f>IF(AP236="2",BH236,0)</f>
        <v>0</v>
      </c>
      <c r="AG236" s="56">
        <f>IF(AP236="0",BI236,0)</f>
        <v>0</v>
      </c>
      <c r="AH236" s="30" t="s">
        <v>847</v>
      </c>
      <c r="AI236" s="56">
        <f>IF(AM236=0,I236,0)</f>
        <v>0</v>
      </c>
      <c r="AJ236" s="56">
        <f>IF(AM236=15,I236,0)</f>
        <v>0</v>
      </c>
      <c r="AK236" s="56">
        <f>IF(AM236=21,I236,0)</f>
        <v>0</v>
      </c>
      <c r="AM236" s="56">
        <v>21</v>
      </c>
      <c r="AN236" s="56">
        <f>H236*0.0979181286549708</f>
        <v>0</v>
      </c>
      <c r="AO236" s="56">
        <f>H236*(1-0.0979181286549708)</f>
        <v>0</v>
      </c>
      <c r="AP236" s="41" t="s">
        <v>1109</v>
      </c>
      <c r="AU236" s="56">
        <f>AV236+AW236</f>
        <v>0</v>
      </c>
      <c r="AV236" s="56">
        <f>G236*AN236</f>
        <v>0</v>
      </c>
      <c r="AW236" s="56">
        <f>G236*AO236</f>
        <v>0</v>
      </c>
      <c r="AX236" s="41" t="s">
        <v>95</v>
      </c>
      <c r="AY236" s="41" t="s">
        <v>246</v>
      </c>
      <c r="AZ236" s="30" t="s">
        <v>1000</v>
      </c>
      <c r="BB236" s="56">
        <f>AV236+AW236</f>
        <v>0</v>
      </c>
      <c r="BC236" s="56">
        <f>H236/(100-BD236)*100</f>
        <v>0</v>
      </c>
      <c r="BD236" s="56">
        <v>0</v>
      </c>
      <c r="BE236" s="56" t="e">
        <f>#REF!</f>
        <v>#REF!</v>
      </c>
      <c r="BG236" s="56">
        <f>G236*AN236</f>
        <v>0</v>
      </c>
      <c r="BH236" s="56">
        <f>G236*AO236</f>
        <v>0</v>
      </c>
      <c r="BI236" s="56">
        <f>G236*H236</f>
        <v>0</v>
      </c>
      <c r="BJ236" s="56"/>
      <c r="BK236" s="56">
        <v>89</v>
      </c>
      <c r="BV236" s="56">
        <v>21</v>
      </c>
    </row>
    <row r="237" spans="1:74" ht="13.5" customHeight="1" x14ac:dyDescent="0.25">
      <c r="A237" s="57" t="s">
        <v>528</v>
      </c>
      <c r="B237" s="50" t="s">
        <v>847</v>
      </c>
      <c r="C237" s="50" t="s">
        <v>530</v>
      </c>
      <c r="D237" s="135" t="s">
        <v>1054</v>
      </c>
      <c r="E237" s="136"/>
      <c r="F237" s="50" t="s">
        <v>275</v>
      </c>
      <c r="G237" s="31">
        <v>2</v>
      </c>
      <c r="H237" s="31">
        <v>0</v>
      </c>
      <c r="I237" s="31">
        <f>G237*H237</f>
        <v>0</v>
      </c>
      <c r="J237" s="47" t="s">
        <v>501</v>
      </c>
      <c r="Y237" s="56">
        <f>IF(AP237="5",BI237,0)</f>
        <v>0</v>
      </c>
      <c r="AA237" s="56">
        <f>IF(AP237="1",BG237,0)</f>
        <v>0</v>
      </c>
      <c r="AB237" s="56">
        <f>IF(AP237="1",BH237,0)</f>
        <v>0</v>
      </c>
      <c r="AC237" s="56">
        <f>IF(AP237="7",BG237,0)</f>
        <v>0</v>
      </c>
      <c r="AD237" s="56">
        <f>IF(AP237="7",BH237,0)</f>
        <v>0</v>
      </c>
      <c r="AE237" s="56">
        <f>IF(AP237="2",BG237,0)</f>
        <v>0</v>
      </c>
      <c r="AF237" s="56">
        <f>IF(AP237="2",BH237,0)</f>
        <v>0</v>
      </c>
      <c r="AG237" s="56">
        <f>IF(AP237="0",BI237,0)</f>
        <v>0</v>
      </c>
      <c r="AH237" s="30" t="s">
        <v>847</v>
      </c>
      <c r="AI237" s="31">
        <f>IF(AM237=0,I237,0)</f>
        <v>0</v>
      </c>
      <c r="AJ237" s="31">
        <f>IF(AM237=15,I237,0)</f>
        <v>0</v>
      </c>
      <c r="AK237" s="31">
        <f>IF(AM237=21,I237,0)</f>
        <v>0</v>
      </c>
      <c r="AM237" s="56">
        <v>21</v>
      </c>
      <c r="AN237" s="56">
        <f>H237*1</f>
        <v>0</v>
      </c>
      <c r="AO237" s="56">
        <f>H237*(1-1)</f>
        <v>0</v>
      </c>
      <c r="AP237" s="58" t="s">
        <v>1109</v>
      </c>
      <c r="AU237" s="56">
        <f>AV237+AW237</f>
        <v>0</v>
      </c>
      <c r="AV237" s="56">
        <f>G237*AN237</f>
        <v>0</v>
      </c>
      <c r="AW237" s="56">
        <f>G237*AO237</f>
        <v>0</v>
      </c>
      <c r="AX237" s="41" t="s">
        <v>95</v>
      </c>
      <c r="AY237" s="41" t="s">
        <v>246</v>
      </c>
      <c r="AZ237" s="30" t="s">
        <v>1000</v>
      </c>
      <c r="BB237" s="56">
        <f>AV237+AW237</f>
        <v>0</v>
      </c>
      <c r="BC237" s="56">
        <f>H237/(100-BD237)*100</f>
        <v>0</v>
      </c>
      <c r="BD237" s="56">
        <v>0</v>
      </c>
      <c r="BE237" s="56" t="e">
        <f>#REF!</f>
        <v>#REF!</v>
      </c>
      <c r="BG237" s="31">
        <f>G237*AN237</f>
        <v>0</v>
      </c>
      <c r="BH237" s="31">
        <f>G237*AO237</f>
        <v>0</v>
      </c>
      <c r="BI237" s="31">
        <f>G237*H237</f>
        <v>0</v>
      </c>
      <c r="BJ237" s="31"/>
      <c r="BK237" s="56">
        <v>89</v>
      </c>
      <c r="BV237" s="56">
        <v>21</v>
      </c>
    </row>
    <row r="238" spans="1:74" ht="15" customHeight="1" x14ac:dyDescent="0.25">
      <c r="A238" s="53"/>
      <c r="D238" s="52" t="s">
        <v>766</v>
      </c>
      <c r="E238" s="37" t="s">
        <v>129</v>
      </c>
      <c r="G238" s="21">
        <v>2</v>
      </c>
      <c r="J238" s="48"/>
    </row>
    <row r="239" spans="1:74" ht="13.5" customHeight="1" x14ac:dyDescent="0.25">
      <c r="A239" s="10" t="s">
        <v>894</v>
      </c>
      <c r="B239" s="9" t="s">
        <v>847</v>
      </c>
      <c r="C239" s="9" t="s">
        <v>252</v>
      </c>
      <c r="D239" s="76" t="s">
        <v>230</v>
      </c>
      <c r="E239" s="77"/>
      <c r="F239" s="9" t="s">
        <v>275</v>
      </c>
      <c r="G239" s="56">
        <v>0</v>
      </c>
      <c r="H239" s="56">
        <v>0</v>
      </c>
      <c r="I239" s="56">
        <f>G239*H239</f>
        <v>0</v>
      </c>
      <c r="J239" s="54" t="s">
        <v>501</v>
      </c>
      <c r="Y239" s="56">
        <f>IF(AP239="5",BI239,0)</f>
        <v>0</v>
      </c>
      <c r="AA239" s="56">
        <f>IF(AP239="1",BG239,0)</f>
        <v>0</v>
      </c>
      <c r="AB239" s="56">
        <f>IF(AP239="1",BH239,0)</f>
        <v>0</v>
      </c>
      <c r="AC239" s="56">
        <f>IF(AP239="7",BG239,0)</f>
        <v>0</v>
      </c>
      <c r="AD239" s="56">
        <f>IF(AP239="7",BH239,0)</f>
        <v>0</v>
      </c>
      <c r="AE239" s="56">
        <f>IF(AP239="2",BG239,0)</f>
        <v>0</v>
      </c>
      <c r="AF239" s="56">
        <f>IF(AP239="2",BH239,0)</f>
        <v>0</v>
      </c>
      <c r="AG239" s="56">
        <f>IF(AP239="0",BI239,0)</f>
        <v>0</v>
      </c>
      <c r="AH239" s="30" t="s">
        <v>847</v>
      </c>
      <c r="AI239" s="56">
        <f>IF(AM239=0,I239,0)</f>
        <v>0</v>
      </c>
      <c r="AJ239" s="56">
        <f>IF(AM239=15,I239,0)</f>
        <v>0</v>
      </c>
      <c r="AK239" s="56">
        <f>IF(AM239=21,I239,0)</f>
        <v>0</v>
      </c>
      <c r="AM239" s="56">
        <v>21</v>
      </c>
      <c r="AN239" s="56">
        <f>H239*0</f>
        <v>0</v>
      </c>
      <c r="AO239" s="56">
        <f>H239*(1-0)</f>
        <v>0</v>
      </c>
      <c r="AP239" s="41" t="s">
        <v>1109</v>
      </c>
      <c r="AU239" s="56">
        <f>AV239+AW239</f>
        <v>0</v>
      </c>
      <c r="AV239" s="56">
        <f>G239*AN239</f>
        <v>0</v>
      </c>
      <c r="AW239" s="56">
        <f>G239*AO239</f>
        <v>0</v>
      </c>
      <c r="AX239" s="41" t="s">
        <v>95</v>
      </c>
      <c r="AY239" s="41" t="s">
        <v>246</v>
      </c>
      <c r="AZ239" s="30" t="s">
        <v>1000</v>
      </c>
      <c r="BB239" s="56">
        <f>AV239+AW239</f>
        <v>0</v>
      </c>
      <c r="BC239" s="56">
        <f>H239/(100-BD239)*100</f>
        <v>0</v>
      </c>
      <c r="BD239" s="56">
        <v>0</v>
      </c>
      <c r="BE239" s="56" t="e">
        <f>#REF!</f>
        <v>#REF!</v>
      </c>
      <c r="BG239" s="56">
        <f>G239*AN239</f>
        <v>0</v>
      </c>
      <c r="BH239" s="56">
        <f>G239*AO239</f>
        <v>0</v>
      </c>
      <c r="BI239" s="56">
        <f>G239*H239</f>
        <v>0</v>
      </c>
      <c r="BJ239" s="56"/>
      <c r="BK239" s="56">
        <v>89</v>
      </c>
      <c r="BV239" s="56">
        <v>21</v>
      </c>
    </row>
    <row r="240" spans="1:74" ht="13.5" customHeight="1" x14ac:dyDescent="0.25">
      <c r="A240" s="57" t="s">
        <v>1019</v>
      </c>
      <c r="B240" s="50" t="s">
        <v>847</v>
      </c>
      <c r="C240" s="50" t="s">
        <v>50</v>
      </c>
      <c r="D240" s="135" t="s">
        <v>58</v>
      </c>
      <c r="E240" s="136"/>
      <c r="F240" s="50" t="s">
        <v>275</v>
      </c>
      <c r="G240" s="31">
        <v>1</v>
      </c>
      <c r="H240" s="31">
        <v>0</v>
      </c>
      <c r="I240" s="31">
        <f>G240*H240</f>
        <v>0</v>
      </c>
      <c r="J240" s="47" t="s">
        <v>501</v>
      </c>
      <c r="Y240" s="56">
        <f>IF(AP240="5",BI240,0)</f>
        <v>0</v>
      </c>
      <c r="AA240" s="56">
        <f>IF(AP240="1",BG240,0)</f>
        <v>0</v>
      </c>
      <c r="AB240" s="56">
        <f>IF(AP240="1",BH240,0)</f>
        <v>0</v>
      </c>
      <c r="AC240" s="56">
        <f>IF(AP240="7",BG240,0)</f>
        <v>0</v>
      </c>
      <c r="AD240" s="56">
        <f>IF(AP240="7",BH240,0)</f>
        <v>0</v>
      </c>
      <c r="AE240" s="56">
        <f>IF(AP240="2",BG240,0)</f>
        <v>0</v>
      </c>
      <c r="AF240" s="56">
        <f>IF(AP240="2",BH240,0)</f>
        <v>0</v>
      </c>
      <c r="AG240" s="56">
        <f>IF(AP240="0",BI240,0)</f>
        <v>0</v>
      </c>
      <c r="AH240" s="30" t="s">
        <v>847</v>
      </c>
      <c r="AI240" s="31">
        <f>IF(AM240=0,I240,0)</f>
        <v>0</v>
      </c>
      <c r="AJ240" s="31">
        <f>IF(AM240=15,I240,0)</f>
        <v>0</v>
      </c>
      <c r="AK240" s="31">
        <f>IF(AM240=21,I240,0)</f>
        <v>0</v>
      </c>
      <c r="AM240" s="56">
        <v>21</v>
      </c>
      <c r="AN240" s="56">
        <f>H240*1</f>
        <v>0</v>
      </c>
      <c r="AO240" s="56">
        <f>H240*(1-1)</f>
        <v>0</v>
      </c>
      <c r="AP240" s="58" t="s">
        <v>1109</v>
      </c>
      <c r="AU240" s="56">
        <f>AV240+AW240</f>
        <v>0</v>
      </c>
      <c r="AV240" s="56">
        <f>G240*AN240</f>
        <v>0</v>
      </c>
      <c r="AW240" s="56">
        <f>G240*AO240</f>
        <v>0</v>
      </c>
      <c r="AX240" s="41" t="s">
        <v>95</v>
      </c>
      <c r="AY240" s="41" t="s">
        <v>246</v>
      </c>
      <c r="AZ240" s="30" t="s">
        <v>1000</v>
      </c>
      <c r="BB240" s="56">
        <f>AV240+AW240</f>
        <v>0</v>
      </c>
      <c r="BC240" s="56">
        <f>H240/(100-BD240)*100</f>
        <v>0</v>
      </c>
      <c r="BD240" s="56">
        <v>0</v>
      </c>
      <c r="BE240" s="56" t="e">
        <f>#REF!</f>
        <v>#REF!</v>
      </c>
      <c r="BG240" s="31">
        <f>G240*AN240</f>
        <v>0</v>
      </c>
      <c r="BH240" s="31">
        <f>G240*AO240</f>
        <v>0</v>
      </c>
      <c r="BI240" s="31">
        <f>G240*H240</f>
        <v>0</v>
      </c>
      <c r="BJ240" s="31"/>
      <c r="BK240" s="56">
        <v>89</v>
      </c>
      <c r="BV240" s="56">
        <v>21</v>
      </c>
    </row>
    <row r="241" spans="1:74" ht="15" customHeight="1" x14ac:dyDescent="0.25">
      <c r="A241" s="53"/>
      <c r="D241" s="52" t="s">
        <v>1109</v>
      </c>
      <c r="E241" s="37" t="s">
        <v>1239</v>
      </c>
      <c r="G241" s="21">
        <v>1</v>
      </c>
      <c r="J241" s="48"/>
    </row>
    <row r="242" spans="1:74" ht="13.5" customHeight="1" x14ac:dyDescent="0.25">
      <c r="A242" s="10" t="s">
        <v>963</v>
      </c>
      <c r="B242" s="9" t="s">
        <v>847</v>
      </c>
      <c r="C242" s="9" t="s">
        <v>691</v>
      </c>
      <c r="D242" s="76" t="s">
        <v>66</v>
      </c>
      <c r="E242" s="77"/>
      <c r="F242" s="9" t="s">
        <v>275</v>
      </c>
      <c r="G242" s="56">
        <v>0</v>
      </c>
      <c r="H242" s="56">
        <v>0</v>
      </c>
      <c r="I242" s="56">
        <f>G242*H242</f>
        <v>0</v>
      </c>
      <c r="J242" s="54" t="s">
        <v>501</v>
      </c>
      <c r="Y242" s="56">
        <f>IF(AP242="5",BI242,0)</f>
        <v>0</v>
      </c>
      <c r="AA242" s="56">
        <f>IF(AP242="1",BG242,0)</f>
        <v>0</v>
      </c>
      <c r="AB242" s="56">
        <f>IF(AP242="1",BH242,0)</f>
        <v>0</v>
      </c>
      <c r="AC242" s="56">
        <f>IF(AP242="7",BG242,0)</f>
        <v>0</v>
      </c>
      <c r="AD242" s="56">
        <f>IF(AP242="7",BH242,0)</f>
        <v>0</v>
      </c>
      <c r="AE242" s="56">
        <f>IF(AP242="2",BG242,0)</f>
        <v>0</v>
      </c>
      <c r="AF242" s="56">
        <f>IF(AP242="2",BH242,0)</f>
        <v>0</v>
      </c>
      <c r="AG242" s="56">
        <f>IF(AP242="0",BI242,0)</f>
        <v>0</v>
      </c>
      <c r="AH242" s="30" t="s">
        <v>847</v>
      </c>
      <c r="AI242" s="56">
        <f>IF(AM242=0,I242,0)</f>
        <v>0</v>
      </c>
      <c r="AJ242" s="56">
        <f>IF(AM242=15,I242,0)</f>
        <v>0</v>
      </c>
      <c r="AK242" s="56">
        <f>IF(AM242=21,I242,0)</f>
        <v>0</v>
      </c>
      <c r="AM242" s="56">
        <v>21</v>
      </c>
      <c r="AN242" s="56">
        <f>H242*0</f>
        <v>0</v>
      </c>
      <c r="AO242" s="56">
        <f>H242*(1-0)</f>
        <v>0</v>
      </c>
      <c r="AP242" s="41" t="s">
        <v>1109</v>
      </c>
      <c r="AU242" s="56">
        <f>AV242+AW242</f>
        <v>0</v>
      </c>
      <c r="AV242" s="56">
        <f>G242*AN242</f>
        <v>0</v>
      </c>
      <c r="AW242" s="56">
        <f>G242*AO242</f>
        <v>0</v>
      </c>
      <c r="AX242" s="41" t="s">
        <v>95</v>
      </c>
      <c r="AY242" s="41" t="s">
        <v>246</v>
      </c>
      <c r="AZ242" s="30" t="s">
        <v>1000</v>
      </c>
      <c r="BB242" s="56">
        <f>AV242+AW242</f>
        <v>0</v>
      </c>
      <c r="BC242" s="56">
        <f>H242/(100-BD242)*100</f>
        <v>0</v>
      </c>
      <c r="BD242" s="56">
        <v>0</v>
      </c>
      <c r="BE242" s="56" t="e">
        <f>#REF!</f>
        <v>#REF!</v>
      </c>
      <c r="BG242" s="56">
        <f>G242*AN242</f>
        <v>0</v>
      </c>
      <c r="BH242" s="56">
        <f>G242*AO242</f>
        <v>0</v>
      </c>
      <c r="BI242" s="56">
        <f>G242*H242</f>
        <v>0</v>
      </c>
      <c r="BJ242" s="56"/>
      <c r="BK242" s="56">
        <v>89</v>
      </c>
      <c r="BV242" s="56">
        <v>21</v>
      </c>
    </row>
    <row r="243" spans="1:74" ht="13.5" customHeight="1" x14ac:dyDescent="0.25">
      <c r="A243" s="57" t="s">
        <v>38</v>
      </c>
      <c r="B243" s="50" t="s">
        <v>847</v>
      </c>
      <c r="C243" s="50" t="s">
        <v>692</v>
      </c>
      <c r="D243" s="135" t="s">
        <v>668</v>
      </c>
      <c r="E243" s="136"/>
      <c r="F243" s="50" t="s">
        <v>275</v>
      </c>
      <c r="G243" s="31">
        <v>2</v>
      </c>
      <c r="H243" s="31">
        <v>0</v>
      </c>
      <c r="I243" s="31">
        <f>G243*H243</f>
        <v>0</v>
      </c>
      <c r="J243" s="47" t="s">
        <v>501</v>
      </c>
      <c r="Y243" s="56">
        <f>IF(AP243="5",BI243,0)</f>
        <v>0</v>
      </c>
      <c r="AA243" s="56">
        <f>IF(AP243="1",BG243,0)</f>
        <v>0</v>
      </c>
      <c r="AB243" s="56">
        <f>IF(AP243="1",BH243,0)</f>
        <v>0</v>
      </c>
      <c r="AC243" s="56">
        <f>IF(AP243="7",BG243,0)</f>
        <v>0</v>
      </c>
      <c r="AD243" s="56">
        <f>IF(AP243="7",BH243,0)</f>
        <v>0</v>
      </c>
      <c r="AE243" s="56">
        <f>IF(AP243="2",BG243,0)</f>
        <v>0</v>
      </c>
      <c r="AF243" s="56">
        <f>IF(AP243="2",BH243,0)</f>
        <v>0</v>
      </c>
      <c r="AG243" s="56">
        <f>IF(AP243="0",BI243,0)</f>
        <v>0</v>
      </c>
      <c r="AH243" s="30" t="s">
        <v>847</v>
      </c>
      <c r="AI243" s="31">
        <f>IF(AM243=0,I243,0)</f>
        <v>0</v>
      </c>
      <c r="AJ243" s="31">
        <f>IF(AM243=15,I243,0)</f>
        <v>0</v>
      </c>
      <c r="AK243" s="31">
        <f>IF(AM243=21,I243,0)</f>
        <v>0</v>
      </c>
      <c r="AM243" s="56">
        <v>21</v>
      </c>
      <c r="AN243" s="56">
        <f>H243*1</f>
        <v>0</v>
      </c>
      <c r="AO243" s="56">
        <f>H243*(1-1)</f>
        <v>0</v>
      </c>
      <c r="AP243" s="58" t="s">
        <v>1109</v>
      </c>
      <c r="AU243" s="56">
        <f>AV243+AW243</f>
        <v>0</v>
      </c>
      <c r="AV243" s="56">
        <f>G243*AN243</f>
        <v>0</v>
      </c>
      <c r="AW243" s="56">
        <f>G243*AO243</f>
        <v>0</v>
      </c>
      <c r="AX243" s="41" t="s">
        <v>95</v>
      </c>
      <c r="AY243" s="41" t="s">
        <v>246</v>
      </c>
      <c r="AZ243" s="30" t="s">
        <v>1000</v>
      </c>
      <c r="BB243" s="56">
        <f>AV243+AW243</f>
        <v>0</v>
      </c>
      <c r="BC243" s="56">
        <f>H243/(100-BD243)*100</f>
        <v>0</v>
      </c>
      <c r="BD243" s="56">
        <v>0</v>
      </c>
      <c r="BE243" s="56" t="e">
        <f>#REF!</f>
        <v>#REF!</v>
      </c>
      <c r="BG243" s="31">
        <f>G243*AN243</f>
        <v>0</v>
      </c>
      <c r="BH243" s="31">
        <f>G243*AO243</f>
        <v>0</v>
      </c>
      <c r="BI243" s="31">
        <f>G243*H243</f>
        <v>0</v>
      </c>
      <c r="BJ243" s="31"/>
      <c r="BK243" s="56">
        <v>89</v>
      </c>
      <c r="BV243" s="56">
        <v>21</v>
      </c>
    </row>
    <row r="244" spans="1:74" ht="15" customHeight="1" x14ac:dyDescent="0.25">
      <c r="A244" s="53"/>
      <c r="D244" s="52" t="s">
        <v>766</v>
      </c>
      <c r="E244" s="37" t="s">
        <v>798</v>
      </c>
      <c r="G244" s="21">
        <v>2</v>
      </c>
      <c r="J244" s="48"/>
    </row>
    <row r="245" spans="1:74" ht="13.5" customHeight="1" x14ac:dyDescent="0.25">
      <c r="A245" s="10" t="s">
        <v>435</v>
      </c>
      <c r="B245" s="9" t="s">
        <v>847</v>
      </c>
      <c r="C245" s="9" t="s">
        <v>1056</v>
      </c>
      <c r="D245" s="76" t="s">
        <v>960</v>
      </c>
      <c r="E245" s="77"/>
      <c r="F245" s="9" t="s">
        <v>275</v>
      </c>
      <c r="G245" s="56">
        <v>0</v>
      </c>
      <c r="H245" s="56">
        <v>0</v>
      </c>
      <c r="I245" s="56">
        <f>G245*H245</f>
        <v>0</v>
      </c>
      <c r="J245" s="54" t="s">
        <v>501</v>
      </c>
      <c r="Y245" s="56">
        <f>IF(AP245="5",BI245,0)</f>
        <v>0</v>
      </c>
      <c r="AA245" s="56">
        <f>IF(AP245="1",BG245,0)</f>
        <v>0</v>
      </c>
      <c r="AB245" s="56">
        <f>IF(AP245="1",BH245,0)</f>
        <v>0</v>
      </c>
      <c r="AC245" s="56">
        <f>IF(AP245="7",BG245,0)</f>
        <v>0</v>
      </c>
      <c r="AD245" s="56">
        <f>IF(AP245="7",BH245,0)</f>
        <v>0</v>
      </c>
      <c r="AE245" s="56">
        <f>IF(AP245="2",BG245,0)</f>
        <v>0</v>
      </c>
      <c r="AF245" s="56">
        <f>IF(AP245="2",BH245,0)</f>
        <v>0</v>
      </c>
      <c r="AG245" s="56">
        <f>IF(AP245="0",BI245,0)</f>
        <v>0</v>
      </c>
      <c r="AH245" s="30" t="s">
        <v>847</v>
      </c>
      <c r="AI245" s="56">
        <f>IF(AM245=0,I245,0)</f>
        <v>0</v>
      </c>
      <c r="AJ245" s="56">
        <f>IF(AM245=15,I245,0)</f>
        <v>0</v>
      </c>
      <c r="AK245" s="56">
        <f>IF(AM245=21,I245,0)</f>
        <v>0</v>
      </c>
      <c r="AM245" s="56">
        <v>21</v>
      </c>
      <c r="AN245" s="56">
        <f>H245*0</f>
        <v>0</v>
      </c>
      <c r="AO245" s="56">
        <f>H245*(1-0)</f>
        <v>0</v>
      </c>
      <c r="AP245" s="41" t="s">
        <v>1109</v>
      </c>
      <c r="AU245" s="56">
        <f>AV245+AW245</f>
        <v>0</v>
      </c>
      <c r="AV245" s="56">
        <f>G245*AN245</f>
        <v>0</v>
      </c>
      <c r="AW245" s="56">
        <f>G245*AO245</f>
        <v>0</v>
      </c>
      <c r="AX245" s="41" t="s">
        <v>95</v>
      </c>
      <c r="AY245" s="41" t="s">
        <v>246</v>
      </c>
      <c r="AZ245" s="30" t="s">
        <v>1000</v>
      </c>
      <c r="BB245" s="56">
        <f>AV245+AW245</f>
        <v>0</v>
      </c>
      <c r="BC245" s="56">
        <f>H245/(100-BD245)*100</f>
        <v>0</v>
      </c>
      <c r="BD245" s="56">
        <v>0</v>
      </c>
      <c r="BE245" s="56" t="e">
        <f>#REF!</f>
        <v>#REF!</v>
      </c>
      <c r="BG245" s="56">
        <f>G245*AN245</f>
        <v>0</v>
      </c>
      <c r="BH245" s="56">
        <f>G245*AO245</f>
        <v>0</v>
      </c>
      <c r="BI245" s="56">
        <f>G245*H245</f>
        <v>0</v>
      </c>
      <c r="BJ245" s="56"/>
      <c r="BK245" s="56">
        <v>89</v>
      </c>
      <c r="BV245" s="56">
        <v>21</v>
      </c>
    </row>
    <row r="246" spans="1:74" ht="13.5" customHeight="1" x14ac:dyDescent="0.25">
      <c r="A246" s="57" t="s">
        <v>145</v>
      </c>
      <c r="B246" s="50" t="s">
        <v>847</v>
      </c>
      <c r="C246" s="50" t="s">
        <v>35</v>
      </c>
      <c r="D246" s="135" t="s">
        <v>1234</v>
      </c>
      <c r="E246" s="136"/>
      <c r="F246" s="50" t="s">
        <v>275</v>
      </c>
      <c r="G246" s="31">
        <v>5</v>
      </c>
      <c r="H246" s="31">
        <v>0</v>
      </c>
      <c r="I246" s="31">
        <f>G246*H246</f>
        <v>0</v>
      </c>
      <c r="J246" s="47" t="s">
        <v>501</v>
      </c>
      <c r="Y246" s="56">
        <f>IF(AP246="5",BI246,0)</f>
        <v>0</v>
      </c>
      <c r="AA246" s="56">
        <f>IF(AP246="1",BG246,0)</f>
        <v>0</v>
      </c>
      <c r="AB246" s="56">
        <f>IF(AP246="1",BH246,0)</f>
        <v>0</v>
      </c>
      <c r="AC246" s="56">
        <f>IF(AP246="7",BG246,0)</f>
        <v>0</v>
      </c>
      <c r="AD246" s="56">
        <f>IF(AP246="7",BH246,0)</f>
        <v>0</v>
      </c>
      <c r="AE246" s="56">
        <f>IF(AP246="2",BG246,0)</f>
        <v>0</v>
      </c>
      <c r="AF246" s="56">
        <f>IF(AP246="2",BH246,0)</f>
        <v>0</v>
      </c>
      <c r="AG246" s="56">
        <f>IF(AP246="0",BI246,0)</f>
        <v>0</v>
      </c>
      <c r="AH246" s="30" t="s">
        <v>847</v>
      </c>
      <c r="AI246" s="31">
        <f>IF(AM246=0,I246,0)</f>
        <v>0</v>
      </c>
      <c r="AJ246" s="31">
        <f>IF(AM246=15,I246,0)</f>
        <v>0</v>
      </c>
      <c r="AK246" s="31">
        <f>IF(AM246=21,I246,0)</f>
        <v>0</v>
      </c>
      <c r="AM246" s="56">
        <v>21</v>
      </c>
      <c r="AN246" s="56">
        <f>H246*1</f>
        <v>0</v>
      </c>
      <c r="AO246" s="56">
        <f>H246*(1-1)</f>
        <v>0</v>
      </c>
      <c r="AP246" s="58" t="s">
        <v>1109</v>
      </c>
      <c r="AU246" s="56">
        <f>AV246+AW246</f>
        <v>0</v>
      </c>
      <c r="AV246" s="56">
        <f>G246*AN246</f>
        <v>0</v>
      </c>
      <c r="AW246" s="56">
        <f>G246*AO246</f>
        <v>0</v>
      </c>
      <c r="AX246" s="41" t="s">
        <v>95</v>
      </c>
      <c r="AY246" s="41" t="s">
        <v>246</v>
      </c>
      <c r="AZ246" s="30" t="s">
        <v>1000</v>
      </c>
      <c r="BB246" s="56">
        <f>AV246+AW246</f>
        <v>0</v>
      </c>
      <c r="BC246" s="56">
        <f>H246/(100-BD246)*100</f>
        <v>0</v>
      </c>
      <c r="BD246" s="56">
        <v>0</v>
      </c>
      <c r="BE246" s="56" t="e">
        <f>#REF!</f>
        <v>#REF!</v>
      </c>
      <c r="BG246" s="31">
        <f>G246*AN246</f>
        <v>0</v>
      </c>
      <c r="BH246" s="31">
        <f>G246*AO246</f>
        <v>0</v>
      </c>
      <c r="BI246" s="31">
        <f>G246*H246</f>
        <v>0</v>
      </c>
      <c r="BJ246" s="31"/>
      <c r="BK246" s="56">
        <v>89</v>
      </c>
      <c r="BV246" s="56">
        <v>21</v>
      </c>
    </row>
    <row r="247" spans="1:74" ht="15" customHeight="1" x14ac:dyDescent="0.25">
      <c r="A247" s="53"/>
      <c r="D247" s="52" t="s">
        <v>596</v>
      </c>
      <c r="E247" s="37" t="s">
        <v>905</v>
      </c>
      <c r="G247" s="21">
        <v>5</v>
      </c>
      <c r="J247" s="48"/>
    </row>
    <row r="248" spans="1:74" ht="13.5" customHeight="1" x14ac:dyDescent="0.25">
      <c r="A248" s="10" t="s">
        <v>1215</v>
      </c>
      <c r="B248" s="9" t="s">
        <v>847</v>
      </c>
      <c r="C248" s="9" t="s">
        <v>85</v>
      </c>
      <c r="D248" s="76" t="s">
        <v>799</v>
      </c>
      <c r="E248" s="77"/>
      <c r="F248" s="9" t="s">
        <v>275</v>
      </c>
      <c r="G248" s="56">
        <v>18</v>
      </c>
      <c r="H248" s="56">
        <v>0</v>
      </c>
      <c r="I248" s="56">
        <f>G248*H248</f>
        <v>0</v>
      </c>
      <c r="J248" s="54" t="s">
        <v>501</v>
      </c>
      <c r="Y248" s="56">
        <f>IF(AP248="5",BI248,0)</f>
        <v>0</v>
      </c>
      <c r="AA248" s="56">
        <f>IF(AP248="1",BG248,0)</f>
        <v>0</v>
      </c>
      <c r="AB248" s="56">
        <f>IF(AP248="1",BH248,0)</f>
        <v>0</v>
      </c>
      <c r="AC248" s="56">
        <f>IF(AP248="7",BG248,0)</f>
        <v>0</v>
      </c>
      <c r="AD248" s="56">
        <f>IF(AP248="7",BH248,0)</f>
        <v>0</v>
      </c>
      <c r="AE248" s="56">
        <f>IF(AP248="2",BG248,0)</f>
        <v>0</v>
      </c>
      <c r="AF248" s="56">
        <f>IF(AP248="2",BH248,0)</f>
        <v>0</v>
      </c>
      <c r="AG248" s="56">
        <f>IF(AP248="0",BI248,0)</f>
        <v>0</v>
      </c>
      <c r="AH248" s="30" t="s">
        <v>847</v>
      </c>
      <c r="AI248" s="56">
        <f>IF(AM248=0,I248,0)</f>
        <v>0</v>
      </c>
      <c r="AJ248" s="56">
        <f>IF(AM248=15,I248,0)</f>
        <v>0</v>
      </c>
      <c r="AK248" s="56">
        <f>IF(AM248=21,I248,0)</f>
        <v>0</v>
      </c>
      <c r="AM248" s="56">
        <v>21</v>
      </c>
      <c r="AN248" s="56">
        <f>H248*0</f>
        <v>0</v>
      </c>
      <c r="AO248" s="56">
        <f>H248*(1-0)</f>
        <v>0</v>
      </c>
      <c r="AP248" s="41" t="s">
        <v>1109</v>
      </c>
      <c r="AU248" s="56">
        <f>AV248+AW248</f>
        <v>0</v>
      </c>
      <c r="AV248" s="56">
        <f>G248*AN248</f>
        <v>0</v>
      </c>
      <c r="AW248" s="56">
        <f>G248*AO248</f>
        <v>0</v>
      </c>
      <c r="AX248" s="41" t="s">
        <v>95</v>
      </c>
      <c r="AY248" s="41" t="s">
        <v>246</v>
      </c>
      <c r="AZ248" s="30" t="s">
        <v>1000</v>
      </c>
      <c r="BB248" s="56">
        <f>AV248+AW248</f>
        <v>0</v>
      </c>
      <c r="BC248" s="56">
        <f>H248/(100-BD248)*100</f>
        <v>0</v>
      </c>
      <c r="BD248" s="56">
        <v>0</v>
      </c>
      <c r="BE248" s="56" t="e">
        <f>#REF!</f>
        <v>#REF!</v>
      </c>
      <c r="BG248" s="56">
        <f>G248*AN248</f>
        <v>0</v>
      </c>
      <c r="BH248" s="56">
        <f>G248*AO248</f>
        <v>0</v>
      </c>
      <c r="BI248" s="56">
        <f>G248*H248</f>
        <v>0</v>
      </c>
      <c r="BJ248" s="56"/>
      <c r="BK248" s="56">
        <v>89</v>
      </c>
      <c r="BV248" s="56">
        <v>21</v>
      </c>
    </row>
    <row r="249" spans="1:74" ht="13.5" customHeight="1" x14ac:dyDescent="0.25">
      <c r="A249" s="53"/>
      <c r="C249" s="66" t="s">
        <v>578</v>
      </c>
      <c r="D249" s="137" t="s">
        <v>560</v>
      </c>
      <c r="E249" s="138"/>
      <c r="F249" s="138"/>
      <c r="G249" s="138"/>
      <c r="H249" s="138"/>
      <c r="I249" s="138"/>
      <c r="J249" s="139"/>
    </row>
    <row r="250" spans="1:74" ht="15" customHeight="1" x14ac:dyDescent="0.25">
      <c r="A250" s="53"/>
      <c r="D250" s="52" t="s">
        <v>882</v>
      </c>
      <c r="E250" s="37" t="s">
        <v>1030</v>
      </c>
      <c r="G250" s="21">
        <v>18</v>
      </c>
      <c r="J250" s="48"/>
    </row>
    <row r="251" spans="1:74" ht="13.5" customHeight="1" x14ac:dyDescent="0.25">
      <c r="A251" s="10" t="s">
        <v>533</v>
      </c>
      <c r="B251" s="9" t="s">
        <v>847</v>
      </c>
      <c r="C251" s="9" t="s">
        <v>1220</v>
      </c>
      <c r="D251" s="76" t="s">
        <v>799</v>
      </c>
      <c r="E251" s="77"/>
      <c r="F251" s="9" t="s">
        <v>275</v>
      </c>
      <c r="G251" s="56">
        <v>1</v>
      </c>
      <c r="H251" s="56">
        <v>0</v>
      </c>
      <c r="I251" s="56">
        <f>G251*H251</f>
        <v>0</v>
      </c>
      <c r="J251" s="54" t="s">
        <v>501</v>
      </c>
      <c r="Y251" s="56">
        <f>IF(AP251="5",BI251,0)</f>
        <v>0</v>
      </c>
      <c r="AA251" s="56">
        <f>IF(AP251="1",BG251,0)</f>
        <v>0</v>
      </c>
      <c r="AB251" s="56">
        <f>IF(AP251="1",BH251,0)</f>
        <v>0</v>
      </c>
      <c r="AC251" s="56">
        <f>IF(AP251="7",BG251,0)</f>
        <v>0</v>
      </c>
      <c r="AD251" s="56">
        <f>IF(AP251="7",BH251,0)</f>
        <v>0</v>
      </c>
      <c r="AE251" s="56">
        <f>IF(AP251="2",BG251,0)</f>
        <v>0</v>
      </c>
      <c r="AF251" s="56">
        <f>IF(AP251="2",BH251,0)</f>
        <v>0</v>
      </c>
      <c r="AG251" s="56">
        <f>IF(AP251="0",BI251,0)</f>
        <v>0</v>
      </c>
      <c r="AH251" s="30" t="s">
        <v>847</v>
      </c>
      <c r="AI251" s="56">
        <f>IF(AM251=0,I251,0)</f>
        <v>0</v>
      </c>
      <c r="AJ251" s="56">
        <f>IF(AM251=15,I251,0)</f>
        <v>0</v>
      </c>
      <c r="AK251" s="56">
        <f>IF(AM251=21,I251,0)</f>
        <v>0</v>
      </c>
      <c r="AM251" s="56">
        <v>21</v>
      </c>
      <c r="AN251" s="56">
        <f>H251*0</f>
        <v>0</v>
      </c>
      <c r="AO251" s="56">
        <f>H251*(1-0)</f>
        <v>0</v>
      </c>
      <c r="AP251" s="41" t="s">
        <v>1109</v>
      </c>
      <c r="AU251" s="56">
        <f>AV251+AW251</f>
        <v>0</v>
      </c>
      <c r="AV251" s="56">
        <f>G251*AN251</f>
        <v>0</v>
      </c>
      <c r="AW251" s="56">
        <f>G251*AO251</f>
        <v>0</v>
      </c>
      <c r="AX251" s="41" t="s">
        <v>95</v>
      </c>
      <c r="AY251" s="41" t="s">
        <v>246</v>
      </c>
      <c r="AZ251" s="30" t="s">
        <v>1000</v>
      </c>
      <c r="BB251" s="56">
        <f>AV251+AW251</f>
        <v>0</v>
      </c>
      <c r="BC251" s="56">
        <f>H251/(100-BD251)*100</f>
        <v>0</v>
      </c>
      <c r="BD251" s="56">
        <v>0</v>
      </c>
      <c r="BE251" s="56" t="e">
        <f>#REF!</f>
        <v>#REF!</v>
      </c>
      <c r="BG251" s="56">
        <f>G251*AN251</f>
        <v>0</v>
      </c>
      <c r="BH251" s="56">
        <f>G251*AO251</f>
        <v>0</v>
      </c>
      <c r="BI251" s="56">
        <f>G251*H251</f>
        <v>0</v>
      </c>
      <c r="BJ251" s="56"/>
      <c r="BK251" s="56">
        <v>89</v>
      </c>
      <c r="BV251" s="56">
        <v>21</v>
      </c>
    </row>
    <row r="252" spans="1:74" ht="15" customHeight="1" x14ac:dyDescent="0.25">
      <c r="A252" s="53"/>
      <c r="D252" s="52" t="s">
        <v>1109</v>
      </c>
      <c r="E252" s="37" t="s">
        <v>831</v>
      </c>
      <c r="G252" s="21">
        <v>1</v>
      </c>
      <c r="J252" s="48"/>
    </row>
    <row r="253" spans="1:74" ht="13.5" customHeight="1" x14ac:dyDescent="0.25">
      <c r="A253" s="10" t="s">
        <v>896</v>
      </c>
      <c r="B253" s="9" t="s">
        <v>847</v>
      </c>
      <c r="C253" s="9" t="s">
        <v>808</v>
      </c>
      <c r="D253" s="76" t="s">
        <v>1098</v>
      </c>
      <c r="E253" s="77"/>
      <c r="F253" s="9" t="s">
        <v>909</v>
      </c>
      <c r="G253" s="56">
        <v>385.6</v>
      </c>
      <c r="H253" s="56">
        <v>0</v>
      </c>
      <c r="I253" s="56">
        <f>G253*H253</f>
        <v>0</v>
      </c>
      <c r="J253" s="54" t="s">
        <v>501</v>
      </c>
      <c r="Y253" s="56">
        <f>IF(AP253="5",BI253,0)</f>
        <v>0</v>
      </c>
      <c r="AA253" s="56">
        <f>IF(AP253="1",BG253,0)</f>
        <v>0</v>
      </c>
      <c r="AB253" s="56">
        <f>IF(AP253="1",BH253,0)</f>
        <v>0</v>
      </c>
      <c r="AC253" s="56">
        <f>IF(AP253="7",BG253,0)</f>
        <v>0</v>
      </c>
      <c r="AD253" s="56">
        <f>IF(AP253="7",BH253,0)</f>
        <v>0</v>
      </c>
      <c r="AE253" s="56">
        <f>IF(AP253="2",BG253,0)</f>
        <v>0</v>
      </c>
      <c r="AF253" s="56">
        <f>IF(AP253="2",BH253,0)</f>
        <v>0</v>
      </c>
      <c r="AG253" s="56">
        <f>IF(AP253="0",BI253,0)</f>
        <v>0</v>
      </c>
      <c r="AH253" s="30" t="s">
        <v>847</v>
      </c>
      <c r="AI253" s="56">
        <f>IF(AM253=0,I253,0)</f>
        <v>0</v>
      </c>
      <c r="AJ253" s="56">
        <f>IF(AM253=15,I253,0)</f>
        <v>0</v>
      </c>
      <c r="AK253" s="56">
        <f>IF(AM253=21,I253,0)</f>
        <v>0</v>
      </c>
      <c r="AM253" s="56">
        <v>21</v>
      </c>
      <c r="AN253" s="56">
        <f>H253*0.0609090909090909</f>
        <v>0</v>
      </c>
      <c r="AO253" s="56">
        <f>H253*(1-0.0609090909090909)</f>
        <v>0</v>
      </c>
      <c r="AP253" s="41" t="s">
        <v>1109</v>
      </c>
      <c r="AU253" s="56">
        <f>AV253+AW253</f>
        <v>0</v>
      </c>
      <c r="AV253" s="56">
        <f>G253*AN253</f>
        <v>0</v>
      </c>
      <c r="AW253" s="56">
        <f>G253*AO253</f>
        <v>0</v>
      </c>
      <c r="AX253" s="41" t="s">
        <v>95</v>
      </c>
      <c r="AY253" s="41" t="s">
        <v>246</v>
      </c>
      <c r="AZ253" s="30" t="s">
        <v>1000</v>
      </c>
      <c r="BB253" s="56">
        <f>AV253+AW253</f>
        <v>0</v>
      </c>
      <c r="BC253" s="56">
        <f>H253/(100-BD253)*100</f>
        <v>0</v>
      </c>
      <c r="BD253" s="56">
        <v>0</v>
      </c>
      <c r="BE253" s="56" t="e">
        <f>#REF!</f>
        <v>#REF!</v>
      </c>
      <c r="BG253" s="56">
        <f>G253*AN253</f>
        <v>0</v>
      </c>
      <c r="BH253" s="56">
        <f>G253*AO253</f>
        <v>0</v>
      </c>
      <c r="BI253" s="56">
        <f>G253*H253</f>
        <v>0</v>
      </c>
      <c r="BJ253" s="56"/>
      <c r="BK253" s="56">
        <v>89</v>
      </c>
      <c r="BV253" s="56">
        <v>21</v>
      </c>
    </row>
    <row r="254" spans="1:74" ht="13.5" customHeight="1" x14ac:dyDescent="0.25">
      <c r="A254" s="10" t="s">
        <v>516</v>
      </c>
      <c r="B254" s="9" t="s">
        <v>847</v>
      </c>
      <c r="C254" s="9" t="s">
        <v>421</v>
      </c>
      <c r="D254" s="76" t="s">
        <v>937</v>
      </c>
      <c r="E254" s="77"/>
      <c r="F254" s="9" t="s">
        <v>909</v>
      </c>
      <c r="G254" s="56">
        <v>385.6</v>
      </c>
      <c r="H254" s="56">
        <v>0</v>
      </c>
      <c r="I254" s="56">
        <f>G254*H254</f>
        <v>0</v>
      </c>
      <c r="J254" s="54" t="s">
        <v>501</v>
      </c>
      <c r="Y254" s="56">
        <f>IF(AP254="5",BI254,0)</f>
        <v>0</v>
      </c>
      <c r="AA254" s="56">
        <f>IF(AP254="1",BG254,0)</f>
        <v>0</v>
      </c>
      <c r="AB254" s="56">
        <f>IF(AP254="1",BH254,0)</f>
        <v>0</v>
      </c>
      <c r="AC254" s="56">
        <f>IF(AP254="7",BG254,0)</f>
        <v>0</v>
      </c>
      <c r="AD254" s="56">
        <f>IF(AP254="7",BH254,0)</f>
        <v>0</v>
      </c>
      <c r="AE254" s="56">
        <f>IF(AP254="2",BG254,0)</f>
        <v>0</v>
      </c>
      <c r="AF254" s="56">
        <f>IF(AP254="2",BH254,0)</f>
        <v>0</v>
      </c>
      <c r="AG254" s="56">
        <f>IF(AP254="0",BI254,0)</f>
        <v>0</v>
      </c>
      <c r="AH254" s="30" t="s">
        <v>847</v>
      </c>
      <c r="AI254" s="56">
        <f>IF(AM254=0,I254,0)</f>
        <v>0</v>
      </c>
      <c r="AJ254" s="56">
        <f>IF(AM254=15,I254,0)</f>
        <v>0</v>
      </c>
      <c r="AK254" s="56">
        <f>IF(AM254=21,I254,0)</f>
        <v>0</v>
      </c>
      <c r="AM254" s="56">
        <v>21</v>
      </c>
      <c r="AN254" s="56">
        <f>H254*0.0343710021321962</f>
        <v>0</v>
      </c>
      <c r="AO254" s="56">
        <f>H254*(1-0.0343710021321962)</f>
        <v>0</v>
      </c>
      <c r="AP254" s="41" t="s">
        <v>1109</v>
      </c>
      <c r="AU254" s="56">
        <f>AV254+AW254</f>
        <v>0</v>
      </c>
      <c r="AV254" s="56">
        <f>G254*AN254</f>
        <v>0</v>
      </c>
      <c r="AW254" s="56">
        <f>G254*AO254</f>
        <v>0</v>
      </c>
      <c r="AX254" s="41" t="s">
        <v>95</v>
      </c>
      <c r="AY254" s="41" t="s">
        <v>246</v>
      </c>
      <c r="AZ254" s="30" t="s">
        <v>1000</v>
      </c>
      <c r="BB254" s="56">
        <f>AV254+AW254</f>
        <v>0</v>
      </c>
      <c r="BC254" s="56">
        <f>H254/(100-BD254)*100</f>
        <v>0</v>
      </c>
      <c r="BD254" s="56">
        <v>0</v>
      </c>
      <c r="BE254" s="56" t="e">
        <f>#REF!</f>
        <v>#REF!</v>
      </c>
      <c r="BG254" s="56">
        <f>G254*AN254</f>
        <v>0</v>
      </c>
      <c r="BH254" s="56">
        <f>G254*AO254</f>
        <v>0</v>
      </c>
      <c r="BI254" s="56">
        <f>G254*H254</f>
        <v>0</v>
      </c>
      <c r="BJ254" s="56"/>
      <c r="BK254" s="56">
        <v>89</v>
      </c>
      <c r="BV254" s="56">
        <v>21</v>
      </c>
    </row>
    <row r="255" spans="1:74" ht="13.5" customHeight="1" x14ac:dyDescent="0.25">
      <c r="A255" s="10" t="s">
        <v>714</v>
      </c>
      <c r="B255" s="9" t="s">
        <v>847</v>
      </c>
      <c r="C255" s="9" t="s">
        <v>1120</v>
      </c>
      <c r="D255" s="76" t="s">
        <v>623</v>
      </c>
      <c r="E255" s="77"/>
      <c r="F255" s="9" t="s">
        <v>275</v>
      </c>
      <c r="G255" s="56">
        <v>19</v>
      </c>
      <c r="H255" s="56">
        <v>0</v>
      </c>
      <c r="I255" s="56">
        <f>G255*H255</f>
        <v>0</v>
      </c>
      <c r="J255" s="54" t="s">
        <v>501</v>
      </c>
      <c r="Y255" s="56">
        <f>IF(AP255="5",BI255,0)</f>
        <v>0</v>
      </c>
      <c r="AA255" s="56">
        <f>IF(AP255="1",BG255,0)</f>
        <v>0</v>
      </c>
      <c r="AB255" s="56">
        <f>IF(AP255="1",BH255,0)</f>
        <v>0</v>
      </c>
      <c r="AC255" s="56">
        <f>IF(AP255="7",BG255,0)</f>
        <v>0</v>
      </c>
      <c r="AD255" s="56">
        <f>IF(AP255="7",BH255,0)</f>
        <v>0</v>
      </c>
      <c r="AE255" s="56">
        <f>IF(AP255="2",BG255,0)</f>
        <v>0</v>
      </c>
      <c r="AF255" s="56">
        <f>IF(AP255="2",BH255,0)</f>
        <v>0</v>
      </c>
      <c r="AG255" s="56">
        <f>IF(AP255="0",BI255,0)</f>
        <v>0</v>
      </c>
      <c r="AH255" s="30" t="s">
        <v>847</v>
      </c>
      <c r="AI255" s="56">
        <f>IF(AM255=0,I255,0)</f>
        <v>0</v>
      </c>
      <c r="AJ255" s="56">
        <f>IF(AM255=15,I255,0)</f>
        <v>0</v>
      </c>
      <c r="AK255" s="56">
        <f>IF(AM255=21,I255,0)</f>
        <v>0</v>
      </c>
      <c r="AM255" s="56">
        <v>21</v>
      </c>
      <c r="AN255" s="56">
        <f>H255*0.300018181818182</f>
        <v>0</v>
      </c>
      <c r="AO255" s="56">
        <f>H255*(1-0.300018181818182)</f>
        <v>0</v>
      </c>
      <c r="AP255" s="41" t="s">
        <v>1109</v>
      </c>
      <c r="AU255" s="56">
        <f>AV255+AW255</f>
        <v>0</v>
      </c>
      <c r="AV255" s="56">
        <f>G255*AN255</f>
        <v>0</v>
      </c>
      <c r="AW255" s="56">
        <f>G255*AO255</f>
        <v>0</v>
      </c>
      <c r="AX255" s="41" t="s">
        <v>95</v>
      </c>
      <c r="AY255" s="41" t="s">
        <v>246</v>
      </c>
      <c r="AZ255" s="30" t="s">
        <v>1000</v>
      </c>
      <c r="BB255" s="56">
        <f>AV255+AW255</f>
        <v>0</v>
      </c>
      <c r="BC255" s="56">
        <f>H255/(100-BD255)*100</f>
        <v>0</v>
      </c>
      <c r="BD255" s="56">
        <v>0</v>
      </c>
      <c r="BE255" s="56" t="e">
        <f>#REF!</f>
        <v>#REF!</v>
      </c>
      <c r="BG255" s="56">
        <f>G255*AN255</f>
        <v>0</v>
      </c>
      <c r="BH255" s="56">
        <f>G255*AO255</f>
        <v>0</v>
      </c>
      <c r="BI255" s="56">
        <f>G255*H255</f>
        <v>0</v>
      </c>
      <c r="BJ255" s="56"/>
      <c r="BK255" s="56">
        <v>89</v>
      </c>
      <c r="BV255" s="56">
        <v>21</v>
      </c>
    </row>
    <row r="256" spans="1:74" ht="13.5" customHeight="1" x14ac:dyDescent="0.25">
      <c r="A256" s="57" t="s">
        <v>1202</v>
      </c>
      <c r="B256" s="50" t="s">
        <v>847</v>
      </c>
      <c r="C256" s="50" t="s">
        <v>426</v>
      </c>
      <c r="D256" s="135" t="s">
        <v>37</v>
      </c>
      <c r="E256" s="136"/>
      <c r="F256" s="50" t="s">
        <v>275</v>
      </c>
      <c r="G256" s="31">
        <v>19</v>
      </c>
      <c r="H256" s="31">
        <v>0</v>
      </c>
      <c r="I256" s="31">
        <f>G256*H256</f>
        <v>0</v>
      </c>
      <c r="J256" s="47" t="s">
        <v>501</v>
      </c>
      <c r="Y256" s="56">
        <f>IF(AP256="5",BI256,0)</f>
        <v>0</v>
      </c>
      <c r="AA256" s="56">
        <f>IF(AP256="1",BG256,0)</f>
        <v>0</v>
      </c>
      <c r="AB256" s="56">
        <f>IF(AP256="1",BH256,0)</f>
        <v>0</v>
      </c>
      <c r="AC256" s="56">
        <f>IF(AP256="7",BG256,0)</f>
        <v>0</v>
      </c>
      <c r="AD256" s="56">
        <f>IF(AP256="7",BH256,0)</f>
        <v>0</v>
      </c>
      <c r="AE256" s="56">
        <f>IF(AP256="2",BG256,0)</f>
        <v>0</v>
      </c>
      <c r="AF256" s="56">
        <f>IF(AP256="2",BH256,0)</f>
        <v>0</v>
      </c>
      <c r="AG256" s="56">
        <f>IF(AP256="0",BI256,0)</f>
        <v>0</v>
      </c>
      <c r="AH256" s="30" t="s">
        <v>847</v>
      </c>
      <c r="AI256" s="31">
        <f>IF(AM256=0,I256,0)</f>
        <v>0</v>
      </c>
      <c r="AJ256" s="31">
        <f>IF(AM256=15,I256,0)</f>
        <v>0</v>
      </c>
      <c r="AK256" s="31">
        <f>IF(AM256=21,I256,0)</f>
        <v>0</v>
      </c>
      <c r="AM256" s="56">
        <v>21</v>
      </c>
      <c r="AN256" s="56">
        <f>H256*1</f>
        <v>0</v>
      </c>
      <c r="AO256" s="56">
        <f>H256*(1-1)</f>
        <v>0</v>
      </c>
      <c r="AP256" s="58" t="s">
        <v>1109</v>
      </c>
      <c r="AU256" s="56">
        <f>AV256+AW256</f>
        <v>0</v>
      </c>
      <c r="AV256" s="56">
        <f>G256*AN256</f>
        <v>0</v>
      </c>
      <c r="AW256" s="56">
        <f>G256*AO256</f>
        <v>0</v>
      </c>
      <c r="AX256" s="41" t="s">
        <v>95</v>
      </c>
      <c r="AY256" s="41" t="s">
        <v>246</v>
      </c>
      <c r="AZ256" s="30" t="s">
        <v>1000</v>
      </c>
      <c r="BB256" s="56">
        <f>AV256+AW256</f>
        <v>0</v>
      </c>
      <c r="BC256" s="56">
        <f>H256/(100-BD256)*100</f>
        <v>0</v>
      </c>
      <c r="BD256" s="56">
        <v>0</v>
      </c>
      <c r="BE256" s="56" t="e">
        <f>#REF!</f>
        <v>#REF!</v>
      </c>
      <c r="BG256" s="31">
        <f>G256*AN256</f>
        <v>0</v>
      </c>
      <c r="BH256" s="31">
        <f>G256*AO256</f>
        <v>0</v>
      </c>
      <c r="BI256" s="31">
        <f>G256*H256</f>
        <v>0</v>
      </c>
      <c r="BJ256" s="31"/>
      <c r="BK256" s="56">
        <v>89</v>
      </c>
      <c r="BV256" s="56">
        <v>21</v>
      </c>
    </row>
    <row r="257" spans="1:74" ht="15" customHeight="1" x14ac:dyDescent="0.25">
      <c r="A257" s="53"/>
      <c r="D257" s="52" t="s">
        <v>706</v>
      </c>
      <c r="E257" s="37" t="s">
        <v>585</v>
      </c>
      <c r="G257" s="21">
        <v>19</v>
      </c>
      <c r="J257" s="48"/>
    </row>
    <row r="258" spans="1:74" ht="13.5" customHeight="1" x14ac:dyDescent="0.25">
      <c r="A258" s="57" t="s">
        <v>783</v>
      </c>
      <c r="B258" s="50" t="s">
        <v>847</v>
      </c>
      <c r="C258" s="50" t="s">
        <v>884</v>
      </c>
      <c r="D258" s="135" t="s">
        <v>380</v>
      </c>
      <c r="E258" s="136"/>
      <c r="F258" s="50" t="s">
        <v>275</v>
      </c>
      <c r="G258" s="31">
        <v>19</v>
      </c>
      <c r="H258" s="31">
        <v>0</v>
      </c>
      <c r="I258" s="31">
        <f>G258*H258</f>
        <v>0</v>
      </c>
      <c r="J258" s="47" t="s">
        <v>501</v>
      </c>
      <c r="Y258" s="56">
        <f>IF(AP258="5",BI258,0)</f>
        <v>0</v>
      </c>
      <c r="AA258" s="56">
        <f>IF(AP258="1",BG258,0)</f>
        <v>0</v>
      </c>
      <c r="AB258" s="56">
        <f>IF(AP258="1",BH258,0)</f>
        <v>0</v>
      </c>
      <c r="AC258" s="56">
        <f>IF(AP258="7",BG258,0)</f>
        <v>0</v>
      </c>
      <c r="AD258" s="56">
        <f>IF(AP258="7",BH258,0)</f>
        <v>0</v>
      </c>
      <c r="AE258" s="56">
        <f>IF(AP258="2",BG258,0)</f>
        <v>0</v>
      </c>
      <c r="AF258" s="56">
        <f>IF(AP258="2",BH258,0)</f>
        <v>0</v>
      </c>
      <c r="AG258" s="56">
        <f>IF(AP258="0",BI258,0)</f>
        <v>0</v>
      </c>
      <c r="AH258" s="30" t="s">
        <v>847</v>
      </c>
      <c r="AI258" s="31">
        <f>IF(AM258=0,I258,0)</f>
        <v>0</v>
      </c>
      <c r="AJ258" s="31">
        <f>IF(AM258=15,I258,0)</f>
        <v>0</v>
      </c>
      <c r="AK258" s="31">
        <f>IF(AM258=21,I258,0)</f>
        <v>0</v>
      </c>
      <c r="AM258" s="56">
        <v>21</v>
      </c>
      <c r="AN258" s="56">
        <f>H258*1</f>
        <v>0</v>
      </c>
      <c r="AO258" s="56">
        <f>H258*(1-1)</f>
        <v>0</v>
      </c>
      <c r="AP258" s="58" t="s">
        <v>1109</v>
      </c>
      <c r="AU258" s="56">
        <f>AV258+AW258</f>
        <v>0</v>
      </c>
      <c r="AV258" s="56">
        <f>G258*AN258</f>
        <v>0</v>
      </c>
      <c r="AW258" s="56">
        <f>G258*AO258</f>
        <v>0</v>
      </c>
      <c r="AX258" s="41" t="s">
        <v>95</v>
      </c>
      <c r="AY258" s="41" t="s">
        <v>246</v>
      </c>
      <c r="AZ258" s="30" t="s">
        <v>1000</v>
      </c>
      <c r="BB258" s="56">
        <f>AV258+AW258</f>
        <v>0</v>
      </c>
      <c r="BC258" s="56">
        <f>H258/(100-BD258)*100</f>
        <v>0</v>
      </c>
      <c r="BD258" s="56">
        <v>0</v>
      </c>
      <c r="BE258" s="56" t="e">
        <f>#REF!</f>
        <v>#REF!</v>
      </c>
      <c r="BG258" s="31">
        <f>G258*AN258</f>
        <v>0</v>
      </c>
      <c r="BH258" s="31">
        <f>G258*AO258</f>
        <v>0</v>
      </c>
      <c r="BI258" s="31">
        <f>G258*H258</f>
        <v>0</v>
      </c>
      <c r="BJ258" s="31"/>
      <c r="BK258" s="56">
        <v>89</v>
      </c>
      <c r="BV258" s="56">
        <v>21</v>
      </c>
    </row>
    <row r="259" spans="1:74" ht="15" customHeight="1" x14ac:dyDescent="0.25">
      <c r="A259" s="53"/>
      <c r="D259" s="52" t="s">
        <v>706</v>
      </c>
      <c r="E259" s="37" t="s">
        <v>325</v>
      </c>
      <c r="G259" s="21">
        <v>19</v>
      </c>
      <c r="J259" s="48"/>
    </row>
    <row r="260" spans="1:74" ht="13.5" customHeight="1" x14ac:dyDescent="0.25">
      <c r="A260" s="10" t="s">
        <v>1214</v>
      </c>
      <c r="B260" s="9" t="s">
        <v>847</v>
      </c>
      <c r="C260" s="9" t="s">
        <v>864</v>
      </c>
      <c r="D260" s="76" t="s">
        <v>143</v>
      </c>
      <c r="E260" s="77"/>
      <c r="F260" s="9" t="s">
        <v>275</v>
      </c>
      <c r="G260" s="56">
        <v>8</v>
      </c>
      <c r="H260" s="56">
        <v>0</v>
      </c>
      <c r="I260" s="56">
        <f>G260*H260</f>
        <v>0</v>
      </c>
      <c r="J260" s="54" t="s">
        <v>501</v>
      </c>
      <c r="Y260" s="56">
        <f>IF(AP260="5",BI260,0)</f>
        <v>0</v>
      </c>
      <c r="AA260" s="56">
        <f>IF(AP260="1",BG260,0)</f>
        <v>0</v>
      </c>
      <c r="AB260" s="56">
        <f>IF(AP260="1",BH260,0)</f>
        <v>0</v>
      </c>
      <c r="AC260" s="56">
        <f>IF(AP260="7",BG260,0)</f>
        <v>0</v>
      </c>
      <c r="AD260" s="56">
        <f>IF(AP260="7",BH260,0)</f>
        <v>0</v>
      </c>
      <c r="AE260" s="56">
        <f>IF(AP260="2",BG260,0)</f>
        <v>0</v>
      </c>
      <c r="AF260" s="56">
        <f>IF(AP260="2",BH260,0)</f>
        <v>0</v>
      </c>
      <c r="AG260" s="56">
        <f>IF(AP260="0",BI260,0)</f>
        <v>0</v>
      </c>
      <c r="AH260" s="30" t="s">
        <v>847</v>
      </c>
      <c r="AI260" s="56">
        <f>IF(AM260=0,I260,0)</f>
        <v>0</v>
      </c>
      <c r="AJ260" s="56">
        <f>IF(AM260=15,I260,0)</f>
        <v>0</v>
      </c>
      <c r="AK260" s="56">
        <f>IF(AM260=21,I260,0)</f>
        <v>0</v>
      </c>
      <c r="AM260" s="56">
        <v>21</v>
      </c>
      <c r="AN260" s="56">
        <f>H260*0.42892998678996</f>
        <v>0</v>
      </c>
      <c r="AO260" s="56">
        <f>H260*(1-0.42892998678996)</f>
        <v>0</v>
      </c>
      <c r="AP260" s="41" t="s">
        <v>1109</v>
      </c>
      <c r="AU260" s="56">
        <f>AV260+AW260</f>
        <v>0</v>
      </c>
      <c r="AV260" s="56">
        <f>G260*AN260</f>
        <v>0</v>
      </c>
      <c r="AW260" s="56">
        <f>G260*AO260</f>
        <v>0</v>
      </c>
      <c r="AX260" s="41" t="s">
        <v>95</v>
      </c>
      <c r="AY260" s="41" t="s">
        <v>246</v>
      </c>
      <c r="AZ260" s="30" t="s">
        <v>1000</v>
      </c>
      <c r="BB260" s="56">
        <f>AV260+AW260</f>
        <v>0</v>
      </c>
      <c r="BC260" s="56">
        <f>H260/(100-BD260)*100</f>
        <v>0</v>
      </c>
      <c r="BD260" s="56">
        <v>0</v>
      </c>
      <c r="BE260" s="56" t="e">
        <f>#REF!</f>
        <v>#REF!</v>
      </c>
      <c r="BG260" s="56">
        <f>G260*AN260</f>
        <v>0</v>
      </c>
      <c r="BH260" s="56">
        <f>G260*AO260</f>
        <v>0</v>
      </c>
      <c r="BI260" s="56">
        <f>G260*H260</f>
        <v>0</v>
      </c>
      <c r="BJ260" s="56"/>
      <c r="BK260" s="56">
        <v>89</v>
      </c>
      <c r="BV260" s="56">
        <v>21</v>
      </c>
    </row>
    <row r="261" spans="1:74" ht="13.5" customHeight="1" x14ac:dyDescent="0.25">
      <c r="A261" s="57" t="s">
        <v>1138</v>
      </c>
      <c r="B261" s="50" t="s">
        <v>847</v>
      </c>
      <c r="C261" s="50" t="s">
        <v>843</v>
      </c>
      <c r="D261" s="135" t="s">
        <v>75</v>
      </c>
      <c r="E261" s="136"/>
      <c r="F261" s="50" t="s">
        <v>275</v>
      </c>
      <c r="G261" s="31">
        <v>8</v>
      </c>
      <c r="H261" s="31">
        <v>0</v>
      </c>
      <c r="I261" s="31">
        <f>G261*H261</f>
        <v>0</v>
      </c>
      <c r="J261" s="47" t="s">
        <v>501</v>
      </c>
      <c r="Y261" s="56">
        <f>IF(AP261="5",BI261,0)</f>
        <v>0</v>
      </c>
      <c r="AA261" s="56">
        <f>IF(AP261="1",BG261,0)</f>
        <v>0</v>
      </c>
      <c r="AB261" s="56">
        <f>IF(AP261="1",BH261,0)</f>
        <v>0</v>
      </c>
      <c r="AC261" s="56">
        <f>IF(AP261="7",BG261,0)</f>
        <v>0</v>
      </c>
      <c r="AD261" s="56">
        <f>IF(AP261="7",BH261,0)</f>
        <v>0</v>
      </c>
      <c r="AE261" s="56">
        <f>IF(AP261="2",BG261,0)</f>
        <v>0</v>
      </c>
      <c r="AF261" s="56">
        <f>IF(AP261="2",BH261,0)</f>
        <v>0</v>
      </c>
      <c r="AG261" s="56">
        <f>IF(AP261="0",BI261,0)</f>
        <v>0</v>
      </c>
      <c r="AH261" s="30" t="s">
        <v>847</v>
      </c>
      <c r="AI261" s="31">
        <f>IF(AM261=0,I261,0)</f>
        <v>0</v>
      </c>
      <c r="AJ261" s="31">
        <f>IF(AM261=15,I261,0)</f>
        <v>0</v>
      </c>
      <c r="AK261" s="31">
        <f>IF(AM261=21,I261,0)</f>
        <v>0</v>
      </c>
      <c r="AM261" s="56">
        <v>21</v>
      </c>
      <c r="AN261" s="56">
        <f>H261*1</f>
        <v>0</v>
      </c>
      <c r="AO261" s="56">
        <f>H261*(1-1)</f>
        <v>0</v>
      </c>
      <c r="AP261" s="58" t="s">
        <v>1109</v>
      </c>
      <c r="AU261" s="56">
        <f>AV261+AW261</f>
        <v>0</v>
      </c>
      <c r="AV261" s="56">
        <f>G261*AN261</f>
        <v>0</v>
      </c>
      <c r="AW261" s="56">
        <f>G261*AO261</f>
        <v>0</v>
      </c>
      <c r="AX261" s="41" t="s">
        <v>95</v>
      </c>
      <c r="AY261" s="41" t="s">
        <v>246</v>
      </c>
      <c r="AZ261" s="30" t="s">
        <v>1000</v>
      </c>
      <c r="BB261" s="56">
        <f>AV261+AW261</f>
        <v>0</v>
      </c>
      <c r="BC261" s="56">
        <f>H261/(100-BD261)*100</f>
        <v>0</v>
      </c>
      <c r="BD261" s="56">
        <v>0</v>
      </c>
      <c r="BE261" s="56" t="e">
        <f>#REF!</f>
        <v>#REF!</v>
      </c>
      <c r="BG261" s="31">
        <f>G261*AN261</f>
        <v>0</v>
      </c>
      <c r="BH261" s="31">
        <f>G261*AO261</f>
        <v>0</v>
      </c>
      <c r="BI261" s="31">
        <f>G261*H261</f>
        <v>0</v>
      </c>
      <c r="BJ261" s="31"/>
      <c r="BK261" s="56">
        <v>89</v>
      </c>
      <c r="BV261" s="56">
        <v>21</v>
      </c>
    </row>
    <row r="262" spans="1:74" ht="15" customHeight="1" x14ac:dyDescent="0.25">
      <c r="A262" s="53"/>
      <c r="D262" s="52" t="s">
        <v>874</v>
      </c>
      <c r="E262" s="37" t="s">
        <v>155</v>
      </c>
      <c r="G262" s="21">
        <v>8</v>
      </c>
      <c r="J262" s="48"/>
    </row>
    <row r="263" spans="1:74" ht="13.5" customHeight="1" x14ac:dyDescent="0.25">
      <c r="A263" s="57" t="s">
        <v>1071</v>
      </c>
      <c r="B263" s="50" t="s">
        <v>847</v>
      </c>
      <c r="C263" s="50" t="s">
        <v>316</v>
      </c>
      <c r="D263" s="135" t="s">
        <v>31</v>
      </c>
      <c r="E263" s="136"/>
      <c r="F263" s="50" t="s">
        <v>275</v>
      </c>
      <c r="G263" s="31">
        <v>8</v>
      </c>
      <c r="H263" s="31">
        <v>0</v>
      </c>
      <c r="I263" s="31">
        <f>G263*H263</f>
        <v>0</v>
      </c>
      <c r="J263" s="47" t="s">
        <v>501</v>
      </c>
      <c r="Y263" s="56">
        <f>IF(AP263="5",BI263,0)</f>
        <v>0</v>
      </c>
      <c r="AA263" s="56">
        <f>IF(AP263="1",BG263,0)</f>
        <v>0</v>
      </c>
      <c r="AB263" s="56">
        <f>IF(AP263="1",BH263,0)</f>
        <v>0</v>
      </c>
      <c r="AC263" s="56">
        <f>IF(AP263="7",BG263,0)</f>
        <v>0</v>
      </c>
      <c r="AD263" s="56">
        <f>IF(AP263="7",BH263,0)</f>
        <v>0</v>
      </c>
      <c r="AE263" s="56">
        <f>IF(AP263="2",BG263,0)</f>
        <v>0</v>
      </c>
      <c r="AF263" s="56">
        <f>IF(AP263="2",BH263,0)</f>
        <v>0</v>
      </c>
      <c r="AG263" s="56">
        <f>IF(AP263="0",BI263,0)</f>
        <v>0</v>
      </c>
      <c r="AH263" s="30" t="s">
        <v>847</v>
      </c>
      <c r="AI263" s="31">
        <f>IF(AM263=0,I263,0)</f>
        <v>0</v>
      </c>
      <c r="AJ263" s="31">
        <f>IF(AM263=15,I263,0)</f>
        <v>0</v>
      </c>
      <c r="AK263" s="31">
        <f>IF(AM263=21,I263,0)</f>
        <v>0</v>
      </c>
      <c r="AM263" s="56">
        <v>21</v>
      </c>
      <c r="AN263" s="56">
        <f>H263*1</f>
        <v>0</v>
      </c>
      <c r="AO263" s="56">
        <f>H263*(1-1)</f>
        <v>0</v>
      </c>
      <c r="AP263" s="58" t="s">
        <v>1109</v>
      </c>
      <c r="AU263" s="56">
        <f>AV263+AW263</f>
        <v>0</v>
      </c>
      <c r="AV263" s="56">
        <f>G263*AN263</f>
        <v>0</v>
      </c>
      <c r="AW263" s="56">
        <f>G263*AO263</f>
        <v>0</v>
      </c>
      <c r="AX263" s="41" t="s">
        <v>95</v>
      </c>
      <c r="AY263" s="41" t="s">
        <v>246</v>
      </c>
      <c r="AZ263" s="30" t="s">
        <v>1000</v>
      </c>
      <c r="BB263" s="56">
        <f>AV263+AW263</f>
        <v>0</v>
      </c>
      <c r="BC263" s="56">
        <f>H263/(100-BD263)*100</f>
        <v>0</v>
      </c>
      <c r="BD263" s="56">
        <v>0</v>
      </c>
      <c r="BE263" s="56" t="e">
        <f>#REF!</f>
        <v>#REF!</v>
      </c>
      <c r="BG263" s="31">
        <f>G263*AN263</f>
        <v>0</v>
      </c>
      <c r="BH263" s="31">
        <f>G263*AO263</f>
        <v>0</v>
      </c>
      <c r="BI263" s="31">
        <f>G263*H263</f>
        <v>0</v>
      </c>
      <c r="BJ263" s="31"/>
      <c r="BK263" s="56">
        <v>89</v>
      </c>
      <c r="BV263" s="56">
        <v>21</v>
      </c>
    </row>
    <row r="264" spans="1:74" ht="15" customHeight="1" x14ac:dyDescent="0.25">
      <c r="A264" s="53"/>
      <c r="D264" s="52" t="s">
        <v>874</v>
      </c>
      <c r="E264" s="37" t="s">
        <v>183</v>
      </c>
      <c r="G264" s="21">
        <v>8</v>
      </c>
      <c r="J264" s="48"/>
    </row>
    <row r="265" spans="1:74" ht="13.5" customHeight="1" x14ac:dyDescent="0.25">
      <c r="A265" s="10" t="s">
        <v>588</v>
      </c>
      <c r="B265" s="9" t="s">
        <v>847</v>
      </c>
      <c r="C265" s="9" t="s">
        <v>797</v>
      </c>
      <c r="D265" s="76" t="s">
        <v>397</v>
      </c>
      <c r="E265" s="77"/>
      <c r="F265" s="9" t="s">
        <v>275</v>
      </c>
      <c r="G265" s="56">
        <v>2</v>
      </c>
      <c r="H265" s="56">
        <v>0</v>
      </c>
      <c r="I265" s="56">
        <f>G265*H265</f>
        <v>0</v>
      </c>
      <c r="J265" s="54" t="s">
        <v>501</v>
      </c>
      <c r="Y265" s="56">
        <f>IF(AP265="5",BI265,0)</f>
        <v>0</v>
      </c>
      <c r="AA265" s="56">
        <f>IF(AP265="1",BG265,0)</f>
        <v>0</v>
      </c>
      <c r="AB265" s="56">
        <f>IF(AP265="1",BH265,0)</f>
        <v>0</v>
      </c>
      <c r="AC265" s="56">
        <f>IF(AP265="7",BG265,0)</f>
        <v>0</v>
      </c>
      <c r="AD265" s="56">
        <f>IF(AP265="7",BH265,0)</f>
        <v>0</v>
      </c>
      <c r="AE265" s="56">
        <f>IF(AP265="2",BG265,0)</f>
        <v>0</v>
      </c>
      <c r="AF265" s="56">
        <f>IF(AP265="2",BH265,0)</f>
        <v>0</v>
      </c>
      <c r="AG265" s="56">
        <f>IF(AP265="0",BI265,0)</f>
        <v>0</v>
      </c>
      <c r="AH265" s="30" t="s">
        <v>847</v>
      </c>
      <c r="AI265" s="56">
        <f>IF(AM265=0,I265,0)</f>
        <v>0</v>
      </c>
      <c r="AJ265" s="56">
        <f>IF(AM265=15,I265,0)</f>
        <v>0</v>
      </c>
      <c r="AK265" s="56">
        <f>IF(AM265=21,I265,0)</f>
        <v>0</v>
      </c>
      <c r="AM265" s="56">
        <v>21</v>
      </c>
      <c r="AN265" s="56">
        <f>H265*0.593457374830852</f>
        <v>0</v>
      </c>
      <c r="AO265" s="56">
        <f>H265*(1-0.593457374830852)</f>
        <v>0</v>
      </c>
      <c r="AP265" s="41" t="s">
        <v>1109</v>
      </c>
      <c r="AU265" s="56">
        <f>AV265+AW265</f>
        <v>0</v>
      </c>
      <c r="AV265" s="56">
        <f>G265*AN265</f>
        <v>0</v>
      </c>
      <c r="AW265" s="56">
        <f>G265*AO265</f>
        <v>0</v>
      </c>
      <c r="AX265" s="41" t="s">
        <v>95</v>
      </c>
      <c r="AY265" s="41" t="s">
        <v>246</v>
      </c>
      <c r="AZ265" s="30" t="s">
        <v>1000</v>
      </c>
      <c r="BB265" s="56">
        <f>AV265+AW265</f>
        <v>0</v>
      </c>
      <c r="BC265" s="56">
        <f>H265/(100-BD265)*100</f>
        <v>0</v>
      </c>
      <c r="BD265" s="56">
        <v>0</v>
      </c>
      <c r="BE265" s="56" t="e">
        <f>#REF!</f>
        <v>#REF!</v>
      </c>
      <c r="BG265" s="56">
        <f>G265*AN265</f>
        <v>0</v>
      </c>
      <c r="BH265" s="56">
        <f>G265*AO265</f>
        <v>0</v>
      </c>
      <c r="BI265" s="56">
        <f>G265*H265</f>
        <v>0</v>
      </c>
      <c r="BJ265" s="56"/>
      <c r="BK265" s="56">
        <v>89</v>
      </c>
      <c r="BV265" s="56">
        <v>21</v>
      </c>
    </row>
    <row r="266" spans="1:74" ht="13.5" customHeight="1" x14ac:dyDescent="0.25">
      <c r="A266" s="57" t="s">
        <v>518</v>
      </c>
      <c r="B266" s="50" t="s">
        <v>847</v>
      </c>
      <c r="C266" s="50" t="s">
        <v>554</v>
      </c>
      <c r="D266" s="135" t="s">
        <v>788</v>
      </c>
      <c r="E266" s="136"/>
      <c r="F266" s="50" t="s">
        <v>275</v>
      </c>
      <c r="G266" s="31">
        <v>2</v>
      </c>
      <c r="H266" s="31">
        <v>0</v>
      </c>
      <c r="I266" s="31">
        <f>G266*H266</f>
        <v>0</v>
      </c>
      <c r="J266" s="47" t="s">
        <v>501</v>
      </c>
      <c r="Y266" s="56">
        <f>IF(AP266="5",BI266,0)</f>
        <v>0</v>
      </c>
      <c r="AA266" s="56">
        <f>IF(AP266="1",BG266,0)</f>
        <v>0</v>
      </c>
      <c r="AB266" s="56">
        <f>IF(AP266="1",BH266,0)</f>
        <v>0</v>
      </c>
      <c r="AC266" s="56">
        <f>IF(AP266="7",BG266,0)</f>
        <v>0</v>
      </c>
      <c r="AD266" s="56">
        <f>IF(AP266="7",BH266,0)</f>
        <v>0</v>
      </c>
      <c r="AE266" s="56">
        <f>IF(AP266="2",BG266,0)</f>
        <v>0</v>
      </c>
      <c r="AF266" s="56">
        <f>IF(AP266="2",BH266,0)</f>
        <v>0</v>
      </c>
      <c r="AG266" s="56">
        <f>IF(AP266="0",BI266,0)</f>
        <v>0</v>
      </c>
      <c r="AH266" s="30" t="s">
        <v>847</v>
      </c>
      <c r="AI266" s="31">
        <f>IF(AM266=0,I266,0)</f>
        <v>0</v>
      </c>
      <c r="AJ266" s="31">
        <f>IF(AM266=15,I266,0)</f>
        <v>0</v>
      </c>
      <c r="AK266" s="31">
        <f>IF(AM266=21,I266,0)</f>
        <v>0</v>
      </c>
      <c r="AM266" s="56">
        <v>21</v>
      </c>
      <c r="AN266" s="56">
        <f>H266*1</f>
        <v>0</v>
      </c>
      <c r="AO266" s="56">
        <f>H266*(1-1)</f>
        <v>0</v>
      </c>
      <c r="AP266" s="58" t="s">
        <v>1109</v>
      </c>
      <c r="AU266" s="56">
        <f>AV266+AW266</f>
        <v>0</v>
      </c>
      <c r="AV266" s="56">
        <f>G266*AN266</f>
        <v>0</v>
      </c>
      <c r="AW266" s="56">
        <f>G266*AO266</f>
        <v>0</v>
      </c>
      <c r="AX266" s="41" t="s">
        <v>95</v>
      </c>
      <c r="AY266" s="41" t="s">
        <v>246</v>
      </c>
      <c r="AZ266" s="30" t="s">
        <v>1000</v>
      </c>
      <c r="BB266" s="56">
        <f>AV266+AW266</f>
        <v>0</v>
      </c>
      <c r="BC266" s="56">
        <f>H266/(100-BD266)*100</f>
        <v>0</v>
      </c>
      <c r="BD266" s="56">
        <v>0</v>
      </c>
      <c r="BE266" s="56" t="e">
        <f>#REF!</f>
        <v>#REF!</v>
      </c>
      <c r="BG266" s="31">
        <f>G266*AN266</f>
        <v>0</v>
      </c>
      <c r="BH266" s="31">
        <f>G266*AO266</f>
        <v>0</v>
      </c>
      <c r="BI266" s="31">
        <f>G266*H266</f>
        <v>0</v>
      </c>
      <c r="BJ266" s="31"/>
      <c r="BK266" s="56">
        <v>89</v>
      </c>
      <c r="BV266" s="56">
        <v>21</v>
      </c>
    </row>
    <row r="267" spans="1:74" ht="15" customHeight="1" x14ac:dyDescent="0.25">
      <c r="A267" s="53"/>
      <c r="D267" s="52" t="s">
        <v>766</v>
      </c>
      <c r="E267" s="37" t="s">
        <v>663</v>
      </c>
      <c r="G267" s="21">
        <v>2</v>
      </c>
      <c r="J267" s="48"/>
    </row>
    <row r="268" spans="1:74" ht="13.5" customHeight="1" x14ac:dyDescent="0.25">
      <c r="A268" s="57" t="s">
        <v>474</v>
      </c>
      <c r="B268" s="50" t="s">
        <v>847</v>
      </c>
      <c r="C268" s="50" t="s">
        <v>918</v>
      </c>
      <c r="D268" s="135" t="s">
        <v>639</v>
      </c>
      <c r="E268" s="136"/>
      <c r="F268" s="50" t="s">
        <v>275</v>
      </c>
      <c r="G268" s="31">
        <v>2</v>
      </c>
      <c r="H268" s="31">
        <v>0</v>
      </c>
      <c r="I268" s="31">
        <f>G268*H268</f>
        <v>0</v>
      </c>
      <c r="J268" s="47" t="s">
        <v>501</v>
      </c>
      <c r="Y268" s="56">
        <f>IF(AP268="5",BI268,0)</f>
        <v>0</v>
      </c>
      <c r="AA268" s="56">
        <f>IF(AP268="1",BG268,0)</f>
        <v>0</v>
      </c>
      <c r="AB268" s="56">
        <f>IF(AP268="1",BH268,0)</f>
        <v>0</v>
      </c>
      <c r="AC268" s="56">
        <f>IF(AP268="7",BG268,0)</f>
        <v>0</v>
      </c>
      <c r="AD268" s="56">
        <f>IF(AP268="7",BH268,0)</f>
        <v>0</v>
      </c>
      <c r="AE268" s="56">
        <f>IF(AP268="2",BG268,0)</f>
        <v>0</v>
      </c>
      <c r="AF268" s="56">
        <f>IF(AP268="2",BH268,0)</f>
        <v>0</v>
      </c>
      <c r="AG268" s="56">
        <f>IF(AP268="0",BI268,0)</f>
        <v>0</v>
      </c>
      <c r="AH268" s="30" t="s">
        <v>847</v>
      </c>
      <c r="AI268" s="31">
        <f>IF(AM268=0,I268,0)</f>
        <v>0</v>
      </c>
      <c r="AJ268" s="31">
        <f>IF(AM268=15,I268,0)</f>
        <v>0</v>
      </c>
      <c r="AK268" s="31">
        <f>IF(AM268=21,I268,0)</f>
        <v>0</v>
      </c>
      <c r="AM268" s="56">
        <v>21</v>
      </c>
      <c r="AN268" s="56">
        <f>H268*1</f>
        <v>0</v>
      </c>
      <c r="AO268" s="56">
        <f>H268*(1-1)</f>
        <v>0</v>
      </c>
      <c r="AP268" s="58" t="s">
        <v>1109</v>
      </c>
      <c r="AU268" s="56">
        <f>AV268+AW268</f>
        <v>0</v>
      </c>
      <c r="AV268" s="56">
        <f>G268*AN268</f>
        <v>0</v>
      </c>
      <c r="AW268" s="56">
        <f>G268*AO268</f>
        <v>0</v>
      </c>
      <c r="AX268" s="41" t="s">
        <v>95</v>
      </c>
      <c r="AY268" s="41" t="s">
        <v>246</v>
      </c>
      <c r="AZ268" s="30" t="s">
        <v>1000</v>
      </c>
      <c r="BB268" s="56">
        <f>AV268+AW268</f>
        <v>0</v>
      </c>
      <c r="BC268" s="56">
        <f>H268/(100-BD268)*100</f>
        <v>0</v>
      </c>
      <c r="BD268" s="56">
        <v>0</v>
      </c>
      <c r="BE268" s="56" t="e">
        <f>#REF!</f>
        <v>#REF!</v>
      </c>
      <c r="BG268" s="31">
        <f>G268*AN268</f>
        <v>0</v>
      </c>
      <c r="BH268" s="31">
        <f>G268*AO268</f>
        <v>0</v>
      </c>
      <c r="BI268" s="31">
        <f>G268*H268</f>
        <v>0</v>
      </c>
      <c r="BJ268" s="31"/>
      <c r="BK268" s="56">
        <v>89</v>
      </c>
      <c r="BV268" s="56">
        <v>21</v>
      </c>
    </row>
    <row r="269" spans="1:74" ht="15" customHeight="1" x14ac:dyDescent="0.25">
      <c r="A269" s="53"/>
      <c r="D269" s="52" t="s">
        <v>766</v>
      </c>
      <c r="E269" s="37" t="s">
        <v>166</v>
      </c>
      <c r="G269" s="21">
        <v>2</v>
      </c>
      <c r="J269" s="48"/>
    </row>
    <row r="270" spans="1:74" ht="13.5" customHeight="1" x14ac:dyDescent="0.25">
      <c r="A270" s="10" t="s">
        <v>193</v>
      </c>
      <c r="B270" s="9" t="s">
        <v>847</v>
      </c>
      <c r="C270" s="9" t="s">
        <v>202</v>
      </c>
      <c r="D270" s="76" t="s">
        <v>1178</v>
      </c>
      <c r="E270" s="77"/>
      <c r="F270" s="9" t="s">
        <v>909</v>
      </c>
      <c r="G270" s="56">
        <v>340</v>
      </c>
      <c r="H270" s="56">
        <v>0</v>
      </c>
      <c r="I270" s="56">
        <f>G270*H270</f>
        <v>0</v>
      </c>
      <c r="J270" s="54" t="s">
        <v>501</v>
      </c>
      <c r="Y270" s="56">
        <f>IF(AP270="5",BI270,0)</f>
        <v>0</v>
      </c>
      <c r="AA270" s="56">
        <f>IF(AP270="1",BG270,0)</f>
        <v>0</v>
      </c>
      <c r="AB270" s="56">
        <f>IF(AP270="1",BH270,0)</f>
        <v>0</v>
      </c>
      <c r="AC270" s="56">
        <f>IF(AP270="7",BG270,0)</f>
        <v>0</v>
      </c>
      <c r="AD270" s="56">
        <f>IF(AP270="7",BH270,0)</f>
        <v>0</v>
      </c>
      <c r="AE270" s="56">
        <f>IF(AP270="2",BG270,0)</f>
        <v>0</v>
      </c>
      <c r="AF270" s="56">
        <f>IF(AP270="2",BH270,0)</f>
        <v>0</v>
      </c>
      <c r="AG270" s="56">
        <f>IF(AP270="0",BI270,0)</f>
        <v>0</v>
      </c>
      <c r="AH270" s="30" t="s">
        <v>847</v>
      </c>
      <c r="AI270" s="56">
        <f>IF(AM270=0,I270,0)</f>
        <v>0</v>
      </c>
      <c r="AJ270" s="56">
        <f>IF(AM270=15,I270,0)</f>
        <v>0</v>
      </c>
      <c r="AK270" s="56">
        <f>IF(AM270=21,I270,0)</f>
        <v>0</v>
      </c>
      <c r="AM270" s="56">
        <v>21</v>
      </c>
      <c r="AN270" s="56">
        <f>H270*0.353992183137912</f>
        <v>0</v>
      </c>
      <c r="AO270" s="56">
        <f>H270*(1-0.353992183137912)</f>
        <v>0</v>
      </c>
      <c r="AP270" s="41" t="s">
        <v>1109</v>
      </c>
      <c r="AU270" s="56">
        <f>AV270+AW270</f>
        <v>0</v>
      </c>
      <c r="AV270" s="56">
        <f>G270*AN270</f>
        <v>0</v>
      </c>
      <c r="AW270" s="56">
        <f>G270*AO270</f>
        <v>0</v>
      </c>
      <c r="AX270" s="41" t="s">
        <v>95</v>
      </c>
      <c r="AY270" s="41" t="s">
        <v>246</v>
      </c>
      <c r="AZ270" s="30" t="s">
        <v>1000</v>
      </c>
      <c r="BB270" s="56">
        <f>AV270+AW270</f>
        <v>0</v>
      </c>
      <c r="BC270" s="56">
        <f>H270/(100-BD270)*100</f>
        <v>0</v>
      </c>
      <c r="BD270" s="56">
        <v>0</v>
      </c>
      <c r="BE270" s="56" t="e">
        <f>#REF!</f>
        <v>#REF!</v>
      </c>
      <c r="BG270" s="56">
        <f>G270*AN270</f>
        <v>0</v>
      </c>
      <c r="BH270" s="56">
        <f>G270*AO270</f>
        <v>0</v>
      </c>
      <c r="BI270" s="56">
        <f>G270*H270</f>
        <v>0</v>
      </c>
      <c r="BJ270" s="56"/>
      <c r="BK270" s="56">
        <v>89</v>
      </c>
      <c r="BV270" s="56">
        <v>21</v>
      </c>
    </row>
    <row r="271" spans="1:74" ht="15" customHeight="1" x14ac:dyDescent="0.25">
      <c r="A271" s="53"/>
      <c r="D271" s="52" t="s">
        <v>901</v>
      </c>
      <c r="E271" s="37" t="s">
        <v>537</v>
      </c>
      <c r="G271" s="21">
        <v>340</v>
      </c>
      <c r="J271" s="48"/>
    </row>
    <row r="272" spans="1:74" ht="13.5" customHeight="1" x14ac:dyDescent="0.25">
      <c r="A272" s="10" t="s">
        <v>249</v>
      </c>
      <c r="B272" s="9" t="s">
        <v>847</v>
      </c>
      <c r="C272" s="9" t="s">
        <v>3</v>
      </c>
      <c r="D272" s="76" t="s">
        <v>1222</v>
      </c>
      <c r="E272" s="77"/>
      <c r="F272" s="9" t="s">
        <v>909</v>
      </c>
      <c r="G272" s="56">
        <v>356</v>
      </c>
      <c r="H272" s="56">
        <v>0</v>
      </c>
      <c r="I272" s="56">
        <f>G272*H272</f>
        <v>0</v>
      </c>
      <c r="J272" s="54" t="s">
        <v>501</v>
      </c>
      <c r="Y272" s="56">
        <f>IF(AP272="5",BI272,0)</f>
        <v>0</v>
      </c>
      <c r="AA272" s="56">
        <f>IF(AP272="1",BG272,0)</f>
        <v>0</v>
      </c>
      <c r="AB272" s="56">
        <f>IF(AP272="1",BH272,0)</f>
        <v>0</v>
      </c>
      <c r="AC272" s="56">
        <f>IF(AP272="7",BG272,0)</f>
        <v>0</v>
      </c>
      <c r="AD272" s="56">
        <f>IF(AP272="7",BH272,0)</f>
        <v>0</v>
      </c>
      <c r="AE272" s="56">
        <f>IF(AP272="2",BG272,0)</f>
        <v>0</v>
      </c>
      <c r="AF272" s="56">
        <f>IF(AP272="2",BH272,0)</f>
        <v>0</v>
      </c>
      <c r="AG272" s="56">
        <f>IF(AP272="0",BI272,0)</f>
        <v>0</v>
      </c>
      <c r="AH272" s="30" t="s">
        <v>847</v>
      </c>
      <c r="AI272" s="56">
        <f>IF(AM272=0,I272,0)</f>
        <v>0</v>
      </c>
      <c r="AJ272" s="56">
        <f>IF(AM272=15,I272,0)</f>
        <v>0</v>
      </c>
      <c r="AK272" s="56">
        <f>IF(AM272=21,I272,0)</f>
        <v>0</v>
      </c>
      <c r="AM272" s="56">
        <v>21</v>
      </c>
      <c r="AN272" s="56">
        <f>H272*0.568164156578145</f>
        <v>0</v>
      </c>
      <c r="AO272" s="56">
        <f>H272*(1-0.568164156578145)</f>
        <v>0</v>
      </c>
      <c r="AP272" s="41" t="s">
        <v>1109</v>
      </c>
      <c r="AU272" s="56">
        <f>AV272+AW272</f>
        <v>0</v>
      </c>
      <c r="AV272" s="56">
        <f>G272*AN272</f>
        <v>0</v>
      </c>
      <c r="AW272" s="56">
        <f>G272*AO272</f>
        <v>0</v>
      </c>
      <c r="AX272" s="41" t="s">
        <v>95</v>
      </c>
      <c r="AY272" s="41" t="s">
        <v>246</v>
      </c>
      <c r="AZ272" s="30" t="s">
        <v>1000</v>
      </c>
      <c r="BB272" s="56">
        <f>AV272+AW272</f>
        <v>0</v>
      </c>
      <c r="BC272" s="56">
        <f>H272/(100-BD272)*100</f>
        <v>0</v>
      </c>
      <c r="BD272" s="56">
        <v>0</v>
      </c>
      <c r="BE272" s="56" t="e">
        <f>#REF!</f>
        <v>#REF!</v>
      </c>
      <c r="BG272" s="56">
        <f>G272*AN272</f>
        <v>0</v>
      </c>
      <c r="BH272" s="56">
        <f>G272*AO272</f>
        <v>0</v>
      </c>
      <c r="BI272" s="56">
        <f>G272*H272</f>
        <v>0</v>
      </c>
      <c r="BJ272" s="56"/>
      <c r="BK272" s="56">
        <v>89</v>
      </c>
      <c r="BV272" s="56">
        <v>21</v>
      </c>
    </row>
    <row r="273" spans="1:74" ht="15" customHeight="1" x14ac:dyDescent="0.25">
      <c r="A273" s="53"/>
      <c r="D273" s="52" t="s">
        <v>408</v>
      </c>
      <c r="E273" s="37" t="s">
        <v>1043</v>
      </c>
      <c r="G273" s="21">
        <v>356.00000000000006</v>
      </c>
      <c r="J273" s="48"/>
    </row>
    <row r="274" spans="1:74" ht="13.5" customHeight="1" x14ac:dyDescent="0.25">
      <c r="A274" s="10" t="s">
        <v>130</v>
      </c>
      <c r="B274" s="9" t="s">
        <v>847</v>
      </c>
      <c r="C274" s="9" t="s">
        <v>496</v>
      </c>
      <c r="D274" s="76" t="s">
        <v>835</v>
      </c>
      <c r="E274" s="77"/>
      <c r="F274" s="9" t="s">
        <v>909</v>
      </c>
      <c r="G274" s="56">
        <v>84</v>
      </c>
      <c r="H274" s="56">
        <v>0</v>
      </c>
      <c r="I274" s="56">
        <f>G274*H274</f>
        <v>0</v>
      </c>
      <c r="J274" s="54" t="s">
        <v>501</v>
      </c>
      <c r="Y274" s="56">
        <f>IF(AP274="5",BI274,0)</f>
        <v>0</v>
      </c>
      <c r="AA274" s="56">
        <f>IF(AP274="1",BG274,0)</f>
        <v>0</v>
      </c>
      <c r="AB274" s="56">
        <f>IF(AP274="1",BH274,0)</f>
        <v>0</v>
      </c>
      <c r="AC274" s="56">
        <f>IF(AP274="7",BG274,0)</f>
        <v>0</v>
      </c>
      <c r="AD274" s="56">
        <f>IF(AP274="7",BH274,0)</f>
        <v>0</v>
      </c>
      <c r="AE274" s="56">
        <f>IF(AP274="2",BG274,0)</f>
        <v>0</v>
      </c>
      <c r="AF274" s="56">
        <f>IF(AP274="2",BH274,0)</f>
        <v>0</v>
      </c>
      <c r="AG274" s="56">
        <f>IF(AP274="0",BI274,0)</f>
        <v>0</v>
      </c>
      <c r="AH274" s="30" t="s">
        <v>847</v>
      </c>
      <c r="AI274" s="56">
        <f>IF(AM274=0,I274,0)</f>
        <v>0</v>
      </c>
      <c r="AJ274" s="56">
        <f>IF(AM274=15,I274,0)</f>
        <v>0</v>
      </c>
      <c r="AK274" s="56">
        <f>IF(AM274=21,I274,0)</f>
        <v>0</v>
      </c>
      <c r="AM274" s="56">
        <v>21</v>
      </c>
      <c r="AN274" s="56">
        <f>H274*0.767356687898089</f>
        <v>0</v>
      </c>
      <c r="AO274" s="56">
        <f>H274*(1-0.767356687898089)</f>
        <v>0</v>
      </c>
      <c r="AP274" s="41" t="s">
        <v>1109</v>
      </c>
      <c r="AU274" s="56">
        <f>AV274+AW274</f>
        <v>0</v>
      </c>
      <c r="AV274" s="56">
        <f>G274*AN274</f>
        <v>0</v>
      </c>
      <c r="AW274" s="56">
        <f>G274*AO274</f>
        <v>0</v>
      </c>
      <c r="AX274" s="41" t="s">
        <v>95</v>
      </c>
      <c r="AY274" s="41" t="s">
        <v>246</v>
      </c>
      <c r="AZ274" s="30" t="s">
        <v>1000</v>
      </c>
      <c r="BB274" s="56">
        <f>AV274+AW274</f>
        <v>0</v>
      </c>
      <c r="BC274" s="56">
        <f>H274/(100-BD274)*100</f>
        <v>0</v>
      </c>
      <c r="BD274" s="56">
        <v>0</v>
      </c>
      <c r="BE274" s="56" t="e">
        <f>#REF!</f>
        <v>#REF!</v>
      </c>
      <c r="BG274" s="56">
        <f>G274*AN274</f>
        <v>0</v>
      </c>
      <c r="BH274" s="56">
        <f>G274*AO274</f>
        <v>0</v>
      </c>
      <c r="BI274" s="56">
        <f>G274*H274</f>
        <v>0</v>
      </c>
      <c r="BJ274" s="56"/>
      <c r="BK274" s="56">
        <v>89</v>
      </c>
      <c r="BV274" s="56">
        <v>21</v>
      </c>
    </row>
    <row r="275" spans="1:74" ht="15" customHeight="1" x14ac:dyDescent="0.25">
      <c r="A275" s="53"/>
      <c r="D275" s="52" t="s">
        <v>659</v>
      </c>
      <c r="E275" s="37" t="s">
        <v>757</v>
      </c>
      <c r="G275" s="21">
        <v>84</v>
      </c>
      <c r="J275" s="48"/>
    </row>
    <row r="276" spans="1:74" ht="13.5" customHeight="1" x14ac:dyDescent="0.25">
      <c r="A276" s="10" t="s">
        <v>158</v>
      </c>
      <c r="B276" s="9" t="s">
        <v>847</v>
      </c>
      <c r="C276" s="9" t="s">
        <v>490</v>
      </c>
      <c r="D276" s="76" t="s">
        <v>927</v>
      </c>
      <c r="E276" s="77"/>
      <c r="F276" s="9" t="s">
        <v>275</v>
      </c>
      <c r="G276" s="56">
        <v>2</v>
      </c>
      <c r="H276" s="56">
        <v>0</v>
      </c>
      <c r="I276" s="56">
        <f>G276*H276</f>
        <v>0</v>
      </c>
      <c r="J276" s="54" t="s">
        <v>501</v>
      </c>
      <c r="Y276" s="56">
        <f>IF(AP276="5",BI276,0)</f>
        <v>0</v>
      </c>
      <c r="AA276" s="56">
        <f>IF(AP276="1",BG276,0)</f>
        <v>0</v>
      </c>
      <c r="AB276" s="56">
        <f>IF(AP276="1",BH276,0)</f>
        <v>0</v>
      </c>
      <c r="AC276" s="56">
        <f>IF(AP276="7",BG276,0)</f>
        <v>0</v>
      </c>
      <c r="AD276" s="56">
        <f>IF(AP276="7",BH276,0)</f>
        <v>0</v>
      </c>
      <c r="AE276" s="56">
        <f>IF(AP276="2",BG276,0)</f>
        <v>0</v>
      </c>
      <c r="AF276" s="56">
        <f>IF(AP276="2",BH276,0)</f>
        <v>0</v>
      </c>
      <c r="AG276" s="56">
        <f>IF(AP276="0",BI276,0)</f>
        <v>0</v>
      </c>
      <c r="AH276" s="30" t="s">
        <v>847</v>
      </c>
      <c r="AI276" s="56">
        <f>IF(AM276=0,I276,0)</f>
        <v>0</v>
      </c>
      <c r="AJ276" s="56">
        <f>IF(AM276=15,I276,0)</f>
        <v>0</v>
      </c>
      <c r="AK276" s="56">
        <f>IF(AM276=21,I276,0)</f>
        <v>0</v>
      </c>
      <c r="AM276" s="56">
        <v>21</v>
      </c>
      <c r="AN276" s="56">
        <f>H276*0.732285440613027</f>
        <v>0</v>
      </c>
      <c r="AO276" s="56">
        <f>H276*(1-0.732285440613027)</f>
        <v>0</v>
      </c>
      <c r="AP276" s="41" t="s">
        <v>1109</v>
      </c>
      <c r="AU276" s="56">
        <f>AV276+AW276</f>
        <v>0</v>
      </c>
      <c r="AV276" s="56">
        <f>G276*AN276</f>
        <v>0</v>
      </c>
      <c r="AW276" s="56">
        <f>G276*AO276</f>
        <v>0</v>
      </c>
      <c r="AX276" s="41" t="s">
        <v>95</v>
      </c>
      <c r="AY276" s="41" t="s">
        <v>246</v>
      </c>
      <c r="AZ276" s="30" t="s">
        <v>1000</v>
      </c>
      <c r="BB276" s="56">
        <f>AV276+AW276</f>
        <v>0</v>
      </c>
      <c r="BC276" s="56">
        <f>H276/(100-BD276)*100</f>
        <v>0</v>
      </c>
      <c r="BD276" s="56">
        <v>0</v>
      </c>
      <c r="BE276" s="56" t="e">
        <f>#REF!</f>
        <v>#REF!</v>
      </c>
      <c r="BG276" s="56">
        <f>G276*AN276</f>
        <v>0</v>
      </c>
      <c r="BH276" s="56">
        <f>G276*AO276</f>
        <v>0</v>
      </c>
      <c r="BI276" s="56">
        <f>G276*H276</f>
        <v>0</v>
      </c>
      <c r="BJ276" s="56"/>
      <c r="BK276" s="56">
        <v>89</v>
      </c>
      <c r="BV276" s="56">
        <v>21</v>
      </c>
    </row>
    <row r="277" spans="1:74" ht="13.5" customHeight="1" x14ac:dyDescent="0.25">
      <c r="A277" s="53"/>
      <c r="C277" s="66" t="s">
        <v>578</v>
      </c>
      <c r="D277" s="137" t="s">
        <v>346</v>
      </c>
      <c r="E277" s="138"/>
      <c r="F277" s="138"/>
      <c r="G277" s="138"/>
      <c r="H277" s="138"/>
      <c r="I277" s="138"/>
      <c r="J277" s="139"/>
    </row>
    <row r="278" spans="1:74" ht="15" customHeight="1" x14ac:dyDescent="0.25">
      <c r="A278" s="53"/>
      <c r="D278" s="52" t="s">
        <v>766</v>
      </c>
      <c r="E278" s="37" t="s">
        <v>84</v>
      </c>
      <c r="G278" s="21">
        <v>2</v>
      </c>
      <c r="J278" s="48"/>
    </row>
    <row r="279" spans="1:74" ht="15" customHeight="1" x14ac:dyDescent="0.25">
      <c r="A279" s="27" t="s">
        <v>769</v>
      </c>
      <c r="B279" s="28" t="s">
        <v>847</v>
      </c>
      <c r="C279" s="28" t="s">
        <v>762</v>
      </c>
      <c r="D279" s="132" t="s">
        <v>745</v>
      </c>
      <c r="E279" s="133"/>
      <c r="F279" s="23" t="s">
        <v>1027</v>
      </c>
      <c r="G279" s="23" t="s">
        <v>1027</v>
      </c>
      <c r="H279" s="23" t="s">
        <v>1027</v>
      </c>
      <c r="I279" s="14">
        <f>SUM(I280:I286)</f>
        <v>0</v>
      </c>
      <c r="J279" s="44" t="s">
        <v>769</v>
      </c>
      <c r="AH279" s="30" t="s">
        <v>847</v>
      </c>
      <c r="AR279" s="14">
        <f>SUM(AI280:AI286)</f>
        <v>0</v>
      </c>
      <c r="AS279" s="14">
        <f>SUM(AJ280:AJ286)</f>
        <v>0</v>
      </c>
      <c r="AT279" s="14">
        <f>SUM(AK280:AK286)</f>
        <v>0</v>
      </c>
    </row>
    <row r="280" spans="1:74" ht="13.5" customHeight="1" x14ac:dyDescent="0.25">
      <c r="A280" s="10" t="s">
        <v>1045</v>
      </c>
      <c r="B280" s="9" t="s">
        <v>847</v>
      </c>
      <c r="C280" s="9" t="s">
        <v>995</v>
      </c>
      <c r="D280" s="76" t="s">
        <v>813</v>
      </c>
      <c r="E280" s="77"/>
      <c r="F280" s="9" t="s">
        <v>275</v>
      </c>
      <c r="G280" s="56">
        <v>19</v>
      </c>
      <c r="H280" s="56">
        <v>0</v>
      </c>
      <c r="I280" s="56">
        <f>G280*H280</f>
        <v>0</v>
      </c>
      <c r="J280" s="54" t="s">
        <v>501</v>
      </c>
      <c r="Y280" s="56">
        <f>IF(AP280="5",BI280,0)</f>
        <v>0</v>
      </c>
      <c r="AA280" s="56">
        <f>IF(AP280="1",BG280,0)</f>
        <v>0</v>
      </c>
      <c r="AB280" s="56">
        <f>IF(AP280="1",BH280,0)</f>
        <v>0</v>
      </c>
      <c r="AC280" s="56">
        <f>IF(AP280="7",BG280,0)</f>
        <v>0</v>
      </c>
      <c r="AD280" s="56">
        <f>IF(AP280="7",BH280,0)</f>
        <v>0</v>
      </c>
      <c r="AE280" s="56">
        <f>IF(AP280="2",BG280,0)</f>
        <v>0</v>
      </c>
      <c r="AF280" s="56">
        <f>IF(AP280="2",BH280,0)</f>
        <v>0</v>
      </c>
      <c r="AG280" s="56">
        <f>IF(AP280="0",BI280,0)</f>
        <v>0</v>
      </c>
      <c r="AH280" s="30" t="s">
        <v>847</v>
      </c>
      <c r="AI280" s="56">
        <f>IF(AM280=0,I280,0)</f>
        <v>0</v>
      </c>
      <c r="AJ280" s="56">
        <f>IF(AM280=15,I280,0)</f>
        <v>0</v>
      </c>
      <c r="AK280" s="56">
        <f>IF(AM280=21,I280,0)</f>
        <v>0</v>
      </c>
      <c r="AM280" s="56">
        <v>21</v>
      </c>
      <c r="AN280" s="56">
        <f>H280*0</f>
        <v>0</v>
      </c>
      <c r="AO280" s="56">
        <f>H280*(1-0)</f>
        <v>0</v>
      </c>
      <c r="AP280" s="41" t="s">
        <v>1109</v>
      </c>
      <c r="AU280" s="56">
        <f>AV280+AW280</f>
        <v>0</v>
      </c>
      <c r="AV280" s="56">
        <f>G280*AN280</f>
        <v>0</v>
      </c>
      <c r="AW280" s="56">
        <f>G280*AO280</f>
        <v>0</v>
      </c>
      <c r="AX280" s="41" t="s">
        <v>586</v>
      </c>
      <c r="AY280" s="41" t="s">
        <v>246</v>
      </c>
      <c r="AZ280" s="30" t="s">
        <v>1000</v>
      </c>
      <c r="BB280" s="56">
        <f>AV280+AW280</f>
        <v>0</v>
      </c>
      <c r="BC280" s="56">
        <f>H280/(100-BD280)*100</f>
        <v>0</v>
      </c>
      <c r="BD280" s="56">
        <v>0</v>
      </c>
      <c r="BE280" s="56" t="e">
        <f>#REF!</f>
        <v>#REF!</v>
      </c>
      <c r="BG280" s="56">
        <f>G280*AN280</f>
        <v>0</v>
      </c>
      <c r="BH280" s="56">
        <f>G280*AO280</f>
        <v>0</v>
      </c>
      <c r="BI280" s="56">
        <f>G280*H280</f>
        <v>0</v>
      </c>
      <c r="BJ280" s="56"/>
      <c r="BK280" s="56"/>
      <c r="BV280" s="56">
        <v>21</v>
      </c>
    </row>
    <row r="281" spans="1:74" ht="15" customHeight="1" x14ac:dyDescent="0.25">
      <c r="A281" s="53"/>
      <c r="D281" s="52" t="s">
        <v>706</v>
      </c>
      <c r="E281" s="37" t="s">
        <v>198</v>
      </c>
      <c r="G281" s="21">
        <v>19</v>
      </c>
      <c r="J281" s="48"/>
    </row>
    <row r="282" spans="1:74" ht="13.5" customHeight="1" x14ac:dyDescent="0.25">
      <c r="A282" s="10" t="s">
        <v>807</v>
      </c>
      <c r="B282" s="9" t="s">
        <v>847</v>
      </c>
      <c r="C282" s="9" t="s">
        <v>990</v>
      </c>
      <c r="D282" s="76" t="s">
        <v>992</v>
      </c>
      <c r="E282" s="77"/>
      <c r="F282" s="9" t="s">
        <v>275</v>
      </c>
      <c r="G282" s="56">
        <v>8</v>
      </c>
      <c r="H282" s="56">
        <v>0</v>
      </c>
      <c r="I282" s="56">
        <f>G282*H282</f>
        <v>0</v>
      </c>
      <c r="J282" s="54" t="s">
        <v>501</v>
      </c>
      <c r="Y282" s="56">
        <f>IF(AP282="5",BI282,0)</f>
        <v>0</v>
      </c>
      <c r="AA282" s="56">
        <f>IF(AP282="1",BG282,0)</f>
        <v>0</v>
      </c>
      <c r="AB282" s="56">
        <f>IF(AP282="1",BH282,0)</f>
        <v>0</v>
      </c>
      <c r="AC282" s="56">
        <f>IF(AP282="7",BG282,0)</f>
        <v>0</v>
      </c>
      <c r="AD282" s="56">
        <f>IF(AP282="7",BH282,0)</f>
        <v>0</v>
      </c>
      <c r="AE282" s="56">
        <f>IF(AP282="2",BG282,0)</f>
        <v>0</v>
      </c>
      <c r="AF282" s="56">
        <f>IF(AP282="2",BH282,0)</f>
        <v>0</v>
      </c>
      <c r="AG282" s="56">
        <f>IF(AP282="0",BI282,0)</f>
        <v>0</v>
      </c>
      <c r="AH282" s="30" t="s">
        <v>847</v>
      </c>
      <c r="AI282" s="56">
        <f>IF(AM282=0,I282,0)</f>
        <v>0</v>
      </c>
      <c r="AJ282" s="56">
        <f>IF(AM282=15,I282,0)</f>
        <v>0</v>
      </c>
      <c r="AK282" s="56">
        <f>IF(AM282=21,I282,0)</f>
        <v>0</v>
      </c>
      <c r="AM282" s="56">
        <v>21</v>
      </c>
      <c r="AN282" s="56">
        <f>H282*0</f>
        <v>0</v>
      </c>
      <c r="AO282" s="56">
        <f>H282*(1-0)</f>
        <v>0</v>
      </c>
      <c r="AP282" s="41" t="s">
        <v>1109</v>
      </c>
      <c r="AU282" s="56">
        <f>AV282+AW282</f>
        <v>0</v>
      </c>
      <c r="AV282" s="56">
        <f>G282*AN282</f>
        <v>0</v>
      </c>
      <c r="AW282" s="56">
        <f>G282*AO282</f>
        <v>0</v>
      </c>
      <c r="AX282" s="41" t="s">
        <v>586</v>
      </c>
      <c r="AY282" s="41" t="s">
        <v>246</v>
      </c>
      <c r="AZ282" s="30" t="s">
        <v>1000</v>
      </c>
      <c r="BB282" s="56">
        <f>AV282+AW282</f>
        <v>0</v>
      </c>
      <c r="BC282" s="56">
        <f>H282/(100-BD282)*100</f>
        <v>0</v>
      </c>
      <c r="BD282" s="56">
        <v>0</v>
      </c>
      <c r="BE282" s="56" t="e">
        <f>#REF!</f>
        <v>#REF!</v>
      </c>
      <c r="BG282" s="56">
        <f>G282*AN282</f>
        <v>0</v>
      </c>
      <c r="BH282" s="56">
        <f>G282*AO282</f>
        <v>0</v>
      </c>
      <c r="BI282" s="56">
        <f>G282*H282</f>
        <v>0</v>
      </c>
      <c r="BJ282" s="56"/>
      <c r="BK282" s="56"/>
      <c r="BV282" s="56">
        <v>21</v>
      </c>
    </row>
    <row r="283" spans="1:74" ht="15" customHeight="1" x14ac:dyDescent="0.25">
      <c r="A283" s="53"/>
      <c r="D283" s="52" t="s">
        <v>874</v>
      </c>
      <c r="E283" s="37" t="s">
        <v>362</v>
      </c>
      <c r="G283" s="21">
        <v>8</v>
      </c>
      <c r="J283" s="48"/>
    </row>
    <row r="284" spans="1:74" ht="13.5" customHeight="1" x14ac:dyDescent="0.25">
      <c r="A284" s="10" t="s">
        <v>540</v>
      </c>
      <c r="B284" s="9" t="s">
        <v>847</v>
      </c>
      <c r="C284" s="9" t="s">
        <v>1210</v>
      </c>
      <c r="D284" s="76" t="s">
        <v>941</v>
      </c>
      <c r="E284" s="77"/>
      <c r="F284" s="9" t="s">
        <v>275</v>
      </c>
      <c r="G284" s="56">
        <v>2</v>
      </c>
      <c r="H284" s="56">
        <v>0</v>
      </c>
      <c r="I284" s="56">
        <f>G284*H284</f>
        <v>0</v>
      </c>
      <c r="J284" s="54" t="s">
        <v>501</v>
      </c>
      <c r="Y284" s="56">
        <f>IF(AP284="5",BI284,0)</f>
        <v>0</v>
      </c>
      <c r="AA284" s="56">
        <f>IF(AP284="1",BG284,0)</f>
        <v>0</v>
      </c>
      <c r="AB284" s="56">
        <f>IF(AP284="1",BH284,0)</f>
        <v>0</v>
      </c>
      <c r="AC284" s="56">
        <f>IF(AP284="7",BG284,0)</f>
        <v>0</v>
      </c>
      <c r="AD284" s="56">
        <f>IF(AP284="7",BH284,0)</f>
        <v>0</v>
      </c>
      <c r="AE284" s="56">
        <f>IF(AP284="2",BG284,0)</f>
        <v>0</v>
      </c>
      <c r="AF284" s="56">
        <f>IF(AP284="2",BH284,0)</f>
        <v>0</v>
      </c>
      <c r="AG284" s="56">
        <f>IF(AP284="0",BI284,0)</f>
        <v>0</v>
      </c>
      <c r="AH284" s="30" t="s">
        <v>847</v>
      </c>
      <c r="AI284" s="56">
        <f>IF(AM284=0,I284,0)</f>
        <v>0</v>
      </c>
      <c r="AJ284" s="56">
        <f>IF(AM284=15,I284,0)</f>
        <v>0</v>
      </c>
      <c r="AK284" s="56">
        <f>IF(AM284=21,I284,0)</f>
        <v>0</v>
      </c>
      <c r="AM284" s="56">
        <v>21</v>
      </c>
      <c r="AN284" s="56">
        <f>H284*0</f>
        <v>0</v>
      </c>
      <c r="AO284" s="56">
        <f>H284*(1-0)</f>
        <v>0</v>
      </c>
      <c r="AP284" s="41" t="s">
        <v>1109</v>
      </c>
      <c r="AU284" s="56">
        <f>AV284+AW284</f>
        <v>0</v>
      </c>
      <c r="AV284" s="56">
        <f>G284*AN284</f>
        <v>0</v>
      </c>
      <c r="AW284" s="56">
        <f>G284*AO284</f>
        <v>0</v>
      </c>
      <c r="AX284" s="41" t="s">
        <v>586</v>
      </c>
      <c r="AY284" s="41" t="s">
        <v>246</v>
      </c>
      <c r="AZ284" s="30" t="s">
        <v>1000</v>
      </c>
      <c r="BB284" s="56">
        <f>AV284+AW284</f>
        <v>0</v>
      </c>
      <c r="BC284" s="56">
        <f>H284/(100-BD284)*100</f>
        <v>0</v>
      </c>
      <c r="BD284" s="56">
        <v>0</v>
      </c>
      <c r="BE284" s="56" t="e">
        <f>#REF!</f>
        <v>#REF!</v>
      </c>
      <c r="BG284" s="56">
        <f>G284*AN284</f>
        <v>0</v>
      </c>
      <c r="BH284" s="56">
        <f>G284*AO284</f>
        <v>0</v>
      </c>
      <c r="BI284" s="56">
        <f>G284*H284</f>
        <v>0</v>
      </c>
      <c r="BJ284" s="56"/>
      <c r="BK284" s="56"/>
      <c r="BV284" s="56">
        <v>21</v>
      </c>
    </row>
    <row r="285" spans="1:74" ht="15" customHeight="1" x14ac:dyDescent="0.25">
      <c r="A285" s="53"/>
      <c r="D285" s="52" t="s">
        <v>766</v>
      </c>
      <c r="E285" s="37" t="s">
        <v>1099</v>
      </c>
      <c r="G285" s="21">
        <v>2</v>
      </c>
      <c r="J285" s="48"/>
    </row>
    <row r="286" spans="1:74" ht="13.5" customHeight="1" x14ac:dyDescent="0.25">
      <c r="A286" s="10" t="s">
        <v>805</v>
      </c>
      <c r="B286" s="9" t="s">
        <v>847</v>
      </c>
      <c r="C286" s="9" t="s">
        <v>971</v>
      </c>
      <c r="D286" s="76" t="s">
        <v>125</v>
      </c>
      <c r="E286" s="77"/>
      <c r="F286" s="9" t="s">
        <v>778</v>
      </c>
      <c r="G286" s="56">
        <v>10</v>
      </c>
      <c r="H286" s="56">
        <v>0</v>
      </c>
      <c r="I286" s="56">
        <f>G286*H286</f>
        <v>0</v>
      </c>
      <c r="J286" s="54" t="s">
        <v>501</v>
      </c>
      <c r="Y286" s="56">
        <f>IF(AP286="5",BI286,0)</f>
        <v>0</v>
      </c>
      <c r="AA286" s="56">
        <f>IF(AP286="1",BG286,0)</f>
        <v>0</v>
      </c>
      <c r="AB286" s="56">
        <f>IF(AP286="1",BH286,0)</f>
        <v>0</v>
      </c>
      <c r="AC286" s="56">
        <f>IF(AP286="7",BG286,0)</f>
        <v>0</v>
      </c>
      <c r="AD286" s="56">
        <f>IF(AP286="7",BH286,0)</f>
        <v>0</v>
      </c>
      <c r="AE286" s="56">
        <f>IF(AP286="2",BG286,0)</f>
        <v>0</v>
      </c>
      <c r="AF286" s="56">
        <f>IF(AP286="2",BH286,0)</f>
        <v>0</v>
      </c>
      <c r="AG286" s="56">
        <f>IF(AP286="0",BI286,0)</f>
        <v>0</v>
      </c>
      <c r="AH286" s="30" t="s">
        <v>847</v>
      </c>
      <c r="AI286" s="56">
        <f>IF(AM286=0,I286,0)</f>
        <v>0</v>
      </c>
      <c r="AJ286" s="56">
        <f>IF(AM286=15,I286,0)</f>
        <v>0</v>
      </c>
      <c r="AK286" s="56">
        <f>IF(AM286=21,I286,0)</f>
        <v>0</v>
      </c>
      <c r="AM286" s="56">
        <v>21</v>
      </c>
      <c r="AN286" s="56">
        <f>H286*0</f>
        <v>0</v>
      </c>
      <c r="AO286" s="56">
        <f>H286*(1-0)</f>
        <v>0</v>
      </c>
      <c r="AP286" s="41" t="s">
        <v>1109</v>
      </c>
      <c r="AU286" s="56">
        <f>AV286+AW286</f>
        <v>0</v>
      </c>
      <c r="AV286" s="56">
        <f>G286*AN286</f>
        <v>0</v>
      </c>
      <c r="AW286" s="56">
        <f>G286*AO286</f>
        <v>0</v>
      </c>
      <c r="AX286" s="41" t="s">
        <v>586</v>
      </c>
      <c r="AY286" s="41" t="s">
        <v>246</v>
      </c>
      <c r="AZ286" s="30" t="s">
        <v>1000</v>
      </c>
      <c r="BB286" s="56">
        <f>AV286+AW286</f>
        <v>0</v>
      </c>
      <c r="BC286" s="56">
        <f>H286/(100-BD286)*100</f>
        <v>0</v>
      </c>
      <c r="BD286" s="56">
        <v>0</v>
      </c>
      <c r="BE286" s="56" t="e">
        <f>#REF!</f>
        <v>#REF!</v>
      </c>
      <c r="BG286" s="56">
        <f>G286*AN286</f>
        <v>0</v>
      </c>
      <c r="BH286" s="56">
        <f>G286*AO286</f>
        <v>0</v>
      </c>
      <c r="BI286" s="56">
        <f>G286*H286</f>
        <v>0</v>
      </c>
      <c r="BJ286" s="56"/>
      <c r="BK286" s="56"/>
      <c r="BV286" s="56">
        <v>21</v>
      </c>
    </row>
    <row r="287" spans="1:74" ht="15" customHeight="1" x14ac:dyDescent="0.25">
      <c r="A287" s="53"/>
      <c r="D287" s="52" t="s">
        <v>874</v>
      </c>
      <c r="E287" s="37" t="s">
        <v>482</v>
      </c>
      <c r="G287" s="21">
        <v>8</v>
      </c>
      <c r="J287" s="48"/>
    </row>
    <row r="288" spans="1:74" ht="15" customHeight="1" x14ac:dyDescent="0.25">
      <c r="A288" s="53"/>
      <c r="D288" s="52" t="s">
        <v>766</v>
      </c>
      <c r="E288" s="37" t="s">
        <v>190</v>
      </c>
      <c r="G288" s="21">
        <v>2</v>
      </c>
      <c r="J288" s="48"/>
    </row>
    <row r="289" spans="1:74" ht="15" customHeight="1" x14ac:dyDescent="0.25">
      <c r="A289" s="27" t="s">
        <v>769</v>
      </c>
      <c r="B289" s="28" t="s">
        <v>847</v>
      </c>
      <c r="C289" s="28" t="s">
        <v>785</v>
      </c>
      <c r="D289" s="132" t="s">
        <v>877</v>
      </c>
      <c r="E289" s="133"/>
      <c r="F289" s="23" t="s">
        <v>1027</v>
      </c>
      <c r="G289" s="23" t="s">
        <v>1027</v>
      </c>
      <c r="H289" s="23" t="s">
        <v>1027</v>
      </c>
      <c r="I289" s="14">
        <f>SUM(I290:I290)</f>
        <v>0</v>
      </c>
      <c r="J289" s="44" t="s">
        <v>769</v>
      </c>
      <c r="AH289" s="30" t="s">
        <v>847</v>
      </c>
      <c r="AR289" s="14">
        <f>SUM(AI290:AI290)</f>
        <v>0</v>
      </c>
      <c r="AS289" s="14">
        <f>SUM(AJ290:AJ290)</f>
        <v>0</v>
      </c>
      <c r="AT289" s="14">
        <f>SUM(AK290:AK290)</f>
        <v>0</v>
      </c>
    </row>
    <row r="290" spans="1:74" ht="13.5" customHeight="1" x14ac:dyDescent="0.25">
      <c r="A290" s="10" t="s">
        <v>365</v>
      </c>
      <c r="B290" s="9" t="s">
        <v>847</v>
      </c>
      <c r="C290" s="9" t="s">
        <v>121</v>
      </c>
      <c r="D290" s="76" t="s">
        <v>664</v>
      </c>
      <c r="E290" s="77"/>
      <c r="F290" s="9" t="s">
        <v>909</v>
      </c>
      <c r="G290" s="56">
        <v>440</v>
      </c>
      <c r="H290" s="56">
        <v>0</v>
      </c>
      <c r="I290" s="56">
        <f>G290*H290</f>
        <v>0</v>
      </c>
      <c r="J290" s="54" t="s">
        <v>501</v>
      </c>
      <c r="Y290" s="56">
        <f>IF(AP290="5",BI290,0)</f>
        <v>0</v>
      </c>
      <c r="AA290" s="56">
        <f>IF(AP290="1",BG290,0)</f>
        <v>0</v>
      </c>
      <c r="AB290" s="56">
        <f>IF(AP290="1",BH290,0)</f>
        <v>0</v>
      </c>
      <c r="AC290" s="56">
        <f>IF(AP290="7",BG290,0)</f>
        <v>0</v>
      </c>
      <c r="AD290" s="56">
        <f>IF(AP290="7",BH290,0)</f>
        <v>0</v>
      </c>
      <c r="AE290" s="56">
        <f>IF(AP290="2",BG290,0)</f>
        <v>0</v>
      </c>
      <c r="AF290" s="56">
        <f>IF(AP290="2",BH290,0)</f>
        <v>0</v>
      </c>
      <c r="AG290" s="56">
        <f>IF(AP290="0",BI290,0)</f>
        <v>0</v>
      </c>
      <c r="AH290" s="30" t="s">
        <v>847</v>
      </c>
      <c r="AI290" s="56">
        <f>IF(AM290=0,I290,0)</f>
        <v>0</v>
      </c>
      <c r="AJ290" s="56">
        <f>IF(AM290=15,I290,0)</f>
        <v>0</v>
      </c>
      <c r="AK290" s="56">
        <f>IF(AM290=21,I290,0)</f>
        <v>0</v>
      </c>
      <c r="AM290" s="56">
        <v>21</v>
      </c>
      <c r="AN290" s="56">
        <f>H290*0</f>
        <v>0</v>
      </c>
      <c r="AO290" s="56">
        <f>H290*(1-0)</f>
        <v>0</v>
      </c>
      <c r="AP290" s="41" t="s">
        <v>1109</v>
      </c>
      <c r="AU290" s="56">
        <f>AV290+AW290</f>
        <v>0</v>
      </c>
      <c r="AV290" s="56">
        <f>G290*AN290</f>
        <v>0</v>
      </c>
      <c r="AW290" s="56">
        <f>G290*AO290</f>
        <v>0</v>
      </c>
      <c r="AX290" s="41" t="s">
        <v>1038</v>
      </c>
      <c r="AY290" s="41" t="s">
        <v>246</v>
      </c>
      <c r="AZ290" s="30" t="s">
        <v>1000</v>
      </c>
      <c r="BB290" s="56">
        <f>AV290+AW290</f>
        <v>0</v>
      </c>
      <c r="BC290" s="56">
        <f>H290/(100-BD290)*100</f>
        <v>0</v>
      </c>
      <c r="BD290" s="56">
        <v>0</v>
      </c>
      <c r="BE290" s="56" t="e">
        <f>#REF!</f>
        <v>#REF!</v>
      </c>
      <c r="BG290" s="56">
        <f>G290*AN290</f>
        <v>0</v>
      </c>
      <c r="BH290" s="56">
        <f>G290*AO290</f>
        <v>0</v>
      </c>
      <c r="BI290" s="56">
        <f>G290*H290</f>
        <v>0</v>
      </c>
      <c r="BJ290" s="56"/>
      <c r="BK290" s="56"/>
      <c r="BV290" s="56">
        <v>21</v>
      </c>
    </row>
    <row r="291" spans="1:74" ht="15" customHeight="1" x14ac:dyDescent="0.25">
      <c r="A291" s="53"/>
      <c r="D291" s="52" t="s">
        <v>14</v>
      </c>
      <c r="E291" s="37" t="s">
        <v>769</v>
      </c>
      <c r="G291" s="21">
        <v>440.00000000000006</v>
      </c>
      <c r="J291" s="48"/>
    </row>
    <row r="292" spans="1:74" ht="15" customHeight="1" x14ac:dyDescent="0.25">
      <c r="A292" s="27" t="s">
        <v>769</v>
      </c>
      <c r="B292" s="28" t="s">
        <v>847</v>
      </c>
      <c r="C292" s="28" t="s">
        <v>54</v>
      </c>
      <c r="D292" s="132" t="s">
        <v>403</v>
      </c>
      <c r="E292" s="133"/>
      <c r="F292" s="23" t="s">
        <v>1027</v>
      </c>
      <c r="G292" s="23" t="s">
        <v>1027</v>
      </c>
      <c r="H292" s="23" t="s">
        <v>1027</v>
      </c>
      <c r="I292" s="14">
        <f>SUM(I293:I298)</f>
        <v>0</v>
      </c>
      <c r="J292" s="44" t="s">
        <v>769</v>
      </c>
      <c r="AH292" s="30" t="s">
        <v>847</v>
      </c>
      <c r="AR292" s="14">
        <f>SUM(AI293:AI298)</f>
        <v>0</v>
      </c>
      <c r="AS292" s="14">
        <f>SUM(AJ293:AJ298)</f>
        <v>0</v>
      </c>
      <c r="AT292" s="14">
        <f>SUM(AK293:AK298)</f>
        <v>0</v>
      </c>
    </row>
    <row r="293" spans="1:74" ht="13.5" customHeight="1" x14ac:dyDescent="0.25">
      <c r="A293" s="10" t="s">
        <v>508</v>
      </c>
      <c r="B293" s="9" t="s">
        <v>847</v>
      </c>
      <c r="C293" s="9" t="s">
        <v>849</v>
      </c>
      <c r="D293" s="76" t="s">
        <v>674</v>
      </c>
      <c r="E293" s="77"/>
      <c r="F293" s="9" t="s">
        <v>909</v>
      </c>
      <c r="G293" s="56">
        <v>420</v>
      </c>
      <c r="H293" s="56">
        <v>0</v>
      </c>
      <c r="I293" s="56">
        <f>G293*H293</f>
        <v>0</v>
      </c>
      <c r="J293" s="54" t="s">
        <v>501</v>
      </c>
      <c r="Y293" s="56">
        <f>IF(AP293="5",BI293,0)</f>
        <v>0</v>
      </c>
      <c r="AA293" s="56">
        <f>IF(AP293="1",BG293,0)</f>
        <v>0</v>
      </c>
      <c r="AB293" s="56">
        <f>IF(AP293="1",BH293,0)</f>
        <v>0</v>
      </c>
      <c r="AC293" s="56">
        <f>IF(AP293="7",BG293,0)</f>
        <v>0</v>
      </c>
      <c r="AD293" s="56">
        <f>IF(AP293="7",BH293,0)</f>
        <v>0</v>
      </c>
      <c r="AE293" s="56">
        <f>IF(AP293="2",BG293,0)</f>
        <v>0</v>
      </c>
      <c r="AF293" s="56">
        <f>IF(AP293="2",BH293,0)</f>
        <v>0</v>
      </c>
      <c r="AG293" s="56">
        <f>IF(AP293="0",BI293,0)</f>
        <v>0</v>
      </c>
      <c r="AH293" s="30" t="s">
        <v>847</v>
      </c>
      <c r="AI293" s="56">
        <f>IF(AM293=0,I293,0)</f>
        <v>0</v>
      </c>
      <c r="AJ293" s="56">
        <f>IF(AM293=15,I293,0)</f>
        <v>0</v>
      </c>
      <c r="AK293" s="56">
        <f>IF(AM293=21,I293,0)</f>
        <v>0</v>
      </c>
      <c r="AM293" s="56">
        <v>21</v>
      </c>
      <c r="AN293" s="56">
        <f>H293*0.579044117647059</f>
        <v>0</v>
      </c>
      <c r="AO293" s="56">
        <f>H293*(1-0.579044117647059)</f>
        <v>0</v>
      </c>
      <c r="AP293" s="41" t="s">
        <v>1109</v>
      </c>
      <c r="AU293" s="56">
        <f>AV293+AW293</f>
        <v>0</v>
      </c>
      <c r="AV293" s="56">
        <f>G293*AN293</f>
        <v>0</v>
      </c>
      <c r="AW293" s="56">
        <f>G293*AO293</f>
        <v>0</v>
      </c>
      <c r="AX293" s="41" t="s">
        <v>1085</v>
      </c>
      <c r="AY293" s="41" t="s">
        <v>1194</v>
      </c>
      <c r="AZ293" s="30" t="s">
        <v>1000</v>
      </c>
      <c r="BB293" s="56">
        <f>AV293+AW293</f>
        <v>0</v>
      </c>
      <c r="BC293" s="56">
        <f>H293/(100-BD293)*100</f>
        <v>0</v>
      </c>
      <c r="BD293" s="56">
        <v>0</v>
      </c>
      <c r="BE293" s="56" t="e">
        <f>#REF!</f>
        <v>#REF!</v>
      </c>
      <c r="BG293" s="56">
        <f>G293*AN293</f>
        <v>0</v>
      </c>
      <c r="BH293" s="56">
        <f>G293*AO293</f>
        <v>0</v>
      </c>
      <c r="BI293" s="56">
        <f>G293*H293</f>
        <v>0</v>
      </c>
      <c r="BJ293" s="56"/>
      <c r="BK293" s="56">
        <v>91</v>
      </c>
      <c r="BV293" s="56">
        <v>21</v>
      </c>
    </row>
    <row r="294" spans="1:74" ht="13.5" customHeight="1" x14ac:dyDescent="0.25">
      <c r="A294" s="10" t="s">
        <v>323</v>
      </c>
      <c r="B294" s="9" t="s">
        <v>847</v>
      </c>
      <c r="C294" s="9" t="s">
        <v>1025</v>
      </c>
      <c r="D294" s="76" t="s">
        <v>1252</v>
      </c>
      <c r="E294" s="77"/>
      <c r="F294" s="9" t="s">
        <v>909</v>
      </c>
      <c r="G294" s="56">
        <v>17</v>
      </c>
      <c r="H294" s="56">
        <v>0</v>
      </c>
      <c r="I294" s="56">
        <f>G294*H294</f>
        <v>0</v>
      </c>
      <c r="J294" s="54" t="s">
        <v>501</v>
      </c>
      <c r="Y294" s="56">
        <f>IF(AP294="5",BI294,0)</f>
        <v>0</v>
      </c>
      <c r="AA294" s="56">
        <f>IF(AP294="1",BG294,0)</f>
        <v>0</v>
      </c>
      <c r="AB294" s="56">
        <f>IF(AP294="1",BH294,0)</f>
        <v>0</v>
      </c>
      <c r="AC294" s="56">
        <f>IF(AP294="7",BG294,0)</f>
        <v>0</v>
      </c>
      <c r="AD294" s="56">
        <f>IF(AP294="7",BH294,0)</f>
        <v>0</v>
      </c>
      <c r="AE294" s="56">
        <f>IF(AP294="2",BG294,0)</f>
        <v>0</v>
      </c>
      <c r="AF294" s="56">
        <f>IF(AP294="2",BH294,0)</f>
        <v>0</v>
      </c>
      <c r="AG294" s="56">
        <f>IF(AP294="0",BI294,0)</f>
        <v>0</v>
      </c>
      <c r="AH294" s="30" t="s">
        <v>847</v>
      </c>
      <c r="AI294" s="56">
        <f>IF(AM294=0,I294,0)</f>
        <v>0</v>
      </c>
      <c r="AJ294" s="56">
        <f>IF(AM294=15,I294,0)</f>
        <v>0</v>
      </c>
      <c r="AK294" s="56">
        <f>IF(AM294=21,I294,0)</f>
        <v>0</v>
      </c>
      <c r="AM294" s="56">
        <v>21</v>
      </c>
      <c r="AN294" s="56">
        <f>H294*0.600980926430518</f>
        <v>0</v>
      </c>
      <c r="AO294" s="56">
        <f>H294*(1-0.600980926430518)</f>
        <v>0</v>
      </c>
      <c r="AP294" s="41" t="s">
        <v>1109</v>
      </c>
      <c r="AU294" s="56">
        <f>AV294+AW294</f>
        <v>0</v>
      </c>
      <c r="AV294" s="56">
        <f>G294*AN294</f>
        <v>0</v>
      </c>
      <c r="AW294" s="56">
        <f>G294*AO294</f>
        <v>0</v>
      </c>
      <c r="AX294" s="41" t="s">
        <v>1085</v>
      </c>
      <c r="AY294" s="41" t="s">
        <v>1194</v>
      </c>
      <c r="AZ294" s="30" t="s">
        <v>1000</v>
      </c>
      <c r="BB294" s="56">
        <f>AV294+AW294</f>
        <v>0</v>
      </c>
      <c r="BC294" s="56">
        <f>H294/(100-BD294)*100</f>
        <v>0</v>
      </c>
      <c r="BD294" s="56">
        <v>0</v>
      </c>
      <c r="BE294" s="56" t="e">
        <f>#REF!</f>
        <v>#REF!</v>
      </c>
      <c r="BG294" s="56">
        <f>G294*AN294</f>
        <v>0</v>
      </c>
      <c r="BH294" s="56">
        <f>G294*AO294</f>
        <v>0</v>
      </c>
      <c r="BI294" s="56">
        <f>G294*H294</f>
        <v>0</v>
      </c>
      <c r="BJ294" s="56"/>
      <c r="BK294" s="56">
        <v>91</v>
      </c>
      <c r="BV294" s="56">
        <v>21</v>
      </c>
    </row>
    <row r="295" spans="1:74" ht="13.5" customHeight="1" x14ac:dyDescent="0.25">
      <c r="A295" s="57" t="s">
        <v>298</v>
      </c>
      <c r="B295" s="50" t="s">
        <v>847</v>
      </c>
      <c r="C295" s="50" t="s">
        <v>1133</v>
      </c>
      <c r="D295" s="135" t="s">
        <v>1086</v>
      </c>
      <c r="E295" s="136"/>
      <c r="F295" s="50" t="s">
        <v>275</v>
      </c>
      <c r="G295" s="31">
        <v>2</v>
      </c>
      <c r="H295" s="31">
        <v>0</v>
      </c>
      <c r="I295" s="31">
        <f>G295*H295</f>
        <v>0</v>
      </c>
      <c r="J295" s="47" t="s">
        <v>501</v>
      </c>
      <c r="Y295" s="56">
        <f>IF(AP295="5",BI295,0)</f>
        <v>0</v>
      </c>
      <c r="AA295" s="56">
        <f>IF(AP295="1",BG295,0)</f>
        <v>0</v>
      </c>
      <c r="AB295" s="56">
        <f>IF(AP295="1",BH295,0)</f>
        <v>0</v>
      </c>
      <c r="AC295" s="56">
        <f>IF(AP295="7",BG295,0)</f>
        <v>0</v>
      </c>
      <c r="AD295" s="56">
        <f>IF(AP295="7",BH295,0)</f>
        <v>0</v>
      </c>
      <c r="AE295" s="56">
        <f>IF(AP295="2",BG295,0)</f>
        <v>0</v>
      </c>
      <c r="AF295" s="56">
        <f>IF(AP295="2",BH295,0)</f>
        <v>0</v>
      </c>
      <c r="AG295" s="56">
        <f>IF(AP295="0",BI295,0)</f>
        <v>0</v>
      </c>
      <c r="AH295" s="30" t="s">
        <v>847</v>
      </c>
      <c r="AI295" s="31">
        <f>IF(AM295=0,I295,0)</f>
        <v>0</v>
      </c>
      <c r="AJ295" s="31">
        <f>IF(AM295=15,I295,0)</f>
        <v>0</v>
      </c>
      <c r="AK295" s="31">
        <f>IF(AM295=21,I295,0)</f>
        <v>0</v>
      </c>
      <c r="AM295" s="56">
        <v>21</v>
      </c>
      <c r="AN295" s="56">
        <f>H295*1</f>
        <v>0</v>
      </c>
      <c r="AO295" s="56">
        <f>H295*(1-1)</f>
        <v>0</v>
      </c>
      <c r="AP295" s="58" t="s">
        <v>1109</v>
      </c>
      <c r="AU295" s="56">
        <f>AV295+AW295</f>
        <v>0</v>
      </c>
      <c r="AV295" s="56">
        <f>G295*AN295</f>
        <v>0</v>
      </c>
      <c r="AW295" s="56">
        <f>G295*AO295</f>
        <v>0</v>
      </c>
      <c r="AX295" s="41" t="s">
        <v>1085</v>
      </c>
      <c r="AY295" s="41" t="s">
        <v>1194</v>
      </c>
      <c r="AZ295" s="30" t="s">
        <v>1000</v>
      </c>
      <c r="BB295" s="56">
        <f>AV295+AW295</f>
        <v>0</v>
      </c>
      <c r="BC295" s="56">
        <f>H295/(100-BD295)*100</f>
        <v>0</v>
      </c>
      <c r="BD295" s="56">
        <v>0</v>
      </c>
      <c r="BE295" s="56" t="e">
        <f>#REF!</f>
        <v>#REF!</v>
      </c>
      <c r="BG295" s="31">
        <f>G295*AN295</f>
        <v>0</v>
      </c>
      <c r="BH295" s="31">
        <f>G295*AO295</f>
        <v>0</v>
      </c>
      <c r="BI295" s="31">
        <f>G295*H295</f>
        <v>0</v>
      </c>
      <c r="BJ295" s="31"/>
      <c r="BK295" s="56">
        <v>91</v>
      </c>
      <c r="BV295" s="56">
        <v>21</v>
      </c>
    </row>
    <row r="296" spans="1:74" ht="15" customHeight="1" x14ac:dyDescent="0.25">
      <c r="A296" s="53"/>
      <c r="D296" s="52" t="s">
        <v>766</v>
      </c>
      <c r="E296" s="37" t="s">
        <v>412</v>
      </c>
      <c r="G296" s="21">
        <v>2</v>
      </c>
      <c r="J296" s="48"/>
    </row>
    <row r="297" spans="1:74" ht="13.5" customHeight="1" x14ac:dyDescent="0.25">
      <c r="A297" s="10" t="s">
        <v>1130</v>
      </c>
      <c r="B297" s="9" t="s">
        <v>847</v>
      </c>
      <c r="C297" s="9" t="s">
        <v>385</v>
      </c>
      <c r="D297" s="76" t="s">
        <v>79</v>
      </c>
      <c r="E297" s="77"/>
      <c r="F297" s="9" t="s">
        <v>778</v>
      </c>
      <c r="G297" s="56">
        <v>10</v>
      </c>
      <c r="H297" s="56">
        <v>0</v>
      </c>
      <c r="I297" s="56">
        <f>G297*H297</f>
        <v>0</v>
      </c>
      <c r="J297" s="54" t="s">
        <v>769</v>
      </c>
      <c r="Y297" s="56">
        <f>IF(AP297="5",BI297,0)</f>
        <v>0</v>
      </c>
      <c r="AA297" s="56">
        <f>IF(AP297="1",BG297,0)</f>
        <v>0</v>
      </c>
      <c r="AB297" s="56">
        <f>IF(AP297="1",BH297,0)</f>
        <v>0</v>
      </c>
      <c r="AC297" s="56">
        <f>IF(AP297="7",BG297,0)</f>
        <v>0</v>
      </c>
      <c r="AD297" s="56">
        <f>IF(AP297="7",BH297,0)</f>
        <v>0</v>
      </c>
      <c r="AE297" s="56">
        <f>IF(AP297="2",BG297,0)</f>
        <v>0</v>
      </c>
      <c r="AF297" s="56">
        <f>IF(AP297="2",BH297,0)</f>
        <v>0</v>
      </c>
      <c r="AG297" s="56">
        <f>IF(AP297="0",BI297,0)</f>
        <v>0</v>
      </c>
      <c r="AH297" s="30" t="s">
        <v>847</v>
      </c>
      <c r="AI297" s="56">
        <f>IF(AM297=0,I297,0)</f>
        <v>0</v>
      </c>
      <c r="AJ297" s="56">
        <f>IF(AM297=15,I297,0)</f>
        <v>0</v>
      </c>
      <c r="AK297" s="56">
        <f>IF(AM297=21,I297,0)</f>
        <v>0</v>
      </c>
      <c r="AM297" s="56">
        <v>21</v>
      </c>
      <c r="AN297" s="56">
        <f>H297*0</f>
        <v>0</v>
      </c>
      <c r="AO297" s="56">
        <f>H297*(1-0)</f>
        <v>0</v>
      </c>
      <c r="AP297" s="41" t="s">
        <v>1109</v>
      </c>
      <c r="AU297" s="56">
        <f>AV297+AW297</f>
        <v>0</v>
      </c>
      <c r="AV297" s="56">
        <f>G297*AN297</f>
        <v>0</v>
      </c>
      <c r="AW297" s="56">
        <f>G297*AO297</f>
        <v>0</v>
      </c>
      <c r="AX297" s="41" t="s">
        <v>1085</v>
      </c>
      <c r="AY297" s="41" t="s">
        <v>1194</v>
      </c>
      <c r="AZ297" s="30" t="s">
        <v>1000</v>
      </c>
      <c r="BB297" s="56">
        <f>AV297+AW297</f>
        <v>0</v>
      </c>
      <c r="BC297" s="56">
        <f>H297/(100-BD297)*100</f>
        <v>0</v>
      </c>
      <c r="BD297" s="56">
        <v>0</v>
      </c>
      <c r="BE297" s="56" t="e">
        <f>#REF!</f>
        <v>#REF!</v>
      </c>
      <c r="BG297" s="56">
        <f>G297*AN297</f>
        <v>0</v>
      </c>
      <c r="BH297" s="56">
        <f>G297*AO297</f>
        <v>0</v>
      </c>
      <c r="BI297" s="56">
        <f>G297*H297</f>
        <v>0</v>
      </c>
      <c r="BJ297" s="56"/>
      <c r="BK297" s="56">
        <v>91</v>
      </c>
      <c r="BV297" s="56">
        <v>21</v>
      </c>
    </row>
    <row r="298" spans="1:74" ht="27" customHeight="1" x14ac:dyDescent="0.25">
      <c r="A298" s="10" t="s">
        <v>410</v>
      </c>
      <c r="B298" s="9" t="s">
        <v>847</v>
      </c>
      <c r="C298" s="9" t="s">
        <v>1200</v>
      </c>
      <c r="D298" s="76" t="s">
        <v>811</v>
      </c>
      <c r="E298" s="77"/>
      <c r="F298" s="9" t="s">
        <v>909</v>
      </c>
      <c r="G298" s="56">
        <v>340</v>
      </c>
      <c r="H298" s="56">
        <v>0</v>
      </c>
      <c r="I298" s="56">
        <f>G298*H298</f>
        <v>0</v>
      </c>
      <c r="J298" s="54" t="s">
        <v>422</v>
      </c>
      <c r="Y298" s="56">
        <f>IF(AP298="5",BI298,0)</f>
        <v>0</v>
      </c>
      <c r="AA298" s="56">
        <f>IF(AP298="1",BG298,0)</f>
        <v>0</v>
      </c>
      <c r="AB298" s="56">
        <f>IF(AP298="1",BH298,0)</f>
        <v>0</v>
      </c>
      <c r="AC298" s="56">
        <f>IF(AP298="7",BG298,0)</f>
        <v>0</v>
      </c>
      <c r="AD298" s="56">
        <f>IF(AP298="7",BH298,0)</f>
        <v>0</v>
      </c>
      <c r="AE298" s="56">
        <f>IF(AP298="2",BG298,0)</f>
        <v>0</v>
      </c>
      <c r="AF298" s="56">
        <f>IF(AP298="2",BH298,0)</f>
        <v>0</v>
      </c>
      <c r="AG298" s="56">
        <f>IF(AP298="0",BI298,0)</f>
        <v>0</v>
      </c>
      <c r="AH298" s="30" t="s">
        <v>847</v>
      </c>
      <c r="AI298" s="56">
        <f>IF(AM298=0,I298,0)</f>
        <v>0</v>
      </c>
      <c r="AJ298" s="56">
        <f>IF(AM298=15,I298,0)</f>
        <v>0</v>
      </c>
      <c r="AK298" s="56">
        <f>IF(AM298=21,I298,0)</f>
        <v>0</v>
      </c>
      <c r="AM298" s="56">
        <v>21</v>
      </c>
      <c r="AN298" s="56">
        <f>H298*0</f>
        <v>0</v>
      </c>
      <c r="AO298" s="56">
        <f>H298*(1-0)</f>
        <v>0</v>
      </c>
      <c r="AP298" s="41" t="s">
        <v>1109</v>
      </c>
      <c r="AU298" s="56">
        <f>AV298+AW298</f>
        <v>0</v>
      </c>
      <c r="AV298" s="56">
        <f>G298*AN298</f>
        <v>0</v>
      </c>
      <c r="AW298" s="56">
        <f>G298*AO298</f>
        <v>0</v>
      </c>
      <c r="AX298" s="41" t="s">
        <v>1085</v>
      </c>
      <c r="AY298" s="41" t="s">
        <v>1194</v>
      </c>
      <c r="AZ298" s="30" t="s">
        <v>1000</v>
      </c>
      <c r="BB298" s="56">
        <f>AV298+AW298</f>
        <v>0</v>
      </c>
      <c r="BC298" s="56">
        <f>H298/(100-BD298)*100</f>
        <v>0</v>
      </c>
      <c r="BD298" s="56">
        <v>0</v>
      </c>
      <c r="BE298" s="56" t="e">
        <f>#REF!</f>
        <v>#REF!</v>
      </c>
      <c r="BG298" s="56">
        <f>G298*AN298</f>
        <v>0</v>
      </c>
      <c r="BH298" s="56">
        <f>G298*AO298</f>
        <v>0</v>
      </c>
      <c r="BI298" s="56">
        <f>G298*H298</f>
        <v>0</v>
      </c>
      <c r="BJ298" s="56"/>
      <c r="BK298" s="56">
        <v>91</v>
      </c>
      <c r="BV298" s="56">
        <v>21</v>
      </c>
    </row>
    <row r="299" spans="1:74" ht="15" customHeight="1" x14ac:dyDescent="0.25">
      <c r="A299" s="27" t="s">
        <v>769</v>
      </c>
      <c r="B299" s="28" t="s">
        <v>847</v>
      </c>
      <c r="C299" s="28" t="s">
        <v>128</v>
      </c>
      <c r="D299" s="132" t="s">
        <v>1225</v>
      </c>
      <c r="E299" s="133"/>
      <c r="F299" s="23" t="s">
        <v>1027</v>
      </c>
      <c r="G299" s="23" t="s">
        <v>1027</v>
      </c>
      <c r="H299" s="23" t="s">
        <v>1027</v>
      </c>
      <c r="I299" s="14">
        <f>SUM(I300:I313)</f>
        <v>0</v>
      </c>
      <c r="J299" s="44" t="s">
        <v>769</v>
      </c>
      <c r="AH299" s="30" t="s">
        <v>847</v>
      </c>
      <c r="AR299" s="14">
        <f>SUM(AI300:AI313)</f>
        <v>0</v>
      </c>
      <c r="AS299" s="14">
        <f>SUM(AJ300:AJ313)</f>
        <v>0</v>
      </c>
      <c r="AT299" s="14">
        <f>SUM(AK300:AK313)</f>
        <v>0</v>
      </c>
    </row>
    <row r="300" spans="1:74" ht="13.5" customHeight="1" x14ac:dyDescent="0.25">
      <c r="A300" s="10" t="s">
        <v>311</v>
      </c>
      <c r="B300" s="9" t="s">
        <v>847</v>
      </c>
      <c r="C300" s="9" t="s">
        <v>138</v>
      </c>
      <c r="D300" s="76" t="s">
        <v>372</v>
      </c>
      <c r="E300" s="77"/>
      <c r="F300" s="9" t="s">
        <v>1095</v>
      </c>
      <c r="G300" s="56">
        <v>28.5</v>
      </c>
      <c r="H300" s="56">
        <v>0</v>
      </c>
      <c r="I300" s="56">
        <f>G300*H300</f>
        <v>0</v>
      </c>
      <c r="J300" s="54" t="s">
        <v>501</v>
      </c>
      <c r="Y300" s="56">
        <f>IF(AP300="5",BI300,0)</f>
        <v>0</v>
      </c>
      <c r="AA300" s="56">
        <f>IF(AP300="1",BG300,0)</f>
        <v>0</v>
      </c>
      <c r="AB300" s="56">
        <f>IF(AP300="1",BH300,0)</f>
        <v>0</v>
      </c>
      <c r="AC300" s="56">
        <f>IF(AP300="7",BG300,0)</f>
        <v>0</v>
      </c>
      <c r="AD300" s="56">
        <f>IF(AP300="7",BH300,0)</f>
        <v>0</v>
      </c>
      <c r="AE300" s="56">
        <f>IF(AP300="2",BG300,0)</f>
        <v>0</v>
      </c>
      <c r="AF300" s="56">
        <f>IF(AP300="2",BH300,0)</f>
        <v>0</v>
      </c>
      <c r="AG300" s="56">
        <f>IF(AP300="0",BI300,0)</f>
        <v>0</v>
      </c>
      <c r="AH300" s="30" t="s">
        <v>847</v>
      </c>
      <c r="AI300" s="56">
        <f>IF(AM300=0,I300,0)</f>
        <v>0</v>
      </c>
      <c r="AJ300" s="56">
        <f>IF(AM300=15,I300,0)</f>
        <v>0</v>
      </c>
      <c r="AK300" s="56">
        <f>IF(AM300=21,I300,0)</f>
        <v>0</v>
      </c>
      <c r="AM300" s="56">
        <v>21</v>
      </c>
      <c r="AN300" s="56">
        <f>H300*0</f>
        <v>0</v>
      </c>
      <c r="AO300" s="56">
        <f>H300*(1-0)</f>
        <v>0</v>
      </c>
      <c r="AP300" s="41" t="s">
        <v>1109</v>
      </c>
      <c r="AU300" s="56">
        <f>AV300+AW300</f>
        <v>0</v>
      </c>
      <c r="AV300" s="56">
        <f>G300*AN300</f>
        <v>0</v>
      </c>
      <c r="AW300" s="56">
        <f>G300*AO300</f>
        <v>0</v>
      </c>
      <c r="AX300" s="41" t="s">
        <v>348</v>
      </c>
      <c r="AY300" s="41" t="s">
        <v>1194</v>
      </c>
      <c r="AZ300" s="30" t="s">
        <v>1000</v>
      </c>
      <c r="BB300" s="56">
        <f>AV300+AW300</f>
        <v>0</v>
      </c>
      <c r="BC300" s="56">
        <f>H300/(100-BD300)*100</f>
        <v>0</v>
      </c>
      <c r="BD300" s="56">
        <v>0</v>
      </c>
      <c r="BE300" s="56" t="e">
        <f>#REF!</f>
        <v>#REF!</v>
      </c>
      <c r="BG300" s="56">
        <f>G300*AN300</f>
        <v>0</v>
      </c>
      <c r="BH300" s="56">
        <f>G300*AO300</f>
        <v>0</v>
      </c>
      <c r="BI300" s="56">
        <f>G300*H300</f>
        <v>0</v>
      </c>
      <c r="BJ300" s="56"/>
      <c r="BK300" s="56">
        <v>97</v>
      </c>
      <c r="BV300" s="56">
        <v>21</v>
      </c>
    </row>
    <row r="301" spans="1:74" ht="15" customHeight="1" x14ac:dyDescent="0.25">
      <c r="A301" s="53"/>
      <c r="D301" s="52" t="s">
        <v>1114</v>
      </c>
      <c r="E301" s="37" t="s">
        <v>1253</v>
      </c>
      <c r="G301" s="21">
        <v>7.0000000000000009</v>
      </c>
      <c r="J301" s="48"/>
    </row>
    <row r="302" spans="1:74" ht="15" customHeight="1" x14ac:dyDescent="0.25">
      <c r="A302" s="53"/>
      <c r="D302" s="52" t="s">
        <v>1242</v>
      </c>
      <c r="E302" s="37" t="s">
        <v>116</v>
      </c>
      <c r="G302" s="21">
        <v>21.5</v>
      </c>
      <c r="J302" s="48"/>
    </row>
    <row r="303" spans="1:74" ht="13.5" customHeight="1" x14ac:dyDescent="0.25">
      <c r="A303" s="10" t="s">
        <v>833</v>
      </c>
      <c r="B303" s="9" t="s">
        <v>847</v>
      </c>
      <c r="C303" s="9" t="s">
        <v>565</v>
      </c>
      <c r="D303" s="76" t="s">
        <v>1036</v>
      </c>
      <c r="E303" s="77"/>
      <c r="F303" s="9" t="s">
        <v>1095</v>
      </c>
      <c r="G303" s="56">
        <v>2</v>
      </c>
      <c r="H303" s="56">
        <v>0</v>
      </c>
      <c r="I303" s="56">
        <f>G303*H303</f>
        <v>0</v>
      </c>
      <c r="J303" s="54" t="s">
        <v>501</v>
      </c>
      <c r="Y303" s="56">
        <f>IF(AP303="5",BI303,0)</f>
        <v>0</v>
      </c>
      <c r="AA303" s="56">
        <f>IF(AP303="1",BG303,0)</f>
        <v>0</v>
      </c>
      <c r="AB303" s="56">
        <f>IF(AP303="1",BH303,0)</f>
        <v>0</v>
      </c>
      <c r="AC303" s="56">
        <f>IF(AP303="7",BG303,0)</f>
        <v>0</v>
      </c>
      <c r="AD303" s="56">
        <f>IF(AP303="7",BH303,0)</f>
        <v>0</v>
      </c>
      <c r="AE303" s="56">
        <f>IF(AP303="2",BG303,0)</f>
        <v>0</v>
      </c>
      <c r="AF303" s="56">
        <f>IF(AP303="2",BH303,0)</f>
        <v>0</v>
      </c>
      <c r="AG303" s="56">
        <f>IF(AP303="0",BI303,0)</f>
        <v>0</v>
      </c>
      <c r="AH303" s="30" t="s">
        <v>847</v>
      </c>
      <c r="AI303" s="56">
        <f>IF(AM303=0,I303,0)</f>
        <v>0</v>
      </c>
      <c r="AJ303" s="56">
        <f>IF(AM303=15,I303,0)</f>
        <v>0</v>
      </c>
      <c r="AK303" s="56">
        <f>IF(AM303=21,I303,0)</f>
        <v>0</v>
      </c>
      <c r="AM303" s="56">
        <v>21</v>
      </c>
      <c r="AN303" s="56">
        <f>H303*0</f>
        <v>0</v>
      </c>
      <c r="AO303" s="56">
        <f>H303*(1-0)</f>
        <v>0</v>
      </c>
      <c r="AP303" s="41" t="s">
        <v>1109</v>
      </c>
      <c r="AU303" s="56">
        <f>AV303+AW303</f>
        <v>0</v>
      </c>
      <c r="AV303" s="56">
        <f>G303*AN303</f>
        <v>0</v>
      </c>
      <c r="AW303" s="56">
        <f>G303*AO303</f>
        <v>0</v>
      </c>
      <c r="AX303" s="41" t="s">
        <v>348</v>
      </c>
      <c r="AY303" s="41" t="s">
        <v>1194</v>
      </c>
      <c r="AZ303" s="30" t="s">
        <v>1000</v>
      </c>
      <c r="BB303" s="56">
        <f>AV303+AW303</f>
        <v>0</v>
      </c>
      <c r="BC303" s="56">
        <f>H303/(100-BD303)*100</f>
        <v>0</v>
      </c>
      <c r="BD303" s="56">
        <v>0</v>
      </c>
      <c r="BE303" s="56" t="e">
        <f>#REF!</f>
        <v>#REF!</v>
      </c>
      <c r="BG303" s="56">
        <f>G303*AN303</f>
        <v>0</v>
      </c>
      <c r="BH303" s="56">
        <f>G303*AO303</f>
        <v>0</v>
      </c>
      <c r="BI303" s="56">
        <f>G303*H303</f>
        <v>0</v>
      </c>
      <c r="BJ303" s="56"/>
      <c r="BK303" s="56">
        <v>97</v>
      </c>
      <c r="BV303" s="56">
        <v>21</v>
      </c>
    </row>
    <row r="304" spans="1:74" ht="13.5" customHeight="1" x14ac:dyDescent="0.25">
      <c r="A304" s="10" t="s">
        <v>148</v>
      </c>
      <c r="B304" s="9" t="s">
        <v>847</v>
      </c>
      <c r="C304" s="9" t="s">
        <v>387</v>
      </c>
      <c r="D304" s="76" t="s">
        <v>1161</v>
      </c>
      <c r="E304" s="77"/>
      <c r="F304" s="9" t="s">
        <v>909</v>
      </c>
      <c r="G304" s="56">
        <v>15</v>
      </c>
      <c r="H304" s="56">
        <v>0</v>
      </c>
      <c r="I304" s="56">
        <f>G304*H304</f>
        <v>0</v>
      </c>
      <c r="J304" s="54" t="s">
        <v>501</v>
      </c>
      <c r="Y304" s="56">
        <f>IF(AP304="5",BI304,0)</f>
        <v>0</v>
      </c>
      <c r="AA304" s="56">
        <f>IF(AP304="1",BG304,0)</f>
        <v>0</v>
      </c>
      <c r="AB304" s="56">
        <f>IF(AP304="1",BH304,0)</f>
        <v>0</v>
      </c>
      <c r="AC304" s="56">
        <f>IF(AP304="7",BG304,0)</f>
        <v>0</v>
      </c>
      <c r="AD304" s="56">
        <f>IF(AP304="7",BH304,0)</f>
        <v>0</v>
      </c>
      <c r="AE304" s="56">
        <f>IF(AP304="2",BG304,0)</f>
        <v>0</v>
      </c>
      <c r="AF304" s="56">
        <f>IF(AP304="2",BH304,0)</f>
        <v>0</v>
      </c>
      <c r="AG304" s="56">
        <f>IF(AP304="0",BI304,0)</f>
        <v>0</v>
      </c>
      <c r="AH304" s="30" t="s">
        <v>847</v>
      </c>
      <c r="AI304" s="56">
        <f>IF(AM304=0,I304,0)</f>
        <v>0</v>
      </c>
      <c r="AJ304" s="56">
        <f>IF(AM304=15,I304,0)</f>
        <v>0</v>
      </c>
      <c r="AK304" s="56">
        <f>IF(AM304=21,I304,0)</f>
        <v>0</v>
      </c>
      <c r="AM304" s="56">
        <v>21</v>
      </c>
      <c r="AN304" s="56">
        <f>H304*0</f>
        <v>0</v>
      </c>
      <c r="AO304" s="56">
        <f>H304*(1-0)</f>
        <v>0</v>
      </c>
      <c r="AP304" s="41" t="s">
        <v>1109</v>
      </c>
      <c r="AU304" s="56">
        <f>AV304+AW304</f>
        <v>0</v>
      </c>
      <c r="AV304" s="56">
        <f>G304*AN304</f>
        <v>0</v>
      </c>
      <c r="AW304" s="56">
        <f>G304*AO304</f>
        <v>0</v>
      </c>
      <c r="AX304" s="41" t="s">
        <v>348</v>
      </c>
      <c r="AY304" s="41" t="s">
        <v>1194</v>
      </c>
      <c r="AZ304" s="30" t="s">
        <v>1000</v>
      </c>
      <c r="BB304" s="56">
        <f>AV304+AW304</f>
        <v>0</v>
      </c>
      <c r="BC304" s="56">
        <f>H304/(100-BD304)*100</f>
        <v>0</v>
      </c>
      <c r="BD304" s="56">
        <v>0</v>
      </c>
      <c r="BE304" s="56" t="e">
        <f>#REF!</f>
        <v>#REF!</v>
      </c>
      <c r="BG304" s="56">
        <f>G304*AN304</f>
        <v>0</v>
      </c>
      <c r="BH304" s="56">
        <f>G304*AO304</f>
        <v>0</v>
      </c>
      <c r="BI304" s="56">
        <f>G304*H304</f>
        <v>0</v>
      </c>
      <c r="BJ304" s="56"/>
      <c r="BK304" s="56">
        <v>97</v>
      </c>
      <c r="BV304" s="56">
        <v>21</v>
      </c>
    </row>
    <row r="305" spans="1:74" ht="13.5" customHeight="1" x14ac:dyDescent="0.25">
      <c r="A305" s="10" t="s">
        <v>1031</v>
      </c>
      <c r="B305" s="9" t="s">
        <v>847</v>
      </c>
      <c r="C305" s="9" t="s">
        <v>430</v>
      </c>
      <c r="D305" s="76" t="s">
        <v>390</v>
      </c>
      <c r="E305" s="77"/>
      <c r="F305" s="9" t="s">
        <v>778</v>
      </c>
      <c r="G305" s="56">
        <v>3</v>
      </c>
      <c r="H305" s="56">
        <v>0</v>
      </c>
      <c r="I305" s="56">
        <f>G305*H305</f>
        <v>0</v>
      </c>
      <c r="J305" s="54" t="s">
        <v>769</v>
      </c>
      <c r="Y305" s="56">
        <f>IF(AP305="5",BI305,0)</f>
        <v>0</v>
      </c>
      <c r="AA305" s="56">
        <f>IF(AP305="1",BG305,0)</f>
        <v>0</v>
      </c>
      <c r="AB305" s="56">
        <f>IF(AP305="1",BH305,0)</f>
        <v>0</v>
      </c>
      <c r="AC305" s="56">
        <f>IF(AP305="7",BG305,0)</f>
        <v>0</v>
      </c>
      <c r="AD305" s="56">
        <f>IF(AP305="7",BH305,0)</f>
        <v>0</v>
      </c>
      <c r="AE305" s="56">
        <f>IF(AP305="2",BG305,0)</f>
        <v>0</v>
      </c>
      <c r="AF305" s="56">
        <f>IF(AP305="2",BH305,0)</f>
        <v>0</v>
      </c>
      <c r="AG305" s="56">
        <f>IF(AP305="0",BI305,0)</f>
        <v>0</v>
      </c>
      <c r="AH305" s="30" t="s">
        <v>847</v>
      </c>
      <c r="AI305" s="56">
        <f>IF(AM305=0,I305,0)</f>
        <v>0</v>
      </c>
      <c r="AJ305" s="56">
        <f>IF(AM305=15,I305,0)</f>
        <v>0</v>
      </c>
      <c r="AK305" s="56">
        <f>IF(AM305=21,I305,0)</f>
        <v>0</v>
      </c>
      <c r="AM305" s="56">
        <v>21</v>
      </c>
      <c r="AN305" s="56">
        <f>H305*0</f>
        <v>0</v>
      </c>
      <c r="AO305" s="56">
        <f>H305*(1-0)</f>
        <v>0</v>
      </c>
      <c r="AP305" s="41" t="s">
        <v>1109</v>
      </c>
      <c r="AU305" s="56">
        <f>AV305+AW305</f>
        <v>0</v>
      </c>
      <c r="AV305" s="56">
        <f>G305*AN305</f>
        <v>0</v>
      </c>
      <c r="AW305" s="56">
        <f>G305*AO305</f>
        <v>0</v>
      </c>
      <c r="AX305" s="41" t="s">
        <v>348</v>
      </c>
      <c r="AY305" s="41" t="s">
        <v>1194</v>
      </c>
      <c r="AZ305" s="30" t="s">
        <v>1000</v>
      </c>
      <c r="BB305" s="56">
        <f>AV305+AW305</f>
        <v>0</v>
      </c>
      <c r="BC305" s="56">
        <f>H305/(100-BD305)*100</f>
        <v>0</v>
      </c>
      <c r="BD305" s="56">
        <v>0</v>
      </c>
      <c r="BE305" s="56" t="e">
        <f>#REF!</f>
        <v>#REF!</v>
      </c>
      <c r="BG305" s="56">
        <f>G305*AN305</f>
        <v>0</v>
      </c>
      <c r="BH305" s="56">
        <f>G305*AO305</f>
        <v>0</v>
      </c>
      <c r="BI305" s="56">
        <f>G305*H305</f>
        <v>0</v>
      </c>
      <c r="BJ305" s="56"/>
      <c r="BK305" s="56">
        <v>97</v>
      </c>
      <c r="BV305" s="56">
        <v>21</v>
      </c>
    </row>
    <row r="306" spans="1:74" ht="13.5" customHeight="1" x14ac:dyDescent="0.25">
      <c r="A306" s="53"/>
      <c r="C306" s="66" t="s">
        <v>578</v>
      </c>
      <c r="D306" s="137" t="s">
        <v>988</v>
      </c>
      <c r="E306" s="138"/>
      <c r="F306" s="138"/>
      <c r="G306" s="138"/>
      <c r="H306" s="138"/>
      <c r="I306" s="138"/>
      <c r="J306" s="139"/>
    </row>
    <row r="307" spans="1:74" ht="13.5" customHeight="1" x14ac:dyDescent="0.25">
      <c r="A307" s="10" t="s">
        <v>267</v>
      </c>
      <c r="B307" s="9" t="s">
        <v>847</v>
      </c>
      <c r="C307" s="9" t="s">
        <v>794</v>
      </c>
      <c r="D307" s="76" t="s">
        <v>1107</v>
      </c>
      <c r="E307" s="77"/>
      <c r="F307" s="9" t="s">
        <v>778</v>
      </c>
      <c r="G307" s="56">
        <v>2</v>
      </c>
      <c r="H307" s="56">
        <v>0</v>
      </c>
      <c r="I307" s="56">
        <f>G307*H307</f>
        <v>0</v>
      </c>
      <c r="J307" s="54" t="s">
        <v>636</v>
      </c>
      <c r="Y307" s="56">
        <f>IF(AP307="5",BI307,0)</f>
        <v>0</v>
      </c>
      <c r="AA307" s="56">
        <f>IF(AP307="1",BG307,0)</f>
        <v>0</v>
      </c>
      <c r="AB307" s="56">
        <f>IF(AP307="1",BH307,0)</f>
        <v>0</v>
      </c>
      <c r="AC307" s="56">
        <f>IF(AP307="7",BG307,0)</f>
        <v>0</v>
      </c>
      <c r="AD307" s="56">
        <f>IF(AP307="7",BH307,0)</f>
        <v>0</v>
      </c>
      <c r="AE307" s="56">
        <f>IF(AP307="2",BG307,0)</f>
        <v>0</v>
      </c>
      <c r="AF307" s="56">
        <f>IF(AP307="2",BH307,0)</f>
        <v>0</v>
      </c>
      <c r="AG307" s="56">
        <f>IF(AP307="0",BI307,0)</f>
        <v>0</v>
      </c>
      <c r="AH307" s="30" t="s">
        <v>847</v>
      </c>
      <c r="AI307" s="56">
        <f>IF(AM307=0,I307,0)</f>
        <v>0</v>
      </c>
      <c r="AJ307" s="56">
        <f>IF(AM307=15,I307,0)</f>
        <v>0</v>
      </c>
      <c r="AK307" s="56">
        <f>IF(AM307=21,I307,0)</f>
        <v>0</v>
      </c>
      <c r="AM307" s="56">
        <v>21</v>
      </c>
      <c r="AN307" s="56">
        <f>H307*0</f>
        <v>0</v>
      </c>
      <c r="AO307" s="56">
        <f>H307*(1-0)</f>
        <v>0</v>
      </c>
      <c r="AP307" s="41" t="s">
        <v>1109</v>
      </c>
      <c r="AU307" s="56">
        <f>AV307+AW307</f>
        <v>0</v>
      </c>
      <c r="AV307" s="56">
        <f>G307*AN307</f>
        <v>0</v>
      </c>
      <c r="AW307" s="56">
        <f>G307*AO307</f>
        <v>0</v>
      </c>
      <c r="AX307" s="41" t="s">
        <v>348</v>
      </c>
      <c r="AY307" s="41" t="s">
        <v>1194</v>
      </c>
      <c r="AZ307" s="30" t="s">
        <v>1000</v>
      </c>
      <c r="BB307" s="56">
        <f>AV307+AW307</f>
        <v>0</v>
      </c>
      <c r="BC307" s="56">
        <f>H307/(100-BD307)*100</f>
        <v>0</v>
      </c>
      <c r="BD307" s="56">
        <v>0</v>
      </c>
      <c r="BE307" s="56" t="e">
        <f>#REF!</f>
        <v>#REF!</v>
      </c>
      <c r="BG307" s="56">
        <f>G307*AN307</f>
        <v>0</v>
      </c>
      <c r="BH307" s="56">
        <f>G307*AO307</f>
        <v>0</v>
      </c>
      <c r="BI307" s="56">
        <f>G307*H307</f>
        <v>0</v>
      </c>
      <c r="BJ307" s="56"/>
      <c r="BK307" s="56">
        <v>97</v>
      </c>
      <c r="BV307" s="56">
        <v>21</v>
      </c>
    </row>
    <row r="308" spans="1:74" ht="13.5" customHeight="1" x14ac:dyDescent="0.25">
      <c r="A308" s="53"/>
      <c r="C308" s="66" t="s">
        <v>578</v>
      </c>
      <c r="D308" s="137" t="s">
        <v>293</v>
      </c>
      <c r="E308" s="138"/>
      <c r="F308" s="138"/>
      <c r="G308" s="138"/>
      <c r="H308" s="138"/>
      <c r="I308" s="138"/>
      <c r="J308" s="139"/>
    </row>
    <row r="309" spans="1:74" ht="13.5" customHeight="1" x14ac:dyDescent="0.25">
      <c r="A309" s="10" t="s">
        <v>165</v>
      </c>
      <c r="B309" s="9" t="s">
        <v>847</v>
      </c>
      <c r="C309" s="9" t="s">
        <v>389</v>
      </c>
      <c r="D309" s="76" t="s">
        <v>612</v>
      </c>
      <c r="E309" s="77"/>
      <c r="F309" s="9" t="s">
        <v>778</v>
      </c>
      <c r="G309" s="56">
        <v>3</v>
      </c>
      <c r="H309" s="56">
        <v>0</v>
      </c>
      <c r="I309" s="56">
        <f>G309*H309</f>
        <v>0</v>
      </c>
      <c r="J309" s="54" t="s">
        <v>769</v>
      </c>
      <c r="Y309" s="56">
        <f>IF(AP309="5",BI309,0)</f>
        <v>0</v>
      </c>
      <c r="AA309" s="56">
        <f>IF(AP309="1",BG309,0)</f>
        <v>0</v>
      </c>
      <c r="AB309" s="56">
        <f>IF(AP309="1",BH309,0)</f>
        <v>0</v>
      </c>
      <c r="AC309" s="56">
        <f>IF(AP309="7",BG309,0)</f>
        <v>0</v>
      </c>
      <c r="AD309" s="56">
        <f>IF(AP309="7",BH309,0)</f>
        <v>0</v>
      </c>
      <c r="AE309" s="56">
        <f>IF(AP309="2",BG309,0)</f>
        <v>0</v>
      </c>
      <c r="AF309" s="56">
        <f>IF(AP309="2",BH309,0)</f>
        <v>0</v>
      </c>
      <c r="AG309" s="56">
        <f>IF(AP309="0",BI309,0)</f>
        <v>0</v>
      </c>
      <c r="AH309" s="30" t="s">
        <v>847</v>
      </c>
      <c r="AI309" s="56">
        <f>IF(AM309=0,I309,0)</f>
        <v>0</v>
      </c>
      <c r="AJ309" s="56">
        <f>IF(AM309=15,I309,0)</f>
        <v>0</v>
      </c>
      <c r="AK309" s="56">
        <f>IF(AM309=21,I309,0)</f>
        <v>0</v>
      </c>
      <c r="AM309" s="56">
        <v>21</v>
      </c>
      <c r="AN309" s="56">
        <f>H309*0</f>
        <v>0</v>
      </c>
      <c r="AO309" s="56">
        <f>H309*(1-0)</f>
        <v>0</v>
      </c>
      <c r="AP309" s="41" t="s">
        <v>1109</v>
      </c>
      <c r="AU309" s="56">
        <f>AV309+AW309</f>
        <v>0</v>
      </c>
      <c r="AV309" s="56">
        <f>G309*AN309</f>
        <v>0</v>
      </c>
      <c r="AW309" s="56">
        <f>G309*AO309</f>
        <v>0</v>
      </c>
      <c r="AX309" s="41" t="s">
        <v>348</v>
      </c>
      <c r="AY309" s="41" t="s">
        <v>1194</v>
      </c>
      <c r="AZ309" s="30" t="s">
        <v>1000</v>
      </c>
      <c r="BB309" s="56">
        <f>AV309+AW309</f>
        <v>0</v>
      </c>
      <c r="BC309" s="56">
        <f>H309/(100-BD309)*100</f>
        <v>0</v>
      </c>
      <c r="BD309" s="56">
        <v>0</v>
      </c>
      <c r="BE309" s="56" t="e">
        <f>#REF!</f>
        <v>#REF!</v>
      </c>
      <c r="BG309" s="56">
        <f>G309*AN309</f>
        <v>0</v>
      </c>
      <c r="BH309" s="56">
        <f>G309*AO309</f>
        <v>0</v>
      </c>
      <c r="BI309" s="56">
        <f>G309*H309</f>
        <v>0</v>
      </c>
      <c r="BJ309" s="56"/>
      <c r="BK309" s="56">
        <v>97</v>
      </c>
      <c r="BV309" s="56">
        <v>21</v>
      </c>
    </row>
    <row r="310" spans="1:74" ht="13.5" customHeight="1" x14ac:dyDescent="0.25">
      <c r="A310" s="53"/>
      <c r="C310" s="66" t="s">
        <v>578</v>
      </c>
      <c r="D310" s="137" t="s">
        <v>293</v>
      </c>
      <c r="E310" s="138"/>
      <c r="F310" s="138"/>
      <c r="G310" s="138"/>
      <c r="H310" s="138"/>
      <c r="I310" s="138"/>
      <c r="J310" s="139"/>
    </row>
    <row r="311" spans="1:74" ht="13.5" customHeight="1" x14ac:dyDescent="0.25">
      <c r="A311" s="10" t="s">
        <v>320</v>
      </c>
      <c r="B311" s="9" t="s">
        <v>847</v>
      </c>
      <c r="C311" s="9" t="s">
        <v>310</v>
      </c>
      <c r="D311" s="76" t="s">
        <v>492</v>
      </c>
      <c r="E311" s="77"/>
      <c r="F311" s="9" t="s">
        <v>778</v>
      </c>
      <c r="G311" s="56">
        <v>3</v>
      </c>
      <c r="H311" s="56">
        <v>0</v>
      </c>
      <c r="I311" s="56">
        <f>G311*H311</f>
        <v>0</v>
      </c>
      <c r="J311" s="54" t="s">
        <v>769</v>
      </c>
      <c r="Y311" s="56">
        <f>IF(AP311="5",BI311,0)</f>
        <v>0</v>
      </c>
      <c r="AA311" s="56">
        <f>IF(AP311="1",BG311,0)</f>
        <v>0</v>
      </c>
      <c r="AB311" s="56">
        <f>IF(AP311="1",BH311,0)</f>
        <v>0</v>
      </c>
      <c r="AC311" s="56">
        <f>IF(AP311="7",BG311,0)</f>
        <v>0</v>
      </c>
      <c r="AD311" s="56">
        <f>IF(AP311="7",BH311,0)</f>
        <v>0</v>
      </c>
      <c r="AE311" s="56">
        <f>IF(AP311="2",BG311,0)</f>
        <v>0</v>
      </c>
      <c r="AF311" s="56">
        <f>IF(AP311="2",BH311,0)</f>
        <v>0</v>
      </c>
      <c r="AG311" s="56">
        <f>IF(AP311="0",BI311,0)</f>
        <v>0</v>
      </c>
      <c r="AH311" s="30" t="s">
        <v>847</v>
      </c>
      <c r="AI311" s="56">
        <f>IF(AM311=0,I311,0)</f>
        <v>0</v>
      </c>
      <c r="AJ311" s="56">
        <f>IF(AM311=15,I311,0)</f>
        <v>0</v>
      </c>
      <c r="AK311" s="56">
        <f>IF(AM311=21,I311,0)</f>
        <v>0</v>
      </c>
      <c r="AM311" s="56">
        <v>21</v>
      </c>
      <c r="AN311" s="56">
        <f>H311*0</f>
        <v>0</v>
      </c>
      <c r="AO311" s="56">
        <f>H311*(1-0)</f>
        <v>0</v>
      </c>
      <c r="AP311" s="41" t="s">
        <v>1109</v>
      </c>
      <c r="AU311" s="56">
        <f>AV311+AW311</f>
        <v>0</v>
      </c>
      <c r="AV311" s="56">
        <f>G311*AN311</f>
        <v>0</v>
      </c>
      <c r="AW311" s="56">
        <f>G311*AO311</f>
        <v>0</v>
      </c>
      <c r="AX311" s="41" t="s">
        <v>348</v>
      </c>
      <c r="AY311" s="41" t="s">
        <v>1194</v>
      </c>
      <c r="AZ311" s="30" t="s">
        <v>1000</v>
      </c>
      <c r="BB311" s="56">
        <f>AV311+AW311</f>
        <v>0</v>
      </c>
      <c r="BC311" s="56">
        <f>H311/(100-BD311)*100</f>
        <v>0</v>
      </c>
      <c r="BD311" s="56">
        <v>0</v>
      </c>
      <c r="BE311" s="56" t="e">
        <f>#REF!</f>
        <v>#REF!</v>
      </c>
      <c r="BG311" s="56">
        <f>G311*AN311</f>
        <v>0</v>
      </c>
      <c r="BH311" s="56">
        <f>G311*AO311</f>
        <v>0</v>
      </c>
      <c r="BI311" s="56">
        <f>G311*H311</f>
        <v>0</v>
      </c>
      <c r="BJ311" s="56"/>
      <c r="BK311" s="56">
        <v>97</v>
      </c>
      <c r="BV311" s="56">
        <v>21</v>
      </c>
    </row>
    <row r="312" spans="1:74" ht="13.5" customHeight="1" x14ac:dyDescent="0.25">
      <c r="A312" s="53"/>
      <c r="C312" s="66" t="s">
        <v>578</v>
      </c>
      <c r="D312" s="137" t="s">
        <v>293</v>
      </c>
      <c r="E312" s="138"/>
      <c r="F312" s="138"/>
      <c r="G312" s="138"/>
      <c r="H312" s="138"/>
      <c r="I312" s="138"/>
      <c r="J312" s="139"/>
    </row>
    <row r="313" spans="1:74" ht="13.5" customHeight="1" x14ac:dyDescent="0.25">
      <c r="A313" s="10" t="s">
        <v>347</v>
      </c>
      <c r="B313" s="9" t="s">
        <v>847</v>
      </c>
      <c r="C313" s="9" t="s">
        <v>225</v>
      </c>
      <c r="D313" s="76" t="s">
        <v>1179</v>
      </c>
      <c r="E313" s="77"/>
      <c r="F313" s="9" t="s">
        <v>778</v>
      </c>
      <c r="G313" s="56">
        <v>2</v>
      </c>
      <c r="H313" s="56">
        <v>0</v>
      </c>
      <c r="I313" s="56">
        <f>G313*H313</f>
        <v>0</v>
      </c>
      <c r="J313" s="54" t="s">
        <v>769</v>
      </c>
      <c r="Y313" s="56">
        <f>IF(AP313="5",BI313,0)</f>
        <v>0</v>
      </c>
      <c r="AA313" s="56">
        <f>IF(AP313="1",BG313,0)</f>
        <v>0</v>
      </c>
      <c r="AB313" s="56">
        <f>IF(AP313="1",BH313,0)</f>
        <v>0</v>
      </c>
      <c r="AC313" s="56">
        <f>IF(AP313="7",BG313,0)</f>
        <v>0</v>
      </c>
      <c r="AD313" s="56">
        <f>IF(AP313="7",BH313,0)</f>
        <v>0</v>
      </c>
      <c r="AE313" s="56">
        <f>IF(AP313="2",BG313,0)</f>
        <v>0</v>
      </c>
      <c r="AF313" s="56">
        <f>IF(AP313="2",BH313,0)</f>
        <v>0</v>
      </c>
      <c r="AG313" s="56">
        <f>IF(AP313="0",BI313,0)</f>
        <v>0</v>
      </c>
      <c r="AH313" s="30" t="s">
        <v>847</v>
      </c>
      <c r="AI313" s="56">
        <f>IF(AM313=0,I313,0)</f>
        <v>0</v>
      </c>
      <c r="AJ313" s="56">
        <f>IF(AM313=15,I313,0)</f>
        <v>0</v>
      </c>
      <c r="AK313" s="56">
        <f>IF(AM313=21,I313,0)</f>
        <v>0</v>
      </c>
      <c r="AM313" s="56">
        <v>21</v>
      </c>
      <c r="AN313" s="56">
        <f>H313*0</f>
        <v>0</v>
      </c>
      <c r="AO313" s="56">
        <f>H313*(1-0)</f>
        <v>0</v>
      </c>
      <c r="AP313" s="41" t="s">
        <v>1109</v>
      </c>
      <c r="AU313" s="56">
        <f>AV313+AW313</f>
        <v>0</v>
      </c>
      <c r="AV313" s="56">
        <f>G313*AN313</f>
        <v>0</v>
      </c>
      <c r="AW313" s="56">
        <f>G313*AO313</f>
        <v>0</v>
      </c>
      <c r="AX313" s="41" t="s">
        <v>348</v>
      </c>
      <c r="AY313" s="41" t="s">
        <v>1194</v>
      </c>
      <c r="AZ313" s="30" t="s">
        <v>1000</v>
      </c>
      <c r="BB313" s="56">
        <f>AV313+AW313</f>
        <v>0</v>
      </c>
      <c r="BC313" s="56">
        <f>H313/(100-BD313)*100</f>
        <v>0</v>
      </c>
      <c r="BD313" s="56">
        <v>0</v>
      </c>
      <c r="BE313" s="56" t="e">
        <f>#REF!</f>
        <v>#REF!</v>
      </c>
      <c r="BG313" s="56">
        <f>G313*AN313</f>
        <v>0</v>
      </c>
      <c r="BH313" s="56">
        <f>G313*AO313</f>
        <v>0</v>
      </c>
      <c r="BI313" s="56">
        <f>G313*H313</f>
        <v>0</v>
      </c>
      <c r="BJ313" s="56"/>
      <c r="BK313" s="56">
        <v>97</v>
      </c>
      <c r="BV313" s="56">
        <v>21</v>
      </c>
    </row>
    <row r="314" spans="1:74" ht="13.5" customHeight="1" x14ac:dyDescent="0.25">
      <c r="A314" s="53"/>
      <c r="C314" s="66" t="s">
        <v>578</v>
      </c>
      <c r="D314" s="137" t="s">
        <v>293</v>
      </c>
      <c r="E314" s="138"/>
      <c r="F314" s="138"/>
      <c r="G314" s="138"/>
      <c r="H314" s="138"/>
      <c r="I314" s="138"/>
      <c r="J314" s="139"/>
    </row>
    <row r="315" spans="1:74" ht="15" customHeight="1" x14ac:dyDescent="0.25">
      <c r="A315" s="53"/>
      <c r="D315" s="52" t="s">
        <v>1186</v>
      </c>
      <c r="E315" s="37" t="s">
        <v>1132</v>
      </c>
      <c r="G315" s="21">
        <v>2</v>
      </c>
      <c r="J315" s="48"/>
    </row>
    <row r="316" spans="1:74" ht="15" customHeight="1" x14ac:dyDescent="0.25">
      <c r="A316" s="27" t="s">
        <v>769</v>
      </c>
      <c r="B316" s="28" t="s">
        <v>847</v>
      </c>
      <c r="C316" s="28" t="s">
        <v>628</v>
      </c>
      <c r="D316" s="132" t="s">
        <v>606</v>
      </c>
      <c r="E316" s="133"/>
      <c r="F316" s="23" t="s">
        <v>1027</v>
      </c>
      <c r="G316" s="23" t="s">
        <v>1027</v>
      </c>
      <c r="H316" s="23" t="s">
        <v>1027</v>
      </c>
      <c r="I316" s="14">
        <f>SUM(I317:I317)</f>
        <v>0</v>
      </c>
      <c r="J316" s="44" t="s">
        <v>769</v>
      </c>
      <c r="AH316" s="30" t="s">
        <v>847</v>
      </c>
      <c r="AR316" s="14">
        <f>SUM(AI317:AI317)</f>
        <v>0</v>
      </c>
      <c r="AS316" s="14">
        <f>SUM(AJ317:AJ317)</f>
        <v>0</v>
      </c>
      <c r="AT316" s="14">
        <f>SUM(AK317:AK317)</f>
        <v>0</v>
      </c>
    </row>
    <row r="317" spans="1:74" ht="13.5" customHeight="1" x14ac:dyDescent="0.25">
      <c r="A317" s="10" t="s">
        <v>229</v>
      </c>
      <c r="B317" s="9" t="s">
        <v>847</v>
      </c>
      <c r="C317" s="9" t="s">
        <v>962</v>
      </c>
      <c r="D317" s="76" t="s">
        <v>754</v>
      </c>
      <c r="E317" s="77"/>
      <c r="F317" s="9" t="s">
        <v>517</v>
      </c>
      <c r="G317" s="56">
        <v>1686.6869999999999</v>
      </c>
      <c r="H317" s="56">
        <v>0</v>
      </c>
      <c r="I317" s="56">
        <f>G317*H317</f>
        <v>0</v>
      </c>
      <c r="J317" s="54" t="s">
        <v>501</v>
      </c>
      <c r="Y317" s="56">
        <f>IF(AP317="5",BI317,0)</f>
        <v>0</v>
      </c>
      <c r="AA317" s="56">
        <f>IF(AP317="1",BG317,0)</f>
        <v>0</v>
      </c>
      <c r="AB317" s="56">
        <f>IF(AP317="1",BH317,0)</f>
        <v>0</v>
      </c>
      <c r="AC317" s="56">
        <f>IF(AP317="7",BG317,0)</f>
        <v>0</v>
      </c>
      <c r="AD317" s="56">
        <f>IF(AP317="7",BH317,0)</f>
        <v>0</v>
      </c>
      <c r="AE317" s="56">
        <f>IF(AP317="2",BG317,0)</f>
        <v>0</v>
      </c>
      <c r="AF317" s="56">
        <f>IF(AP317="2",BH317,0)</f>
        <v>0</v>
      </c>
      <c r="AG317" s="56">
        <f>IF(AP317="0",BI317,0)</f>
        <v>0</v>
      </c>
      <c r="AH317" s="30" t="s">
        <v>847</v>
      </c>
      <c r="AI317" s="56">
        <f>IF(AM317=0,I317,0)</f>
        <v>0</v>
      </c>
      <c r="AJ317" s="56">
        <f>IF(AM317=15,I317,0)</f>
        <v>0</v>
      </c>
      <c r="AK317" s="56">
        <f>IF(AM317=21,I317,0)</f>
        <v>0</v>
      </c>
      <c r="AM317" s="56">
        <v>21</v>
      </c>
      <c r="AN317" s="56">
        <f>H317*0</f>
        <v>0</v>
      </c>
      <c r="AO317" s="56">
        <f>H317*(1-0)</f>
        <v>0</v>
      </c>
      <c r="AP317" s="41" t="s">
        <v>596</v>
      </c>
      <c r="AU317" s="56">
        <f>AV317+AW317</f>
        <v>0</v>
      </c>
      <c r="AV317" s="56">
        <f>G317*AN317</f>
        <v>0</v>
      </c>
      <c r="AW317" s="56">
        <f>G317*AO317</f>
        <v>0</v>
      </c>
      <c r="AX317" s="41" t="s">
        <v>345</v>
      </c>
      <c r="AY317" s="41" t="s">
        <v>1194</v>
      </c>
      <c r="AZ317" s="30" t="s">
        <v>1000</v>
      </c>
      <c r="BB317" s="56">
        <f>AV317+AW317</f>
        <v>0</v>
      </c>
      <c r="BC317" s="56">
        <f>H317/(100-BD317)*100</f>
        <v>0</v>
      </c>
      <c r="BD317" s="56">
        <v>0</v>
      </c>
      <c r="BE317" s="56" t="e">
        <f>#REF!</f>
        <v>#REF!</v>
      </c>
      <c r="BG317" s="56">
        <f>G317*AN317</f>
        <v>0</v>
      </c>
      <c r="BH317" s="56">
        <f>G317*AO317</f>
        <v>0</v>
      </c>
      <c r="BI317" s="56">
        <f>G317*H317</f>
        <v>0</v>
      </c>
      <c r="BJ317" s="56"/>
      <c r="BK317" s="56"/>
      <c r="BV317" s="56">
        <v>21</v>
      </c>
    </row>
    <row r="318" spans="1:74" ht="15" customHeight="1" x14ac:dyDescent="0.25">
      <c r="A318" s="27" t="s">
        <v>769</v>
      </c>
      <c r="B318" s="28" t="s">
        <v>847</v>
      </c>
      <c r="C318" s="28" t="s">
        <v>27</v>
      </c>
      <c r="D318" s="132" t="s">
        <v>593</v>
      </c>
      <c r="E318" s="133"/>
      <c r="F318" s="23" t="s">
        <v>1027</v>
      </c>
      <c r="G318" s="23" t="s">
        <v>1027</v>
      </c>
      <c r="H318" s="23" t="s">
        <v>1027</v>
      </c>
      <c r="I318" s="14">
        <f>SUM(I319:I319)</f>
        <v>0</v>
      </c>
      <c r="J318" s="44" t="s">
        <v>769</v>
      </c>
      <c r="AH318" s="30" t="s">
        <v>847</v>
      </c>
      <c r="AR318" s="14">
        <f>SUM(AI319:AI319)</f>
        <v>0</v>
      </c>
      <c r="AS318" s="14">
        <f>SUM(AJ319:AJ319)</f>
        <v>0</v>
      </c>
      <c r="AT318" s="14">
        <f>SUM(AK319:AK319)</f>
        <v>0</v>
      </c>
    </row>
    <row r="319" spans="1:74" ht="13.5" customHeight="1" x14ac:dyDescent="0.25">
      <c r="A319" s="10" t="s">
        <v>454</v>
      </c>
      <c r="B319" s="9" t="s">
        <v>847</v>
      </c>
      <c r="C319" s="9" t="s">
        <v>859</v>
      </c>
      <c r="D319" s="76" t="s">
        <v>1048</v>
      </c>
      <c r="E319" s="77"/>
      <c r="F319" s="9" t="s">
        <v>275</v>
      </c>
      <c r="G319" s="56">
        <v>19</v>
      </c>
      <c r="H319" s="56">
        <v>0</v>
      </c>
      <c r="I319" s="56">
        <f>G319*H319</f>
        <v>0</v>
      </c>
      <c r="J319" s="54" t="s">
        <v>501</v>
      </c>
      <c r="Y319" s="56">
        <f>IF(AP319="5",BI319,0)</f>
        <v>0</v>
      </c>
      <c r="AA319" s="56">
        <f>IF(AP319="1",BG319,0)</f>
        <v>0</v>
      </c>
      <c r="AB319" s="56">
        <f>IF(AP319="1",BH319,0)</f>
        <v>0</v>
      </c>
      <c r="AC319" s="56">
        <f>IF(AP319="7",BG319,0)</f>
        <v>0</v>
      </c>
      <c r="AD319" s="56">
        <f>IF(AP319="7",BH319,0)</f>
        <v>0</v>
      </c>
      <c r="AE319" s="56">
        <f>IF(AP319="2",BG319,0)</f>
        <v>0</v>
      </c>
      <c r="AF319" s="56">
        <f>IF(AP319="2",BH319,0)</f>
        <v>0</v>
      </c>
      <c r="AG319" s="56">
        <f>IF(AP319="0",BI319,0)</f>
        <v>0</v>
      </c>
      <c r="AH319" s="30" t="s">
        <v>847</v>
      </c>
      <c r="AI319" s="56">
        <f>IF(AM319=0,I319,0)</f>
        <v>0</v>
      </c>
      <c r="AJ319" s="56">
        <f>IF(AM319=15,I319,0)</f>
        <v>0</v>
      </c>
      <c r="AK319" s="56">
        <f>IF(AM319=21,I319,0)</f>
        <v>0</v>
      </c>
      <c r="AM319" s="56">
        <v>21</v>
      </c>
      <c r="AN319" s="56">
        <f>H319*0</f>
        <v>0</v>
      </c>
      <c r="AO319" s="56">
        <f>H319*(1-0)</f>
        <v>0</v>
      </c>
      <c r="AP319" s="41" t="s">
        <v>766</v>
      </c>
      <c r="AU319" s="56">
        <f>AV319+AW319</f>
        <v>0</v>
      </c>
      <c r="AV319" s="56">
        <f>G319*AN319</f>
        <v>0</v>
      </c>
      <c r="AW319" s="56">
        <f>G319*AO319</f>
        <v>0</v>
      </c>
      <c r="AX319" s="41" t="s">
        <v>1217</v>
      </c>
      <c r="AY319" s="41" t="s">
        <v>1194</v>
      </c>
      <c r="AZ319" s="30" t="s">
        <v>1000</v>
      </c>
      <c r="BB319" s="56">
        <f>AV319+AW319</f>
        <v>0</v>
      </c>
      <c r="BC319" s="56">
        <f>H319/(100-BD319)*100</f>
        <v>0</v>
      </c>
      <c r="BD319" s="56">
        <v>0</v>
      </c>
      <c r="BE319" s="56" t="e">
        <f>#REF!</f>
        <v>#REF!</v>
      </c>
      <c r="BG319" s="56">
        <f>G319*AN319</f>
        <v>0</v>
      </c>
      <c r="BH319" s="56">
        <f>G319*AO319</f>
        <v>0</v>
      </c>
      <c r="BI319" s="56">
        <f>G319*H319</f>
        <v>0</v>
      </c>
      <c r="BJ319" s="56"/>
      <c r="BK319" s="56"/>
      <c r="BV319" s="56">
        <v>21</v>
      </c>
    </row>
    <row r="320" spans="1:74" ht="15" customHeight="1" x14ac:dyDescent="0.25">
      <c r="A320" s="53"/>
      <c r="D320" s="52" t="s">
        <v>706</v>
      </c>
      <c r="E320" s="37" t="s">
        <v>598</v>
      </c>
      <c r="G320" s="21">
        <v>19</v>
      </c>
      <c r="J320" s="48"/>
    </row>
    <row r="321" spans="1:74" ht="15" customHeight="1" x14ac:dyDescent="0.25">
      <c r="A321" s="27" t="s">
        <v>769</v>
      </c>
      <c r="B321" s="28" t="s">
        <v>847</v>
      </c>
      <c r="C321" s="28" t="s">
        <v>369</v>
      </c>
      <c r="D321" s="132" t="s">
        <v>485</v>
      </c>
      <c r="E321" s="133"/>
      <c r="F321" s="23" t="s">
        <v>1027</v>
      </c>
      <c r="G321" s="23" t="s">
        <v>1027</v>
      </c>
      <c r="H321" s="23" t="s">
        <v>1027</v>
      </c>
      <c r="I321" s="14">
        <f>SUM(I322:I330)</f>
        <v>0</v>
      </c>
      <c r="J321" s="44" t="s">
        <v>769</v>
      </c>
      <c r="AH321" s="30" t="s">
        <v>847</v>
      </c>
      <c r="AR321" s="14">
        <f>SUM(AI322:AI330)</f>
        <v>0</v>
      </c>
      <c r="AS321" s="14">
        <f>SUM(AJ322:AJ330)</f>
        <v>0</v>
      </c>
      <c r="AT321" s="14">
        <f>SUM(AK322:AK330)</f>
        <v>0</v>
      </c>
    </row>
    <row r="322" spans="1:74" ht="13.5" customHeight="1" x14ac:dyDescent="0.25">
      <c r="A322" s="10" t="s">
        <v>434</v>
      </c>
      <c r="B322" s="9" t="s">
        <v>847</v>
      </c>
      <c r="C322" s="9" t="s">
        <v>477</v>
      </c>
      <c r="D322" s="76" t="s">
        <v>1164</v>
      </c>
      <c r="E322" s="77"/>
      <c r="F322" s="9" t="s">
        <v>517</v>
      </c>
      <c r="G322" s="56">
        <v>481.16399999999999</v>
      </c>
      <c r="H322" s="56">
        <v>0</v>
      </c>
      <c r="I322" s="56">
        <f>G322*H322</f>
        <v>0</v>
      </c>
      <c r="J322" s="54" t="s">
        <v>501</v>
      </c>
      <c r="Y322" s="56">
        <f>IF(AP322="5",BI322,0)</f>
        <v>0</v>
      </c>
      <c r="AA322" s="56">
        <f>IF(AP322="1",BG322,0)</f>
        <v>0</v>
      </c>
      <c r="AB322" s="56">
        <f>IF(AP322="1",BH322,0)</f>
        <v>0</v>
      </c>
      <c r="AC322" s="56">
        <f>IF(AP322="7",BG322,0)</f>
        <v>0</v>
      </c>
      <c r="AD322" s="56">
        <f>IF(AP322="7",BH322,0)</f>
        <v>0</v>
      </c>
      <c r="AE322" s="56">
        <f>IF(AP322="2",BG322,0)</f>
        <v>0</v>
      </c>
      <c r="AF322" s="56">
        <f>IF(AP322="2",BH322,0)</f>
        <v>0</v>
      </c>
      <c r="AG322" s="56">
        <f>IF(AP322="0",BI322,0)</f>
        <v>0</v>
      </c>
      <c r="AH322" s="30" t="s">
        <v>847</v>
      </c>
      <c r="AI322" s="56">
        <f>IF(AM322=0,I322,0)</f>
        <v>0</v>
      </c>
      <c r="AJ322" s="56">
        <f>IF(AM322=15,I322,0)</f>
        <v>0</v>
      </c>
      <c r="AK322" s="56">
        <f>IF(AM322=21,I322,0)</f>
        <v>0</v>
      </c>
      <c r="AM322" s="56">
        <v>21</v>
      </c>
      <c r="AN322" s="56">
        <f>H322*0</f>
        <v>0</v>
      </c>
      <c r="AO322" s="56">
        <f>H322*(1-0)</f>
        <v>0</v>
      </c>
      <c r="AP322" s="41" t="s">
        <v>596</v>
      </c>
      <c r="AU322" s="56">
        <f>AV322+AW322</f>
        <v>0</v>
      </c>
      <c r="AV322" s="56">
        <f>G322*AN322</f>
        <v>0</v>
      </c>
      <c r="AW322" s="56">
        <f>G322*AO322</f>
        <v>0</v>
      </c>
      <c r="AX322" s="41" t="s">
        <v>465</v>
      </c>
      <c r="AY322" s="41" t="s">
        <v>1194</v>
      </c>
      <c r="AZ322" s="30" t="s">
        <v>1000</v>
      </c>
      <c r="BB322" s="56">
        <f>AV322+AW322</f>
        <v>0</v>
      </c>
      <c r="BC322" s="56">
        <f>H322/(100-BD322)*100</f>
        <v>0</v>
      </c>
      <c r="BD322" s="56">
        <v>0</v>
      </c>
      <c r="BE322" s="56" t="e">
        <f>#REF!</f>
        <v>#REF!</v>
      </c>
      <c r="BG322" s="56">
        <f>G322*AN322</f>
        <v>0</v>
      </c>
      <c r="BH322" s="56">
        <f>G322*AO322</f>
        <v>0</v>
      </c>
      <c r="BI322" s="56">
        <f>G322*H322</f>
        <v>0</v>
      </c>
      <c r="BJ322" s="56"/>
      <c r="BK322" s="56"/>
      <c r="BV322" s="56">
        <v>21</v>
      </c>
    </row>
    <row r="323" spans="1:74" ht="15" customHeight="1" x14ac:dyDescent="0.25">
      <c r="A323" s="53"/>
      <c r="D323" s="52" t="s">
        <v>269</v>
      </c>
      <c r="E323" s="37" t="s">
        <v>769</v>
      </c>
      <c r="G323" s="21">
        <v>481.16400000000004</v>
      </c>
      <c r="J323" s="48"/>
    </row>
    <row r="324" spans="1:74" ht="13.5" customHeight="1" x14ac:dyDescent="0.25">
      <c r="A324" s="10" t="s">
        <v>608</v>
      </c>
      <c r="B324" s="9" t="s">
        <v>847</v>
      </c>
      <c r="C324" s="9" t="s">
        <v>544</v>
      </c>
      <c r="D324" s="76" t="s">
        <v>1052</v>
      </c>
      <c r="E324" s="77"/>
      <c r="F324" s="9" t="s">
        <v>517</v>
      </c>
      <c r="G324" s="56">
        <v>9142.116</v>
      </c>
      <c r="H324" s="56">
        <v>0</v>
      </c>
      <c r="I324" s="56">
        <f>G324*H324</f>
        <v>0</v>
      </c>
      <c r="J324" s="54" t="s">
        <v>501</v>
      </c>
      <c r="Y324" s="56">
        <f>IF(AP324="5",BI324,0)</f>
        <v>0</v>
      </c>
      <c r="AA324" s="56">
        <f>IF(AP324="1",BG324,0)</f>
        <v>0</v>
      </c>
      <c r="AB324" s="56">
        <f>IF(AP324="1",BH324,0)</f>
        <v>0</v>
      </c>
      <c r="AC324" s="56">
        <f>IF(AP324="7",BG324,0)</f>
        <v>0</v>
      </c>
      <c r="AD324" s="56">
        <f>IF(AP324="7",BH324,0)</f>
        <v>0</v>
      </c>
      <c r="AE324" s="56">
        <f>IF(AP324="2",BG324,0)</f>
        <v>0</v>
      </c>
      <c r="AF324" s="56">
        <f>IF(AP324="2",BH324,0)</f>
        <v>0</v>
      </c>
      <c r="AG324" s="56">
        <f>IF(AP324="0",BI324,0)</f>
        <v>0</v>
      </c>
      <c r="AH324" s="30" t="s">
        <v>847</v>
      </c>
      <c r="AI324" s="56">
        <f>IF(AM324=0,I324,0)</f>
        <v>0</v>
      </c>
      <c r="AJ324" s="56">
        <f>IF(AM324=15,I324,0)</f>
        <v>0</v>
      </c>
      <c r="AK324" s="56">
        <f>IF(AM324=21,I324,0)</f>
        <v>0</v>
      </c>
      <c r="AM324" s="56">
        <v>21</v>
      </c>
      <c r="AN324" s="56">
        <f>H324*0</f>
        <v>0</v>
      </c>
      <c r="AO324" s="56">
        <f>H324*(1-0)</f>
        <v>0</v>
      </c>
      <c r="AP324" s="41" t="s">
        <v>596</v>
      </c>
      <c r="AU324" s="56">
        <f>AV324+AW324</f>
        <v>0</v>
      </c>
      <c r="AV324" s="56">
        <f>G324*AN324</f>
        <v>0</v>
      </c>
      <c r="AW324" s="56">
        <f>G324*AO324</f>
        <v>0</v>
      </c>
      <c r="AX324" s="41" t="s">
        <v>465</v>
      </c>
      <c r="AY324" s="41" t="s">
        <v>1194</v>
      </c>
      <c r="AZ324" s="30" t="s">
        <v>1000</v>
      </c>
      <c r="BB324" s="56">
        <f>AV324+AW324</f>
        <v>0</v>
      </c>
      <c r="BC324" s="56">
        <f>H324/(100-BD324)*100</f>
        <v>0</v>
      </c>
      <c r="BD324" s="56">
        <v>0</v>
      </c>
      <c r="BE324" s="56" t="e">
        <f>#REF!</f>
        <v>#REF!</v>
      </c>
      <c r="BG324" s="56">
        <f>G324*AN324</f>
        <v>0</v>
      </c>
      <c r="BH324" s="56">
        <f>G324*AO324</f>
        <v>0</v>
      </c>
      <c r="BI324" s="56">
        <f>G324*H324</f>
        <v>0</v>
      </c>
      <c r="BJ324" s="56"/>
      <c r="BK324" s="56"/>
      <c r="BV324" s="56">
        <v>21</v>
      </c>
    </row>
    <row r="325" spans="1:74" ht="15" customHeight="1" x14ac:dyDescent="0.25">
      <c r="A325" s="53"/>
      <c r="D325" s="52" t="s">
        <v>965</v>
      </c>
      <c r="E325" s="37" t="s">
        <v>446</v>
      </c>
      <c r="G325" s="21">
        <v>9142.116</v>
      </c>
      <c r="J325" s="48"/>
    </row>
    <row r="326" spans="1:74" ht="13.5" customHeight="1" x14ac:dyDescent="0.25">
      <c r="A326" s="10" t="s">
        <v>132</v>
      </c>
      <c r="B326" s="9" t="s">
        <v>847</v>
      </c>
      <c r="C326" s="9" t="s">
        <v>212</v>
      </c>
      <c r="D326" s="76" t="s">
        <v>675</v>
      </c>
      <c r="E326" s="77"/>
      <c r="F326" s="9" t="s">
        <v>517</v>
      </c>
      <c r="G326" s="56">
        <v>425.95499999999998</v>
      </c>
      <c r="H326" s="56">
        <v>0</v>
      </c>
      <c r="I326" s="56">
        <f>G326*H326</f>
        <v>0</v>
      </c>
      <c r="J326" s="54" t="s">
        <v>501</v>
      </c>
      <c r="Y326" s="56">
        <f>IF(AP326="5",BI326,0)</f>
        <v>0</v>
      </c>
      <c r="AA326" s="56">
        <f>IF(AP326="1",BG326,0)</f>
        <v>0</v>
      </c>
      <c r="AB326" s="56">
        <f>IF(AP326="1",BH326,0)</f>
        <v>0</v>
      </c>
      <c r="AC326" s="56">
        <f>IF(AP326="7",BG326,0)</f>
        <v>0</v>
      </c>
      <c r="AD326" s="56">
        <f>IF(AP326="7",BH326,0)</f>
        <v>0</v>
      </c>
      <c r="AE326" s="56">
        <f>IF(AP326="2",BG326,0)</f>
        <v>0</v>
      </c>
      <c r="AF326" s="56">
        <f>IF(AP326="2",BH326,0)</f>
        <v>0</v>
      </c>
      <c r="AG326" s="56">
        <f>IF(AP326="0",BI326,0)</f>
        <v>0</v>
      </c>
      <c r="AH326" s="30" t="s">
        <v>847</v>
      </c>
      <c r="AI326" s="56">
        <f>IF(AM326=0,I326,0)</f>
        <v>0</v>
      </c>
      <c r="AJ326" s="56">
        <f>IF(AM326=15,I326,0)</f>
        <v>0</v>
      </c>
      <c r="AK326" s="56">
        <f>IF(AM326=21,I326,0)</f>
        <v>0</v>
      </c>
      <c r="AM326" s="56">
        <v>21</v>
      </c>
      <c r="AN326" s="56">
        <f>H326*0</f>
        <v>0</v>
      </c>
      <c r="AO326" s="56">
        <f>H326*(1-0)</f>
        <v>0</v>
      </c>
      <c r="AP326" s="41" t="s">
        <v>596</v>
      </c>
      <c r="AU326" s="56">
        <f>AV326+AW326</f>
        <v>0</v>
      </c>
      <c r="AV326" s="56">
        <f>G326*AN326</f>
        <v>0</v>
      </c>
      <c r="AW326" s="56">
        <f>G326*AO326</f>
        <v>0</v>
      </c>
      <c r="AX326" s="41" t="s">
        <v>465</v>
      </c>
      <c r="AY326" s="41" t="s">
        <v>1194</v>
      </c>
      <c r="AZ326" s="30" t="s">
        <v>1000</v>
      </c>
      <c r="BB326" s="56">
        <f>AV326+AW326</f>
        <v>0</v>
      </c>
      <c r="BC326" s="56">
        <f>H326/(100-BD326)*100</f>
        <v>0</v>
      </c>
      <c r="BD326" s="56">
        <v>0</v>
      </c>
      <c r="BE326" s="56" t="e">
        <f>#REF!</f>
        <v>#REF!</v>
      </c>
      <c r="BG326" s="56">
        <f>G326*AN326</f>
        <v>0</v>
      </c>
      <c r="BH326" s="56">
        <f>G326*AO326</f>
        <v>0</v>
      </c>
      <c r="BI326" s="56">
        <f>G326*H326</f>
        <v>0</v>
      </c>
      <c r="BJ326" s="56"/>
      <c r="BK326" s="56"/>
      <c r="BV326" s="56">
        <v>21</v>
      </c>
    </row>
    <row r="327" spans="1:74" ht="13.5" customHeight="1" x14ac:dyDescent="0.25">
      <c r="A327" s="10" t="s">
        <v>590</v>
      </c>
      <c r="B327" s="9" t="s">
        <v>847</v>
      </c>
      <c r="C327" s="9" t="s">
        <v>363</v>
      </c>
      <c r="D327" s="76" t="s">
        <v>652</v>
      </c>
      <c r="E327" s="77"/>
      <c r="F327" s="9" t="s">
        <v>517</v>
      </c>
      <c r="G327" s="56">
        <v>196.75299999999999</v>
      </c>
      <c r="H327" s="56">
        <v>0</v>
      </c>
      <c r="I327" s="56">
        <f>G327*H327</f>
        <v>0</v>
      </c>
      <c r="J327" s="54" t="s">
        <v>501</v>
      </c>
      <c r="Y327" s="56">
        <f>IF(AP327="5",BI327,0)</f>
        <v>0</v>
      </c>
      <c r="AA327" s="56">
        <f>IF(AP327="1",BG327,0)</f>
        <v>0</v>
      </c>
      <c r="AB327" s="56">
        <f>IF(AP327="1",BH327,0)</f>
        <v>0</v>
      </c>
      <c r="AC327" s="56">
        <f>IF(AP327="7",BG327,0)</f>
        <v>0</v>
      </c>
      <c r="AD327" s="56">
        <f>IF(AP327="7",BH327,0)</f>
        <v>0</v>
      </c>
      <c r="AE327" s="56">
        <f>IF(AP327="2",BG327,0)</f>
        <v>0</v>
      </c>
      <c r="AF327" s="56">
        <f>IF(AP327="2",BH327,0)</f>
        <v>0</v>
      </c>
      <c r="AG327" s="56">
        <f>IF(AP327="0",BI327,0)</f>
        <v>0</v>
      </c>
      <c r="AH327" s="30" t="s">
        <v>847</v>
      </c>
      <c r="AI327" s="56">
        <f>IF(AM327=0,I327,0)</f>
        <v>0</v>
      </c>
      <c r="AJ327" s="56">
        <f>IF(AM327=15,I327,0)</f>
        <v>0</v>
      </c>
      <c r="AK327" s="56">
        <f>IF(AM327=21,I327,0)</f>
        <v>0</v>
      </c>
      <c r="AM327" s="56">
        <v>21</v>
      </c>
      <c r="AN327" s="56">
        <f>H327*0</f>
        <v>0</v>
      </c>
      <c r="AO327" s="56">
        <f>H327*(1-0)</f>
        <v>0</v>
      </c>
      <c r="AP327" s="41" t="s">
        <v>596</v>
      </c>
      <c r="AU327" s="56">
        <f>AV327+AW327</f>
        <v>0</v>
      </c>
      <c r="AV327" s="56">
        <f>G327*AN327</f>
        <v>0</v>
      </c>
      <c r="AW327" s="56">
        <f>G327*AO327</f>
        <v>0</v>
      </c>
      <c r="AX327" s="41" t="s">
        <v>465</v>
      </c>
      <c r="AY327" s="41" t="s">
        <v>1194</v>
      </c>
      <c r="AZ327" s="30" t="s">
        <v>1000</v>
      </c>
      <c r="BB327" s="56">
        <f>AV327+AW327</f>
        <v>0</v>
      </c>
      <c r="BC327" s="56">
        <f>H327/(100-BD327)*100</f>
        <v>0</v>
      </c>
      <c r="BD327" s="56">
        <v>0</v>
      </c>
      <c r="BE327" s="56" t="e">
        <f>#REF!</f>
        <v>#REF!</v>
      </c>
      <c r="BG327" s="56">
        <f>G327*AN327</f>
        <v>0</v>
      </c>
      <c r="BH327" s="56">
        <f>G327*AO327</f>
        <v>0</v>
      </c>
      <c r="BI327" s="56">
        <f>G327*H327</f>
        <v>0</v>
      </c>
      <c r="BJ327" s="56"/>
      <c r="BK327" s="56"/>
      <c r="BV327" s="56">
        <v>21</v>
      </c>
    </row>
    <row r="328" spans="1:74" ht="15" customHeight="1" x14ac:dyDescent="0.25">
      <c r="A328" s="53"/>
      <c r="D328" s="52" t="s">
        <v>687</v>
      </c>
      <c r="E328" s="37" t="s">
        <v>769</v>
      </c>
      <c r="G328" s="21">
        <v>196.75300000000001</v>
      </c>
      <c r="J328" s="48"/>
    </row>
    <row r="329" spans="1:74" ht="13.5" customHeight="1" x14ac:dyDescent="0.25">
      <c r="A329" s="10" t="s">
        <v>83</v>
      </c>
      <c r="B329" s="9" t="s">
        <v>847</v>
      </c>
      <c r="C329" s="9" t="s">
        <v>1115</v>
      </c>
      <c r="D329" s="76" t="s">
        <v>945</v>
      </c>
      <c r="E329" s="77"/>
      <c r="F329" s="9" t="s">
        <v>517</v>
      </c>
      <c r="G329" s="56">
        <v>283.86099999999999</v>
      </c>
      <c r="H329" s="56">
        <v>0</v>
      </c>
      <c r="I329" s="56">
        <f>G329*H329</f>
        <v>0</v>
      </c>
      <c r="J329" s="54" t="s">
        <v>501</v>
      </c>
      <c r="Y329" s="56">
        <f>IF(AP329="5",BI329,0)</f>
        <v>0</v>
      </c>
      <c r="AA329" s="56">
        <f>IF(AP329="1",BG329,0)</f>
        <v>0</v>
      </c>
      <c r="AB329" s="56">
        <f>IF(AP329="1",BH329,0)</f>
        <v>0</v>
      </c>
      <c r="AC329" s="56">
        <f>IF(AP329="7",BG329,0)</f>
        <v>0</v>
      </c>
      <c r="AD329" s="56">
        <f>IF(AP329="7",BH329,0)</f>
        <v>0</v>
      </c>
      <c r="AE329" s="56">
        <f>IF(AP329="2",BG329,0)</f>
        <v>0</v>
      </c>
      <c r="AF329" s="56">
        <f>IF(AP329="2",BH329,0)</f>
        <v>0</v>
      </c>
      <c r="AG329" s="56">
        <f>IF(AP329="0",BI329,0)</f>
        <v>0</v>
      </c>
      <c r="AH329" s="30" t="s">
        <v>847</v>
      </c>
      <c r="AI329" s="56">
        <f>IF(AM329=0,I329,0)</f>
        <v>0</v>
      </c>
      <c r="AJ329" s="56">
        <f>IF(AM329=15,I329,0)</f>
        <v>0</v>
      </c>
      <c r="AK329" s="56">
        <f>IF(AM329=21,I329,0)</f>
        <v>0</v>
      </c>
      <c r="AM329" s="56">
        <v>21</v>
      </c>
      <c r="AN329" s="56">
        <f>H329*0</f>
        <v>0</v>
      </c>
      <c r="AO329" s="56">
        <f>H329*(1-0)</f>
        <v>0</v>
      </c>
      <c r="AP329" s="41" t="s">
        <v>596</v>
      </c>
      <c r="AU329" s="56">
        <f>AV329+AW329</f>
        <v>0</v>
      </c>
      <c r="AV329" s="56">
        <f>G329*AN329</f>
        <v>0</v>
      </c>
      <c r="AW329" s="56">
        <f>G329*AO329</f>
        <v>0</v>
      </c>
      <c r="AX329" s="41" t="s">
        <v>465</v>
      </c>
      <c r="AY329" s="41" t="s">
        <v>1194</v>
      </c>
      <c r="AZ329" s="30" t="s">
        <v>1000</v>
      </c>
      <c r="BB329" s="56">
        <f>AV329+AW329</f>
        <v>0</v>
      </c>
      <c r="BC329" s="56">
        <f>H329/(100-BD329)*100</f>
        <v>0</v>
      </c>
      <c r="BD329" s="56">
        <v>0</v>
      </c>
      <c r="BE329" s="56" t="e">
        <f>#REF!</f>
        <v>#REF!</v>
      </c>
      <c r="BG329" s="56">
        <f>G329*AN329</f>
        <v>0</v>
      </c>
      <c r="BH329" s="56">
        <f>G329*AO329</f>
        <v>0</v>
      </c>
      <c r="BI329" s="56">
        <f>G329*H329</f>
        <v>0</v>
      </c>
      <c r="BJ329" s="56"/>
      <c r="BK329" s="56"/>
      <c r="BV329" s="56">
        <v>21</v>
      </c>
    </row>
    <row r="330" spans="1:74" ht="13.5" customHeight="1" x14ac:dyDescent="0.25">
      <c r="A330" s="10" t="s">
        <v>1195</v>
      </c>
      <c r="B330" s="9" t="s">
        <v>847</v>
      </c>
      <c r="C330" s="9" t="s">
        <v>226</v>
      </c>
      <c r="D330" s="76" t="s">
        <v>53</v>
      </c>
      <c r="E330" s="77"/>
      <c r="F330" s="9" t="s">
        <v>517</v>
      </c>
      <c r="G330" s="56">
        <v>0.55000000000000004</v>
      </c>
      <c r="H330" s="56">
        <v>0</v>
      </c>
      <c r="I330" s="56">
        <f>G330*H330</f>
        <v>0</v>
      </c>
      <c r="J330" s="54" t="s">
        <v>501</v>
      </c>
      <c r="Y330" s="56">
        <f>IF(AP330="5",BI330,0)</f>
        <v>0</v>
      </c>
      <c r="AA330" s="56">
        <f>IF(AP330="1",BG330,0)</f>
        <v>0</v>
      </c>
      <c r="AB330" s="56">
        <f>IF(AP330="1",BH330,0)</f>
        <v>0</v>
      </c>
      <c r="AC330" s="56">
        <f>IF(AP330="7",BG330,0)</f>
        <v>0</v>
      </c>
      <c r="AD330" s="56">
        <f>IF(AP330="7",BH330,0)</f>
        <v>0</v>
      </c>
      <c r="AE330" s="56">
        <f>IF(AP330="2",BG330,0)</f>
        <v>0</v>
      </c>
      <c r="AF330" s="56">
        <f>IF(AP330="2",BH330,0)</f>
        <v>0</v>
      </c>
      <c r="AG330" s="56">
        <f>IF(AP330="0",BI330,0)</f>
        <v>0</v>
      </c>
      <c r="AH330" s="30" t="s">
        <v>847</v>
      </c>
      <c r="AI330" s="56">
        <f>IF(AM330=0,I330,0)</f>
        <v>0</v>
      </c>
      <c r="AJ330" s="56">
        <f>IF(AM330=15,I330,0)</f>
        <v>0</v>
      </c>
      <c r="AK330" s="56">
        <f>IF(AM330=21,I330,0)</f>
        <v>0</v>
      </c>
      <c r="AM330" s="56">
        <v>21</v>
      </c>
      <c r="AN330" s="56">
        <f>H330*0</f>
        <v>0</v>
      </c>
      <c r="AO330" s="56">
        <f>H330*(1-0)</f>
        <v>0</v>
      </c>
      <c r="AP330" s="41" t="s">
        <v>596</v>
      </c>
      <c r="AU330" s="56">
        <f>AV330+AW330</f>
        <v>0</v>
      </c>
      <c r="AV330" s="56">
        <f>G330*AN330</f>
        <v>0</v>
      </c>
      <c r="AW330" s="56">
        <f>G330*AO330</f>
        <v>0</v>
      </c>
      <c r="AX330" s="41" t="s">
        <v>465</v>
      </c>
      <c r="AY330" s="41" t="s">
        <v>1194</v>
      </c>
      <c r="AZ330" s="30" t="s">
        <v>1000</v>
      </c>
      <c r="BB330" s="56">
        <f>AV330+AW330</f>
        <v>0</v>
      </c>
      <c r="BC330" s="56">
        <f>H330/(100-BD330)*100</f>
        <v>0</v>
      </c>
      <c r="BD330" s="56">
        <v>0</v>
      </c>
      <c r="BE330" s="56" t="e">
        <f>#REF!</f>
        <v>#REF!</v>
      </c>
      <c r="BG330" s="56">
        <f>G330*AN330</f>
        <v>0</v>
      </c>
      <c r="BH330" s="56">
        <f>G330*AO330</f>
        <v>0</v>
      </c>
      <c r="BI330" s="56">
        <f>G330*H330</f>
        <v>0</v>
      </c>
      <c r="BJ330" s="56"/>
      <c r="BK330" s="56"/>
      <c r="BV330" s="56">
        <v>21</v>
      </c>
    </row>
    <row r="331" spans="1:74" ht="15" customHeight="1" x14ac:dyDescent="0.25">
      <c r="A331" s="27" t="s">
        <v>769</v>
      </c>
      <c r="B331" s="28" t="s">
        <v>262</v>
      </c>
      <c r="C331" s="28" t="s">
        <v>769</v>
      </c>
      <c r="D331" s="132" t="s">
        <v>792</v>
      </c>
      <c r="E331" s="133"/>
      <c r="F331" s="23" t="s">
        <v>1027</v>
      </c>
      <c r="G331" s="23" t="s">
        <v>1027</v>
      </c>
      <c r="H331" s="23" t="s">
        <v>1027</v>
      </c>
      <c r="I331" s="14">
        <f>I332+I346+I349+I357+I361+I366+I371+I385+I389+I397+I401+I404+I420+I453+I492+I502+I505+I511+I513+I515+I518</f>
        <v>0</v>
      </c>
      <c r="J331" s="44" t="s">
        <v>769</v>
      </c>
    </row>
    <row r="332" spans="1:74" ht="15" customHeight="1" x14ac:dyDescent="0.25">
      <c r="A332" s="27" t="s">
        <v>769</v>
      </c>
      <c r="B332" s="28" t="s">
        <v>262</v>
      </c>
      <c r="C332" s="28" t="s">
        <v>917</v>
      </c>
      <c r="D332" s="132" t="s">
        <v>611</v>
      </c>
      <c r="E332" s="133"/>
      <c r="F332" s="23" t="s">
        <v>1027</v>
      </c>
      <c r="G332" s="23" t="s">
        <v>1027</v>
      </c>
      <c r="H332" s="23" t="s">
        <v>1027</v>
      </c>
      <c r="I332" s="14">
        <f>SUM(I333:I344)</f>
        <v>0</v>
      </c>
      <c r="J332" s="44" t="s">
        <v>769</v>
      </c>
      <c r="AH332" s="30" t="s">
        <v>262</v>
      </c>
      <c r="AR332" s="14">
        <f>SUM(AI333:AI344)</f>
        <v>0</v>
      </c>
      <c r="AS332" s="14">
        <f>SUM(AJ333:AJ344)</f>
        <v>0</v>
      </c>
      <c r="AT332" s="14">
        <f>SUM(AK333:AK344)</f>
        <v>0</v>
      </c>
    </row>
    <row r="333" spans="1:74" ht="13.5" customHeight="1" x14ac:dyDescent="0.25">
      <c r="A333" s="10" t="s">
        <v>642</v>
      </c>
      <c r="B333" s="9" t="s">
        <v>262</v>
      </c>
      <c r="C333" s="9" t="s">
        <v>373</v>
      </c>
      <c r="D333" s="76" t="s">
        <v>885</v>
      </c>
      <c r="E333" s="77"/>
      <c r="F333" s="9" t="s">
        <v>1095</v>
      </c>
      <c r="G333" s="56">
        <v>27.7</v>
      </c>
      <c r="H333" s="56">
        <v>0</v>
      </c>
      <c r="I333" s="56">
        <f>G333*H333</f>
        <v>0</v>
      </c>
      <c r="J333" s="54" t="s">
        <v>501</v>
      </c>
      <c r="Y333" s="56">
        <f>IF(AP333="5",BI333,0)</f>
        <v>0</v>
      </c>
      <c r="AA333" s="56">
        <f>IF(AP333="1",BG333,0)</f>
        <v>0</v>
      </c>
      <c r="AB333" s="56">
        <f>IF(AP333="1",BH333,0)</f>
        <v>0</v>
      </c>
      <c r="AC333" s="56">
        <f>IF(AP333="7",BG333,0)</f>
        <v>0</v>
      </c>
      <c r="AD333" s="56">
        <f>IF(AP333="7",BH333,0)</f>
        <v>0</v>
      </c>
      <c r="AE333" s="56">
        <f>IF(AP333="2",BG333,0)</f>
        <v>0</v>
      </c>
      <c r="AF333" s="56">
        <f>IF(AP333="2",BH333,0)</f>
        <v>0</v>
      </c>
      <c r="AG333" s="56">
        <f>IF(AP333="0",BI333,0)</f>
        <v>0</v>
      </c>
      <c r="AH333" s="30" t="s">
        <v>262</v>
      </c>
      <c r="AI333" s="56">
        <f>IF(AM333=0,I333,0)</f>
        <v>0</v>
      </c>
      <c r="AJ333" s="56">
        <f>IF(AM333=15,I333,0)</f>
        <v>0</v>
      </c>
      <c r="AK333" s="56">
        <f>IF(AM333=21,I333,0)</f>
        <v>0</v>
      </c>
      <c r="AM333" s="56">
        <v>21</v>
      </c>
      <c r="AN333" s="56">
        <f>H333*0</f>
        <v>0</v>
      </c>
      <c r="AO333" s="56">
        <f>H333*(1-0)</f>
        <v>0</v>
      </c>
      <c r="AP333" s="41" t="s">
        <v>1109</v>
      </c>
      <c r="AU333" s="56">
        <f>AV333+AW333</f>
        <v>0</v>
      </c>
      <c r="AV333" s="56">
        <f>G333*AN333</f>
        <v>0</v>
      </c>
      <c r="AW333" s="56">
        <f>G333*AO333</f>
        <v>0</v>
      </c>
      <c r="AX333" s="41" t="s">
        <v>124</v>
      </c>
      <c r="AY333" s="41" t="s">
        <v>666</v>
      </c>
      <c r="AZ333" s="30" t="s">
        <v>478</v>
      </c>
      <c r="BB333" s="56">
        <f>AV333+AW333</f>
        <v>0</v>
      </c>
      <c r="BC333" s="56">
        <f>H333/(100-BD333)*100</f>
        <v>0</v>
      </c>
      <c r="BD333" s="56">
        <v>0</v>
      </c>
      <c r="BE333" s="56" t="e">
        <f>#REF!</f>
        <v>#REF!</v>
      </c>
      <c r="BG333" s="56">
        <f>G333*AN333</f>
        <v>0</v>
      </c>
      <c r="BH333" s="56">
        <f>G333*AO333</f>
        <v>0</v>
      </c>
      <c r="BI333" s="56">
        <f>G333*H333</f>
        <v>0</v>
      </c>
      <c r="BJ333" s="56"/>
      <c r="BK333" s="56">
        <v>11</v>
      </c>
      <c r="BV333" s="56">
        <v>21</v>
      </c>
    </row>
    <row r="334" spans="1:74" ht="15" customHeight="1" x14ac:dyDescent="0.25">
      <c r="A334" s="53"/>
      <c r="D334" s="52" t="s">
        <v>240</v>
      </c>
      <c r="E334" s="37" t="s">
        <v>33</v>
      </c>
      <c r="G334" s="21">
        <v>5.7</v>
      </c>
      <c r="J334" s="48"/>
    </row>
    <row r="335" spans="1:74" ht="15" customHeight="1" x14ac:dyDescent="0.25">
      <c r="A335" s="53"/>
      <c r="D335" s="52" t="s">
        <v>427</v>
      </c>
      <c r="E335" s="37" t="s">
        <v>777</v>
      </c>
      <c r="G335" s="21">
        <v>22.000000000000004</v>
      </c>
      <c r="J335" s="48"/>
    </row>
    <row r="336" spans="1:74" ht="13.5" customHeight="1" x14ac:dyDescent="0.25">
      <c r="A336" s="10" t="s">
        <v>464</v>
      </c>
      <c r="B336" s="9" t="s">
        <v>262</v>
      </c>
      <c r="C336" s="9" t="s">
        <v>649</v>
      </c>
      <c r="D336" s="76" t="s">
        <v>567</v>
      </c>
      <c r="E336" s="77"/>
      <c r="F336" s="9" t="s">
        <v>1095</v>
      </c>
      <c r="G336" s="56">
        <v>55</v>
      </c>
      <c r="H336" s="56">
        <v>0</v>
      </c>
      <c r="I336" s="56">
        <f>G336*H336</f>
        <v>0</v>
      </c>
      <c r="J336" s="54" t="s">
        <v>501</v>
      </c>
      <c r="Y336" s="56">
        <f>IF(AP336="5",BI336,0)</f>
        <v>0</v>
      </c>
      <c r="AA336" s="56">
        <f>IF(AP336="1",BG336,0)</f>
        <v>0</v>
      </c>
      <c r="AB336" s="56">
        <f>IF(AP336="1",BH336,0)</f>
        <v>0</v>
      </c>
      <c r="AC336" s="56">
        <f>IF(AP336="7",BG336,0)</f>
        <v>0</v>
      </c>
      <c r="AD336" s="56">
        <f>IF(AP336="7",BH336,0)</f>
        <v>0</v>
      </c>
      <c r="AE336" s="56">
        <f>IF(AP336="2",BG336,0)</f>
        <v>0</v>
      </c>
      <c r="AF336" s="56">
        <f>IF(AP336="2",BH336,0)</f>
        <v>0</v>
      </c>
      <c r="AG336" s="56">
        <f>IF(AP336="0",BI336,0)</f>
        <v>0</v>
      </c>
      <c r="AH336" s="30" t="s">
        <v>262</v>
      </c>
      <c r="AI336" s="56">
        <f>IF(AM336=0,I336,0)</f>
        <v>0</v>
      </c>
      <c r="AJ336" s="56">
        <f>IF(AM336=15,I336,0)</f>
        <v>0</v>
      </c>
      <c r="AK336" s="56">
        <f>IF(AM336=21,I336,0)</f>
        <v>0</v>
      </c>
      <c r="AM336" s="56">
        <v>21</v>
      </c>
      <c r="AN336" s="56">
        <f>H336*0</f>
        <v>0</v>
      </c>
      <c r="AO336" s="56">
        <f>H336*(1-0)</f>
        <v>0</v>
      </c>
      <c r="AP336" s="41" t="s">
        <v>1109</v>
      </c>
      <c r="AU336" s="56">
        <f>AV336+AW336</f>
        <v>0</v>
      </c>
      <c r="AV336" s="56">
        <f>G336*AN336</f>
        <v>0</v>
      </c>
      <c r="AW336" s="56">
        <f>G336*AO336</f>
        <v>0</v>
      </c>
      <c r="AX336" s="41" t="s">
        <v>124</v>
      </c>
      <c r="AY336" s="41" t="s">
        <v>666</v>
      </c>
      <c r="AZ336" s="30" t="s">
        <v>478</v>
      </c>
      <c r="BB336" s="56">
        <f>AV336+AW336</f>
        <v>0</v>
      </c>
      <c r="BC336" s="56">
        <f>H336/(100-BD336)*100</f>
        <v>0</v>
      </c>
      <c r="BD336" s="56">
        <v>0</v>
      </c>
      <c r="BE336" s="56" t="e">
        <f>#REF!</f>
        <v>#REF!</v>
      </c>
      <c r="BG336" s="56">
        <f>G336*AN336</f>
        <v>0</v>
      </c>
      <c r="BH336" s="56">
        <f>G336*AO336</f>
        <v>0</v>
      </c>
      <c r="BI336" s="56">
        <f>G336*H336</f>
        <v>0</v>
      </c>
      <c r="BJ336" s="56"/>
      <c r="BK336" s="56">
        <v>11</v>
      </c>
      <c r="BV336" s="56">
        <v>21</v>
      </c>
    </row>
    <row r="337" spans="1:74" ht="13.5" customHeight="1" x14ac:dyDescent="0.25">
      <c r="A337" s="10" t="s">
        <v>326</v>
      </c>
      <c r="B337" s="9" t="s">
        <v>262</v>
      </c>
      <c r="C337" s="9" t="s">
        <v>902</v>
      </c>
      <c r="D337" s="76" t="s">
        <v>921</v>
      </c>
      <c r="E337" s="77"/>
      <c r="F337" s="9" t="s">
        <v>909</v>
      </c>
      <c r="G337" s="56">
        <v>3.3</v>
      </c>
      <c r="H337" s="56">
        <v>0</v>
      </c>
      <c r="I337" s="56">
        <f>G337*H337</f>
        <v>0</v>
      </c>
      <c r="J337" s="54" t="s">
        <v>501</v>
      </c>
      <c r="Y337" s="56">
        <f>IF(AP337="5",BI337,0)</f>
        <v>0</v>
      </c>
      <c r="AA337" s="56">
        <f>IF(AP337="1",BG337,0)</f>
        <v>0</v>
      </c>
      <c r="AB337" s="56">
        <f>IF(AP337="1",BH337,0)</f>
        <v>0</v>
      </c>
      <c r="AC337" s="56">
        <f>IF(AP337="7",BG337,0)</f>
        <v>0</v>
      </c>
      <c r="AD337" s="56">
        <f>IF(AP337="7",BH337,0)</f>
        <v>0</v>
      </c>
      <c r="AE337" s="56">
        <f>IF(AP337="2",BG337,0)</f>
        <v>0</v>
      </c>
      <c r="AF337" s="56">
        <f>IF(AP337="2",BH337,0)</f>
        <v>0</v>
      </c>
      <c r="AG337" s="56">
        <f>IF(AP337="0",BI337,0)</f>
        <v>0</v>
      </c>
      <c r="AH337" s="30" t="s">
        <v>262</v>
      </c>
      <c r="AI337" s="56">
        <f>IF(AM337=0,I337,0)</f>
        <v>0</v>
      </c>
      <c r="AJ337" s="56">
        <f>IF(AM337=15,I337,0)</f>
        <v>0</v>
      </c>
      <c r="AK337" s="56">
        <f>IF(AM337=21,I337,0)</f>
        <v>0</v>
      </c>
      <c r="AM337" s="56">
        <v>21</v>
      </c>
      <c r="AN337" s="56">
        <f>H337*0.315450160771704</f>
        <v>0</v>
      </c>
      <c r="AO337" s="56">
        <f>H337*(1-0.315450160771704)</f>
        <v>0</v>
      </c>
      <c r="AP337" s="41" t="s">
        <v>1109</v>
      </c>
      <c r="AU337" s="56">
        <f>AV337+AW337</f>
        <v>0</v>
      </c>
      <c r="AV337" s="56">
        <f>G337*AN337</f>
        <v>0</v>
      </c>
      <c r="AW337" s="56">
        <f>G337*AO337</f>
        <v>0</v>
      </c>
      <c r="AX337" s="41" t="s">
        <v>124</v>
      </c>
      <c r="AY337" s="41" t="s">
        <v>666</v>
      </c>
      <c r="AZ337" s="30" t="s">
        <v>478</v>
      </c>
      <c r="BB337" s="56">
        <f>AV337+AW337</f>
        <v>0</v>
      </c>
      <c r="BC337" s="56">
        <f>H337/(100-BD337)*100</f>
        <v>0</v>
      </c>
      <c r="BD337" s="56">
        <v>0</v>
      </c>
      <c r="BE337" s="56" t="e">
        <f>#REF!</f>
        <v>#REF!</v>
      </c>
      <c r="BG337" s="56">
        <f>G337*AN337</f>
        <v>0</v>
      </c>
      <c r="BH337" s="56">
        <f>G337*AO337</f>
        <v>0</v>
      </c>
      <c r="BI337" s="56">
        <f>G337*H337</f>
        <v>0</v>
      </c>
      <c r="BJ337" s="56"/>
      <c r="BK337" s="56">
        <v>11</v>
      </c>
      <c r="BV337" s="56">
        <v>21</v>
      </c>
    </row>
    <row r="338" spans="1:74" ht="15" customHeight="1" x14ac:dyDescent="0.25">
      <c r="A338" s="53"/>
      <c r="D338" s="52" t="s">
        <v>382</v>
      </c>
      <c r="E338" s="37" t="s">
        <v>1082</v>
      </c>
      <c r="G338" s="21">
        <v>1.1000000000000001</v>
      </c>
      <c r="J338" s="48"/>
    </row>
    <row r="339" spans="1:74" ht="15" customHeight="1" x14ac:dyDescent="0.25">
      <c r="A339" s="53"/>
      <c r="D339" s="52" t="s">
        <v>382</v>
      </c>
      <c r="E339" s="37" t="s">
        <v>308</v>
      </c>
      <c r="G339" s="21">
        <v>1.1000000000000001</v>
      </c>
      <c r="J339" s="48"/>
    </row>
    <row r="340" spans="1:74" ht="15" customHeight="1" x14ac:dyDescent="0.25">
      <c r="A340" s="53"/>
      <c r="D340" s="52" t="s">
        <v>382</v>
      </c>
      <c r="E340" s="37" t="s">
        <v>416</v>
      </c>
      <c r="G340" s="21">
        <v>1.1000000000000001</v>
      </c>
      <c r="J340" s="48"/>
    </row>
    <row r="341" spans="1:74" ht="13.5" customHeight="1" x14ac:dyDescent="0.25">
      <c r="A341" s="10" t="s">
        <v>773</v>
      </c>
      <c r="B341" s="9" t="s">
        <v>262</v>
      </c>
      <c r="C341" s="9" t="s">
        <v>514</v>
      </c>
      <c r="D341" s="76" t="s">
        <v>149</v>
      </c>
      <c r="E341" s="77"/>
      <c r="F341" s="9" t="s">
        <v>909</v>
      </c>
      <c r="G341" s="56">
        <v>15</v>
      </c>
      <c r="H341" s="56">
        <v>0</v>
      </c>
      <c r="I341" s="56">
        <f>G341*H341</f>
        <v>0</v>
      </c>
      <c r="J341" s="54" t="s">
        <v>501</v>
      </c>
      <c r="Y341" s="56">
        <f>IF(AP341="5",BI341,0)</f>
        <v>0</v>
      </c>
      <c r="AA341" s="56">
        <f>IF(AP341="1",BG341,0)</f>
        <v>0</v>
      </c>
      <c r="AB341" s="56">
        <f>IF(AP341="1",BH341,0)</f>
        <v>0</v>
      </c>
      <c r="AC341" s="56">
        <f>IF(AP341="7",BG341,0)</f>
        <v>0</v>
      </c>
      <c r="AD341" s="56">
        <f>IF(AP341="7",BH341,0)</f>
        <v>0</v>
      </c>
      <c r="AE341" s="56">
        <f>IF(AP341="2",BG341,0)</f>
        <v>0</v>
      </c>
      <c r="AF341" s="56">
        <f>IF(AP341="2",BH341,0)</f>
        <v>0</v>
      </c>
      <c r="AG341" s="56">
        <f>IF(AP341="0",BI341,0)</f>
        <v>0</v>
      </c>
      <c r="AH341" s="30" t="s">
        <v>262</v>
      </c>
      <c r="AI341" s="56">
        <f>IF(AM341=0,I341,0)</f>
        <v>0</v>
      </c>
      <c r="AJ341" s="56">
        <f>IF(AM341=15,I341,0)</f>
        <v>0</v>
      </c>
      <c r="AK341" s="56">
        <f>IF(AM341=21,I341,0)</f>
        <v>0</v>
      </c>
      <c r="AM341" s="56">
        <v>21</v>
      </c>
      <c r="AN341" s="56">
        <f>H341*0</f>
        <v>0</v>
      </c>
      <c r="AO341" s="56">
        <f>H341*(1-0)</f>
        <v>0</v>
      </c>
      <c r="AP341" s="41" t="s">
        <v>1109</v>
      </c>
      <c r="AU341" s="56">
        <f>AV341+AW341</f>
        <v>0</v>
      </c>
      <c r="AV341" s="56">
        <f>G341*AN341</f>
        <v>0</v>
      </c>
      <c r="AW341" s="56">
        <f>G341*AO341</f>
        <v>0</v>
      </c>
      <c r="AX341" s="41" t="s">
        <v>124</v>
      </c>
      <c r="AY341" s="41" t="s">
        <v>666</v>
      </c>
      <c r="AZ341" s="30" t="s">
        <v>478</v>
      </c>
      <c r="BB341" s="56">
        <f>AV341+AW341</f>
        <v>0</v>
      </c>
      <c r="BC341" s="56">
        <f>H341/(100-BD341)*100</f>
        <v>0</v>
      </c>
      <c r="BD341" s="56">
        <v>0</v>
      </c>
      <c r="BE341" s="56" t="e">
        <f>#REF!</f>
        <v>#REF!</v>
      </c>
      <c r="BG341" s="56">
        <f>G341*AN341</f>
        <v>0</v>
      </c>
      <c r="BH341" s="56">
        <f>G341*AO341</f>
        <v>0</v>
      </c>
      <c r="BI341" s="56">
        <f>G341*H341</f>
        <v>0</v>
      </c>
      <c r="BJ341" s="56"/>
      <c r="BK341" s="56">
        <v>11</v>
      </c>
      <c r="BV341" s="56">
        <v>21</v>
      </c>
    </row>
    <row r="342" spans="1:74" ht="15" customHeight="1" x14ac:dyDescent="0.25">
      <c r="A342" s="53"/>
      <c r="D342" s="52" t="s">
        <v>442</v>
      </c>
      <c r="E342" s="37" t="s">
        <v>976</v>
      </c>
      <c r="G342" s="21">
        <v>15.000000000000002</v>
      </c>
      <c r="J342" s="48"/>
    </row>
    <row r="343" spans="1:74" ht="13.5" customHeight="1" x14ac:dyDescent="0.25">
      <c r="A343" s="10" t="s">
        <v>1034</v>
      </c>
      <c r="B343" s="9" t="s">
        <v>262</v>
      </c>
      <c r="C343" s="9" t="s">
        <v>790</v>
      </c>
      <c r="D343" s="76" t="s">
        <v>1040</v>
      </c>
      <c r="E343" s="77"/>
      <c r="F343" s="9" t="s">
        <v>909</v>
      </c>
      <c r="G343" s="56">
        <v>17</v>
      </c>
      <c r="H343" s="56">
        <v>0</v>
      </c>
      <c r="I343" s="56">
        <f>G343*H343</f>
        <v>0</v>
      </c>
      <c r="J343" s="54" t="s">
        <v>501</v>
      </c>
      <c r="Y343" s="56">
        <f>IF(AP343="5",BI343,0)</f>
        <v>0</v>
      </c>
      <c r="AA343" s="56">
        <f>IF(AP343="1",BG343,0)</f>
        <v>0</v>
      </c>
      <c r="AB343" s="56">
        <f>IF(AP343="1",BH343,0)</f>
        <v>0</v>
      </c>
      <c r="AC343" s="56">
        <f>IF(AP343="7",BG343,0)</f>
        <v>0</v>
      </c>
      <c r="AD343" s="56">
        <f>IF(AP343="7",BH343,0)</f>
        <v>0</v>
      </c>
      <c r="AE343" s="56">
        <f>IF(AP343="2",BG343,0)</f>
        <v>0</v>
      </c>
      <c r="AF343" s="56">
        <f>IF(AP343="2",BH343,0)</f>
        <v>0</v>
      </c>
      <c r="AG343" s="56">
        <f>IF(AP343="0",BI343,0)</f>
        <v>0</v>
      </c>
      <c r="AH343" s="30" t="s">
        <v>262</v>
      </c>
      <c r="AI343" s="56">
        <f>IF(AM343=0,I343,0)</f>
        <v>0</v>
      </c>
      <c r="AJ343" s="56">
        <f>IF(AM343=15,I343,0)</f>
        <v>0</v>
      </c>
      <c r="AK343" s="56">
        <f>IF(AM343=21,I343,0)</f>
        <v>0</v>
      </c>
      <c r="AM343" s="56">
        <v>21</v>
      </c>
      <c r="AN343" s="56">
        <f>H343*0</f>
        <v>0</v>
      </c>
      <c r="AO343" s="56">
        <f>H343*(1-0)</f>
        <v>0</v>
      </c>
      <c r="AP343" s="41" t="s">
        <v>1109</v>
      </c>
      <c r="AU343" s="56">
        <f>AV343+AW343</f>
        <v>0</v>
      </c>
      <c r="AV343" s="56">
        <f>G343*AN343</f>
        <v>0</v>
      </c>
      <c r="AW343" s="56">
        <f>G343*AO343</f>
        <v>0</v>
      </c>
      <c r="AX343" s="41" t="s">
        <v>124</v>
      </c>
      <c r="AY343" s="41" t="s">
        <v>666</v>
      </c>
      <c r="AZ343" s="30" t="s">
        <v>478</v>
      </c>
      <c r="BB343" s="56">
        <f>AV343+AW343</f>
        <v>0</v>
      </c>
      <c r="BC343" s="56">
        <f>H343/(100-BD343)*100</f>
        <v>0</v>
      </c>
      <c r="BD343" s="56">
        <v>0</v>
      </c>
      <c r="BE343" s="56" t="e">
        <f>#REF!</f>
        <v>#REF!</v>
      </c>
      <c r="BG343" s="56">
        <f>G343*AN343</f>
        <v>0</v>
      </c>
      <c r="BH343" s="56">
        <f>G343*AO343</f>
        <v>0</v>
      </c>
      <c r="BI343" s="56">
        <f>G343*H343</f>
        <v>0</v>
      </c>
      <c r="BJ343" s="56"/>
      <c r="BK343" s="56">
        <v>11</v>
      </c>
      <c r="BV343" s="56">
        <v>21</v>
      </c>
    </row>
    <row r="344" spans="1:74" ht="13.5" customHeight="1" x14ac:dyDescent="0.25">
      <c r="A344" s="10" t="s">
        <v>261</v>
      </c>
      <c r="B344" s="9" t="s">
        <v>262</v>
      </c>
      <c r="C344" s="9" t="s">
        <v>747</v>
      </c>
      <c r="D344" s="76" t="s">
        <v>332</v>
      </c>
      <c r="E344" s="77"/>
      <c r="F344" s="9" t="s">
        <v>494</v>
      </c>
      <c r="G344" s="56">
        <v>60</v>
      </c>
      <c r="H344" s="56">
        <v>0</v>
      </c>
      <c r="I344" s="56">
        <f>G344*H344</f>
        <v>0</v>
      </c>
      <c r="J344" s="54" t="s">
        <v>501</v>
      </c>
      <c r="Y344" s="56">
        <f>IF(AP344="5",BI344,0)</f>
        <v>0</v>
      </c>
      <c r="AA344" s="56">
        <f>IF(AP344="1",BG344,0)</f>
        <v>0</v>
      </c>
      <c r="AB344" s="56">
        <f>IF(AP344="1",BH344,0)</f>
        <v>0</v>
      </c>
      <c r="AC344" s="56">
        <f>IF(AP344="7",BG344,0)</f>
        <v>0</v>
      </c>
      <c r="AD344" s="56">
        <f>IF(AP344="7",BH344,0)</f>
        <v>0</v>
      </c>
      <c r="AE344" s="56">
        <f>IF(AP344="2",BG344,0)</f>
        <v>0</v>
      </c>
      <c r="AF344" s="56">
        <f>IF(AP344="2",BH344,0)</f>
        <v>0</v>
      </c>
      <c r="AG344" s="56">
        <f>IF(AP344="0",BI344,0)</f>
        <v>0</v>
      </c>
      <c r="AH344" s="30" t="s">
        <v>262</v>
      </c>
      <c r="AI344" s="56">
        <f>IF(AM344=0,I344,0)</f>
        <v>0</v>
      </c>
      <c r="AJ344" s="56">
        <f>IF(AM344=15,I344,0)</f>
        <v>0</v>
      </c>
      <c r="AK344" s="56">
        <f>IF(AM344=21,I344,0)</f>
        <v>0</v>
      </c>
      <c r="AM344" s="56">
        <v>21</v>
      </c>
      <c r="AN344" s="56">
        <f>H344*0</f>
        <v>0</v>
      </c>
      <c r="AO344" s="56">
        <f>H344*(1-0)</f>
        <v>0</v>
      </c>
      <c r="AP344" s="41" t="s">
        <v>1109</v>
      </c>
      <c r="AU344" s="56">
        <f>AV344+AW344</f>
        <v>0</v>
      </c>
      <c r="AV344" s="56">
        <f>G344*AN344</f>
        <v>0</v>
      </c>
      <c r="AW344" s="56">
        <f>G344*AO344</f>
        <v>0</v>
      </c>
      <c r="AX344" s="41" t="s">
        <v>124</v>
      </c>
      <c r="AY344" s="41" t="s">
        <v>666</v>
      </c>
      <c r="AZ344" s="30" t="s">
        <v>478</v>
      </c>
      <c r="BB344" s="56">
        <f>AV344+AW344</f>
        <v>0</v>
      </c>
      <c r="BC344" s="56">
        <f>H344/(100-BD344)*100</f>
        <v>0</v>
      </c>
      <c r="BD344" s="56">
        <v>0</v>
      </c>
      <c r="BE344" s="56" t="e">
        <f>#REF!</f>
        <v>#REF!</v>
      </c>
      <c r="BG344" s="56">
        <f>G344*AN344</f>
        <v>0</v>
      </c>
      <c r="BH344" s="56">
        <f>G344*AO344</f>
        <v>0</v>
      </c>
      <c r="BI344" s="56">
        <f>G344*H344</f>
        <v>0</v>
      </c>
      <c r="BJ344" s="56"/>
      <c r="BK344" s="56">
        <v>11</v>
      </c>
      <c r="BV344" s="56">
        <v>21</v>
      </c>
    </row>
    <row r="345" spans="1:74" ht="13.5" customHeight="1" x14ac:dyDescent="0.25">
      <c r="A345" s="53"/>
      <c r="C345" s="66" t="s">
        <v>578</v>
      </c>
      <c r="D345" s="137" t="s">
        <v>321</v>
      </c>
      <c r="E345" s="138"/>
      <c r="F345" s="138"/>
      <c r="G345" s="138"/>
      <c r="H345" s="138"/>
      <c r="I345" s="138"/>
      <c r="J345" s="139"/>
    </row>
    <row r="346" spans="1:74" ht="15" customHeight="1" x14ac:dyDescent="0.25">
      <c r="A346" s="27" t="s">
        <v>769</v>
      </c>
      <c r="B346" s="28" t="s">
        <v>262</v>
      </c>
      <c r="C346" s="28" t="s">
        <v>815</v>
      </c>
      <c r="D346" s="132" t="s">
        <v>276</v>
      </c>
      <c r="E346" s="133"/>
      <c r="F346" s="23" t="s">
        <v>1027</v>
      </c>
      <c r="G346" s="23" t="s">
        <v>1027</v>
      </c>
      <c r="H346" s="23" t="s">
        <v>1027</v>
      </c>
      <c r="I346" s="14">
        <f>SUM(I347:I347)</f>
        <v>0</v>
      </c>
      <c r="J346" s="44" t="s">
        <v>769</v>
      </c>
      <c r="AH346" s="30" t="s">
        <v>262</v>
      </c>
      <c r="AR346" s="14">
        <f>SUM(AI347:AI347)</f>
        <v>0</v>
      </c>
      <c r="AS346" s="14">
        <f>SUM(AJ347:AJ347)</f>
        <v>0</v>
      </c>
      <c r="AT346" s="14">
        <f>SUM(AK347:AK347)</f>
        <v>0</v>
      </c>
    </row>
    <row r="347" spans="1:74" ht="13.5" customHeight="1" x14ac:dyDescent="0.25">
      <c r="A347" s="10" t="s">
        <v>1167</v>
      </c>
      <c r="B347" s="9" t="s">
        <v>262</v>
      </c>
      <c r="C347" s="9" t="s">
        <v>383</v>
      </c>
      <c r="D347" s="76" t="s">
        <v>76</v>
      </c>
      <c r="E347" s="77"/>
      <c r="F347" s="9" t="s">
        <v>1079</v>
      </c>
      <c r="G347" s="56">
        <v>3.3</v>
      </c>
      <c r="H347" s="56">
        <v>0</v>
      </c>
      <c r="I347" s="56">
        <f>G347*H347</f>
        <v>0</v>
      </c>
      <c r="J347" s="54" t="s">
        <v>501</v>
      </c>
      <c r="Y347" s="56">
        <f>IF(AP347="5",BI347,0)</f>
        <v>0</v>
      </c>
      <c r="AA347" s="56">
        <f>IF(AP347="1",BG347,0)</f>
        <v>0</v>
      </c>
      <c r="AB347" s="56">
        <f>IF(AP347="1",BH347,0)</f>
        <v>0</v>
      </c>
      <c r="AC347" s="56">
        <f>IF(AP347="7",BG347,0)</f>
        <v>0</v>
      </c>
      <c r="AD347" s="56">
        <f>IF(AP347="7",BH347,0)</f>
        <v>0</v>
      </c>
      <c r="AE347" s="56">
        <f>IF(AP347="2",BG347,0)</f>
        <v>0</v>
      </c>
      <c r="AF347" s="56">
        <f>IF(AP347="2",BH347,0)</f>
        <v>0</v>
      </c>
      <c r="AG347" s="56">
        <f>IF(AP347="0",BI347,0)</f>
        <v>0</v>
      </c>
      <c r="AH347" s="30" t="s">
        <v>262</v>
      </c>
      <c r="AI347" s="56">
        <f>IF(AM347=0,I347,0)</f>
        <v>0</v>
      </c>
      <c r="AJ347" s="56">
        <f>IF(AM347=15,I347,0)</f>
        <v>0</v>
      </c>
      <c r="AK347" s="56">
        <f>IF(AM347=21,I347,0)</f>
        <v>0</v>
      </c>
      <c r="AM347" s="56">
        <v>21</v>
      </c>
      <c r="AN347" s="56">
        <f>H347*0</f>
        <v>0</v>
      </c>
      <c r="AO347" s="56">
        <f>H347*(1-0)</f>
        <v>0</v>
      </c>
      <c r="AP347" s="41" t="s">
        <v>1109</v>
      </c>
      <c r="AU347" s="56">
        <f>AV347+AW347</f>
        <v>0</v>
      </c>
      <c r="AV347" s="56">
        <f>G347*AN347</f>
        <v>0</v>
      </c>
      <c r="AW347" s="56">
        <f>G347*AO347</f>
        <v>0</v>
      </c>
      <c r="AX347" s="41" t="s">
        <v>569</v>
      </c>
      <c r="AY347" s="41" t="s">
        <v>666</v>
      </c>
      <c r="AZ347" s="30" t="s">
        <v>478</v>
      </c>
      <c r="BB347" s="56">
        <f>AV347+AW347</f>
        <v>0</v>
      </c>
      <c r="BC347" s="56">
        <f>H347/(100-BD347)*100</f>
        <v>0</v>
      </c>
      <c r="BD347" s="56">
        <v>0</v>
      </c>
      <c r="BE347" s="56" t="e">
        <f>#REF!</f>
        <v>#REF!</v>
      </c>
      <c r="BG347" s="56">
        <f>G347*AN347</f>
        <v>0</v>
      </c>
      <c r="BH347" s="56">
        <f>G347*AO347</f>
        <v>0</v>
      </c>
      <c r="BI347" s="56">
        <f>G347*H347</f>
        <v>0</v>
      </c>
      <c r="BJ347" s="56"/>
      <c r="BK347" s="56">
        <v>12</v>
      </c>
      <c r="BV347" s="56">
        <v>21</v>
      </c>
    </row>
    <row r="348" spans="1:74" ht="15" customHeight="1" x14ac:dyDescent="0.25">
      <c r="A348" s="53"/>
      <c r="D348" s="52" t="s">
        <v>218</v>
      </c>
      <c r="E348" s="37" t="s">
        <v>769</v>
      </c>
      <c r="G348" s="21">
        <v>3.3000000000000003</v>
      </c>
      <c r="J348" s="48"/>
    </row>
    <row r="349" spans="1:74" ht="15" customHeight="1" x14ac:dyDescent="0.25">
      <c r="A349" s="27" t="s">
        <v>769</v>
      </c>
      <c r="B349" s="28" t="s">
        <v>262</v>
      </c>
      <c r="C349" s="28" t="s">
        <v>333</v>
      </c>
      <c r="D349" s="132" t="s">
        <v>7</v>
      </c>
      <c r="E349" s="133"/>
      <c r="F349" s="23" t="s">
        <v>1027</v>
      </c>
      <c r="G349" s="23" t="s">
        <v>1027</v>
      </c>
      <c r="H349" s="23" t="s">
        <v>1027</v>
      </c>
      <c r="I349" s="14">
        <f>SUM(I350:I355)</f>
        <v>0</v>
      </c>
      <c r="J349" s="44" t="s">
        <v>769</v>
      </c>
      <c r="AH349" s="30" t="s">
        <v>262</v>
      </c>
      <c r="AR349" s="14">
        <f>SUM(AI350:AI355)</f>
        <v>0</v>
      </c>
      <c r="AS349" s="14">
        <f>SUM(AJ350:AJ355)</f>
        <v>0</v>
      </c>
      <c r="AT349" s="14">
        <f>SUM(AK350:AK355)</f>
        <v>0</v>
      </c>
    </row>
    <row r="350" spans="1:74" ht="13.5" customHeight="1" x14ac:dyDescent="0.25">
      <c r="A350" s="10" t="s">
        <v>459</v>
      </c>
      <c r="B350" s="9" t="s">
        <v>262</v>
      </c>
      <c r="C350" s="9" t="s">
        <v>264</v>
      </c>
      <c r="D350" s="76" t="s">
        <v>117</v>
      </c>
      <c r="E350" s="77"/>
      <c r="F350" s="9" t="s">
        <v>1079</v>
      </c>
      <c r="G350" s="56">
        <v>33.61</v>
      </c>
      <c r="H350" s="56">
        <v>0</v>
      </c>
      <c r="I350" s="56">
        <f>G350*H350</f>
        <v>0</v>
      </c>
      <c r="J350" s="54" t="s">
        <v>501</v>
      </c>
      <c r="Y350" s="56">
        <f>IF(AP350="5",BI350,0)</f>
        <v>0</v>
      </c>
      <c r="AA350" s="56">
        <f>IF(AP350="1",BG350,0)</f>
        <v>0</v>
      </c>
      <c r="AB350" s="56">
        <f>IF(AP350="1",BH350,0)</f>
        <v>0</v>
      </c>
      <c r="AC350" s="56">
        <f>IF(AP350="7",BG350,0)</f>
        <v>0</v>
      </c>
      <c r="AD350" s="56">
        <f>IF(AP350="7",BH350,0)</f>
        <v>0</v>
      </c>
      <c r="AE350" s="56">
        <f>IF(AP350="2",BG350,0)</f>
        <v>0</v>
      </c>
      <c r="AF350" s="56">
        <f>IF(AP350="2",BH350,0)</f>
        <v>0</v>
      </c>
      <c r="AG350" s="56">
        <f>IF(AP350="0",BI350,0)</f>
        <v>0</v>
      </c>
      <c r="AH350" s="30" t="s">
        <v>262</v>
      </c>
      <c r="AI350" s="56">
        <f>IF(AM350=0,I350,0)</f>
        <v>0</v>
      </c>
      <c r="AJ350" s="56">
        <f>IF(AM350=15,I350,0)</f>
        <v>0</v>
      </c>
      <c r="AK350" s="56">
        <f>IF(AM350=21,I350,0)</f>
        <v>0</v>
      </c>
      <c r="AM350" s="56">
        <v>21</v>
      </c>
      <c r="AN350" s="56">
        <f>H350*0</f>
        <v>0</v>
      </c>
      <c r="AO350" s="56">
        <f>H350*(1-0)</f>
        <v>0</v>
      </c>
      <c r="AP350" s="41" t="s">
        <v>1109</v>
      </c>
      <c r="AU350" s="56">
        <f>AV350+AW350</f>
        <v>0</v>
      </c>
      <c r="AV350" s="56">
        <f>G350*AN350</f>
        <v>0</v>
      </c>
      <c r="AW350" s="56">
        <f>G350*AO350</f>
        <v>0</v>
      </c>
      <c r="AX350" s="41" t="s">
        <v>1001</v>
      </c>
      <c r="AY350" s="41" t="s">
        <v>666</v>
      </c>
      <c r="AZ350" s="30" t="s">
        <v>478</v>
      </c>
      <c r="BB350" s="56">
        <f>AV350+AW350</f>
        <v>0</v>
      </c>
      <c r="BC350" s="56">
        <f>H350/(100-BD350)*100</f>
        <v>0</v>
      </c>
      <c r="BD350" s="56">
        <v>0</v>
      </c>
      <c r="BE350" s="56" t="e">
        <f>#REF!</f>
        <v>#REF!</v>
      </c>
      <c r="BG350" s="56">
        <f>G350*AN350</f>
        <v>0</v>
      </c>
      <c r="BH350" s="56">
        <f>G350*AO350</f>
        <v>0</v>
      </c>
      <c r="BI350" s="56">
        <f>G350*H350</f>
        <v>0</v>
      </c>
      <c r="BJ350" s="56"/>
      <c r="BK350" s="56">
        <v>13</v>
      </c>
      <c r="BV350" s="56">
        <v>21</v>
      </c>
    </row>
    <row r="351" spans="1:74" ht="15" customHeight="1" x14ac:dyDescent="0.25">
      <c r="A351" s="53"/>
      <c r="D351" s="52" t="s">
        <v>312</v>
      </c>
      <c r="E351" s="37" t="s">
        <v>424</v>
      </c>
      <c r="G351" s="21">
        <v>29.700000000000003</v>
      </c>
      <c r="J351" s="48"/>
    </row>
    <row r="352" spans="1:74" ht="15" customHeight="1" x14ac:dyDescent="0.25">
      <c r="A352" s="53"/>
      <c r="D352" s="52" t="s">
        <v>699</v>
      </c>
      <c r="E352" s="37" t="s">
        <v>928</v>
      </c>
      <c r="G352" s="21">
        <v>3.91</v>
      </c>
      <c r="J352" s="48"/>
    </row>
    <row r="353" spans="1:74" ht="13.5" customHeight="1" x14ac:dyDescent="0.25">
      <c r="A353" s="10" t="s">
        <v>1017</v>
      </c>
      <c r="B353" s="9" t="s">
        <v>262</v>
      </c>
      <c r="C353" s="9" t="s">
        <v>802</v>
      </c>
      <c r="D353" s="76" t="s">
        <v>97</v>
      </c>
      <c r="E353" s="77"/>
      <c r="F353" s="9" t="s">
        <v>1079</v>
      </c>
      <c r="G353" s="56">
        <v>16.805</v>
      </c>
      <c r="H353" s="56">
        <v>0</v>
      </c>
      <c r="I353" s="56">
        <f>G353*H353</f>
        <v>0</v>
      </c>
      <c r="J353" s="54" t="s">
        <v>501</v>
      </c>
      <c r="Y353" s="56">
        <f>IF(AP353="5",BI353,0)</f>
        <v>0</v>
      </c>
      <c r="AA353" s="56">
        <f>IF(AP353="1",BG353,0)</f>
        <v>0</v>
      </c>
      <c r="AB353" s="56">
        <f>IF(AP353="1",BH353,0)</f>
        <v>0</v>
      </c>
      <c r="AC353" s="56">
        <f>IF(AP353="7",BG353,0)</f>
        <v>0</v>
      </c>
      <c r="AD353" s="56">
        <f>IF(AP353="7",BH353,0)</f>
        <v>0</v>
      </c>
      <c r="AE353" s="56">
        <f>IF(AP353="2",BG353,0)</f>
        <v>0</v>
      </c>
      <c r="AF353" s="56">
        <f>IF(AP353="2",BH353,0)</f>
        <v>0</v>
      </c>
      <c r="AG353" s="56">
        <f>IF(AP353="0",BI353,0)</f>
        <v>0</v>
      </c>
      <c r="AH353" s="30" t="s">
        <v>262</v>
      </c>
      <c r="AI353" s="56">
        <f>IF(AM353=0,I353,0)</f>
        <v>0</v>
      </c>
      <c r="AJ353" s="56">
        <f>IF(AM353=15,I353,0)</f>
        <v>0</v>
      </c>
      <c r="AK353" s="56">
        <f>IF(AM353=21,I353,0)</f>
        <v>0</v>
      </c>
      <c r="AM353" s="56">
        <v>21</v>
      </c>
      <c r="AN353" s="56">
        <f>H353*0</f>
        <v>0</v>
      </c>
      <c r="AO353" s="56">
        <f>H353*(1-0)</f>
        <v>0</v>
      </c>
      <c r="AP353" s="41" t="s">
        <v>1109</v>
      </c>
      <c r="AU353" s="56">
        <f>AV353+AW353</f>
        <v>0</v>
      </c>
      <c r="AV353" s="56">
        <f>G353*AN353</f>
        <v>0</v>
      </c>
      <c r="AW353" s="56">
        <f>G353*AO353</f>
        <v>0</v>
      </c>
      <c r="AX353" s="41" t="s">
        <v>1001</v>
      </c>
      <c r="AY353" s="41" t="s">
        <v>666</v>
      </c>
      <c r="AZ353" s="30" t="s">
        <v>478</v>
      </c>
      <c r="BB353" s="56">
        <f>AV353+AW353</f>
        <v>0</v>
      </c>
      <c r="BC353" s="56">
        <f>H353/(100-BD353)*100</f>
        <v>0</v>
      </c>
      <c r="BD353" s="56">
        <v>0</v>
      </c>
      <c r="BE353" s="56" t="e">
        <f>#REF!</f>
        <v>#REF!</v>
      </c>
      <c r="BG353" s="56">
        <f>G353*AN353</f>
        <v>0</v>
      </c>
      <c r="BH353" s="56">
        <f>G353*AO353</f>
        <v>0</v>
      </c>
      <c r="BI353" s="56">
        <f>G353*H353</f>
        <v>0</v>
      </c>
      <c r="BJ353" s="56"/>
      <c r="BK353" s="56">
        <v>13</v>
      </c>
      <c r="BV353" s="56">
        <v>21</v>
      </c>
    </row>
    <row r="354" spans="1:74" ht="15" customHeight="1" x14ac:dyDescent="0.25">
      <c r="A354" s="53"/>
      <c r="D354" s="52" t="s">
        <v>384</v>
      </c>
      <c r="E354" s="37" t="s">
        <v>769</v>
      </c>
      <c r="G354" s="21">
        <v>16.805</v>
      </c>
      <c r="J354" s="48"/>
    </row>
    <row r="355" spans="1:74" ht="13.5" customHeight="1" x14ac:dyDescent="0.25">
      <c r="A355" s="10" t="s">
        <v>812</v>
      </c>
      <c r="B355" s="9" t="s">
        <v>262</v>
      </c>
      <c r="C355" s="9" t="s">
        <v>914</v>
      </c>
      <c r="D355" s="76" t="s">
        <v>981</v>
      </c>
      <c r="E355" s="77"/>
      <c r="F355" s="9" t="s">
        <v>1079</v>
      </c>
      <c r="G355" s="56">
        <v>9.4949999999999992</v>
      </c>
      <c r="H355" s="56">
        <v>0</v>
      </c>
      <c r="I355" s="56">
        <f>G355*H355</f>
        <v>0</v>
      </c>
      <c r="J355" s="54" t="s">
        <v>501</v>
      </c>
      <c r="Y355" s="56">
        <f>IF(AP355="5",BI355,0)</f>
        <v>0</v>
      </c>
      <c r="AA355" s="56">
        <f>IF(AP355="1",BG355,0)</f>
        <v>0</v>
      </c>
      <c r="AB355" s="56">
        <f>IF(AP355="1",BH355,0)</f>
        <v>0</v>
      </c>
      <c r="AC355" s="56">
        <f>IF(AP355="7",BG355,0)</f>
        <v>0</v>
      </c>
      <c r="AD355" s="56">
        <f>IF(AP355="7",BH355,0)</f>
        <v>0</v>
      </c>
      <c r="AE355" s="56">
        <f>IF(AP355="2",BG355,0)</f>
        <v>0</v>
      </c>
      <c r="AF355" s="56">
        <f>IF(AP355="2",BH355,0)</f>
        <v>0</v>
      </c>
      <c r="AG355" s="56">
        <f>IF(AP355="0",BI355,0)</f>
        <v>0</v>
      </c>
      <c r="AH355" s="30" t="s">
        <v>262</v>
      </c>
      <c r="AI355" s="56">
        <f>IF(AM355=0,I355,0)</f>
        <v>0</v>
      </c>
      <c r="AJ355" s="56">
        <f>IF(AM355=15,I355,0)</f>
        <v>0</v>
      </c>
      <c r="AK355" s="56">
        <f>IF(AM355=21,I355,0)</f>
        <v>0</v>
      </c>
      <c r="AM355" s="56">
        <v>21</v>
      </c>
      <c r="AN355" s="56">
        <f>H355*0</f>
        <v>0</v>
      </c>
      <c r="AO355" s="56">
        <f>H355*(1-0)</f>
        <v>0</v>
      </c>
      <c r="AP355" s="41" t="s">
        <v>1109</v>
      </c>
      <c r="AU355" s="56">
        <f>AV355+AW355</f>
        <v>0</v>
      </c>
      <c r="AV355" s="56">
        <f>G355*AN355</f>
        <v>0</v>
      </c>
      <c r="AW355" s="56">
        <f>G355*AO355</f>
        <v>0</v>
      </c>
      <c r="AX355" s="41" t="s">
        <v>1001</v>
      </c>
      <c r="AY355" s="41" t="s">
        <v>666</v>
      </c>
      <c r="AZ355" s="30" t="s">
        <v>478</v>
      </c>
      <c r="BB355" s="56">
        <f>AV355+AW355</f>
        <v>0</v>
      </c>
      <c r="BC355" s="56">
        <f>H355/(100-BD355)*100</f>
        <v>0</v>
      </c>
      <c r="BD355" s="56">
        <v>0</v>
      </c>
      <c r="BE355" s="56" t="e">
        <f>#REF!</f>
        <v>#REF!</v>
      </c>
      <c r="BG355" s="56">
        <f>G355*AN355</f>
        <v>0</v>
      </c>
      <c r="BH355" s="56">
        <f>G355*AO355</f>
        <v>0</v>
      </c>
      <c r="BI355" s="56">
        <f>G355*H355</f>
        <v>0</v>
      </c>
      <c r="BJ355" s="56"/>
      <c r="BK355" s="56">
        <v>13</v>
      </c>
      <c r="BV355" s="56">
        <v>21</v>
      </c>
    </row>
    <row r="356" spans="1:74" ht="15" customHeight="1" x14ac:dyDescent="0.25">
      <c r="A356" s="53"/>
      <c r="D356" s="52" t="s">
        <v>1010</v>
      </c>
      <c r="E356" s="37" t="s">
        <v>33</v>
      </c>
      <c r="G356" s="21">
        <v>9.495000000000001</v>
      </c>
      <c r="J356" s="48"/>
    </row>
    <row r="357" spans="1:74" ht="15" customHeight="1" x14ac:dyDescent="0.25">
      <c r="A357" s="27" t="s">
        <v>769</v>
      </c>
      <c r="B357" s="28" t="s">
        <v>262</v>
      </c>
      <c r="C357" s="28" t="s">
        <v>654</v>
      </c>
      <c r="D357" s="132" t="s">
        <v>637</v>
      </c>
      <c r="E357" s="133"/>
      <c r="F357" s="23" t="s">
        <v>1027</v>
      </c>
      <c r="G357" s="23" t="s">
        <v>1027</v>
      </c>
      <c r="H357" s="23" t="s">
        <v>1027</v>
      </c>
      <c r="I357" s="14">
        <f>SUM(I358:I359)</f>
        <v>0</v>
      </c>
      <c r="J357" s="44" t="s">
        <v>769</v>
      </c>
      <c r="AH357" s="30" t="s">
        <v>262</v>
      </c>
      <c r="AR357" s="14">
        <f>SUM(AI358:AI359)</f>
        <v>0</v>
      </c>
      <c r="AS357" s="14">
        <f>SUM(AJ358:AJ359)</f>
        <v>0</v>
      </c>
      <c r="AT357" s="14">
        <f>SUM(AK358:AK359)</f>
        <v>0</v>
      </c>
    </row>
    <row r="358" spans="1:74" ht="13.5" customHeight="1" x14ac:dyDescent="0.25">
      <c r="A358" s="10" t="s">
        <v>1046</v>
      </c>
      <c r="B358" s="9" t="s">
        <v>262</v>
      </c>
      <c r="C358" s="9" t="s">
        <v>1062</v>
      </c>
      <c r="D358" s="76" t="s">
        <v>256</v>
      </c>
      <c r="E358" s="77"/>
      <c r="F358" s="9" t="s">
        <v>909</v>
      </c>
      <c r="G358" s="56">
        <v>79.3</v>
      </c>
      <c r="H358" s="56">
        <v>0</v>
      </c>
      <c r="I358" s="56">
        <f>G358*H358</f>
        <v>0</v>
      </c>
      <c r="J358" s="54" t="s">
        <v>501</v>
      </c>
      <c r="Y358" s="56">
        <f>IF(AP358="5",BI358,0)</f>
        <v>0</v>
      </c>
      <c r="AA358" s="56">
        <f>IF(AP358="1",BG358,0)</f>
        <v>0</v>
      </c>
      <c r="AB358" s="56">
        <f>IF(AP358="1",BH358,0)</f>
        <v>0</v>
      </c>
      <c r="AC358" s="56">
        <f>IF(AP358="7",BG358,0)</f>
        <v>0</v>
      </c>
      <c r="AD358" s="56">
        <f>IF(AP358="7",BH358,0)</f>
        <v>0</v>
      </c>
      <c r="AE358" s="56">
        <f>IF(AP358="2",BG358,0)</f>
        <v>0</v>
      </c>
      <c r="AF358" s="56">
        <f>IF(AP358="2",BH358,0)</f>
        <v>0</v>
      </c>
      <c r="AG358" s="56">
        <f>IF(AP358="0",BI358,0)</f>
        <v>0</v>
      </c>
      <c r="AH358" s="30" t="s">
        <v>262</v>
      </c>
      <c r="AI358" s="56">
        <f>IF(AM358=0,I358,0)</f>
        <v>0</v>
      </c>
      <c r="AJ358" s="56">
        <f>IF(AM358=15,I358,0)</f>
        <v>0</v>
      </c>
      <c r="AK358" s="56">
        <f>IF(AM358=21,I358,0)</f>
        <v>0</v>
      </c>
      <c r="AM358" s="56">
        <v>21</v>
      </c>
      <c r="AN358" s="56">
        <f>H358*0.00614096916299559</f>
        <v>0</v>
      </c>
      <c r="AO358" s="56">
        <f>H358*(1-0.00614096916299559)</f>
        <v>0</v>
      </c>
      <c r="AP358" s="41" t="s">
        <v>1109</v>
      </c>
      <c r="AU358" s="56">
        <f>AV358+AW358</f>
        <v>0</v>
      </c>
      <c r="AV358" s="56">
        <f>G358*AN358</f>
        <v>0</v>
      </c>
      <c r="AW358" s="56">
        <f>G358*AO358</f>
        <v>0</v>
      </c>
      <c r="AX358" s="41" t="s">
        <v>1162</v>
      </c>
      <c r="AY358" s="41" t="s">
        <v>666</v>
      </c>
      <c r="AZ358" s="30" t="s">
        <v>478</v>
      </c>
      <c r="BB358" s="56">
        <f>AV358+AW358</f>
        <v>0</v>
      </c>
      <c r="BC358" s="56">
        <f>H358/(100-BD358)*100</f>
        <v>0</v>
      </c>
      <c r="BD358" s="56">
        <v>0</v>
      </c>
      <c r="BE358" s="56" t="e">
        <f>#REF!</f>
        <v>#REF!</v>
      </c>
      <c r="BG358" s="56">
        <f>G358*AN358</f>
        <v>0</v>
      </c>
      <c r="BH358" s="56">
        <f>G358*AO358</f>
        <v>0</v>
      </c>
      <c r="BI358" s="56">
        <f>G358*H358</f>
        <v>0</v>
      </c>
      <c r="BJ358" s="56"/>
      <c r="BK358" s="56">
        <v>14</v>
      </c>
      <c r="BV358" s="56">
        <v>21</v>
      </c>
    </row>
    <row r="359" spans="1:74" ht="13.5" customHeight="1" x14ac:dyDescent="0.25">
      <c r="A359" s="57" t="s">
        <v>194</v>
      </c>
      <c r="B359" s="50" t="s">
        <v>262</v>
      </c>
      <c r="C359" s="50" t="s">
        <v>645</v>
      </c>
      <c r="D359" s="135" t="s">
        <v>451</v>
      </c>
      <c r="E359" s="136"/>
      <c r="F359" s="50" t="s">
        <v>909</v>
      </c>
      <c r="G359" s="31">
        <v>80</v>
      </c>
      <c r="H359" s="31">
        <v>0</v>
      </c>
      <c r="I359" s="31">
        <f>G359*H359</f>
        <v>0</v>
      </c>
      <c r="J359" s="47" t="s">
        <v>501</v>
      </c>
      <c r="Y359" s="56">
        <f>IF(AP359="5",BI359,0)</f>
        <v>0</v>
      </c>
      <c r="AA359" s="56">
        <f>IF(AP359="1",BG359,0)</f>
        <v>0</v>
      </c>
      <c r="AB359" s="56">
        <f>IF(AP359="1",BH359,0)</f>
        <v>0</v>
      </c>
      <c r="AC359" s="56">
        <f>IF(AP359="7",BG359,0)</f>
        <v>0</v>
      </c>
      <c r="AD359" s="56">
        <f>IF(AP359="7",BH359,0)</f>
        <v>0</v>
      </c>
      <c r="AE359" s="56">
        <f>IF(AP359="2",BG359,0)</f>
        <v>0</v>
      </c>
      <c r="AF359" s="56">
        <f>IF(AP359="2",BH359,0)</f>
        <v>0</v>
      </c>
      <c r="AG359" s="56">
        <f>IF(AP359="0",BI359,0)</f>
        <v>0</v>
      </c>
      <c r="AH359" s="30" t="s">
        <v>262</v>
      </c>
      <c r="AI359" s="31">
        <f>IF(AM359=0,I359,0)</f>
        <v>0</v>
      </c>
      <c r="AJ359" s="31">
        <f>IF(AM359=15,I359,0)</f>
        <v>0</v>
      </c>
      <c r="AK359" s="31">
        <f>IF(AM359=21,I359,0)</f>
        <v>0</v>
      </c>
      <c r="AM359" s="56">
        <v>21</v>
      </c>
      <c r="AN359" s="56">
        <f>H359*1</f>
        <v>0</v>
      </c>
      <c r="AO359" s="56">
        <f>H359*(1-1)</f>
        <v>0</v>
      </c>
      <c r="AP359" s="58" t="s">
        <v>1109</v>
      </c>
      <c r="AU359" s="56">
        <f>AV359+AW359</f>
        <v>0</v>
      </c>
      <c r="AV359" s="56">
        <f>G359*AN359</f>
        <v>0</v>
      </c>
      <c r="AW359" s="56">
        <f>G359*AO359</f>
        <v>0</v>
      </c>
      <c r="AX359" s="41" t="s">
        <v>1162</v>
      </c>
      <c r="AY359" s="41" t="s">
        <v>666</v>
      </c>
      <c r="AZ359" s="30" t="s">
        <v>478</v>
      </c>
      <c r="BB359" s="56">
        <f>AV359+AW359</f>
        <v>0</v>
      </c>
      <c r="BC359" s="56">
        <f>H359/(100-BD359)*100</f>
        <v>0</v>
      </c>
      <c r="BD359" s="56">
        <v>0</v>
      </c>
      <c r="BE359" s="56" t="e">
        <f>#REF!</f>
        <v>#REF!</v>
      </c>
      <c r="BG359" s="31">
        <f>G359*AN359</f>
        <v>0</v>
      </c>
      <c r="BH359" s="31">
        <f>G359*AO359</f>
        <v>0</v>
      </c>
      <c r="BI359" s="31">
        <f>G359*H359</f>
        <v>0</v>
      </c>
      <c r="BJ359" s="31"/>
      <c r="BK359" s="56">
        <v>14</v>
      </c>
      <c r="BV359" s="56">
        <v>21</v>
      </c>
    </row>
    <row r="360" spans="1:74" ht="15" customHeight="1" x14ac:dyDescent="0.25">
      <c r="A360" s="53"/>
      <c r="D360" s="52" t="s">
        <v>1094</v>
      </c>
      <c r="E360" s="37" t="s">
        <v>41</v>
      </c>
      <c r="G360" s="21">
        <v>80</v>
      </c>
      <c r="J360" s="48"/>
    </row>
    <row r="361" spans="1:74" ht="15" customHeight="1" x14ac:dyDescent="0.25">
      <c r="A361" s="27" t="s">
        <v>769</v>
      </c>
      <c r="B361" s="28" t="s">
        <v>262</v>
      </c>
      <c r="C361" s="28" t="s">
        <v>442</v>
      </c>
      <c r="D361" s="132" t="s">
        <v>957</v>
      </c>
      <c r="E361" s="133"/>
      <c r="F361" s="23" t="s">
        <v>1027</v>
      </c>
      <c r="G361" s="23" t="s">
        <v>1027</v>
      </c>
      <c r="H361" s="23" t="s">
        <v>1027</v>
      </c>
      <c r="I361" s="14">
        <f>SUM(I362:I365)</f>
        <v>0</v>
      </c>
      <c r="J361" s="44" t="s">
        <v>769</v>
      </c>
      <c r="AH361" s="30" t="s">
        <v>262</v>
      </c>
      <c r="AR361" s="14">
        <f>SUM(AI362:AI365)</f>
        <v>0</v>
      </c>
      <c r="AS361" s="14">
        <f>SUM(AJ362:AJ365)</f>
        <v>0</v>
      </c>
      <c r="AT361" s="14">
        <f>SUM(AK362:AK365)</f>
        <v>0</v>
      </c>
    </row>
    <row r="362" spans="1:74" ht="13.5" customHeight="1" x14ac:dyDescent="0.25">
      <c r="A362" s="10" t="s">
        <v>529</v>
      </c>
      <c r="B362" s="9" t="s">
        <v>262</v>
      </c>
      <c r="C362" s="9" t="s">
        <v>1218</v>
      </c>
      <c r="D362" s="76" t="s">
        <v>247</v>
      </c>
      <c r="E362" s="77"/>
      <c r="F362" s="9" t="s">
        <v>1095</v>
      </c>
      <c r="G362" s="56">
        <v>76.2</v>
      </c>
      <c r="H362" s="56">
        <v>0</v>
      </c>
      <c r="I362" s="56">
        <f>G362*H362</f>
        <v>0</v>
      </c>
      <c r="J362" s="54" t="s">
        <v>501</v>
      </c>
      <c r="Y362" s="56">
        <f>IF(AP362="5",BI362,0)</f>
        <v>0</v>
      </c>
      <c r="AA362" s="56">
        <f>IF(AP362="1",BG362,0)</f>
        <v>0</v>
      </c>
      <c r="AB362" s="56">
        <f>IF(AP362="1",BH362,0)</f>
        <v>0</v>
      </c>
      <c r="AC362" s="56">
        <f>IF(AP362="7",BG362,0)</f>
        <v>0</v>
      </c>
      <c r="AD362" s="56">
        <f>IF(AP362="7",BH362,0)</f>
        <v>0</v>
      </c>
      <c r="AE362" s="56">
        <f>IF(AP362="2",BG362,0)</f>
        <v>0</v>
      </c>
      <c r="AF362" s="56">
        <f>IF(AP362="2",BH362,0)</f>
        <v>0</v>
      </c>
      <c r="AG362" s="56">
        <f>IF(AP362="0",BI362,0)</f>
        <v>0</v>
      </c>
      <c r="AH362" s="30" t="s">
        <v>262</v>
      </c>
      <c r="AI362" s="56">
        <f>IF(AM362=0,I362,0)</f>
        <v>0</v>
      </c>
      <c r="AJ362" s="56">
        <f>IF(AM362=15,I362,0)</f>
        <v>0</v>
      </c>
      <c r="AK362" s="56">
        <f>IF(AM362=21,I362,0)</f>
        <v>0</v>
      </c>
      <c r="AM362" s="56">
        <v>21</v>
      </c>
      <c r="AN362" s="56">
        <f>H362*0.0852032534364855</f>
        <v>0</v>
      </c>
      <c r="AO362" s="56">
        <f>H362*(1-0.0852032534364855)</f>
        <v>0</v>
      </c>
      <c r="AP362" s="41" t="s">
        <v>1109</v>
      </c>
      <c r="AU362" s="56">
        <f>AV362+AW362</f>
        <v>0</v>
      </c>
      <c r="AV362" s="56">
        <f>G362*AN362</f>
        <v>0</v>
      </c>
      <c r="AW362" s="56">
        <f>G362*AO362</f>
        <v>0</v>
      </c>
      <c r="AX362" s="41" t="s">
        <v>784</v>
      </c>
      <c r="AY362" s="41" t="s">
        <v>666</v>
      </c>
      <c r="AZ362" s="30" t="s">
        <v>478</v>
      </c>
      <c r="BB362" s="56">
        <f>AV362+AW362</f>
        <v>0</v>
      </c>
      <c r="BC362" s="56">
        <f>H362/(100-BD362)*100</f>
        <v>0</v>
      </c>
      <c r="BD362" s="56">
        <v>0</v>
      </c>
      <c r="BE362" s="56" t="e">
        <f>#REF!</f>
        <v>#REF!</v>
      </c>
      <c r="BG362" s="56">
        <f>G362*AN362</f>
        <v>0</v>
      </c>
      <c r="BH362" s="56">
        <f>G362*AO362</f>
        <v>0</v>
      </c>
      <c r="BI362" s="56">
        <f>G362*H362</f>
        <v>0</v>
      </c>
      <c r="BJ362" s="56"/>
      <c r="BK362" s="56">
        <v>15</v>
      </c>
      <c r="BV362" s="56">
        <v>21</v>
      </c>
    </row>
    <row r="363" spans="1:74" ht="15" customHeight="1" x14ac:dyDescent="0.25">
      <c r="A363" s="53"/>
      <c r="D363" s="52" t="s">
        <v>392</v>
      </c>
      <c r="E363" s="37" t="s">
        <v>33</v>
      </c>
      <c r="G363" s="21">
        <v>22.200000000000003</v>
      </c>
      <c r="J363" s="48"/>
    </row>
    <row r="364" spans="1:74" ht="15" customHeight="1" x14ac:dyDescent="0.25">
      <c r="A364" s="53"/>
      <c r="D364" s="52" t="s">
        <v>814</v>
      </c>
      <c r="E364" s="37" t="s">
        <v>769</v>
      </c>
      <c r="G364" s="21">
        <v>54.000000000000007</v>
      </c>
      <c r="J364" s="48"/>
    </row>
    <row r="365" spans="1:74" ht="13.5" customHeight="1" x14ac:dyDescent="0.25">
      <c r="A365" s="10" t="s">
        <v>617</v>
      </c>
      <c r="B365" s="9" t="s">
        <v>262</v>
      </c>
      <c r="C365" s="9" t="s">
        <v>748</v>
      </c>
      <c r="D365" s="76" t="s">
        <v>1080</v>
      </c>
      <c r="E365" s="77"/>
      <c r="F365" s="9" t="s">
        <v>1095</v>
      </c>
      <c r="G365" s="56">
        <v>76.2</v>
      </c>
      <c r="H365" s="56">
        <v>0</v>
      </c>
      <c r="I365" s="56">
        <f>G365*H365</f>
        <v>0</v>
      </c>
      <c r="J365" s="54" t="s">
        <v>501</v>
      </c>
      <c r="Y365" s="56">
        <f>IF(AP365="5",BI365,0)</f>
        <v>0</v>
      </c>
      <c r="AA365" s="56">
        <f>IF(AP365="1",BG365,0)</f>
        <v>0</v>
      </c>
      <c r="AB365" s="56">
        <f>IF(AP365="1",BH365,0)</f>
        <v>0</v>
      </c>
      <c r="AC365" s="56">
        <f>IF(AP365="7",BG365,0)</f>
        <v>0</v>
      </c>
      <c r="AD365" s="56">
        <f>IF(AP365="7",BH365,0)</f>
        <v>0</v>
      </c>
      <c r="AE365" s="56">
        <f>IF(AP365="2",BG365,0)</f>
        <v>0</v>
      </c>
      <c r="AF365" s="56">
        <f>IF(AP365="2",BH365,0)</f>
        <v>0</v>
      </c>
      <c r="AG365" s="56">
        <f>IF(AP365="0",BI365,0)</f>
        <v>0</v>
      </c>
      <c r="AH365" s="30" t="s">
        <v>262</v>
      </c>
      <c r="AI365" s="56">
        <f>IF(AM365=0,I365,0)</f>
        <v>0</v>
      </c>
      <c r="AJ365" s="56">
        <f>IF(AM365=15,I365,0)</f>
        <v>0</v>
      </c>
      <c r="AK365" s="56">
        <f>IF(AM365=21,I365,0)</f>
        <v>0</v>
      </c>
      <c r="AM365" s="56">
        <v>21</v>
      </c>
      <c r="AN365" s="56">
        <f>H365*0</f>
        <v>0</v>
      </c>
      <c r="AO365" s="56">
        <f>H365*(1-0)</f>
        <v>0</v>
      </c>
      <c r="AP365" s="41" t="s">
        <v>1109</v>
      </c>
      <c r="AU365" s="56">
        <f>AV365+AW365</f>
        <v>0</v>
      </c>
      <c r="AV365" s="56">
        <f>G365*AN365</f>
        <v>0</v>
      </c>
      <c r="AW365" s="56">
        <f>G365*AO365</f>
        <v>0</v>
      </c>
      <c r="AX365" s="41" t="s">
        <v>784</v>
      </c>
      <c r="AY365" s="41" t="s">
        <v>666</v>
      </c>
      <c r="AZ365" s="30" t="s">
        <v>478</v>
      </c>
      <c r="BB365" s="56">
        <f>AV365+AW365</f>
        <v>0</v>
      </c>
      <c r="BC365" s="56">
        <f>H365/(100-BD365)*100</f>
        <v>0</v>
      </c>
      <c r="BD365" s="56">
        <v>0</v>
      </c>
      <c r="BE365" s="56" t="e">
        <f>#REF!</f>
        <v>#REF!</v>
      </c>
      <c r="BG365" s="56">
        <f>G365*AN365</f>
        <v>0</v>
      </c>
      <c r="BH365" s="56">
        <f>G365*AO365</f>
        <v>0</v>
      </c>
      <c r="BI365" s="56">
        <f>G365*H365</f>
        <v>0</v>
      </c>
      <c r="BJ365" s="56"/>
      <c r="BK365" s="56">
        <v>15</v>
      </c>
      <c r="BV365" s="56">
        <v>21</v>
      </c>
    </row>
    <row r="366" spans="1:74" ht="15" customHeight="1" x14ac:dyDescent="0.25">
      <c r="A366" s="27" t="s">
        <v>769</v>
      </c>
      <c r="B366" s="28" t="s">
        <v>262</v>
      </c>
      <c r="C366" s="28" t="s">
        <v>107</v>
      </c>
      <c r="D366" s="132" t="s">
        <v>916</v>
      </c>
      <c r="E366" s="133"/>
      <c r="F366" s="23" t="s">
        <v>1027</v>
      </c>
      <c r="G366" s="23" t="s">
        <v>1027</v>
      </c>
      <c r="H366" s="23" t="s">
        <v>1027</v>
      </c>
      <c r="I366" s="14">
        <f>SUM(I367:I369)</f>
        <v>0</v>
      </c>
      <c r="J366" s="44" t="s">
        <v>769</v>
      </c>
      <c r="AH366" s="30" t="s">
        <v>262</v>
      </c>
      <c r="AR366" s="14">
        <f>SUM(AI367:AI369)</f>
        <v>0</v>
      </c>
      <c r="AS366" s="14">
        <f>SUM(AJ367:AJ369)</f>
        <v>0</v>
      </c>
      <c r="AT366" s="14">
        <f>SUM(AK367:AK369)</f>
        <v>0</v>
      </c>
    </row>
    <row r="367" spans="1:74" ht="13.5" customHeight="1" x14ac:dyDescent="0.25">
      <c r="A367" s="10" t="s">
        <v>999</v>
      </c>
      <c r="B367" s="9" t="s">
        <v>262</v>
      </c>
      <c r="C367" s="9" t="s">
        <v>12</v>
      </c>
      <c r="D367" s="76" t="s">
        <v>919</v>
      </c>
      <c r="E367" s="77"/>
      <c r="F367" s="9" t="s">
        <v>1079</v>
      </c>
      <c r="G367" s="56">
        <v>40.322000000000003</v>
      </c>
      <c r="H367" s="56">
        <v>0</v>
      </c>
      <c r="I367" s="56">
        <f>G367*H367</f>
        <v>0</v>
      </c>
      <c r="J367" s="54" t="s">
        <v>501</v>
      </c>
      <c r="Y367" s="56">
        <f>IF(AP367="5",BI367,0)</f>
        <v>0</v>
      </c>
      <c r="AA367" s="56">
        <f>IF(AP367="1",BG367,0)</f>
        <v>0</v>
      </c>
      <c r="AB367" s="56">
        <f>IF(AP367="1",BH367,0)</f>
        <v>0</v>
      </c>
      <c r="AC367" s="56">
        <f>IF(AP367="7",BG367,0)</f>
        <v>0</v>
      </c>
      <c r="AD367" s="56">
        <f>IF(AP367="7",BH367,0)</f>
        <v>0</v>
      </c>
      <c r="AE367" s="56">
        <f>IF(AP367="2",BG367,0)</f>
        <v>0</v>
      </c>
      <c r="AF367" s="56">
        <f>IF(AP367="2",BH367,0)</f>
        <v>0</v>
      </c>
      <c r="AG367" s="56">
        <f>IF(AP367="0",BI367,0)</f>
        <v>0</v>
      </c>
      <c r="AH367" s="30" t="s">
        <v>262</v>
      </c>
      <c r="AI367" s="56">
        <f>IF(AM367=0,I367,0)</f>
        <v>0</v>
      </c>
      <c r="AJ367" s="56">
        <f>IF(AM367=15,I367,0)</f>
        <v>0</v>
      </c>
      <c r="AK367" s="56">
        <f>IF(AM367=21,I367,0)</f>
        <v>0</v>
      </c>
      <c r="AM367" s="56">
        <v>21</v>
      </c>
      <c r="AN367" s="56">
        <f>H367*0</f>
        <v>0</v>
      </c>
      <c r="AO367" s="56">
        <f>H367*(1-0)</f>
        <v>0</v>
      </c>
      <c r="AP367" s="41" t="s">
        <v>1109</v>
      </c>
      <c r="AU367" s="56">
        <f>AV367+AW367</f>
        <v>0</v>
      </c>
      <c r="AV367" s="56">
        <f>G367*AN367</f>
        <v>0</v>
      </c>
      <c r="AW367" s="56">
        <f>G367*AO367</f>
        <v>0</v>
      </c>
      <c r="AX367" s="41" t="s">
        <v>1028</v>
      </c>
      <c r="AY367" s="41" t="s">
        <v>666</v>
      </c>
      <c r="AZ367" s="30" t="s">
        <v>478</v>
      </c>
      <c r="BB367" s="56">
        <f>AV367+AW367</f>
        <v>0</v>
      </c>
      <c r="BC367" s="56">
        <f>H367/(100-BD367)*100</f>
        <v>0</v>
      </c>
      <c r="BD367" s="56">
        <v>0</v>
      </c>
      <c r="BE367" s="56" t="e">
        <f>#REF!</f>
        <v>#REF!</v>
      </c>
      <c r="BG367" s="56">
        <f>G367*AN367</f>
        <v>0</v>
      </c>
      <c r="BH367" s="56">
        <f>G367*AO367</f>
        <v>0</v>
      </c>
      <c r="BI367" s="56">
        <f>G367*H367</f>
        <v>0</v>
      </c>
      <c r="BJ367" s="56"/>
      <c r="BK367" s="56">
        <v>16</v>
      </c>
      <c r="BV367" s="56">
        <v>21</v>
      </c>
    </row>
    <row r="368" spans="1:74" ht="15" customHeight="1" x14ac:dyDescent="0.25">
      <c r="A368" s="53"/>
      <c r="D368" s="52" t="s">
        <v>1035</v>
      </c>
      <c r="E368" s="37" t="s">
        <v>769</v>
      </c>
      <c r="G368" s="21">
        <v>40.322000000000003</v>
      </c>
      <c r="J368" s="48"/>
    </row>
    <row r="369" spans="1:74" ht="13.5" customHeight="1" x14ac:dyDescent="0.25">
      <c r="A369" s="10" t="s">
        <v>1128</v>
      </c>
      <c r="B369" s="9" t="s">
        <v>262</v>
      </c>
      <c r="C369" s="9" t="s">
        <v>521</v>
      </c>
      <c r="D369" s="76" t="s">
        <v>602</v>
      </c>
      <c r="E369" s="77"/>
      <c r="F369" s="9" t="s">
        <v>1079</v>
      </c>
      <c r="G369" s="56">
        <v>403.22</v>
      </c>
      <c r="H369" s="56">
        <v>0</v>
      </c>
      <c r="I369" s="56">
        <f>G369*H369</f>
        <v>0</v>
      </c>
      <c r="J369" s="54" t="s">
        <v>501</v>
      </c>
      <c r="Y369" s="56">
        <f>IF(AP369="5",BI369,0)</f>
        <v>0</v>
      </c>
      <c r="AA369" s="56">
        <f>IF(AP369="1",BG369,0)</f>
        <v>0</v>
      </c>
      <c r="AB369" s="56">
        <f>IF(AP369="1",BH369,0)</f>
        <v>0</v>
      </c>
      <c r="AC369" s="56">
        <f>IF(AP369="7",BG369,0)</f>
        <v>0</v>
      </c>
      <c r="AD369" s="56">
        <f>IF(AP369="7",BH369,0)</f>
        <v>0</v>
      </c>
      <c r="AE369" s="56">
        <f>IF(AP369="2",BG369,0)</f>
        <v>0</v>
      </c>
      <c r="AF369" s="56">
        <f>IF(AP369="2",BH369,0)</f>
        <v>0</v>
      </c>
      <c r="AG369" s="56">
        <f>IF(AP369="0",BI369,0)</f>
        <v>0</v>
      </c>
      <c r="AH369" s="30" t="s">
        <v>262</v>
      </c>
      <c r="AI369" s="56">
        <f>IF(AM369=0,I369,0)</f>
        <v>0</v>
      </c>
      <c r="AJ369" s="56">
        <f>IF(AM369=15,I369,0)</f>
        <v>0</v>
      </c>
      <c r="AK369" s="56">
        <f>IF(AM369=21,I369,0)</f>
        <v>0</v>
      </c>
      <c r="AM369" s="56">
        <v>21</v>
      </c>
      <c r="AN369" s="56">
        <f>H369*0</f>
        <v>0</v>
      </c>
      <c r="AO369" s="56">
        <f>H369*(1-0)</f>
        <v>0</v>
      </c>
      <c r="AP369" s="41" t="s">
        <v>1109</v>
      </c>
      <c r="AU369" s="56">
        <f>AV369+AW369</f>
        <v>0</v>
      </c>
      <c r="AV369" s="56">
        <f>G369*AN369</f>
        <v>0</v>
      </c>
      <c r="AW369" s="56">
        <f>G369*AO369</f>
        <v>0</v>
      </c>
      <c r="AX369" s="41" t="s">
        <v>1028</v>
      </c>
      <c r="AY369" s="41" t="s">
        <v>666</v>
      </c>
      <c r="AZ369" s="30" t="s">
        <v>478</v>
      </c>
      <c r="BB369" s="56">
        <f>AV369+AW369</f>
        <v>0</v>
      </c>
      <c r="BC369" s="56">
        <f>H369/(100-BD369)*100</f>
        <v>0</v>
      </c>
      <c r="BD369" s="56">
        <v>0</v>
      </c>
      <c r="BE369" s="56" t="e">
        <f>#REF!</f>
        <v>#REF!</v>
      </c>
      <c r="BG369" s="56">
        <f>G369*AN369</f>
        <v>0</v>
      </c>
      <c r="BH369" s="56">
        <f>G369*AO369</f>
        <v>0</v>
      </c>
      <c r="BI369" s="56">
        <f>G369*H369</f>
        <v>0</v>
      </c>
      <c r="BJ369" s="56"/>
      <c r="BK369" s="56">
        <v>16</v>
      </c>
      <c r="BV369" s="56">
        <v>21</v>
      </c>
    </row>
    <row r="370" spans="1:74" ht="15" customHeight="1" x14ac:dyDescent="0.25">
      <c r="A370" s="53"/>
      <c r="D370" s="52" t="s">
        <v>379</v>
      </c>
      <c r="E370" s="37" t="s">
        <v>446</v>
      </c>
      <c r="G370" s="21">
        <v>403.22</v>
      </c>
      <c r="J370" s="48"/>
    </row>
    <row r="371" spans="1:74" ht="15" customHeight="1" x14ac:dyDescent="0.25">
      <c r="A371" s="27" t="s">
        <v>769</v>
      </c>
      <c r="B371" s="28" t="s">
        <v>262</v>
      </c>
      <c r="C371" s="28" t="s">
        <v>774</v>
      </c>
      <c r="D371" s="132" t="s">
        <v>150</v>
      </c>
      <c r="E371" s="133"/>
      <c r="F371" s="23" t="s">
        <v>1027</v>
      </c>
      <c r="G371" s="23" t="s">
        <v>1027</v>
      </c>
      <c r="H371" s="23" t="s">
        <v>1027</v>
      </c>
      <c r="I371" s="14">
        <f>SUM(I372:I380)</f>
        <v>0</v>
      </c>
      <c r="J371" s="44" t="s">
        <v>769</v>
      </c>
      <c r="AH371" s="30" t="s">
        <v>262</v>
      </c>
      <c r="AR371" s="14">
        <f>SUM(AI372:AI380)</f>
        <v>0</v>
      </c>
      <c r="AS371" s="14">
        <f>SUM(AJ372:AJ380)</f>
        <v>0</v>
      </c>
      <c r="AT371" s="14">
        <f>SUM(AK372:AK380)</f>
        <v>0</v>
      </c>
    </row>
    <row r="372" spans="1:74" ht="13.5" customHeight="1" x14ac:dyDescent="0.25">
      <c r="A372" s="10" t="s">
        <v>5</v>
      </c>
      <c r="B372" s="9" t="s">
        <v>262</v>
      </c>
      <c r="C372" s="9" t="s">
        <v>356</v>
      </c>
      <c r="D372" s="76" t="s">
        <v>1089</v>
      </c>
      <c r="E372" s="77"/>
      <c r="F372" s="9" t="s">
        <v>1079</v>
      </c>
      <c r="G372" s="56">
        <v>40.322000000000003</v>
      </c>
      <c r="H372" s="56">
        <v>0</v>
      </c>
      <c r="I372" s="56">
        <f>G372*H372</f>
        <v>0</v>
      </c>
      <c r="J372" s="54" t="s">
        <v>501</v>
      </c>
      <c r="Y372" s="56">
        <f>IF(AP372="5",BI372,0)</f>
        <v>0</v>
      </c>
      <c r="AA372" s="56">
        <f>IF(AP372="1",BG372,0)</f>
        <v>0</v>
      </c>
      <c r="AB372" s="56">
        <f>IF(AP372="1",BH372,0)</f>
        <v>0</v>
      </c>
      <c r="AC372" s="56">
        <f>IF(AP372="7",BG372,0)</f>
        <v>0</v>
      </c>
      <c r="AD372" s="56">
        <f>IF(AP372="7",BH372,0)</f>
        <v>0</v>
      </c>
      <c r="AE372" s="56">
        <f>IF(AP372="2",BG372,0)</f>
        <v>0</v>
      </c>
      <c r="AF372" s="56">
        <f>IF(AP372="2",BH372,0)</f>
        <v>0</v>
      </c>
      <c r="AG372" s="56">
        <f>IF(AP372="0",BI372,0)</f>
        <v>0</v>
      </c>
      <c r="AH372" s="30" t="s">
        <v>262</v>
      </c>
      <c r="AI372" s="56">
        <f>IF(AM372=0,I372,0)</f>
        <v>0</v>
      </c>
      <c r="AJ372" s="56">
        <f>IF(AM372=15,I372,0)</f>
        <v>0</v>
      </c>
      <c r="AK372" s="56">
        <f>IF(AM372=21,I372,0)</f>
        <v>0</v>
      </c>
      <c r="AM372" s="56">
        <v>21</v>
      </c>
      <c r="AN372" s="56">
        <f>H372*0</f>
        <v>0</v>
      </c>
      <c r="AO372" s="56">
        <f>H372*(1-0)</f>
        <v>0</v>
      </c>
      <c r="AP372" s="41" t="s">
        <v>1109</v>
      </c>
      <c r="AU372" s="56">
        <f>AV372+AW372</f>
        <v>0</v>
      </c>
      <c r="AV372" s="56">
        <f>G372*AN372</f>
        <v>0</v>
      </c>
      <c r="AW372" s="56">
        <f>G372*AO372</f>
        <v>0</v>
      </c>
      <c r="AX372" s="41" t="s">
        <v>223</v>
      </c>
      <c r="AY372" s="41" t="s">
        <v>666</v>
      </c>
      <c r="AZ372" s="30" t="s">
        <v>478</v>
      </c>
      <c r="BB372" s="56">
        <f>AV372+AW372</f>
        <v>0</v>
      </c>
      <c r="BC372" s="56">
        <f>H372/(100-BD372)*100</f>
        <v>0</v>
      </c>
      <c r="BD372" s="56">
        <v>0</v>
      </c>
      <c r="BE372" s="56" t="e">
        <f>#REF!</f>
        <v>#REF!</v>
      </c>
      <c r="BG372" s="56">
        <f>G372*AN372</f>
        <v>0</v>
      </c>
      <c r="BH372" s="56">
        <f>G372*AO372</f>
        <v>0</v>
      </c>
      <c r="BI372" s="56">
        <f>G372*H372</f>
        <v>0</v>
      </c>
      <c r="BJ372" s="56"/>
      <c r="BK372" s="56">
        <v>17</v>
      </c>
      <c r="BV372" s="56">
        <v>21</v>
      </c>
    </row>
    <row r="373" spans="1:74" ht="13.5" customHeight="1" x14ac:dyDescent="0.25">
      <c r="A373" s="10" t="s">
        <v>46</v>
      </c>
      <c r="B373" s="9" t="s">
        <v>262</v>
      </c>
      <c r="C373" s="9" t="s">
        <v>756</v>
      </c>
      <c r="D373" s="76" t="s">
        <v>1192</v>
      </c>
      <c r="E373" s="77"/>
      <c r="F373" s="9" t="s">
        <v>1079</v>
      </c>
      <c r="G373" s="56">
        <v>40.322000000000003</v>
      </c>
      <c r="H373" s="56">
        <v>0</v>
      </c>
      <c r="I373" s="56">
        <f>G373*H373</f>
        <v>0</v>
      </c>
      <c r="J373" s="54" t="s">
        <v>501</v>
      </c>
      <c r="Y373" s="56">
        <f>IF(AP373="5",BI373,0)</f>
        <v>0</v>
      </c>
      <c r="AA373" s="56">
        <f>IF(AP373="1",BG373,0)</f>
        <v>0</v>
      </c>
      <c r="AB373" s="56">
        <f>IF(AP373="1",BH373,0)</f>
        <v>0</v>
      </c>
      <c r="AC373" s="56">
        <f>IF(AP373="7",BG373,0)</f>
        <v>0</v>
      </c>
      <c r="AD373" s="56">
        <f>IF(AP373="7",BH373,0)</f>
        <v>0</v>
      </c>
      <c r="AE373" s="56">
        <f>IF(AP373="2",BG373,0)</f>
        <v>0</v>
      </c>
      <c r="AF373" s="56">
        <f>IF(AP373="2",BH373,0)</f>
        <v>0</v>
      </c>
      <c r="AG373" s="56">
        <f>IF(AP373="0",BI373,0)</f>
        <v>0</v>
      </c>
      <c r="AH373" s="30" t="s">
        <v>262</v>
      </c>
      <c r="AI373" s="56">
        <f>IF(AM373=0,I373,0)</f>
        <v>0</v>
      </c>
      <c r="AJ373" s="56">
        <f>IF(AM373=15,I373,0)</f>
        <v>0</v>
      </c>
      <c r="AK373" s="56">
        <f>IF(AM373=21,I373,0)</f>
        <v>0</v>
      </c>
      <c r="AM373" s="56">
        <v>21</v>
      </c>
      <c r="AN373" s="56">
        <f>H373*0</f>
        <v>0</v>
      </c>
      <c r="AO373" s="56">
        <f>H373*(1-0)</f>
        <v>0</v>
      </c>
      <c r="AP373" s="41" t="s">
        <v>1109</v>
      </c>
      <c r="AU373" s="56">
        <f>AV373+AW373</f>
        <v>0</v>
      </c>
      <c r="AV373" s="56">
        <f>G373*AN373</f>
        <v>0</v>
      </c>
      <c r="AW373" s="56">
        <f>G373*AO373</f>
        <v>0</v>
      </c>
      <c r="AX373" s="41" t="s">
        <v>223</v>
      </c>
      <c r="AY373" s="41" t="s">
        <v>666</v>
      </c>
      <c r="AZ373" s="30" t="s">
        <v>478</v>
      </c>
      <c r="BB373" s="56">
        <f>AV373+AW373</f>
        <v>0</v>
      </c>
      <c r="BC373" s="56">
        <f>H373/(100-BD373)*100</f>
        <v>0</v>
      </c>
      <c r="BD373" s="56">
        <v>0</v>
      </c>
      <c r="BE373" s="56" t="e">
        <f>#REF!</f>
        <v>#REF!</v>
      </c>
      <c r="BG373" s="56">
        <f>G373*AN373</f>
        <v>0</v>
      </c>
      <c r="BH373" s="56">
        <f>G373*AO373</f>
        <v>0</v>
      </c>
      <c r="BI373" s="56">
        <f>G373*H373</f>
        <v>0</v>
      </c>
      <c r="BJ373" s="56"/>
      <c r="BK373" s="56">
        <v>17</v>
      </c>
      <c r="BV373" s="56">
        <v>21</v>
      </c>
    </row>
    <row r="374" spans="1:74" ht="13.5" customHeight="1" x14ac:dyDescent="0.25">
      <c r="A374" s="10" t="s">
        <v>72</v>
      </c>
      <c r="B374" s="9" t="s">
        <v>262</v>
      </c>
      <c r="C374" s="9" t="s">
        <v>810</v>
      </c>
      <c r="D374" s="76" t="s">
        <v>587</v>
      </c>
      <c r="E374" s="77"/>
      <c r="F374" s="9" t="s">
        <v>1079</v>
      </c>
      <c r="G374" s="56">
        <v>26.89</v>
      </c>
      <c r="H374" s="56">
        <v>0</v>
      </c>
      <c r="I374" s="56">
        <f>G374*H374</f>
        <v>0</v>
      </c>
      <c r="J374" s="54" t="s">
        <v>501</v>
      </c>
      <c r="Y374" s="56">
        <f>IF(AP374="5",BI374,0)</f>
        <v>0</v>
      </c>
      <c r="AA374" s="56">
        <f>IF(AP374="1",BG374,0)</f>
        <v>0</v>
      </c>
      <c r="AB374" s="56">
        <f>IF(AP374="1",BH374,0)</f>
        <v>0</v>
      </c>
      <c r="AC374" s="56">
        <f>IF(AP374="7",BG374,0)</f>
        <v>0</v>
      </c>
      <c r="AD374" s="56">
        <f>IF(AP374="7",BH374,0)</f>
        <v>0</v>
      </c>
      <c r="AE374" s="56">
        <f>IF(AP374="2",BG374,0)</f>
        <v>0</v>
      </c>
      <c r="AF374" s="56">
        <f>IF(AP374="2",BH374,0)</f>
        <v>0</v>
      </c>
      <c r="AG374" s="56">
        <f>IF(AP374="0",BI374,0)</f>
        <v>0</v>
      </c>
      <c r="AH374" s="30" t="s">
        <v>262</v>
      </c>
      <c r="AI374" s="56">
        <f>IF(AM374=0,I374,0)</f>
        <v>0</v>
      </c>
      <c r="AJ374" s="56">
        <f>IF(AM374=15,I374,0)</f>
        <v>0</v>
      </c>
      <c r="AK374" s="56">
        <f>IF(AM374=21,I374,0)</f>
        <v>0</v>
      </c>
      <c r="AM374" s="56">
        <v>21</v>
      </c>
      <c r="AN374" s="56">
        <f>H374*0</f>
        <v>0</v>
      </c>
      <c r="AO374" s="56">
        <f>H374*(1-0)</f>
        <v>0</v>
      </c>
      <c r="AP374" s="41" t="s">
        <v>1109</v>
      </c>
      <c r="AU374" s="56">
        <f>AV374+AW374</f>
        <v>0</v>
      </c>
      <c r="AV374" s="56">
        <f>G374*AN374</f>
        <v>0</v>
      </c>
      <c r="AW374" s="56">
        <f>G374*AO374</f>
        <v>0</v>
      </c>
      <c r="AX374" s="41" t="s">
        <v>223</v>
      </c>
      <c r="AY374" s="41" t="s">
        <v>666</v>
      </c>
      <c r="AZ374" s="30" t="s">
        <v>478</v>
      </c>
      <c r="BB374" s="56">
        <f>AV374+AW374</f>
        <v>0</v>
      </c>
      <c r="BC374" s="56">
        <f>H374/(100-BD374)*100</f>
        <v>0</v>
      </c>
      <c r="BD374" s="56">
        <v>0</v>
      </c>
      <c r="BE374" s="56" t="e">
        <f>#REF!</f>
        <v>#REF!</v>
      </c>
      <c r="BG374" s="56">
        <f>G374*AN374</f>
        <v>0</v>
      </c>
      <c r="BH374" s="56">
        <f>G374*AO374</f>
        <v>0</v>
      </c>
      <c r="BI374" s="56">
        <f>G374*H374</f>
        <v>0</v>
      </c>
      <c r="BJ374" s="56"/>
      <c r="BK374" s="56">
        <v>17</v>
      </c>
      <c r="BV374" s="56">
        <v>21</v>
      </c>
    </row>
    <row r="375" spans="1:74" ht="15" customHeight="1" x14ac:dyDescent="0.25">
      <c r="A375" s="53"/>
      <c r="D375" s="52" t="s">
        <v>538</v>
      </c>
      <c r="E375" s="37" t="s">
        <v>601</v>
      </c>
      <c r="G375" s="21">
        <v>18.920000000000002</v>
      </c>
      <c r="J375" s="48"/>
    </row>
    <row r="376" spans="1:74" ht="15" customHeight="1" x14ac:dyDescent="0.25">
      <c r="A376" s="53"/>
      <c r="D376" s="52" t="s">
        <v>71</v>
      </c>
      <c r="E376" s="37" t="s">
        <v>342</v>
      </c>
      <c r="G376" s="21">
        <v>2.7830000000000004</v>
      </c>
      <c r="J376" s="48"/>
    </row>
    <row r="377" spans="1:74" ht="15" customHeight="1" x14ac:dyDescent="0.25">
      <c r="A377" s="53"/>
      <c r="D377" s="52" t="s">
        <v>973</v>
      </c>
      <c r="E377" s="37" t="s">
        <v>33</v>
      </c>
      <c r="G377" s="21">
        <v>5.1870000000000003</v>
      </c>
      <c r="J377" s="48"/>
    </row>
    <row r="378" spans="1:74" ht="13.5" customHeight="1" x14ac:dyDescent="0.25">
      <c r="A378" s="57" t="s">
        <v>822</v>
      </c>
      <c r="B378" s="50" t="s">
        <v>262</v>
      </c>
      <c r="C378" s="50" t="s">
        <v>635</v>
      </c>
      <c r="D378" s="135" t="s">
        <v>678</v>
      </c>
      <c r="E378" s="136"/>
      <c r="F378" s="50" t="s">
        <v>517</v>
      </c>
      <c r="G378" s="31">
        <v>48.817</v>
      </c>
      <c r="H378" s="31">
        <v>0</v>
      </c>
      <c r="I378" s="31">
        <f>G378*H378</f>
        <v>0</v>
      </c>
      <c r="J378" s="47" t="s">
        <v>501</v>
      </c>
      <c r="Y378" s="56">
        <f>IF(AP378="5",BI378,0)</f>
        <v>0</v>
      </c>
      <c r="AA378" s="56">
        <f>IF(AP378="1",BG378,0)</f>
        <v>0</v>
      </c>
      <c r="AB378" s="56">
        <f>IF(AP378="1",BH378,0)</f>
        <v>0</v>
      </c>
      <c r="AC378" s="56">
        <f>IF(AP378="7",BG378,0)</f>
        <v>0</v>
      </c>
      <c r="AD378" s="56">
        <f>IF(AP378="7",BH378,0)</f>
        <v>0</v>
      </c>
      <c r="AE378" s="56">
        <f>IF(AP378="2",BG378,0)</f>
        <v>0</v>
      </c>
      <c r="AF378" s="56">
        <f>IF(AP378="2",BH378,0)</f>
        <v>0</v>
      </c>
      <c r="AG378" s="56">
        <f>IF(AP378="0",BI378,0)</f>
        <v>0</v>
      </c>
      <c r="AH378" s="30" t="s">
        <v>262</v>
      </c>
      <c r="AI378" s="31">
        <f>IF(AM378=0,I378,0)</f>
        <v>0</v>
      </c>
      <c r="AJ378" s="31">
        <f>IF(AM378=15,I378,0)</f>
        <v>0</v>
      </c>
      <c r="AK378" s="31">
        <f>IF(AM378=21,I378,0)</f>
        <v>0</v>
      </c>
      <c r="AM378" s="56">
        <v>21</v>
      </c>
      <c r="AN378" s="56">
        <f>H378*1</f>
        <v>0</v>
      </c>
      <c r="AO378" s="56">
        <f>H378*(1-1)</f>
        <v>0</v>
      </c>
      <c r="AP378" s="58" t="s">
        <v>1109</v>
      </c>
      <c r="AU378" s="56">
        <f>AV378+AW378</f>
        <v>0</v>
      </c>
      <c r="AV378" s="56">
        <f>G378*AN378</f>
        <v>0</v>
      </c>
      <c r="AW378" s="56">
        <f>G378*AO378</f>
        <v>0</v>
      </c>
      <c r="AX378" s="41" t="s">
        <v>223</v>
      </c>
      <c r="AY378" s="41" t="s">
        <v>666</v>
      </c>
      <c r="AZ378" s="30" t="s">
        <v>478</v>
      </c>
      <c r="BB378" s="56">
        <f>AV378+AW378</f>
        <v>0</v>
      </c>
      <c r="BC378" s="56">
        <f>H378/(100-BD378)*100</f>
        <v>0</v>
      </c>
      <c r="BD378" s="56">
        <v>0</v>
      </c>
      <c r="BE378" s="56" t="e">
        <f>#REF!</f>
        <v>#REF!</v>
      </c>
      <c r="BG378" s="31">
        <f>G378*AN378</f>
        <v>0</v>
      </c>
      <c r="BH378" s="31">
        <f>G378*AO378</f>
        <v>0</v>
      </c>
      <c r="BI378" s="31">
        <f>G378*H378</f>
        <v>0</v>
      </c>
      <c r="BJ378" s="31"/>
      <c r="BK378" s="56">
        <v>17</v>
      </c>
      <c r="BV378" s="56">
        <v>21</v>
      </c>
    </row>
    <row r="379" spans="1:74" ht="15" customHeight="1" x14ac:dyDescent="0.25">
      <c r="A379" s="53"/>
      <c r="D379" s="52" t="s">
        <v>400</v>
      </c>
      <c r="E379" s="37" t="s">
        <v>536</v>
      </c>
      <c r="G379" s="21">
        <v>48.817000000000007</v>
      </c>
      <c r="J379" s="48"/>
    </row>
    <row r="380" spans="1:74" ht="13.5" customHeight="1" x14ac:dyDescent="0.25">
      <c r="A380" s="10" t="s">
        <v>1228</v>
      </c>
      <c r="B380" s="9" t="s">
        <v>262</v>
      </c>
      <c r="C380" s="9" t="s">
        <v>969</v>
      </c>
      <c r="D380" s="76" t="s">
        <v>39</v>
      </c>
      <c r="E380" s="77"/>
      <c r="F380" s="9" t="s">
        <v>1079</v>
      </c>
      <c r="G380" s="56">
        <v>11.7</v>
      </c>
      <c r="H380" s="56">
        <v>0</v>
      </c>
      <c r="I380" s="56">
        <f>G380*H380</f>
        <v>0</v>
      </c>
      <c r="J380" s="54" t="s">
        <v>501</v>
      </c>
      <c r="Y380" s="56">
        <f>IF(AP380="5",BI380,0)</f>
        <v>0</v>
      </c>
      <c r="AA380" s="56">
        <f>IF(AP380="1",BG380,0)</f>
        <v>0</v>
      </c>
      <c r="AB380" s="56">
        <f>IF(AP380="1",BH380,0)</f>
        <v>0</v>
      </c>
      <c r="AC380" s="56">
        <f>IF(AP380="7",BG380,0)</f>
        <v>0</v>
      </c>
      <c r="AD380" s="56">
        <f>IF(AP380="7",BH380,0)</f>
        <v>0</v>
      </c>
      <c r="AE380" s="56">
        <f>IF(AP380="2",BG380,0)</f>
        <v>0</v>
      </c>
      <c r="AF380" s="56">
        <f>IF(AP380="2",BH380,0)</f>
        <v>0</v>
      </c>
      <c r="AG380" s="56">
        <f>IF(AP380="0",BI380,0)</f>
        <v>0</v>
      </c>
      <c r="AH380" s="30" t="s">
        <v>262</v>
      </c>
      <c r="AI380" s="56">
        <f>IF(AM380=0,I380,0)</f>
        <v>0</v>
      </c>
      <c r="AJ380" s="56">
        <f>IF(AM380=15,I380,0)</f>
        <v>0</v>
      </c>
      <c r="AK380" s="56">
        <f>IF(AM380=21,I380,0)</f>
        <v>0</v>
      </c>
      <c r="AM380" s="56">
        <v>21</v>
      </c>
      <c r="AN380" s="56">
        <f>H380*0.517505126452495</f>
        <v>0</v>
      </c>
      <c r="AO380" s="56">
        <f>H380*(1-0.517505126452495)</f>
        <v>0</v>
      </c>
      <c r="AP380" s="41" t="s">
        <v>1109</v>
      </c>
      <c r="AU380" s="56">
        <f>AV380+AW380</f>
        <v>0</v>
      </c>
      <c r="AV380" s="56">
        <f>G380*AN380</f>
        <v>0</v>
      </c>
      <c r="AW380" s="56">
        <f>G380*AO380</f>
        <v>0</v>
      </c>
      <c r="AX380" s="41" t="s">
        <v>223</v>
      </c>
      <c r="AY380" s="41" t="s">
        <v>666</v>
      </c>
      <c r="AZ380" s="30" t="s">
        <v>478</v>
      </c>
      <c r="BB380" s="56">
        <f>AV380+AW380</f>
        <v>0</v>
      </c>
      <c r="BC380" s="56">
        <f>H380/(100-BD380)*100</f>
        <v>0</v>
      </c>
      <c r="BD380" s="56">
        <v>0</v>
      </c>
      <c r="BE380" s="56" t="e">
        <f>#REF!</f>
        <v>#REF!</v>
      </c>
      <c r="BG380" s="56">
        <f>G380*AN380</f>
        <v>0</v>
      </c>
      <c r="BH380" s="56">
        <f>G380*AO380</f>
        <v>0</v>
      </c>
      <c r="BI380" s="56">
        <f>G380*H380</f>
        <v>0</v>
      </c>
      <c r="BJ380" s="56"/>
      <c r="BK380" s="56">
        <v>17</v>
      </c>
      <c r="BV380" s="56">
        <v>21</v>
      </c>
    </row>
    <row r="381" spans="1:74" ht="13.5" customHeight="1" x14ac:dyDescent="0.25">
      <c r="A381" s="53"/>
      <c r="C381" s="66" t="s">
        <v>578</v>
      </c>
      <c r="D381" s="137" t="s">
        <v>0</v>
      </c>
      <c r="E381" s="138"/>
      <c r="F381" s="138"/>
      <c r="G381" s="138"/>
      <c r="H381" s="138"/>
      <c r="I381" s="138"/>
      <c r="J381" s="139"/>
    </row>
    <row r="382" spans="1:74" ht="15" customHeight="1" x14ac:dyDescent="0.25">
      <c r="A382" s="53"/>
      <c r="D382" s="52" t="s">
        <v>1172</v>
      </c>
      <c r="E382" s="37" t="s">
        <v>424</v>
      </c>
      <c r="G382" s="21">
        <v>8.58</v>
      </c>
      <c r="J382" s="48"/>
    </row>
    <row r="383" spans="1:74" ht="15" customHeight="1" x14ac:dyDescent="0.25">
      <c r="A383" s="53"/>
      <c r="D383" s="52" t="s">
        <v>297</v>
      </c>
      <c r="E383" s="37" t="s">
        <v>928</v>
      </c>
      <c r="G383" s="21">
        <v>0.89700000000000002</v>
      </c>
      <c r="J383" s="48"/>
    </row>
    <row r="384" spans="1:74" ht="15" customHeight="1" x14ac:dyDescent="0.25">
      <c r="A384" s="53"/>
      <c r="D384" s="52" t="s">
        <v>243</v>
      </c>
      <c r="E384" s="37" t="s">
        <v>33</v>
      </c>
      <c r="G384" s="21">
        <v>2.2230000000000003</v>
      </c>
      <c r="J384" s="48"/>
    </row>
    <row r="385" spans="1:74" ht="15" customHeight="1" x14ac:dyDescent="0.25">
      <c r="A385" s="27" t="s">
        <v>769</v>
      </c>
      <c r="B385" s="28" t="s">
        <v>262</v>
      </c>
      <c r="C385" s="28" t="s">
        <v>393</v>
      </c>
      <c r="D385" s="132" t="s">
        <v>860</v>
      </c>
      <c r="E385" s="133"/>
      <c r="F385" s="23" t="s">
        <v>1027</v>
      </c>
      <c r="G385" s="23" t="s">
        <v>1027</v>
      </c>
      <c r="H385" s="23" t="s">
        <v>1027</v>
      </c>
      <c r="I385" s="14">
        <f>SUM(I386:I386)</f>
        <v>0</v>
      </c>
      <c r="J385" s="44" t="s">
        <v>769</v>
      </c>
      <c r="AH385" s="30" t="s">
        <v>262</v>
      </c>
      <c r="AR385" s="14">
        <f>SUM(AI386:AI386)</f>
        <v>0</v>
      </c>
      <c r="AS385" s="14">
        <f>SUM(AJ386:AJ386)</f>
        <v>0</v>
      </c>
      <c r="AT385" s="14">
        <f>SUM(AK386:AK386)</f>
        <v>0</v>
      </c>
    </row>
    <row r="386" spans="1:74" ht="13.5" customHeight="1" x14ac:dyDescent="0.25">
      <c r="A386" s="10" t="s">
        <v>318</v>
      </c>
      <c r="B386" s="9" t="s">
        <v>262</v>
      </c>
      <c r="C386" s="9" t="s">
        <v>1039</v>
      </c>
      <c r="D386" s="76" t="s">
        <v>335</v>
      </c>
      <c r="E386" s="77"/>
      <c r="F386" s="9" t="s">
        <v>1079</v>
      </c>
      <c r="G386" s="56">
        <v>3</v>
      </c>
      <c r="H386" s="56">
        <v>0</v>
      </c>
      <c r="I386" s="56">
        <f>G386*H386</f>
        <v>0</v>
      </c>
      <c r="J386" s="54" t="s">
        <v>501</v>
      </c>
      <c r="Y386" s="56">
        <f>IF(AP386="5",BI386,0)</f>
        <v>0</v>
      </c>
      <c r="AA386" s="56">
        <f>IF(AP386="1",BG386,0)</f>
        <v>0</v>
      </c>
      <c r="AB386" s="56">
        <f>IF(AP386="1",BH386,0)</f>
        <v>0</v>
      </c>
      <c r="AC386" s="56">
        <f>IF(AP386="7",BG386,0)</f>
        <v>0</v>
      </c>
      <c r="AD386" s="56">
        <f>IF(AP386="7",BH386,0)</f>
        <v>0</v>
      </c>
      <c r="AE386" s="56">
        <f>IF(AP386="2",BG386,0)</f>
        <v>0</v>
      </c>
      <c r="AF386" s="56">
        <f>IF(AP386="2",BH386,0)</f>
        <v>0</v>
      </c>
      <c r="AG386" s="56">
        <f>IF(AP386="0",BI386,0)</f>
        <v>0</v>
      </c>
      <c r="AH386" s="30" t="s">
        <v>262</v>
      </c>
      <c r="AI386" s="56">
        <f>IF(AM386=0,I386,0)</f>
        <v>0</v>
      </c>
      <c r="AJ386" s="56">
        <f>IF(AM386=15,I386,0)</f>
        <v>0</v>
      </c>
      <c r="AK386" s="56">
        <f>IF(AM386=21,I386,0)</f>
        <v>0</v>
      </c>
      <c r="AM386" s="56">
        <v>21</v>
      </c>
      <c r="AN386" s="56">
        <f>H386*0.464157782515991</f>
        <v>0</v>
      </c>
      <c r="AO386" s="56">
        <f>H386*(1-0.464157782515991)</f>
        <v>0</v>
      </c>
      <c r="AP386" s="41" t="s">
        <v>1109</v>
      </c>
      <c r="AU386" s="56">
        <f>AV386+AW386</f>
        <v>0</v>
      </c>
      <c r="AV386" s="56">
        <f>G386*AN386</f>
        <v>0</v>
      </c>
      <c r="AW386" s="56">
        <f>G386*AO386</f>
        <v>0</v>
      </c>
      <c r="AX386" s="41" t="s">
        <v>547</v>
      </c>
      <c r="AY386" s="41" t="s">
        <v>519</v>
      </c>
      <c r="AZ386" s="30" t="s">
        <v>478</v>
      </c>
      <c r="BB386" s="56">
        <f>AV386+AW386</f>
        <v>0</v>
      </c>
      <c r="BC386" s="56">
        <f>H386/(100-BD386)*100</f>
        <v>0</v>
      </c>
      <c r="BD386" s="56">
        <v>0</v>
      </c>
      <c r="BE386" s="56" t="e">
        <f>#REF!</f>
        <v>#REF!</v>
      </c>
      <c r="BG386" s="56">
        <f>G386*AN386</f>
        <v>0</v>
      </c>
      <c r="BH386" s="56">
        <f>G386*AO386</f>
        <v>0</v>
      </c>
      <c r="BI386" s="56">
        <f>G386*H386</f>
        <v>0</v>
      </c>
      <c r="BJ386" s="56"/>
      <c r="BK386" s="56">
        <v>45</v>
      </c>
      <c r="BV386" s="56">
        <v>21</v>
      </c>
    </row>
    <row r="387" spans="1:74" ht="15" customHeight="1" x14ac:dyDescent="0.25">
      <c r="A387" s="53"/>
      <c r="D387" s="52" t="s">
        <v>846</v>
      </c>
      <c r="E387" s="37" t="s">
        <v>769</v>
      </c>
      <c r="G387" s="21">
        <v>2.4300000000000002</v>
      </c>
      <c r="J387" s="48"/>
    </row>
    <row r="388" spans="1:74" ht="15" customHeight="1" x14ac:dyDescent="0.25">
      <c r="A388" s="53"/>
      <c r="D388" s="52" t="s">
        <v>209</v>
      </c>
      <c r="E388" s="37" t="s">
        <v>769</v>
      </c>
      <c r="G388" s="21">
        <v>0.57000000000000006</v>
      </c>
      <c r="J388" s="48"/>
    </row>
    <row r="389" spans="1:74" ht="15" customHeight="1" x14ac:dyDescent="0.25">
      <c r="A389" s="27" t="s">
        <v>769</v>
      </c>
      <c r="B389" s="28" t="s">
        <v>262</v>
      </c>
      <c r="C389" s="28" t="s">
        <v>700</v>
      </c>
      <c r="D389" s="132" t="s">
        <v>739</v>
      </c>
      <c r="E389" s="133"/>
      <c r="F389" s="23" t="s">
        <v>1027</v>
      </c>
      <c r="G389" s="23" t="s">
        <v>1027</v>
      </c>
      <c r="H389" s="23" t="s">
        <v>1027</v>
      </c>
      <c r="I389" s="14">
        <f>SUM(I390:I396)</f>
        <v>0</v>
      </c>
      <c r="J389" s="44" t="s">
        <v>769</v>
      </c>
      <c r="AH389" s="30" t="s">
        <v>262</v>
      </c>
      <c r="AR389" s="14">
        <f>SUM(AI390:AI396)</f>
        <v>0</v>
      </c>
      <c r="AS389" s="14">
        <f>SUM(AJ390:AJ396)</f>
        <v>0</v>
      </c>
      <c r="AT389" s="14">
        <f>SUM(AK390:AK396)</f>
        <v>0</v>
      </c>
    </row>
    <row r="390" spans="1:74" ht="13.5" customHeight="1" x14ac:dyDescent="0.25">
      <c r="A390" s="10" t="s">
        <v>81</v>
      </c>
      <c r="B390" s="9" t="s">
        <v>262</v>
      </c>
      <c r="C390" s="9" t="s">
        <v>555</v>
      </c>
      <c r="D390" s="76" t="s">
        <v>1063</v>
      </c>
      <c r="E390" s="77"/>
      <c r="F390" s="9" t="s">
        <v>1095</v>
      </c>
      <c r="G390" s="56">
        <v>27.7</v>
      </c>
      <c r="H390" s="56">
        <v>0</v>
      </c>
      <c r="I390" s="56">
        <f>G390*H390</f>
        <v>0</v>
      </c>
      <c r="J390" s="54" t="s">
        <v>501</v>
      </c>
      <c r="Y390" s="56">
        <f>IF(AP390="5",BI390,0)</f>
        <v>0</v>
      </c>
      <c r="AA390" s="56">
        <f>IF(AP390="1",BG390,0)</f>
        <v>0</v>
      </c>
      <c r="AB390" s="56">
        <f>IF(AP390="1",BH390,0)</f>
        <v>0</v>
      </c>
      <c r="AC390" s="56">
        <f>IF(AP390="7",BG390,0)</f>
        <v>0</v>
      </c>
      <c r="AD390" s="56">
        <f>IF(AP390="7",BH390,0)</f>
        <v>0</v>
      </c>
      <c r="AE390" s="56">
        <f>IF(AP390="2",BG390,0)</f>
        <v>0</v>
      </c>
      <c r="AF390" s="56">
        <f>IF(AP390="2",BH390,0)</f>
        <v>0</v>
      </c>
      <c r="AG390" s="56">
        <f>IF(AP390="0",BI390,0)</f>
        <v>0</v>
      </c>
      <c r="AH390" s="30" t="s">
        <v>262</v>
      </c>
      <c r="AI390" s="56">
        <f>IF(AM390=0,I390,0)</f>
        <v>0</v>
      </c>
      <c r="AJ390" s="56">
        <f>IF(AM390=15,I390,0)</f>
        <v>0</v>
      </c>
      <c r="AK390" s="56">
        <f>IF(AM390=21,I390,0)</f>
        <v>0</v>
      </c>
      <c r="AM390" s="56">
        <v>21</v>
      </c>
      <c r="AN390" s="56">
        <f>H390*0.825266726660109</f>
        <v>0</v>
      </c>
      <c r="AO390" s="56">
        <f>H390*(1-0.825266726660109)</f>
        <v>0</v>
      </c>
      <c r="AP390" s="41" t="s">
        <v>1109</v>
      </c>
      <c r="AU390" s="56">
        <f>AV390+AW390</f>
        <v>0</v>
      </c>
      <c r="AV390" s="56">
        <f>G390*AN390</f>
        <v>0</v>
      </c>
      <c r="AW390" s="56">
        <f>G390*AO390</f>
        <v>0</v>
      </c>
      <c r="AX390" s="41" t="s">
        <v>1152</v>
      </c>
      <c r="AY390" s="41" t="s">
        <v>765</v>
      </c>
      <c r="AZ390" s="30" t="s">
        <v>478</v>
      </c>
      <c r="BB390" s="56">
        <f>AV390+AW390</f>
        <v>0</v>
      </c>
      <c r="BC390" s="56">
        <f>H390/(100-BD390)*100</f>
        <v>0</v>
      </c>
      <c r="BD390" s="56">
        <v>0</v>
      </c>
      <c r="BE390" s="56" t="e">
        <f>#REF!</f>
        <v>#REF!</v>
      </c>
      <c r="BG390" s="56">
        <f>G390*AN390</f>
        <v>0</v>
      </c>
      <c r="BH390" s="56">
        <f>G390*AO390</f>
        <v>0</v>
      </c>
      <c r="BI390" s="56">
        <f>G390*H390</f>
        <v>0</v>
      </c>
      <c r="BJ390" s="56"/>
      <c r="BK390" s="56">
        <v>56</v>
      </c>
      <c r="BV390" s="56">
        <v>21</v>
      </c>
    </row>
    <row r="391" spans="1:74" ht="13.5" customHeight="1" x14ac:dyDescent="0.25">
      <c r="A391" s="53"/>
      <c r="C391" s="66" t="s">
        <v>578</v>
      </c>
      <c r="D391" s="137" t="s">
        <v>216</v>
      </c>
      <c r="E391" s="138"/>
      <c r="F391" s="138"/>
      <c r="G391" s="138"/>
      <c r="H391" s="138"/>
      <c r="I391" s="138"/>
      <c r="J391" s="139"/>
    </row>
    <row r="392" spans="1:74" ht="15" customHeight="1" x14ac:dyDescent="0.25">
      <c r="A392" s="53"/>
      <c r="D392" s="52" t="s">
        <v>240</v>
      </c>
      <c r="E392" s="37" t="s">
        <v>33</v>
      </c>
      <c r="G392" s="21">
        <v>5.7</v>
      </c>
      <c r="J392" s="48"/>
    </row>
    <row r="393" spans="1:74" ht="15" customHeight="1" x14ac:dyDescent="0.25">
      <c r="A393" s="53"/>
      <c r="D393" s="52" t="s">
        <v>427</v>
      </c>
      <c r="E393" s="37" t="s">
        <v>777</v>
      </c>
      <c r="G393" s="21">
        <v>22.000000000000004</v>
      </c>
      <c r="J393" s="48"/>
    </row>
    <row r="394" spans="1:74" ht="13.5" customHeight="1" x14ac:dyDescent="0.25">
      <c r="A394" s="10" t="s">
        <v>168</v>
      </c>
      <c r="B394" s="9" t="s">
        <v>262</v>
      </c>
      <c r="C394" s="9" t="s">
        <v>842</v>
      </c>
      <c r="D394" s="76" t="s">
        <v>301</v>
      </c>
      <c r="E394" s="77"/>
      <c r="F394" s="9" t="s">
        <v>1095</v>
      </c>
      <c r="G394" s="56">
        <v>27.7</v>
      </c>
      <c r="H394" s="56">
        <v>0</v>
      </c>
      <c r="I394" s="56">
        <f>G394*H394</f>
        <v>0</v>
      </c>
      <c r="J394" s="54" t="s">
        <v>501</v>
      </c>
      <c r="Y394" s="56">
        <f>IF(AP394="5",BI394,0)</f>
        <v>0</v>
      </c>
      <c r="AA394" s="56">
        <f>IF(AP394="1",BG394,0)</f>
        <v>0</v>
      </c>
      <c r="AB394" s="56">
        <f>IF(AP394="1",BH394,0)</f>
        <v>0</v>
      </c>
      <c r="AC394" s="56">
        <f>IF(AP394="7",BG394,0)</f>
        <v>0</v>
      </c>
      <c r="AD394" s="56">
        <f>IF(AP394="7",BH394,0)</f>
        <v>0</v>
      </c>
      <c r="AE394" s="56">
        <f>IF(AP394="2",BG394,0)</f>
        <v>0</v>
      </c>
      <c r="AF394" s="56">
        <f>IF(AP394="2",BH394,0)</f>
        <v>0</v>
      </c>
      <c r="AG394" s="56">
        <f>IF(AP394="0",BI394,0)</f>
        <v>0</v>
      </c>
      <c r="AH394" s="30" t="s">
        <v>262</v>
      </c>
      <c r="AI394" s="56">
        <f>IF(AM394=0,I394,0)</f>
        <v>0</v>
      </c>
      <c r="AJ394" s="56">
        <f>IF(AM394=15,I394,0)</f>
        <v>0</v>
      </c>
      <c r="AK394" s="56">
        <f>IF(AM394=21,I394,0)</f>
        <v>0</v>
      </c>
      <c r="AM394" s="56">
        <v>21</v>
      </c>
      <c r="AN394" s="56">
        <f>H394*0.853662302278059</f>
        <v>0</v>
      </c>
      <c r="AO394" s="56">
        <f>H394*(1-0.853662302278059)</f>
        <v>0</v>
      </c>
      <c r="AP394" s="41" t="s">
        <v>1109</v>
      </c>
      <c r="AU394" s="56">
        <f>AV394+AW394</f>
        <v>0</v>
      </c>
      <c r="AV394" s="56">
        <f>G394*AN394</f>
        <v>0</v>
      </c>
      <c r="AW394" s="56">
        <f>G394*AO394</f>
        <v>0</v>
      </c>
      <c r="AX394" s="41" t="s">
        <v>1152</v>
      </c>
      <c r="AY394" s="41" t="s">
        <v>765</v>
      </c>
      <c r="AZ394" s="30" t="s">
        <v>478</v>
      </c>
      <c r="BB394" s="56">
        <f>AV394+AW394</f>
        <v>0</v>
      </c>
      <c r="BC394" s="56">
        <f>H394/(100-BD394)*100</f>
        <v>0</v>
      </c>
      <c r="BD394" s="56">
        <v>0</v>
      </c>
      <c r="BE394" s="56" t="e">
        <f>#REF!</f>
        <v>#REF!</v>
      </c>
      <c r="BG394" s="56">
        <f>G394*AN394</f>
        <v>0</v>
      </c>
      <c r="BH394" s="56">
        <f>G394*AO394</f>
        <v>0</v>
      </c>
      <c r="BI394" s="56">
        <f>G394*H394</f>
        <v>0</v>
      </c>
      <c r="BJ394" s="56"/>
      <c r="BK394" s="56">
        <v>56</v>
      </c>
      <c r="BV394" s="56">
        <v>21</v>
      </c>
    </row>
    <row r="395" spans="1:74" ht="13.5" customHeight="1" x14ac:dyDescent="0.25">
      <c r="A395" s="53"/>
      <c r="C395" s="66" t="s">
        <v>578</v>
      </c>
      <c r="D395" s="137" t="s">
        <v>868</v>
      </c>
      <c r="E395" s="138"/>
      <c r="F395" s="138"/>
      <c r="G395" s="138"/>
      <c r="H395" s="138"/>
      <c r="I395" s="138"/>
      <c r="J395" s="139"/>
    </row>
    <row r="396" spans="1:74" ht="13.5" customHeight="1" x14ac:dyDescent="0.25">
      <c r="A396" s="10" t="s">
        <v>1015</v>
      </c>
      <c r="B396" s="9" t="s">
        <v>262</v>
      </c>
      <c r="C396" s="9" t="s">
        <v>219</v>
      </c>
      <c r="D396" s="76" t="s">
        <v>844</v>
      </c>
      <c r="E396" s="77"/>
      <c r="F396" s="9" t="s">
        <v>1095</v>
      </c>
      <c r="G396" s="56">
        <v>55</v>
      </c>
      <c r="H396" s="56">
        <v>0</v>
      </c>
      <c r="I396" s="56">
        <f>G396*H396</f>
        <v>0</v>
      </c>
      <c r="J396" s="54" t="s">
        <v>501</v>
      </c>
      <c r="Y396" s="56">
        <f>IF(AP396="5",BI396,0)</f>
        <v>0</v>
      </c>
      <c r="AA396" s="56">
        <f>IF(AP396="1",BG396,0)</f>
        <v>0</v>
      </c>
      <c r="AB396" s="56">
        <f>IF(AP396="1",BH396,0)</f>
        <v>0</v>
      </c>
      <c r="AC396" s="56">
        <f>IF(AP396="7",BG396,0)</f>
        <v>0</v>
      </c>
      <c r="AD396" s="56">
        <f>IF(AP396="7",BH396,0)</f>
        <v>0</v>
      </c>
      <c r="AE396" s="56">
        <f>IF(AP396="2",BG396,0)</f>
        <v>0</v>
      </c>
      <c r="AF396" s="56">
        <f>IF(AP396="2",BH396,0)</f>
        <v>0</v>
      </c>
      <c r="AG396" s="56">
        <f>IF(AP396="0",BI396,0)</f>
        <v>0</v>
      </c>
      <c r="AH396" s="30" t="s">
        <v>262</v>
      </c>
      <c r="AI396" s="56">
        <f>IF(AM396=0,I396,0)</f>
        <v>0</v>
      </c>
      <c r="AJ396" s="56">
        <f>IF(AM396=15,I396,0)</f>
        <v>0</v>
      </c>
      <c r="AK396" s="56">
        <f>IF(AM396=21,I396,0)</f>
        <v>0</v>
      </c>
      <c r="AM396" s="56">
        <v>21</v>
      </c>
      <c r="AN396" s="56">
        <f>H396*0.593767228177642</f>
        <v>0</v>
      </c>
      <c r="AO396" s="56">
        <f>H396*(1-0.593767228177642)</f>
        <v>0</v>
      </c>
      <c r="AP396" s="41" t="s">
        <v>1109</v>
      </c>
      <c r="AU396" s="56">
        <f>AV396+AW396</f>
        <v>0</v>
      </c>
      <c r="AV396" s="56">
        <f>G396*AN396</f>
        <v>0</v>
      </c>
      <c r="AW396" s="56">
        <f>G396*AO396</f>
        <v>0</v>
      </c>
      <c r="AX396" s="41" t="s">
        <v>1152</v>
      </c>
      <c r="AY396" s="41" t="s">
        <v>765</v>
      </c>
      <c r="AZ396" s="30" t="s">
        <v>478</v>
      </c>
      <c r="BB396" s="56">
        <f>AV396+AW396</f>
        <v>0</v>
      </c>
      <c r="BC396" s="56">
        <f>H396/(100-BD396)*100</f>
        <v>0</v>
      </c>
      <c r="BD396" s="56">
        <v>0</v>
      </c>
      <c r="BE396" s="56" t="e">
        <f>#REF!</f>
        <v>#REF!</v>
      </c>
      <c r="BG396" s="56">
        <f>G396*AN396</f>
        <v>0</v>
      </c>
      <c r="BH396" s="56">
        <f>G396*AO396</f>
        <v>0</v>
      </c>
      <c r="BI396" s="56">
        <f>G396*H396</f>
        <v>0</v>
      </c>
      <c r="BJ396" s="56"/>
      <c r="BK396" s="56">
        <v>56</v>
      </c>
      <c r="BV396" s="56">
        <v>21</v>
      </c>
    </row>
    <row r="397" spans="1:74" ht="15" customHeight="1" x14ac:dyDescent="0.25">
      <c r="A397" s="27" t="s">
        <v>769</v>
      </c>
      <c r="B397" s="28" t="s">
        <v>262</v>
      </c>
      <c r="C397" s="28" t="s">
        <v>1058</v>
      </c>
      <c r="D397" s="132" t="s">
        <v>571</v>
      </c>
      <c r="E397" s="133"/>
      <c r="F397" s="23" t="s">
        <v>1027</v>
      </c>
      <c r="G397" s="23" t="s">
        <v>1027</v>
      </c>
      <c r="H397" s="23" t="s">
        <v>1027</v>
      </c>
      <c r="I397" s="14">
        <f>SUM(I398:I400)</f>
        <v>0</v>
      </c>
      <c r="J397" s="44" t="s">
        <v>769</v>
      </c>
      <c r="AH397" s="30" t="s">
        <v>262</v>
      </c>
      <c r="AR397" s="14">
        <f>SUM(AI398:AI400)</f>
        <v>0</v>
      </c>
      <c r="AS397" s="14">
        <f>SUM(AJ398:AJ400)</f>
        <v>0</v>
      </c>
      <c r="AT397" s="14">
        <f>SUM(AK398:AK400)</f>
        <v>0</v>
      </c>
    </row>
    <row r="398" spans="1:74" ht="13.5" customHeight="1" x14ac:dyDescent="0.25">
      <c r="A398" s="10" t="s">
        <v>676</v>
      </c>
      <c r="B398" s="9" t="s">
        <v>262</v>
      </c>
      <c r="C398" s="9" t="s">
        <v>1154</v>
      </c>
      <c r="D398" s="76" t="s">
        <v>713</v>
      </c>
      <c r="E398" s="77"/>
      <c r="F398" s="9" t="s">
        <v>1095</v>
      </c>
      <c r="G398" s="56">
        <v>55</v>
      </c>
      <c r="H398" s="56">
        <v>0</v>
      </c>
      <c r="I398" s="56">
        <f>G398*H398</f>
        <v>0</v>
      </c>
      <c r="J398" s="54" t="s">
        <v>501</v>
      </c>
      <c r="Y398" s="56">
        <f>IF(AP398="5",BI398,0)</f>
        <v>0</v>
      </c>
      <c r="AA398" s="56">
        <f>IF(AP398="1",BG398,0)</f>
        <v>0</v>
      </c>
      <c r="AB398" s="56">
        <f>IF(AP398="1",BH398,0)</f>
        <v>0</v>
      </c>
      <c r="AC398" s="56">
        <f>IF(AP398="7",BG398,0)</f>
        <v>0</v>
      </c>
      <c r="AD398" s="56">
        <f>IF(AP398="7",BH398,0)</f>
        <v>0</v>
      </c>
      <c r="AE398" s="56">
        <f>IF(AP398="2",BG398,0)</f>
        <v>0</v>
      </c>
      <c r="AF398" s="56">
        <f>IF(AP398="2",BH398,0)</f>
        <v>0</v>
      </c>
      <c r="AG398" s="56">
        <f>IF(AP398="0",BI398,0)</f>
        <v>0</v>
      </c>
      <c r="AH398" s="30" t="s">
        <v>262</v>
      </c>
      <c r="AI398" s="56">
        <f>IF(AM398=0,I398,0)</f>
        <v>0</v>
      </c>
      <c r="AJ398" s="56">
        <f>IF(AM398=15,I398,0)</f>
        <v>0</v>
      </c>
      <c r="AK398" s="56">
        <f>IF(AM398=21,I398,0)</f>
        <v>0</v>
      </c>
      <c r="AM398" s="56">
        <v>21</v>
      </c>
      <c r="AN398" s="56">
        <f>H398*0.903707443739181</f>
        <v>0</v>
      </c>
      <c r="AO398" s="56">
        <f>H398*(1-0.903707443739181)</f>
        <v>0</v>
      </c>
      <c r="AP398" s="41" t="s">
        <v>1109</v>
      </c>
      <c r="AU398" s="56">
        <f>AV398+AW398</f>
        <v>0</v>
      </c>
      <c r="AV398" s="56">
        <f>G398*AN398</f>
        <v>0</v>
      </c>
      <c r="AW398" s="56">
        <f>G398*AO398</f>
        <v>0</v>
      </c>
      <c r="AX398" s="41" t="s">
        <v>450</v>
      </c>
      <c r="AY398" s="41" t="s">
        <v>765</v>
      </c>
      <c r="AZ398" s="30" t="s">
        <v>478</v>
      </c>
      <c r="BB398" s="56">
        <f>AV398+AW398</f>
        <v>0</v>
      </c>
      <c r="BC398" s="56">
        <f>H398/(100-BD398)*100</f>
        <v>0</v>
      </c>
      <c r="BD398" s="56">
        <v>0</v>
      </c>
      <c r="BE398" s="56" t="e">
        <f>#REF!</f>
        <v>#REF!</v>
      </c>
      <c r="BG398" s="56">
        <f>G398*AN398</f>
        <v>0</v>
      </c>
      <c r="BH398" s="56">
        <f>G398*AO398</f>
        <v>0</v>
      </c>
      <c r="BI398" s="56">
        <f>G398*H398</f>
        <v>0</v>
      </c>
      <c r="BJ398" s="56"/>
      <c r="BK398" s="56">
        <v>57</v>
      </c>
      <c r="BV398" s="56">
        <v>21</v>
      </c>
    </row>
    <row r="399" spans="1:74" ht="13.5" customHeight="1" x14ac:dyDescent="0.25">
      <c r="A399" s="10" t="s">
        <v>317</v>
      </c>
      <c r="B399" s="9" t="s">
        <v>262</v>
      </c>
      <c r="C399" s="9" t="s">
        <v>607</v>
      </c>
      <c r="D399" s="76" t="s">
        <v>420</v>
      </c>
      <c r="E399" s="77"/>
      <c r="F399" s="9" t="s">
        <v>1095</v>
      </c>
      <c r="G399" s="56">
        <v>55</v>
      </c>
      <c r="H399" s="56">
        <v>0</v>
      </c>
      <c r="I399" s="56">
        <f>G399*H399</f>
        <v>0</v>
      </c>
      <c r="J399" s="54" t="s">
        <v>501</v>
      </c>
      <c r="Y399" s="56">
        <f>IF(AP399="5",BI399,0)</f>
        <v>0</v>
      </c>
      <c r="AA399" s="56">
        <f>IF(AP399="1",BG399,0)</f>
        <v>0</v>
      </c>
      <c r="AB399" s="56">
        <f>IF(AP399="1",BH399,0)</f>
        <v>0</v>
      </c>
      <c r="AC399" s="56">
        <f>IF(AP399="7",BG399,0)</f>
        <v>0</v>
      </c>
      <c r="AD399" s="56">
        <f>IF(AP399="7",BH399,0)</f>
        <v>0</v>
      </c>
      <c r="AE399" s="56">
        <f>IF(AP399="2",BG399,0)</f>
        <v>0</v>
      </c>
      <c r="AF399" s="56">
        <f>IF(AP399="2",BH399,0)</f>
        <v>0</v>
      </c>
      <c r="AG399" s="56">
        <f>IF(AP399="0",BI399,0)</f>
        <v>0</v>
      </c>
      <c r="AH399" s="30" t="s">
        <v>262</v>
      </c>
      <c r="AI399" s="56">
        <f>IF(AM399=0,I399,0)</f>
        <v>0</v>
      </c>
      <c r="AJ399" s="56">
        <f>IF(AM399=15,I399,0)</f>
        <v>0</v>
      </c>
      <c r="AK399" s="56">
        <f>IF(AM399=21,I399,0)</f>
        <v>0</v>
      </c>
      <c r="AM399" s="56">
        <v>21</v>
      </c>
      <c r="AN399" s="56">
        <f>H399*0.853684210526316</f>
        <v>0</v>
      </c>
      <c r="AO399" s="56">
        <f>H399*(1-0.853684210526316)</f>
        <v>0</v>
      </c>
      <c r="AP399" s="41" t="s">
        <v>1109</v>
      </c>
      <c r="AU399" s="56">
        <f>AV399+AW399</f>
        <v>0</v>
      </c>
      <c r="AV399" s="56">
        <f>G399*AN399</f>
        <v>0</v>
      </c>
      <c r="AW399" s="56">
        <f>G399*AO399</f>
        <v>0</v>
      </c>
      <c r="AX399" s="41" t="s">
        <v>450</v>
      </c>
      <c r="AY399" s="41" t="s">
        <v>765</v>
      </c>
      <c r="AZ399" s="30" t="s">
        <v>478</v>
      </c>
      <c r="BB399" s="56">
        <f>AV399+AW399</f>
        <v>0</v>
      </c>
      <c r="BC399" s="56">
        <f>H399/(100-BD399)*100</f>
        <v>0</v>
      </c>
      <c r="BD399" s="56">
        <v>0</v>
      </c>
      <c r="BE399" s="56" t="e">
        <f>#REF!</f>
        <v>#REF!</v>
      </c>
      <c r="BG399" s="56">
        <f>G399*AN399</f>
        <v>0</v>
      </c>
      <c r="BH399" s="56">
        <f>G399*AO399</f>
        <v>0</v>
      </c>
      <c r="BI399" s="56">
        <f>G399*H399</f>
        <v>0</v>
      </c>
      <c r="BJ399" s="56"/>
      <c r="BK399" s="56">
        <v>57</v>
      </c>
      <c r="BV399" s="56">
        <v>21</v>
      </c>
    </row>
    <row r="400" spans="1:74" ht="13.5" customHeight="1" x14ac:dyDescent="0.25">
      <c r="A400" s="10" t="s">
        <v>892</v>
      </c>
      <c r="B400" s="9" t="s">
        <v>262</v>
      </c>
      <c r="C400" s="9" t="s">
        <v>656</v>
      </c>
      <c r="D400" s="76" t="s">
        <v>643</v>
      </c>
      <c r="E400" s="77"/>
      <c r="F400" s="9" t="s">
        <v>1095</v>
      </c>
      <c r="G400" s="56">
        <v>55</v>
      </c>
      <c r="H400" s="56">
        <v>0</v>
      </c>
      <c r="I400" s="56">
        <f>G400*H400</f>
        <v>0</v>
      </c>
      <c r="J400" s="54" t="s">
        <v>501</v>
      </c>
      <c r="Y400" s="56">
        <f>IF(AP400="5",BI400,0)</f>
        <v>0</v>
      </c>
      <c r="AA400" s="56">
        <f>IF(AP400="1",BG400,0)</f>
        <v>0</v>
      </c>
      <c r="AB400" s="56">
        <f>IF(AP400="1",BH400,0)</f>
        <v>0</v>
      </c>
      <c r="AC400" s="56">
        <f>IF(AP400="7",BG400,0)</f>
        <v>0</v>
      </c>
      <c r="AD400" s="56">
        <f>IF(AP400="7",BH400,0)</f>
        <v>0</v>
      </c>
      <c r="AE400" s="56">
        <f>IF(AP400="2",BG400,0)</f>
        <v>0</v>
      </c>
      <c r="AF400" s="56">
        <f>IF(AP400="2",BH400,0)</f>
        <v>0</v>
      </c>
      <c r="AG400" s="56">
        <f>IF(AP400="0",BI400,0)</f>
        <v>0</v>
      </c>
      <c r="AH400" s="30" t="s">
        <v>262</v>
      </c>
      <c r="AI400" s="56">
        <f>IF(AM400=0,I400,0)</f>
        <v>0</v>
      </c>
      <c r="AJ400" s="56">
        <f>IF(AM400=15,I400,0)</f>
        <v>0</v>
      </c>
      <c r="AK400" s="56">
        <f>IF(AM400=21,I400,0)</f>
        <v>0</v>
      </c>
      <c r="AM400" s="56">
        <v>21</v>
      </c>
      <c r="AN400" s="56">
        <f>H400*0.594936416184971</f>
        <v>0</v>
      </c>
      <c r="AO400" s="56">
        <f>H400*(1-0.594936416184971)</f>
        <v>0</v>
      </c>
      <c r="AP400" s="41" t="s">
        <v>1109</v>
      </c>
      <c r="AU400" s="56">
        <f>AV400+AW400</f>
        <v>0</v>
      </c>
      <c r="AV400" s="56">
        <f>G400*AN400</f>
        <v>0</v>
      </c>
      <c r="AW400" s="56">
        <f>G400*AO400</f>
        <v>0</v>
      </c>
      <c r="AX400" s="41" t="s">
        <v>450</v>
      </c>
      <c r="AY400" s="41" t="s">
        <v>765</v>
      </c>
      <c r="AZ400" s="30" t="s">
        <v>478</v>
      </c>
      <c r="BB400" s="56">
        <f>AV400+AW400</f>
        <v>0</v>
      </c>
      <c r="BC400" s="56">
        <f>H400/(100-BD400)*100</f>
        <v>0</v>
      </c>
      <c r="BD400" s="56">
        <v>0</v>
      </c>
      <c r="BE400" s="56" t="e">
        <f>#REF!</f>
        <v>#REF!</v>
      </c>
      <c r="BG400" s="56">
        <f>G400*AN400</f>
        <v>0</v>
      </c>
      <c r="BH400" s="56">
        <f>G400*AO400</f>
        <v>0</v>
      </c>
      <c r="BI400" s="56">
        <f>G400*H400</f>
        <v>0</v>
      </c>
      <c r="BJ400" s="56"/>
      <c r="BK400" s="56">
        <v>57</v>
      </c>
      <c r="BV400" s="56">
        <v>21</v>
      </c>
    </row>
    <row r="401" spans="1:74" ht="15" customHeight="1" x14ac:dyDescent="0.25">
      <c r="A401" s="27" t="s">
        <v>769</v>
      </c>
      <c r="B401" s="28" t="s">
        <v>262</v>
      </c>
      <c r="C401" s="28" t="s">
        <v>250</v>
      </c>
      <c r="D401" s="132" t="s">
        <v>1125</v>
      </c>
      <c r="E401" s="133"/>
      <c r="F401" s="23" t="s">
        <v>1027</v>
      </c>
      <c r="G401" s="23" t="s">
        <v>1027</v>
      </c>
      <c r="H401" s="23" t="s">
        <v>1027</v>
      </c>
      <c r="I401" s="14">
        <f>SUM(I402:I402)</f>
        <v>0</v>
      </c>
      <c r="J401" s="44" t="s">
        <v>769</v>
      </c>
      <c r="AH401" s="30" t="s">
        <v>262</v>
      </c>
      <c r="AR401" s="14">
        <f>SUM(AI402:AI402)</f>
        <v>0</v>
      </c>
      <c r="AS401" s="14">
        <f>SUM(AJ402:AJ402)</f>
        <v>0</v>
      </c>
      <c r="AT401" s="14">
        <f>SUM(AK402:AK402)</f>
        <v>0</v>
      </c>
    </row>
    <row r="402" spans="1:74" ht="13.5" customHeight="1" x14ac:dyDescent="0.25">
      <c r="A402" s="10" t="s">
        <v>1150</v>
      </c>
      <c r="B402" s="9" t="s">
        <v>262</v>
      </c>
      <c r="C402" s="9" t="s">
        <v>1149</v>
      </c>
      <c r="D402" s="76" t="s">
        <v>1020</v>
      </c>
      <c r="E402" s="77"/>
      <c r="F402" s="9" t="s">
        <v>1095</v>
      </c>
      <c r="G402" s="56">
        <v>10</v>
      </c>
      <c r="H402" s="56">
        <v>0</v>
      </c>
      <c r="I402" s="56">
        <f>G402*H402</f>
        <v>0</v>
      </c>
      <c r="J402" s="54" t="s">
        <v>501</v>
      </c>
      <c r="Y402" s="56">
        <f>IF(AP402="5",BI402,0)</f>
        <v>0</v>
      </c>
      <c r="AA402" s="56">
        <f>IF(AP402="1",BG402,0)</f>
        <v>0</v>
      </c>
      <c r="AB402" s="56">
        <f>IF(AP402="1",BH402,0)</f>
        <v>0</v>
      </c>
      <c r="AC402" s="56">
        <f>IF(AP402="7",BG402,0)</f>
        <v>0</v>
      </c>
      <c r="AD402" s="56">
        <f>IF(AP402="7",BH402,0)</f>
        <v>0</v>
      </c>
      <c r="AE402" s="56">
        <f>IF(AP402="2",BG402,0)</f>
        <v>0</v>
      </c>
      <c r="AF402" s="56">
        <f>IF(AP402="2",BH402,0)</f>
        <v>0</v>
      </c>
      <c r="AG402" s="56">
        <f>IF(AP402="0",BI402,0)</f>
        <v>0</v>
      </c>
      <c r="AH402" s="30" t="s">
        <v>262</v>
      </c>
      <c r="AI402" s="56">
        <f>IF(AM402=0,I402,0)</f>
        <v>0</v>
      </c>
      <c r="AJ402" s="56">
        <f>IF(AM402=15,I402,0)</f>
        <v>0</v>
      </c>
      <c r="AK402" s="56">
        <f>IF(AM402=21,I402,0)</f>
        <v>0</v>
      </c>
      <c r="AM402" s="56">
        <v>21</v>
      </c>
      <c r="AN402" s="56">
        <f>H402*0.718950276243094</f>
        <v>0</v>
      </c>
      <c r="AO402" s="56">
        <f>H402*(1-0.718950276243094)</f>
        <v>0</v>
      </c>
      <c r="AP402" s="41" t="s">
        <v>1109</v>
      </c>
      <c r="AU402" s="56">
        <f>AV402+AW402</f>
        <v>0</v>
      </c>
      <c r="AV402" s="56">
        <f>G402*AN402</f>
        <v>0</v>
      </c>
      <c r="AW402" s="56">
        <f>G402*AO402</f>
        <v>0</v>
      </c>
      <c r="AX402" s="41" t="s">
        <v>1016</v>
      </c>
      <c r="AY402" s="41" t="s">
        <v>1219</v>
      </c>
      <c r="AZ402" s="30" t="s">
        <v>478</v>
      </c>
      <c r="BB402" s="56">
        <f>AV402+AW402</f>
        <v>0</v>
      </c>
      <c r="BC402" s="56">
        <f>H402/(100-BD402)*100</f>
        <v>0</v>
      </c>
      <c r="BD402" s="56">
        <v>0</v>
      </c>
      <c r="BE402" s="56" t="e">
        <f>#REF!</f>
        <v>#REF!</v>
      </c>
      <c r="BG402" s="56">
        <f>G402*AN402</f>
        <v>0</v>
      </c>
      <c r="BH402" s="56">
        <f>G402*AO402</f>
        <v>0</v>
      </c>
      <c r="BI402" s="56">
        <f>G402*H402</f>
        <v>0</v>
      </c>
      <c r="BJ402" s="56"/>
      <c r="BK402" s="56">
        <v>63</v>
      </c>
      <c r="BV402" s="56">
        <v>21</v>
      </c>
    </row>
    <row r="403" spans="1:74" ht="13.5" customHeight="1" x14ac:dyDescent="0.25">
      <c r="A403" s="53"/>
      <c r="C403" s="66" t="s">
        <v>578</v>
      </c>
      <c r="D403" s="137" t="s">
        <v>1249</v>
      </c>
      <c r="E403" s="138"/>
      <c r="F403" s="138"/>
      <c r="G403" s="138"/>
      <c r="H403" s="138"/>
      <c r="I403" s="138"/>
      <c r="J403" s="139"/>
    </row>
    <row r="404" spans="1:74" ht="15" customHeight="1" x14ac:dyDescent="0.25">
      <c r="A404" s="27" t="s">
        <v>769</v>
      </c>
      <c r="B404" s="28" t="s">
        <v>262</v>
      </c>
      <c r="C404" s="28" t="s">
        <v>552</v>
      </c>
      <c r="D404" s="132" t="s">
        <v>509</v>
      </c>
      <c r="E404" s="133"/>
      <c r="F404" s="23" t="s">
        <v>1027</v>
      </c>
      <c r="G404" s="23" t="s">
        <v>1027</v>
      </c>
      <c r="H404" s="23" t="s">
        <v>1027</v>
      </c>
      <c r="I404" s="14">
        <f>SUM(I405:I418)</f>
        <v>0</v>
      </c>
      <c r="J404" s="44" t="s">
        <v>769</v>
      </c>
      <c r="AH404" s="30" t="s">
        <v>262</v>
      </c>
      <c r="AR404" s="14">
        <f>SUM(AI405:AI418)</f>
        <v>0</v>
      </c>
      <c r="AS404" s="14">
        <f>SUM(AJ405:AJ418)</f>
        <v>0</v>
      </c>
      <c r="AT404" s="14">
        <f>SUM(AK405:AK418)</f>
        <v>0</v>
      </c>
    </row>
    <row r="405" spans="1:74" ht="13.5" customHeight="1" x14ac:dyDescent="0.25">
      <c r="A405" s="10" t="s">
        <v>270</v>
      </c>
      <c r="B405" s="9" t="s">
        <v>262</v>
      </c>
      <c r="C405" s="9" t="s">
        <v>527</v>
      </c>
      <c r="D405" s="76" t="s">
        <v>631</v>
      </c>
      <c r="E405" s="77"/>
      <c r="F405" s="9" t="s">
        <v>275</v>
      </c>
      <c r="G405" s="56">
        <v>3</v>
      </c>
      <c r="H405" s="56">
        <v>0</v>
      </c>
      <c r="I405" s="56">
        <f>G405*H405</f>
        <v>0</v>
      </c>
      <c r="J405" s="54" t="s">
        <v>501</v>
      </c>
      <c r="Y405" s="56">
        <f>IF(AP405="5",BI405,0)</f>
        <v>0</v>
      </c>
      <c r="AA405" s="56">
        <f>IF(AP405="1",BG405,0)</f>
        <v>0</v>
      </c>
      <c r="AB405" s="56">
        <f>IF(AP405="1",BH405,0)</f>
        <v>0</v>
      </c>
      <c r="AC405" s="56">
        <f>IF(AP405="7",BG405,0)</f>
        <v>0</v>
      </c>
      <c r="AD405" s="56">
        <f>IF(AP405="7",BH405,0)</f>
        <v>0</v>
      </c>
      <c r="AE405" s="56">
        <f>IF(AP405="2",BG405,0)</f>
        <v>0</v>
      </c>
      <c r="AF405" s="56">
        <f>IF(AP405="2",BH405,0)</f>
        <v>0</v>
      </c>
      <c r="AG405" s="56">
        <f>IF(AP405="0",BI405,0)</f>
        <v>0</v>
      </c>
      <c r="AH405" s="30" t="s">
        <v>262</v>
      </c>
      <c r="AI405" s="56">
        <f>IF(AM405=0,I405,0)</f>
        <v>0</v>
      </c>
      <c r="AJ405" s="56">
        <f>IF(AM405=15,I405,0)</f>
        <v>0</v>
      </c>
      <c r="AK405" s="56">
        <f>IF(AM405=21,I405,0)</f>
        <v>0</v>
      </c>
      <c r="AM405" s="56">
        <v>21</v>
      </c>
      <c r="AN405" s="56">
        <f>H405*0.21</f>
        <v>0</v>
      </c>
      <c r="AO405" s="56">
        <f>H405*(1-0.21)</f>
        <v>0</v>
      </c>
      <c r="AP405" s="41" t="s">
        <v>1109</v>
      </c>
      <c r="AU405" s="56">
        <f>AV405+AW405</f>
        <v>0</v>
      </c>
      <c r="AV405" s="56">
        <f>G405*AN405</f>
        <v>0</v>
      </c>
      <c r="AW405" s="56">
        <f>G405*AO405</f>
        <v>0</v>
      </c>
      <c r="AX405" s="41" t="s">
        <v>958</v>
      </c>
      <c r="AY405" s="41" t="s">
        <v>1177</v>
      </c>
      <c r="AZ405" s="30" t="s">
        <v>478</v>
      </c>
      <c r="BB405" s="56">
        <f>AV405+AW405</f>
        <v>0</v>
      </c>
      <c r="BC405" s="56">
        <f>H405/(100-BD405)*100</f>
        <v>0</v>
      </c>
      <c r="BD405" s="56">
        <v>0</v>
      </c>
      <c r="BE405" s="56" t="e">
        <f>#REF!</f>
        <v>#REF!</v>
      </c>
      <c r="BG405" s="56">
        <f>G405*AN405</f>
        <v>0</v>
      </c>
      <c r="BH405" s="56">
        <f>G405*AO405</f>
        <v>0</v>
      </c>
      <c r="BI405" s="56">
        <f>G405*H405</f>
        <v>0</v>
      </c>
      <c r="BJ405" s="56"/>
      <c r="BK405" s="56">
        <v>85</v>
      </c>
      <c r="BV405" s="56">
        <v>21</v>
      </c>
    </row>
    <row r="406" spans="1:74" ht="13.5" customHeight="1" x14ac:dyDescent="0.25">
      <c r="A406" s="57" t="s">
        <v>1182</v>
      </c>
      <c r="B406" s="50" t="s">
        <v>262</v>
      </c>
      <c r="C406" s="50" t="s">
        <v>51</v>
      </c>
      <c r="D406" s="135" t="s">
        <v>350</v>
      </c>
      <c r="E406" s="136"/>
      <c r="F406" s="50" t="s">
        <v>275</v>
      </c>
      <c r="G406" s="31">
        <v>1</v>
      </c>
      <c r="H406" s="31">
        <v>0</v>
      </c>
      <c r="I406" s="31">
        <f>G406*H406</f>
        <v>0</v>
      </c>
      <c r="J406" s="47" t="s">
        <v>501</v>
      </c>
      <c r="Y406" s="56">
        <f>IF(AP406="5",BI406,0)</f>
        <v>0</v>
      </c>
      <c r="AA406" s="56">
        <f>IF(AP406="1",BG406,0)</f>
        <v>0</v>
      </c>
      <c r="AB406" s="56">
        <f>IF(AP406="1",BH406,0)</f>
        <v>0</v>
      </c>
      <c r="AC406" s="56">
        <f>IF(AP406="7",BG406,0)</f>
        <v>0</v>
      </c>
      <c r="AD406" s="56">
        <f>IF(AP406="7",BH406,0)</f>
        <v>0</v>
      </c>
      <c r="AE406" s="56">
        <f>IF(AP406="2",BG406,0)</f>
        <v>0</v>
      </c>
      <c r="AF406" s="56">
        <f>IF(AP406="2",BH406,0)</f>
        <v>0</v>
      </c>
      <c r="AG406" s="56">
        <f>IF(AP406="0",BI406,0)</f>
        <v>0</v>
      </c>
      <c r="AH406" s="30" t="s">
        <v>262</v>
      </c>
      <c r="AI406" s="31">
        <f>IF(AM406=0,I406,0)</f>
        <v>0</v>
      </c>
      <c r="AJ406" s="31">
        <f>IF(AM406=15,I406,0)</f>
        <v>0</v>
      </c>
      <c r="AK406" s="31">
        <f>IF(AM406=21,I406,0)</f>
        <v>0</v>
      </c>
      <c r="AM406" s="56">
        <v>21</v>
      </c>
      <c r="AN406" s="56">
        <f>H406*1</f>
        <v>0</v>
      </c>
      <c r="AO406" s="56">
        <f>H406*(1-1)</f>
        <v>0</v>
      </c>
      <c r="AP406" s="58" t="s">
        <v>1109</v>
      </c>
      <c r="AU406" s="56">
        <f>AV406+AW406</f>
        <v>0</v>
      </c>
      <c r="AV406" s="56">
        <f>G406*AN406</f>
        <v>0</v>
      </c>
      <c r="AW406" s="56">
        <f>G406*AO406</f>
        <v>0</v>
      </c>
      <c r="AX406" s="41" t="s">
        <v>958</v>
      </c>
      <c r="AY406" s="41" t="s">
        <v>1177</v>
      </c>
      <c r="AZ406" s="30" t="s">
        <v>478</v>
      </c>
      <c r="BB406" s="56">
        <f>AV406+AW406</f>
        <v>0</v>
      </c>
      <c r="BC406" s="56">
        <f>H406/(100-BD406)*100</f>
        <v>0</v>
      </c>
      <c r="BD406" s="56">
        <v>0</v>
      </c>
      <c r="BE406" s="56" t="e">
        <f>#REF!</f>
        <v>#REF!</v>
      </c>
      <c r="BG406" s="31">
        <f>G406*AN406</f>
        <v>0</v>
      </c>
      <c r="BH406" s="31">
        <f>G406*AO406</f>
        <v>0</v>
      </c>
      <c r="BI406" s="31">
        <f>G406*H406</f>
        <v>0</v>
      </c>
      <c r="BJ406" s="31"/>
      <c r="BK406" s="56">
        <v>85</v>
      </c>
      <c r="BV406" s="56">
        <v>21</v>
      </c>
    </row>
    <row r="407" spans="1:74" ht="15" customHeight="1" x14ac:dyDescent="0.25">
      <c r="A407" s="53"/>
      <c r="D407" s="52" t="s">
        <v>1109</v>
      </c>
      <c r="E407" s="37" t="s">
        <v>1024</v>
      </c>
      <c r="G407" s="21">
        <v>1</v>
      </c>
      <c r="J407" s="48"/>
    </row>
    <row r="408" spans="1:74" ht="13.5" customHeight="1" x14ac:dyDescent="0.25">
      <c r="A408" s="57" t="s">
        <v>355</v>
      </c>
      <c r="B408" s="50" t="s">
        <v>262</v>
      </c>
      <c r="C408" s="50" t="s">
        <v>954</v>
      </c>
      <c r="D408" s="135" t="s">
        <v>1175</v>
      </c>
      <c r="E408" s="136"/>
      <c r="F408" s="50" t="s">
        <v>275</v>
      </c>
      <c r="G408" s="31">
        <v>1</v>
      </c>
      <c r="H408" s="31">
        <v>0</v>
      </c>
      <c r="I408" s="31">
        <f>G408*H408</f>
        <v>0</v>
      </c>
      <c r="J408" s="47" t="s">
        <v>501</v>
      </c>
      <c r="Y408" s="56">
        <f>IF(AP408="5",BI408,0)</f>
        <v>0</v>
      </c>
      <c r="AA408" s="56">
        <f>IF(AP408="1",BG408,0)</f>
        <v>0</v>
      </c>
      <c r="AB408" s="56">
        <f>IF(AP408="1",BH408,0)</f>
        <v>0</v>
      </c>
      <c r="AC408" s="56">
        <f>IF(AP408="7",BG408,0)</f>
        <v>0</v>
      </c>
      <c r="AD408" s="56">
        <f>IF(AP408="7",BH408,0)</f>
        <v>0</v>
      </c>
      <c r="AE408" s="56">
        <f>IF(AP408="2",BG408,0)</f>
        <v>0</v>
      </c>
      <c r="AF408" s="56">
        <f>IF(AP408="2",BH408,0)</f>
        <v>0</v>
      </c>
      <c r="AG408" s="56">
        <f>IF(AP408="0",BI408,0)</f>
        <v>0</v>
      </c>
      <c r="AH408" s="30" t="s">
        <v>262</v>
      </c>
      <c r="AI408" s="31">
        <f>IF(AM408=0,I408,0)</f>
        <v>0</v>
      </c>
      <c r="AJ408" s="31">
        <f>IF(AM408=15,I408,0)</f>
        <v>0</v>
      </c>
      <c r="AK408" s="31">
        <f>IF(AM408=21,I408,0)</f>
        <v>0</v>
      </c>
      <c r="AM408" s="56">
        <v>21</v>
      </c>
      <c r="AN408" s="56">
        <f>H408*1</f>
        <v>0</v>
      </c>
      <c r="AO408" s="56">
        <f>H408*(1-1)</f>
        <v>0</v>
      </c>
      <c r="AP408" s="58" t="s">
        <v>1109</v>
      </c>
      <c r="AU408" s="56">
        <f>AV408+AW408</f>
        <v>0</v>
      </c>
      <c r="AV408" s="56">
        <f>G408*AN408</f>
        <v>0</v>
      </c>
      <c r="AW408" s="56">
        <f>G408*AO408</f>
        <v>0</v>
      </c>
      <c r="AX408" s="41" t="s">
        <v>958</v>
      </c>
      <c r="AY408" s="41" t="s">
        <v>1177</v>
      </c>
      <c r="AZ408" s="30" t="s">
        <v>478</v>
      </c>
      <c r="BB408" s="56">
        <f>AV408+AW408</f>
        <v>0</v>
      </c>
      <c r="BC408" s="56">
        <f>H408/(100-BD408)*100</f>
        <v>0</v>
      </c>
      <c r="BD408" s="56">
        <v>0</v>
      </c>
      <c r="BE408" s="56" t="e">
        <f>#REF!</f>
        <v>#REF!</v>
      </c>
      <c r="BG408" s="31">
        <f>G408*AN408</f>
        <v>0</v>
      </c>
      <c r="BH408" s="31">
        <f>G408*AO408</f>
        <v>0</v>
      </c>
      <c r="BI408" s="31">
        <f>G408*H408</f>
        <v>0</v>
      </c>
      <c r="BJ408" s="31"/>
      <c r="BK408" s="56">
        <v>85</v>
      </c>
      <c r="BV408" s="56">
        <v>21</v>
      </c>
    </row>
    <row r="409" spans="1:74" ht="15" customHeight="1" x14ac:dyDescent="0.25">
      <c r="A409" s="53"/>
      <c r="D409" s="52" t="s">
        <v>1109</v>
      </c>
      <c r="E409" s="37" t="s">
        <v>984</v>
      </c>
      <c r="G409" s="21">
        <v>1</v>
      </c>
      <c r="J409" s="48"/>
    </row>
    <row r="410" spans="1:74" ht="13.5" customHeight="1" x14ac:dyDescent="0.25">
      <c r="A410" s="57" t="s">
        <v>887</v>
      </c>
      <c r="B410" s="50" t="s">
        <v>262</v>
      </c>
      <c r="C410" s="50" t="s">
        <v>213</v>
      </c>
      <c r="D410" s="135" t="s">
        <v>858</v>
      </c>
      <c r="E410" s="136"/>
      <c r="F410" s="50" t="s">
        <v>275</v>
      </c>
      <c r="G410" s="31">
        <v>1</v>
      </c>
      <c r="H410" s="31">
        <v>0</v>
      </c>
      <c r="I410" s="31">
        <f>G410*H410</f>
        <v>0</v>
      </c>
      <c r="J410" s="47" t="s">
        <v>501</v>
      </c>
      <c r="Y410" s="56">
        <f>IF(AP410="5",BI410,0)</f>
        <v>0</v>
      </c>
      <c r="AA410" s="56">
        <f>IF(AP410="1",BG410,0)</f>
        <v>0</v>
      </c>
      <c r="AB410" s="56">
        <f>IF(AP410="1",BH410,0)</f>
        <v>0</v>
      </c>
      <c r="AC410" s="56">
        <f>IF(AP410="7",BG410,0)</f>
        <v>0</v>
      </c>
      <c r="AD410" s="56">
        <f>IF(AP410="7",BH410,0)</f>
        <v>0</v>
      </c>
      <c r="AE410" s="56">
        <f>IF(AP410="2",BG410,0)</f>
        <v>0</v>
      </c>
      <c r="AF410" s="56">
        <f>IF(AP410="2",BH410,0)</f>
        <v>0</v>
      </c>
      <c r="AG410" s="56">
        <f>IF(AP410="0",BI410,0)</f>
        <v>0</v>
      </c>
      <c r="AH410" s="30" t="s">
        <v>262</v>
      </c>
      <c r="AI410" s="31">
        <f>IF(AM410=0,I410,0)</f>
        <v>0</v>
      </c>
      <c r="AJ410" s="31">
        <f>IF(AM410=15,I410,0)</f>
        <v>0</v>
      </c>
      <c r="AK410" s="31">
        <f>IF(AM410=21,I410,0)</f>
        <v>0</v>
      </c>
      <c r="AM410" s="56">
        <v>21</v>
      </c>
      <c r="AN410" s="56">
        <f>H410*1</f>
        <v>0</v>
      </c>
      <c r="AO410" s="56">
        <f>H410*(1-1)</f>
        <v>0</v>
      </c>
      <c r="AP410" s="58" t="s">
        <v>1109</v>
      </c>
      <c r="AU410" s="56">
        <f>AV410+AW410</f>
        <v>0</v>
      </c>
      <c r="AV410" s="56">
        <f>G410*AN410</f>
        <v>0</v>
      </c>
      <c r="AW410" s="56">
        <f>G410*AO410</f>
        <v>0</v>
      </c>
      <c r="AX410" s="41" t="s">
        <v>958</v>
      </c>
      <c r="AY410" s="41" t="s">
        <v>1177</v>
      </c>
      <c r="AZ410" s="30" t="s">
        <v>478</v>
      </c>
      <c r="BB410" s="56">
        <f>AV410+AW410</f>
        <v>0</v>
      </c>
      <c r="BC410" s="56">
        <f>H410/(100-BD410)*100</f>
        <v>0</v>
      </c>
      <c r="BD410" s="56">
        <v>0</v>
      </c>
      <c r="BE410" s="56" t="e">
        <f>#REF!</f>
        <v>#REF!</v>
      </c>
      <c r="BG410" s="31">
        <f>G410*AN410</f>
        <v>0</v>
      </c>
      <c r="BH410" s="31">
        <f>G410*AO410</f>
        <v>0</v>
      </c>
      <c r="BI410" s="31">
        <f>G410*H410</f>
        <v>0</v>
      </c>
      <c r="BJ410" s="31"/>
      <c r="BK410" s="56">
        <v>85</v>
      </c>
      <c r="BV410" s="56">
        <v>21</v>
      </c>
    </row>
    <row r="411" spans="1:74" ht="15" customHeight="1" x14ac:dyDescent="0.25">
      <c r="A411" s="53"/>
      <c r="D411" s="52" t="s">
        <v>1109</v>
      </c>
      <c r="E411" s="37" t="s">
        <v>1067</v>
      </c>
      <c r="G411" s="21">
        <v>1</v>
      </c>
      <c r="J411" s="48"/>
    </row>
    <row r="412" spans="1:74" ht="13.5" customHeight="1" x14ac:dyDescent="0.25">
      <c r="A412" s="10" t="s">
        <v>594</v>
      </c>
      <c r="B412" s="9" t="s">
        <v>262</v>
      </c>
      <c r="C412" s="9" t="s">
        <v>688</v>
      </c>
      <c r="D412" s="76" t="s">
        <v>630</v>
      </c>
      <c r="E412" s="77"/>
      <c r="F412" s="9" t="s">
        <v>275</v>
      </c>
      <c r="G412" s="56">
        <v>2</v>
      </c>
      <c r="H412" s="56">
        <v>0</v>
      </c>
      <c r="I412" s="56">
        <f>G412*H412</f>
        <v>0</v>
      </c>
      <c r="J412" s="54" t="s">
        <v>501</v>
      </c>
      <c r="Y412" s="56">
        <f>IF(AP412="5",BI412,0)</f>
        <v>0</v>
      </c>
      <c r="AA412" s="56">
        <f>IF(AP412="1",BG412,0)</f>
        <v>0</v>
      </c>
      <c r="AB412" s="56">
        <f>IF(AP412="1",BH412,0)</f>
        <v>0</v>
      </c>
      <c r="AC412" s="56">
        <f>IF(AP412="7",BG412,0)</f>
        <v>0</v>
      </c>
      <c r="AD412" s="56">
        <f>IF(AP412="7",BH412,0)</f>
        <v>0</v>
      </c>
      <c r="AE412" s="56">
        <f>IF(AP412="2",BG412,0)</f>
        <v>0</v>
      </c>
      <c r="AF412" s="56">
        <f>IF(AP412="2",BH412,0)</f>
        <v>0</v>
      </c>
      <c r="AG412" s="56">
        <f>IF(AP412="0",BI412,0)</f>
        <v>0</v>
      </c>
      <c r="AH412" s="30" t="s">
        <v>262</v>
      </c>
      <c r="AI412" s="56">
        <f>IF(AM412=0,I412,0)</f>
        <v>0</v>
      </c>
      <c r="AJ412" s="56">
        <f>IF(AM412=15,I412,0)</f>
        <v>0</v>
      </c>
      <c r="AK412" s="56">
        <f>IF(AM412=21,I412,0)</f>
        <v>0</v>
      </c>
      <c r="AM412" s="56">
        <v>21</v>
      </c>
      <c r="AN412" s="56">
        <f>H412*0.320712589073634</f>
        <v>0</v>
      </c>
      <c r="AO412" s="56">
        <f>H412*(1-0.320712589073634)</f>
        <v>0</v>
      </c>
      <c r="AP412" s="41" t="s">
        <v>1109</v>
      </c>
      <c r="AU412" s="56">
        <f>AV412+AW412</f>
        <v>0</v>
      </c>
      <c r="AV412" s="56">
        <f>G412*AN412</f>
        <v>0</v>
      </c>
      <c r="AW412" s="56">
        <f>G412*AO412</f>
        <v>0</v>
      </c>
      <c r="AX412" s="41" t="s">
        <v>958</v>
      </c>
      <c r="AY412" s="41" t="s">
        <v>1177</v>
      </c>
      <c r="AZ412" s="30" t="s">
        <v>478</v>
      </c>
      <c r="BB412" s="56">
        <f>AV412+AW412</f>
        <v>0</v>
      </c>
      <c r="BC412" s="56">
        <f>H412/(100-BD412)*100</f>
        <v>0</v>
      </c>
      <c r="BD412" s="56">
        <v>0</v>
      </c>
      <c r="BE412" s="56" t="e">
        <f>#REF!</f>
        <v>#REF!</v>
      </c>
      <c r="BG412" s="56">
        <f>G412*AN412</f>
        <v>0</v>
      </c>
      <c r="BH412" s="56">
        <f>G412*AO412</f>
        <v>0</v>
      </c>
      <c r="BI412" s="56">
        <f>G412*H412</f>
        <v>0</v>
      </c>
      <c r="BJ412" s="56"/>
      <c r="BK412" s="56">
        <v>85</v>
      </c>
      <c r="BV412" s="56">
        <v>21</v>
      </c>
    </row>
    <row r="413" spans="1:74" ht="13.5" customHeight="1" x14ac:dyDescent="0.25">
      <c r="A413" s="57" t="s">
        <v>32</v>
      </c>
      <c r="B413" s="50" t="s">
        <v>262</v>
      </c>
      <c r="C413" s="50" t="s">
        <v>772</v>
      </c>
      <c r="D413" s="135" t="s">
        <v>460</v>
      </c>
      <c r="E413" s="136"/>
      <c r="F413" s="50" t="s">
        <v>275</v>
      </c>
      <c r="G413" s="31">
        <v>1</v>
      </c>
      <c r="H413" s="31">
        <v>0</v>
      </c>
      <c r="I413" s="31">
        <f>G413*H413</f>
        <v>0</v>
      </c>
      <c r="J413" s="47" t="s">
        <v>501</v>
      </c>
      <c r="Y413" s="56">
        <f>IF(AP413="5",BI413,0)</f>
        <v>0</v>
      </c>
      <c r="AA413" s="56">
        <f>IF(AP413="1",BG413,0)</f>
        <v>0</v>
      </c>
      <c r="AB413" s="56">
        <f>IF(AP413="1",BH413,0)</f>
        <v>0</v>
      </c>
      <c r="AC413" s="56">
        <f>IF(AP413="7",BG413,0)</f>
        <v>0</v>
      </c>
      <c r="AD413" s="56">
        <f>IF(AP413="7",BH413,0)</f>
        <v>0</v>
      </c>
      <c r="AE413" s="56">
        <f>IF(AP413="2",BG413,0)</f>
        <v>0</v>
      </c>
      <c r="AF413" s="56">
        <f>IF(AP413="2",BH413,0)</f>
        <v>0</v>
      </c>
      <c r="AG413" s="56">
        <f>IF(AP413="0",BI413,0)</f>
        <v>0</v>
      </c>
      <c r="AH413" s="30" t="s">
        <v>262</v>
      </c>
      <c r="AI413" s="31">
        <f>IF(AM413=0,I413,0)</f>
        <v>0</v>
      </c>
      <c r="AJ413" s="31">
        <f>IF(AM413=15,I413,0)</f>
        <v>0</v>
      </c>
      <c r="AK413" s="31">
        <f>IF(AM413=21,I413,0)</f>
        <v>0</v>
      </c>
      <c r="AM413" s="56">
        <v>21</v>
      </c>
      <c r="AN413" s="56">
        <f>H413*1</f>
        <v>0</v>
      </c>
      <c r="AO413" s="56">
        <f>H413*(1-1)</f>
        <v>0</v>
      </c>
      <c r="AP413" s="58" t="s">
        <v>1109</v>
      </c>
      <c r="AU413" s="56">
        <f>AV413+AW413</f>
        <v>0</v>
      </c>
      <c r="AV413" s="56">
        <f>G413*AN413</f>
        <v>0</v>
      </c>
      <c r="AW413" s="56">
        <f>G413*AO413</f>
        <v>0</v>
      </c>
      <c r="AX413" s="41" t="s">
        <v>958</v>
      </c>
      <c r="AY413" s="41" t="s">
        <v>1177</v>
      </c>
      <c r="AZ413" s="30" t="s">
        <v>478</v>
      </c>
      <c r="BB413" s="56">
        <f>AV413+AW413</f>
        <v>0</v>
      </c>
      <c r="BC413" s="56">
        <f>H413/(100-BD413)*100</f>
        <v>0</v>
      </c>
      <c r="BD413" s="56">
        <v>0</v>
      </c>
      <c r="BE413" s="56" t="e">
        <f>#REF!</f>
        <v>#REF!</v>
      </c>
      <c r="BG413" s="31">
        <f>G413*AN413</f>
        <v>0</v>
      </c>
      <c r="BH413" s="31">
        <f>G413*AO413</f>
        <v>0</v>
      </c>
      <c r="BI413" s="31">
        <f>G413*H413</f>
        <v>0</v>
      </c>
      <c r="BJ413" s="31"/>
      <c r="BK413" s="56">
        <v>85</v>
      </c>
      <c r="BV413" s="56">
        <v>21</v>
      </c>
    </row>
    <row r="414" spans="1:74" ht="15" customHeight="1" x14ac:dyDescent="0.25">
      <c r="A414" s="53"/>
      <c r="D414" s="52" t="s">
        <v>1109</v>
      </c>
      <c r="E414" s="37" t="s">
        <v>816</v>
      </c>
      <c r="G414" s="21">
        <v>1</v>
      </c>
      <c r="J414" s="48"/>
    </row>
    <row r="415" spans="1:74" ht="13.5" customHeight="1" x14ac:dyDescent="0.25">
      <c r="A415" s="57" t="s">
        <v>828</v>
      </c>
      <c r="B415" s="50" t="s">
        <v>262</v>
      </c>
      <c r="C415" s="50" t="s">
        <v>401</v>
      </c>
      <c r="D415" s="135" t="s">
        <v>936</v>
      </c>
      <c r="E415" s="136"/>
      <c r="F415" s="50" t="s">
        <v>275</v>
      </c>
      <c r="G415" s="31">
        <v>1</v>
      </c>
      <c r="H415" s="31">
        <v>0</v>
      </c>
      <c r="I415" s="31">
        <f>G415*H415</f>
        <v>0</v>
      </c>
      <c r="J415" s="47" t="s">
        <v>501</v>
      </c>
      <c r="Y415" s="56">
        <f>IF(AP415="5",BI415,0)</f>
        <v>0</v>
      </c>
      <c r="AA415" s="56">
        <f>IF(AP415="1",BG415,0)</f>
        <v>0</v>
      </c>
      <c r="AB415" s="56">
        <f>IF(AP415="1",BH415,0)</f>
        <v>0</v>
      </c>
      <c r="AC415" s="56">
        <f>IF(AP415="7",BG415,0)</f>
        <v>0</v>
      </c>
      <c r="AD415" s="56">
        <f>IF(AP415="7",BH415,0)</f>
        <v>0</v>
      </c>
      <c r="AE415" s="56">
        <f>IF(AP415="2",BG415,0)</f>
        <v>0</v>
      </c>
      <c r="AF415" s="56">
        <f>IF(AP415="2",BH415,0)</f>
        <v>0</v>
      </c>
      <c r="AG415" s="56">
        <f>IF(AP415="0",BI415,0)</f>
        <v>0</v>
      </c>
      <c r="AH415" s="30" t="s">
        <v>262</v>
      </c>
      <c r="AI415" s="31">
        <f>IF(AM415=0,I415,0)</f>
        <v>0</v>
      </c>
      <c r="AJ415" s="31">
        <f>IF(AM415=15,I415,0)</f>
        <v>0</v>
      </c>
      <c r="AK415" s="31">
        <f>IF(AM415=21,I415,0)</f>
        <v>0</v>
      </c>
      <c r="AM415" s="56">
        <v>21</v>
      </c>
      <c r="AN415" s="56">
        <f>H415*1</f>
        <v>0</v>
      </c>
      <c r="AO415" s="56">
        <f>H415*(1-1)</f>
        <v>0</v>
      </c>
      <c r="AP415" s="58" t="s">
        <v>1109</v>
      </c>
      <c r="AU415" s="56">
        <f>AV415+AW415</f>
        <v>0</v>
      </c>
      <c r="AV415" s="56">
        <f>G415*AN415</f>
        <v>0</v>
      </c>
      <c r="AW415" s="56">
        <f>G415*AO415</f>
        <v>0</v>
      </c>
      <c r="AX415" s="41" t="s">
        <v>958</v>
      </c>
      <c r="AY415" s="41" t="s">
        <v>1177</v>
      </c>
      <c r="AZ415" s="30" t="s">
        <v>478</v>
      </c>
      <c r="BB415" s="56">
        <f>AV415+AW415</f>
        <v>0</v>
      </c>
      <c r="BC415" s="56">
        <f>H415/(100-BD415)*100</f>
        <v>0</v>
      </c>
      <c r="BD415" s="56">
        <v>0</v>
      </c>
      <c r="BE415" s="56" t="e">
        <f>#REF!</f>
        <v>#REF!</v>
      </c>
      <c r="BG415" s="31">
        <f>G415*AN415</f>
        <v>0</v>
      </c>
      <c r="BH415" s="31">
        <f>G415*AO415</f>
        <v>0</v>
      </c>
      <c r="BI415" s="31">
        <f>G415*H415</f>
        <v>0</v>
      </c>
      <c r="BJ415" s="31"/>
      <c r="BK415" s="56">
        <v>85</v>
      </c>
      <c r="BV415" s="56">
        <v>21</v>
      </c>
    </row>
    <row r="416" spans="1:74" ht="15" customHeight="1" x14ac:dyDescent="0.25">
      <c r="A416" s="53"/>
      <c r="D416" s="52" t="s">
        <v>1109</v>
      </c>
      <c r="E416" s="37" t="s">
        <v>839</v>
      </c>
      <c r="G416" s="21">
        <v>1</v>
      </c>
      <c r="J416" s="48"/>
    </row>
    <row r="417" spans="1:74" ht="13.5" customHeight="1" x14ac:dyDescent="0.25">
      <c r="A417" s="10" t="s">
        <v>1188</v>
      </c>
      <c r="B417" s="9" t="s">
        <v>262</v>
      </c>
      <c r="C417" s="9" t="s">
        <v>944</v>
      </c>
      <c r="D417" s="76" t="s">
        <v>1101</v>
      </c>
      <c r="E417" s="77"/>
      <c r="F417" s="9" t="s">
        <v>275</v>
      </c>
      <c r="G417" s="56">
        <v>1</v>
      </c>
      <c r="H417" s="56">
        <v>0</v>
      </c>
      <c r="I417" s="56">
        <f>G417*H417</f>
        <v>0</v>
      </c>
      <c r="J417" s="54" t="s">
        <v>501</v>
      </c>
      <c r="Y417" s="56">
        <f>IF(AP417="5",BI417,0)</f>
        <v>0</v>
      </c>
      <c r="AA417" s="56">
        <f>IF(AP417="1",BG417,0)</f>
        <v>0</v>
      </c>
      <c r="AB417" s="56">
        <f>IF(AP417="1",BH417,0)</f>
        <v>0</v>
      </c>
      <c r="AC417" s="56">
        <f>IF(AP417="7",BG417,0)</f>
        <v>0</v>
      </c>
      <c r="AD417" s="56">
        <f>IF(AP417="7",BH417,0)</f>
        <v>0</v>
      </c>
      <c r="AE417" s="56">
        <f>IF(AP417="2",BG417,0)</f>
        <v>0</v>
      </c>
      <c r="AF417" s="56">
        <f>IF(AP417="2",BH417,0)</f>
        <v>0</v>
      </c>
      <c r="AG417" s="56">
        <f>IF(AP417="0",BI417,0)</f>
        <v>0</v>
      </c>
      <c r="AH417" s="30" t="s">
        <v>262</v>
      </c>
      <c r="AI417" s="56">
        <f>IF(AM417=0,I417,0)</f>
        <v>0</v>
      </c>
      <c r="AJ417" s="56">
        <f>IF(AM417=15,I417,0)</f>
        <v>0</v>
      </c>
      <c r="AK417" s="56">
        <f>IF(AM417=21,I417,0)</f>
        <v>0</v>
      </c>
      <c r="AM417" s="56">
        <v>21</v>
      </c>
      <c r="AN417" s="56">
        <f>H417*0.322239858906526</f>
        <v>0</v>
      </c>
      <c r="AO417" s="56">
        <f>H417*(1-0.322239858906526)</f>
        <v>0</v>
      </c>
      <c r="AP417" s="41" t="s">
        <v>1109</v>
      </c>
      <c r="AU417" s="56">
        <f>AV417+AW417</f>
        <v>0</v>
      </c>
      <c r="AV417" s="56">
        <f>G417*AN417</f>
        <v>0</v>
      </c>
      <c r="AW417" s="56">
        <f>G417*AO417</f>
        <v>0</v>
      </c>
      <c r="AX417" s="41" t="s">
        <v>958</v>
      </c>
      <c r="AY417" s="41" t="s">
        <v>1177</v>
      </c>
      <c r="AZ417" s="30" t="s">
        <v>478</v>
      </c>
      <c r="BB417" s="56">
        <f>AV417+AW417</f>
        <v>0</v>
      </c>
      <c r="BC417" s="56">
        <f>H417/(100-BD417)*100</f>
        <v>0</v>
      </c>
      <c r="BD417" s="56">
        <v>0</v>
      </c>
      <c r="BE417" s="56" t="e">
        <f>#REF!</f>
        <v>#REF!</v>
      </c>
      <c r="BG417" s="56">
        <f>G417*AN417</f>
        <v>0</v>
      </c>
      <c r="BH417" s="56">
        <f>G417*AO417</f>
        <v>0</v>
      </c>
      <c r="BI417" s="56">
        <f>G417*H417</f>
        <v>0</v>
      </c>
      <c r="BJ417" s="56"/>
      <c r="BK417" s="56">
        <v>85</v>
      </c>
      <c r="BV417" s="56">
        <v>21</v>
      </c>
    </row>
    <row r="418" spans="1:74" ht="13.5" customHeight="1" x14ac:dyDescent="0.25">
      <c r="A418" s="57" t="s">
        <v>1103</v>
      </c>
      <c r="B418" s="50" t="s">
        <v>262</v>
      </c>
      <c r="C418" s="50" t="s">
        <v>109</v>
      </c>
      <c r="D418" s="135" t="s">
        <v>152</v>
      </c>
      <c r="E418" s="136"/>
      <c r="F418" s="50" t="s">
        <v>275</v>
      </c>
      <c r="G418" s="31">
        <v>1</v>
      </c>
      <c r="H418" s="31">
        <v>0</v>
      </c>
      <c r="I418" s="31">
        <f>G418*H418</f>
        <v>0</v>
      </c>
      <c r="J418" s="47" t="s">
        <v>501</v>
      </c>
      <c r="Y418" s="56">
        <f>IF(AP418="5",BI418,0)</f>
        <v>0</v>
      </c>
      <c r="AA418" s="56">
        <f>IF(AP418="1",BG418,0)</f>
        <v>0</v>
      </c>
      <c r="AB418" s="56">
        <f>IF(AP418="1",BH418,0)</f>
        <v>0</v>
      </c>
      <c r="AC418" s="56">
        <f>IF(AP418="7",BG418,0)</f>
        <v>0</v>
      </c>
      <c r="AD418" s="56">
        <f>IF(AP418="7",BH418,0)</f>
        <v>0</v>
      </c>
      <c r="AE418" s="56">
        <f>IF(AP418="2",BG418,0)</f>
        <v>0</v>
      </c>
      <c r="AF418" s="56">
        <f>IF(AP418="2",BH418,0)</f>
        <v>0</v>
      </c>
      <c r="AG418" s="56">
        <f>IF(AP418="0",BI418,0)</f>
        <v>0</v>
      </c>
      <c r="AH418" s="30" t="s">
        <v>262</v>
      </c>
      <c r="AI418" s="31">
        <f>IF(AM418=0,I418,0)</f>
        <v>0</v>
      </c>
      <c r="AJ418" s="31">
        <f>IF(AM418=15,I418,0)</f>
        <v>0</v>
      </c>
      <c r="AK418" s="31">
        <f>IF(AM418=21,I418,0)</f>
        <v>0</v>
      </c>
      <c r="AM418" s="56">
        <v>21</v>
      </c>
      <c r="AN418" s="56">
        <f>H418*1</f>
        <v>0</v>
      </c>
      <c r="AO418" s="56">
        <f>H418*(1-1)</f>
        <v>0</v>
      </c>
      <c r="AP418" s="58" t="s">
        <v>1109</v>
      </c>
      <c r="AU418" s="56">
        <f>AV418+AW418</f>
        <v>0</v>
      </c>
      <c r="AV418" s="56">
        <f>G418*AN418</f>
        <v>0</v>
      </c>
      <c r="AW418" s="56">
        <f>G418*AO418</f>
        <v>0</v>
      </c>
      <c r="AX418" s="41" t="s">
        <v>958</v>
      </c>
      <c r="AY418" s="41" t="s">
        <v>1177</v>
      </c>
      <c r="AZ418" s="30" t="s">
        <v>478</v>
      </c>
      <c r="BB418" s="56">
        <f>AV418+AW418</f>
        <v>0</v>
      </c>
      <c r="BC418" s="56">
        <f>H418/(100-BD418)*100</f>
        <v>0</v>
      </c>
      <c r="BD418" s="56">
        <v>0</v>
      </c>
      <c r="BE418" s="56" t="e">
        <f>#REF!</f>
        <v>#REF!</v>
      </c>
      <c r="BG418" s="31">
        <f>G418*AN418</f>
        <v>0</v>
      </c>
      <c r="BH418" s="31">
        <f>G418*AO418</f>
        <v>0</v>
      </c>
      <c r="BI418" s="31">
        <f>G418*H418</f>
        <v>0</v>
      </c>
      <c r="BJ418" s="31"/>
      <c r="BK418" s="56">
        <v>85</v>
      </c>
      <c r="BV418" s="56">
        <v>21</v>
      </c>
    </row>
    <row r="419" spans="1:74" ht="15" customHeight="1" x14ac:dyDescent="0.25">
      <c r="A419" s="53"/>
      <c r="D419" s="52" t="s">
        <v>1109</v>
      </c>
      <c r="E419" s="37" t="s">
        <v>176</v>
      </c>
      <c r="G419" s="21">
        <v>1</v>
      </c>
      <c r="J419" s="48"/>
    </row>
    <row r="420" spans="1:74" ht="15" customHeight="1" x14ac:dyDescent="0.25">
      <c r="A420" s="27" t="s">
        <v>769</v>
      </c>
      <c r="B420" s="28" t="s">
        <v>262</v>
      </c>
      <c r="C420" s="28" t="s">
        <v>55</v>
      </c>
      <c r="D420" s="132" t="s">
        <v>90</v>
      </c>
      <c r="E420" s="133"/>
      <c r="F420" s="23" t="s">
        <v>1027</v>
      </c>
      <c r="G420" s="23" t="s">
        <v>1027</v>
      </c>
      <c r="H420" s="23" t="s">
        <v>1027</v>
      </c>
      <c r="I420" s="14">
        <f>SUM(I421:I452)</f>
        <v>0</v>
      </c>
      <c r="J420" s="44" t="s">
        <v>769</v>
      </c>
      <c r="AH420" s="30" t="s">
        <v>262</v>
      </c>
      <c r="AR420" s="14">
        <f>SUM(AI421:AI452)</f>
        <v>0</v>
      </c>
      <c r="AS420" s="14">
        <f>SUM(AJ421:AJ452)</f>
        <v>0</v>
      </c>
      <c r="AT420" s="14">
        <f>SUM(AK421:AK452)</f>
        <v>0</v>
      </c>
    </row>
    <row r="421" spans="1:74" ht="13.5" customHeight="1" x14ac:dyDescent="0.25">
      <c r="A421" s="10" t="s">
        <v>850</v>
      </c>
      <c r="B421" s="9" t="s">
        <v>262</v>
      </c>
      <c r="C421" s="9" t="s">
        <v>1013</v>
      </c>
      <c r="D421" s="76" t="s">
        <v>795</v>
      </c>
      <c r="E421" s="77"/>
      <c r="F421" s="9" t="s">
        <v>909</v>
      </c>
      <c r="G421" s="56">
        <v>7</v>
      </c>
      <c r="H421" s="56">
        <v>0</v>
      </c>
      <c r="I421" s="56">
        <f>G421*H421</f>
        <v>0</v>
      </c>
      <c r="J421" s="54" t="s">
        <v>501</v>
      </c>
      <c r="Y421" s="56">
        <f>IF(AP421="5",BI421,0)</f>
        <v>0</v>
      </c>
      <c r="AA421" s="56">
        <f>IF(AP421="1",BG421,0)</f>
        <v>0</v>
      </c>
      <c r="AB421" s="56">
        <f>IF(AP421="1",BH421,0)</f>
        <v>0</v>
      </c>
      <c r="AC421" s="56">
        <f>IF(AP421="7",BG421,0)</f>
        <v>0</v>
      </c>
      <c r="AD421" s="56">
        <f>IF(AP421="7",BH421,0)</f>
        <v>0</v>
      </c>
      <c r="AE421" s="56">
        <f>IF(AP421="2",BG421,0)</f>
        <v>0</v>
      </c>
      <c r="AF421" s="56">
        <f>IF(AP421="2",BH421,0)</f>
        <v>0</v>
      </c>
      <c r="AG421" s="56">
        <f>IF(AP421="0",BI421,0)</f>
        <v>0</v>
      </c>
      <c r="AH421" s="30" t="s">
        <v>262</v>
      </c>
      <c r="AI421" s="56">
        <f>IF(AM421=0,I421,0)</f>
        <v>0</v>
      </c>
      <c r="AJ421" s="56">
        <f>IF(AM421=15,I421,0)</f>
        <v>0</v>
      </c>
      <c r="AK421" s="56">
        <f>IF(AM421=21,I421,0)</f>
        <v>0</v>
      </c>
      <c r="AM421" s="56">
        <v>21</v>
      </c>
      <c r="AN421" s="56">
        <f>H421*0</f>
        <v>0</v>
      </c>
      <c r="AO421" s="56">
        <f>H421*(1-0)</f>
        <v>0</v>
      </c>
      <c r="AP421" s="41" t="s">
        <v>1109</v>
      </c>
      <c r="AU421" s="56">
        <f>AV421+AW421</f>
        <v>0</v>
      </c>
      <c r="AV421" s="56">
        <f>G421*AN421</f>
        <v>0</v>
      </c>
      <c r="AW421" s="56">
        <f>G421*AO421</f>
        <v>0</v>
      </c>
      <c r="AX421" s="41" t="s">
        <v>77</v>
      </c>
      <c r="AY421" s="41" t="s">
        <v>1177</v>
      </c>
      <c r="AZ421" s="30" t="s">
        <v>478</v>
      </c>
      <c r="BB421" s="56">
        <f>AV421+AW421</f>
        <v>0</v>
      </c>
      <c r="BC421" s="56">
        <f>H421/(100-BD421)*100</f>
        <v>0</v>
      </c>
      <c r="BD421" s="56">
        <v>0</v>
      </c>
      <c r="BE421" s="56" t="e">
        <f>#REF!</f>
        <v>#REF!</v>
      </c>
      <c r="BG421" s="56">
        <f>G421*AN421</f>
        <v>0</v>
      </c>
      <c r="BH421" s="56">
        <f>G421*AO421</f>
        <v>0</v>
      </c>
      <c r="BI421" s="56">
        <f>G421*H421</f>
        <v>0</v>
      </c>
      <c r="BJ421" s="56"/>
      <c r="BK421" s="56">
        <v>87</v>
      </c>
      <c r="BV421" s="56">
        <v>21</v>
      </c>
    </row>
    <row r="422" spans="1:74" ht="13.5" customHeight="1" x14ac:dyDescent="0.25">
      <c r="A422" s="57" t="s">
        <v>698</v>
      </c>
      <c r="B422" s="50" t="s">
        <v>262</v>
      </c>
      <c r="C422" s="50" t="s">
        <v>360</v>
      </c>
      <c r="D422" s="135" t="s">
        <v>1174</v>
      </c>
      <c r="E422" s="136"/>
      <c r="F422" s="50" t="s">
        <v>909</v>
      </c>
      <c r="G422" s="31">
        <v>7</v>
      </c>
      <c r="H422" s="31">
        <v>0</v>
      </c>
      <c r="I422" s="31">
        <f>G422*H422</f>
        <v>0</v>
      </c>
      <c r="J422" s="47" t="s">
        <v>769</v>
      </c>
      <c r="Y422" s="56">
        <f>IF(AP422="5",BI422,0)</f>
        <v>0</v>
      </c>
      <c r="AA422" s="56">
        <f>IF(AP422="1",BG422,0)</f>
        <v>0</v>
      </c>
      <c r="AB422" s="56">
        <f>IF(AP422="1",BH422,0)</f>
        <v>0</v>
      </c>
      <c r="AC422" s="56">
        <f>IF(AP422="7",BG422,0)</f>
        <v>0</v>
      </c>
      <c r="AD422" s="56">
        <f>IF(AP422="7",BH422,0)</f>
        <v>0</v>
      </c>
      <c r="AE422" s="56">
        <f>IF(AP422="2",BG422,0)</f>
        <v>0</v>
      </c>
      <c r="AF422" s="56">
        <f>IF(AP422="2",BH422,0)</f>
        <v>0</v>
      </c>
      <c r="AG422" s="56">
        <f>IF(AP422="0",BI422,0)</f>
        <v>0</v>
      </c>
      <c r="AH422" s="30" t="s">
        <v>262</v>
      </c>
      <c r="AI422" s="31">
        <f>IF(AM422=0,I422,0)</f>
        <v>0</v>
      </c>
      <c r="AJ422" s="31">
        <f>IF(AM422=15,I422,0)</f>
        <v>0</v>
      </c>
      <c r="AK422" s="31">
        <f>IF(AM422=21,I422,0)</f>
        <v>0</v>
      </c>
      <c r="AM422" s="56">
        <v>21</v>
      </c>
      <c r="AN422" s="56">
        <f>H422*1</f>
        <v>0</v>
      </c>
      <c r="AO422" s="56">
        <f>H422*(1-1)</f>
        <v>0</v>
      </c>
      <c r="AP422" s="58" t="s">
        <v>1109</v>
      </c>
      <c r="AU422" s="56">
        <f>AV422+AW422</f>
        <v>0</v>
      </c>
      <c r="AV422" s="56">
        <f>G422*AN422</f>
        <v>0</v>
      </c>
      <c r="AW422" s="56">
        <f>G422*AO422</f>
        <v>0</v>
      </c>
      <c r="AX422" s="41" t="s">
        <v>77</v>
      </c>
      <c r="AY422" s="41" t="s">
        <v>1177</v>
      </c>
      <c r="AZ422" s="30" t="s">
        <v>478</v>
      </c>
      <c r="BB422" s="56">
        <f>AV422+AW422</f>
        <v>0</v>
      </c>
      <c r="BC422" s="56">
        <f>H422/(100-BD422)*100</f>
        <v>0</v>
      </c>
      <c r="BD422" s="56">
        <v>0</v>
      </c>
      <c r="BE422" s="56" t="e">
        <f>#REF!</f>
        <v>#REF!</v>
      </c>
      <c r="BG422" s="31">
        <f>G422*AN422</f>
        <v>0</v>
      </c>
      <c r="BH422" s="31">
        <f>G422*AO422</f>
        <v>0</v>
      </c>
      <c r="BI422" s="31">
        <f>G422*H422</f>
        <v>0</v>
      </c>
      <c r="BJ422" s="31"/>
      <c r="BK422" s="56">
        <v>87</v>
      </c>
      <c r="BV422" s="56">
        <v>21</v>
      </c>
    </row>
    <row r="423" spans="1:74" ht="15" customHeight="1" x14ac:dyDescent="0.25">
      <c r="A423" s="53"/>
      <c r="D423" s="52" t="s">
        <v>1114</v>
      </c>
      <c r="E423" s="37" t="s">
        <v>63</v>
      </c>
      <c r="G423" s="21">
        <v>7.0000000000000009</v>
      </c>
      <c r="J423" s="48"/>
    </row>
    <row r="424" spans="1:74" ht="13.5" customHeight="1" x14ac:dyDescent="0.25">
      <c r="A424" s="10" t="s">
        <v>111</v>
      </c>
      <c r="B424" s="9" t="s">
        <v>262</v>
      </c>
      <c r="C424" s="9" t="s">
        <v>189</v>
      </c>
      <c r="D424" s="76" t="s">
        <v>1050</v>
      </c>
      <c r="E424" s="77"/>
      <c r="F424" s="9" t="s">
        <v>275</v>
      </c>
      <c r="G424" s="56">
        <v>14</v>
      </c>
      <c r="H424" s="56">
        <v>0</v>
      </c>
      <c r="I424" s="56">
        <f>G424*H424</f>
        <v>0</v>
      </c>
      <c r="J424" s="54" t="s">
        <v>501</v>
      </c>
      <c r="Y424" s="56">
        <f>IF(AP424="5",BI424,0)</f>
        <v>0</v>
      </c>
      <c r="AA424" s="56">
        <f>IF(AP424="1",BG424,0)</f>
        <v>0</v>
      </c>
      <c r="AB424" s="56">
        <f>IF(AP424="1",BH424,0)</f>
        <v>0</v>
      </c>
      <c r="AC424" s="56">
        <f>IF(AP424="7",BG424,0)</f>
        <v>0</v>
      </c>
      <c r="AD424" s="56">
        <f>IF(AP424="7",BH424,0)</f>
        <v>0</v>
      </c>
      <c r="AE424" s="56">
        <f>IF(AP424="2",BG424,0)</f>
        <v>0</v>
      </c>
      <c r="AF424" s="56">
        <f>IF(AP424="2",BH424,0)</f>
        <v>0</v>
      </c>
      <c r="AG424" s="56">
        <f>IF(AP424="0",BI424,0)</f>
        <v>0</v>
      </c>
      <c r="AH424" s="30" t="s">
        <v>262</v>
      </c>
      <c r="AI424" s="56">
        <f>IF(AM424=0,I424,0)</f>
        <v>0</v>
      </c>
      <c r="AJ424" s="56">
        <f>IF(AM424=15,I424,0)</f>
        <v>0</v>
      </c>
      <c r="AK424" s="56">
        <f>IF(AM424=21,I424,0)</f>
        <v>0</v>
      </c>
      <c r="AM424" s="56">
        <v>21</v>
      </c>
      <c r="AN424" s="56">
        <f>H424*0</f>
        <v>0</v>
      </c>
      <c r="AO424" s="56">
        <f>H424*(1-0)</f>
        <v>0</v>
      </c>
      <c r="AP424" s="41" t="s">
        <v>1109</v>
      </c>
      <c r="AU424" s="56">
        <f>AV424+AW424</f>
        <v>0</v>
      </c>
      <c r="AV424" s="56">
        <f>G424*AN424</f>
        <v>0</v>
      </c>
      <c r="AW424" s="56">
        <f>G424*AO424</f>
        <v>0</v>
      </c>
      <c r="AX424" s="41" t="s">
        <v>77</v>
      </c>
      <c r="AY424" s="41" t="s">
        <v>1177</v>
      </c>
      <c r="AZ424" s="30" t="s">
        <v>478</v>
      </c>
      <c r="BB424" s="56">
        <f>AV424+AW424</f>
        <v>0</v>
      </c>
      <c r="BC424" s="56">
        <f>H424/(100-BD424)*100</f>
        <v>0</v>
      </c>
      <c r="BD424" s="56">
        <v>0</v>
      </c>
      <c r="BE424" s="56" t="e">
        <f>#REF!</f>
        <v>#REF!</v>
      </c>
      <c r="BG424" s="56">
        <f>G424*AN424</f>
        <v>0</v>
      </c>
      <c r="BH424" s="56">
        <f>G424*AO424</f>
        <v>0</v>
      </c>
      <c r="BI424" s="56">
        <f>G424*H424</f>
        <v>0</v>
      </c>
      <c r="BJ424" s="56"/>
      <c r="BK424" s="56">
        <v>87</v>
      </c>
      <c r="BV424" s="56">
        <v>21</v>
      </c>
    </row>
    <row r="425" spans="1:74" ht="15" customHeight="1" x14ac:dyDescent="0.25">
      <c r="A425" s="53"/>
      <c r="D425" s="52" t="s">
        <v>654</v>
      </c>
      <c r="E425" s="37" t="s">
        <v>769</v>
      </c>
      <c r="G425" s="21">
        <v>14.000000000000002</v>
      </c>
      <c r="J425" s="48"/>
    </row>
    <row r="426" spans="1:74" ht="13.5" customHeight="1" x14ac:dyDescent="0.25">
      <c r="A426" s="57" t="s">
        <v>759</v>
      </c>
      <c r="B426" s="50" t="s">
        <v>262</v>
      </c>
      <c r="C426" s="50" t="s">
        <v>946</v>
      </c>
      <c r="D426" s="135" t="s">
        <v>648</v>
      </c>
      <c r="E426" s="136"/>
      <c r="F426" s="50" t="s">
        <v>275</v>
      </c>
      <c r="G426" s="31">
        <v>14</v>
      </c>
      <c r="H426" s="31">
        <v>0</v>
      </c>
      <c r="I426" s="31">
        <f>G426*H426</f>
        <v>0</v>
      </c>
      <c r="J426" s="47" t="s">
        <v>501</v>
      </c>
      <c r="Y426" s="56">
        <f>IF(AP426="5",BI426,0)</f>
        <v>0</v>
      </c>
      <c r="AA426" s="56">
        <f>IF(AP426="1",BG426,0)</f>
        <v>0</v>
      </c>
      <c r="AB426" s="56">
        <f>IF(AP426="1",BH426,0)</f>
        <v>0</v>
      </c>
      <c r="AC426" s="56">
        <f>IF(AP426="7",BG426,0)</f>
        <v>0</v>
      </c>
      <c r="AD426" s="56">
        <f>IF(AP426="7",BH426,0)</f>
        <v>0</v>
      </c>
      <c r="AE426" s="56">
        <f>IF(AP426="2",BG426,0)</f>
        <v>0</v>
      </c>
      <c r="AF426" s="56">
        <f>IF(AP426="2",BH426,0)</f>
        <v>0</v>
      </c>
      <c r="AG426" s="56">
        <f>IF(AP426="0",BI426,0)</f>
        <v>0</v>
      </c>
      <c r="AH426" s="30" t="s">
        <v>262</v>
      </c>
      <c r="AI426" s="31">
        <f>IF(AM426=0,I426,0)</f>
        <v>0</v>
      </c>
      <c r="AJ426" s="31">
        <f>IF(AM426=15,I426,0)</f>
        <v>0</v>
      </c>
      <c r="AK426" s="31">
        <f>IF(AM426=21,I426,0)</f>
        <v>0</v>
      </c>
      <c r="AM426" s="56">
        <v>21</v>
      </c>
      <c r="AN426" s="56">
        <f>H426*1</f>
        <v>0</v>
      </c>
      <c r="AO426" s="56">
        <f>H426*(1-1)</f>
        <v>0</v>
      </c>
      <c r="AP426" s="58" t="s">
        <v>1109</v>
      </c>
      <c r="AU426" s="56">
        <f>AV426+AW426</f>
        <v>0</v>
      </c>
      <c r="AV426" s="56">
        <f>G426*AN426</f>
        <v>0</v>
      </c>
      <c r="AW426" s="56">
        <f>G426*AO426</f>
        <v>0</v>
      </c>
      <c r="AX426" s="41" t="s">
        <v>77</v>
      </c>
      <c r="AY426" s="41" t="s">
        <v>1177</v>
      </c>
      <c r="AZ426" s="30" t="s">
        <v>478</v>
      </c>
      <c r="BB426" s="56">
        <f>AV426+AW426</f>
        <v>0</v>
      </c>
      <c r="BC426" s="56">
        <f>H426/(100-BD426)*100</f>
        <v>0</v>
      </c>
      <c r="BD426" s="56">
        <v>0</v>
      </c>
      <c r="BE426" s="56" t="e">
        <f>#REF!</f>
        <v>#REF!</v>
      </c>
      <c r="BG426" s="31">
        <f>G426*AN426</f>
        <v>0</v>
      </c>
      <c r="BH426" s="31">
        <f>G426*AO426</f>
        <v>0</v>
      </c>
      <c r="BI426" s="31">
        <f>G426*H426</f>
        <v>0</v>
      </c>
      <c r="BJ426" s="31"/>
      <c r="BK426" s="56">
        <v>87</v>
      </c>
      <c r="BV426" s="56">
        <v>21</v>
      </c>
    </row>
    <row r="427" spans="1:74" ht="15" customHeight="1" x14ac:dyDescent="0.25">
      <c r="A427" s="53"/>
      <c r="D427" s="52" t="s">
        <v>654</v>
      </c>
      <c r="E427" s="37" t="s">
        <v>834</v>
      </c>
      <c r="G427" s="21">
        <v>14.000000000000002</v>
      </c>
      <c r="J427" s="48"/>
    </row>
    <row r="428" spans="1:74" ht="13.5" customHeight="1" x14ac:dyDescent="0.25">
      <c r="A428" s="10" t="s">
        <v>857</v>
      </c>
      <c r="B428" s="9" t="s">
        <v>262</v>
      </c>
      <c r="C428" s="9" t="s">
        <v>943</v>
      </c>
      <c r="D428" s="76" t="s">
        <v>551</v>
      </c>
      <c r="E428" s="77"/>
      <c r="F428" s="9" t="s">
        <v>275</v>
      </c>
      <c r="G428" s="56">
        <v>7</v>
      </c>
      <c r="H428" s="56">
        <v>0</v>
      </c>
      <c r="I428" s="56">
        <f>G428*H428</f>
        <v>0</v>
      </c>
      <c r="J428" s="54" t="s">
        <v>501</v>
      </c>
      <c r="Y428" s="56">
        <f>IF(AP428="5",BI428,0)</f>
        <v>0</v>
      </c>
      <c r="AA428" s="56">
        <f>IF(AP428="1",BG428,0)</f>
        <v>0</v>
      </c>
      <c r="AB428" s="56">
        <f>IF(AP428="1",BH428,0)</f>
        <v>0</v>
      </c>
      <c r="AC428" s="56">
        <f>IF(AP428="7",BG428,0)</f>
        <v>0</v>
      </c>
      <c r="AD428" s="56">
        <f>IF(AP428="7",BH428,0)</f>
        <v>0</v>
      </c>
      <c r="AE428" s="56">
        <f>IF(AP428="2",BG428,0)</f>
        <v>0</v>
      </c>
      <c r="AF428" s="56">
        <f>IF(AP428="2",BH428,0)</f>
        <v>0</v>
      </c>
      <c r="AG428" s="56">
        <f>IF(AP428="0",BI428,0)</f>
        <v>0</v>
      </c>
      <c r="AH428" s="30" t="s">
        <v>262</v>
      </c>
      <c r="AI428" s="56">
        <f>IF(AM428=0,I428,0)</f>
        <v>0</v>
      </c>
      <c r="AJ428" s="56">
        <f>IF(AM428=15,I428,0)</f>
        <v>0</v>
      </c>
      <c r="AK428" s="56">
        <f>IF(AM428=21,I428,0)</f>
        <v>0</v>
      </c>
      <c r="AM428" s="56">
        <v>21</v>
      </c>
      <c r="AN428" s="56">
        <f>H428*0</f>
        <v>0</v>
      </c>
      <c r="AO428" s="56">
        <f>H428*(1-0)</f>
        <v>0</v>
      </c>
      <c r="AP428" s="41" t="s">
        <v>1109</v>
      </c>
      <c r="AU428" s="56">
        <f>AV428+AW428</f>
        <v>0</v>
      </c>
      <c r="AV428" s="56">
        <f>G428*AN428</f>
        <v>0</v>
      </c>
      <c r="AW428" s="56">
        <f>G428*AO428</f>
        <v>0</v>
      </c>
      <c r="AX428" s="41" t="s">
        <v>77</v>
      </c>
      <c r="AY428" s="41" t="s">
        <v>1177</v>
      </c>
      <c r="AZ428" s="30" t="s">
        <v>478</v>
      </c>
      <c r="BB428" s="56">
        <f>AV428+AW428</f>
        <v>0</v>
      </c>
      <c r="BC428" s="56">
        <f>H428/(100-BD428)*100</f>
        <v>0</v>
      </c>
      <c r="BD428" s="56">
        <v>0</v>
      </c>
      <c r="BE428" s="56" t="e">
        <f>#REF!</f>
        <v>#REF!</v>
      </c>
      <c r="BG428" s="56">
        <f>G428*AN428</f>
        <v>0</v>
      </c>
      <c r="BH428" s="56">
        <f>G428*AO428</f>
        <v>0</v>
      </c>
      <c r="BI428" s="56">
        <f>G428*H428</f>
        <v>0</v>
      </c>
      <c r="BJ428" s="56"/>
      <c r="BK428" s="56">
        <v>87</v>
      </c>
      <c r="BV428" s="56">
        <v>21</v>
      </c>
    </row>
    <row r="429" spans="1:74" ht="15" customHeight="1" x14ac:dyDescent="0.25">
      <c r="A429" s="53"/>
      <c r="D429" s="52" t="s">
        <v>1114</v>
      </c>
      <c r="E429" s="37" t="s">
        <v>769</v>
      </c>
      <c r="G429" s="21">
        <v>7.0000000000000009</v>
      </c>
      <c r="J429" s="48"/>
    </row>
    <row r="430" spans="1:74" ht="13.5" customHeight="1" x14ac:dyDescent="0.25">
      <c r="A430" s="57" t="s">
        <v>263</v>
      </c>
      <c r="B430" s="50" t="s">
        <v>262</v>
      </c>
      <c r="C430" s="50" t="s">
        <v>20</v>
      </c>
      <c r="D430" s="135" t="s">
        <v>1148</v>
      </c>
      <c r="E430" s="136"/>
      <c r="F430" s="50" t="s">
        <v>275</v>
      </c>
      <c r="G430" s="31">
        <v>7</v>
      </c>
      <c r="H430" s="31">
        <v>0</v>
      </c>
      <c r="I430" s="31">
        <f>G430*H430</f>
        <v>0</v>
      </c>
      <c r="J430" s="47" t="s">
        <v>422</v>
      </c>
      <c r="Y430" s="56">
        <f>IF(AP430="5",BI430,0)</f>
        <v>0</v>
      </c>
      <c r="AA430" s="56">
        <f>IF(AP430="1",BG430,0)</f>
        <v>0</v>
      </c>
      <c r="AB430" s="56">
        <f>IF(AP430="1",BH430,0)</f>
        <v>0</v>
      </c>
      <c r="AC430" s="56">
        <f>IF(AP430="7",BG430,0)</f>
        <v>0</v>
      </c>
      <c r="AD430" s="56">
        <f>IF(AP430="7",BH430,0)</f>
        <v>0</v>
      </c>
      <c r="AE430" s="56">
        <f>IF(AP430="2",BG430,0)</f>
        <v>0</v>
      </c>
      <c r="AF430" s="56">
        <f>IF(AP430="2",BH430,0)</f>
        <v>0</v>
      </c>
      <c r="AG430" s="56">
        <f>IF(AP430="0",BI430,0)</f>
        <v>0</v>
      </c>
      <c r="AH430" s="30" t="s">
        <v>262</v>
      </c>
      <c r="AI430" s="31">
        <f>IF(AM430=0,I430,0)</f>
        <v>0</v>
      </c>
      <c r="AJ430" s="31">
        <f>IF(AM430=15,I430,0)</f>
        <v>0</v>
      </c>
      <c r="AK430" s="31">
        <f>IF(AM430=21,I430,0)</f>
        <v>0</v>
      </c>
      <c r="AM430" s="56">
        <v>21</v>
      </c>
      <c r="AN430" s="56">
        <f>H430*1</f>
        <v>0</v>
      </c>
      <c r="AO430" s="56">
        <f>H430*(1-1)</f>
        <v>0</v>
      </c>
      <c r="AP430" s="58" t="s">
        <v>1109</v>
      </c>
      <c r="AU430" s="56">
        <f>AV430+AW430</f>
        <v>0</v>
      </c>
      <c r="AV430" s="56">
        <f>G430*AN430</f>
        <v>0</v>
      </c>
      <c r="AW430" s="56">
        <f>G430*AO430</f>
        <v>0</v>
      </c>
      <c r="AX430" s="41" t="s">
        <v>77</v>
      </c>
      <c r="AY430" s="41" t="s">
        <v>1177</v>
      </c>
      <c r="AZ430" s="30" t="s">
        <v>478</v>
      </c>
      <c r="BB430" s="56">
        <f>AV430+AW430</f>
        <v>0</v>
      </c>
      <c r="BC430" s="56">
        <f>H430/(100-BD430)*100</f>
        <v>0</v>
      </c>
      <c r="BD430" s="56">
        <v>0</v>
      </c>
      <c r="BE430" s="56" t="e">
        <f>#REF!</f>
        <v>#REF!</v>
      </c>
      <c r="BG430" s="31">
        <f>G430*AN430</f>
        <v>0</v>
      </c>
      <c r="BH430" s="31">
        <f>G430*AO430</f>
        <v>0</v>
      </c>
      <c r="BI430" s="31">
        <f>G430*H430</f>
        <v>0</v>
      </c>
      <c r="BJ430" s="31"/>
      <c r="BK430" s="56">
        <v>87</v>
      </c>
      <c r="BV430" s="56">
        <v>21</v>
      </c>
    </row>
    <row r="431" spans="1:74" ht="15" customHeight="1" x14ac:dyDescent="0.25">
      <c r="A431" s="53"/>
      <c r="D431" s="52" t="s">
        <v>1114</v>
      </c>
      <c r="E431" s="37" t="s">
        <v>900</v>
      </c>
      <c r="G431" s="21">
        <v>7.0000000000000009</v>
      </c>
      <c r="J431" s="48"/>
    </row>
    <row r="432" spans="1:74" ht="13.5" customHeight="1" x14ac:dyDescent="0.25">
      <c r="A432" s="10" t="s">
        <v>1232</v>
      </c>
      <c r="B432" s="9" t="s">
        <v>262</v>
      </c>
      <c r="C432" s="9" t="s">
        <v>493</v>
      </c>
      <c r="D432" s="76" t="s">
        <v>933</v>
      </c>
      <c r="E432" s="77"/>
      <c r="F432" s="9" t="s">
        <v>909</v>
      </c>
      <c r="G432" s="56">
        <v>24</v>
      </c>
      <c r="H432" s="56">
        <v>0</v>
      </c>
      <c r="I432" s="56">
        <f>G432*H432</f>
        <v>0</v>
      </c>
      <c r="J432" s="54" t="s">
        <v>501</v>
      </c>
      <c r="Y432" s="56">
        <f>IF(AP432="5",BI432,0)</f>
        <v>0</v>
      </c>
      <c r="AA432" s="56">
        <f>IF(AP432="1",BG432,0)</f>
        <v>0</v>
      </c>
      <c r="AB432" s="56">
        <f>IF(AP432="1",BH432,0)</f>
        <v>0</v>
      </c>
      <c r="AC432" s="56">
        <f>IF(AP432="7",BG432,0)</f>
        <v>0</v>
      </c>
      <c r="AD432" s="56">
        <f>IF(AP432="7",BH432,0)</f>
        <v>0</v>
      </c>
      <c r="AE432" s="56">
        <f>IF(AP432="2",BG432,0)</f>
        <v>0</v>
      </c>
      <c r="AF432" s="56">
        <f>IF(AP432="2",BH432,0)</f>
        <v>0</v>
      </c>
      <c r="AG432" s="56">
        <f>IF(AP432="0",BI432,0)</f>
        <v>0</v>
      </c>
      <c r="AH432" s="30" t="s">
        <v>262</v>
      </c>
      <c r="AI432" s="56">
        <f>IF(AM432=0,I432,0)</f>
        <v>0</v>
      </c>
      <c r="AJ432" s="56">
        <f>IF(AM432=15,I432,0)</f>
        <v>0</v>
      </c>
      <c r="AK432" s="56">
        <f>IF(AM432=21,I432,0)</f>
        <v>0</v>
      </c>
      <c r="AM432" s="56">
        <v>21</v>
      </c>
      <c r="AN432" s="56">
        <f>H432*0</f>
        <v>0</v>
      </c>
      <c r="AO432" s="56">
        <f>H432*(1-0)</f>
        <v>0</v>
      </c>
      <c r="AP432" s="41" t="s">
        <v>1109</v>
      </c>
      <c r="AU432" s="56">
        <f>AV432+AW432</f>
        <v>0</v>
      </c>
      <c r="AV432" s="56">
        <f>G432*AN432</f>
        <v>0</v>
      </c>
      <c r="AW432" s="56">
        <f>G432*AO432</f>
        <v>0</v>
      </c>
      <c r="AX432" s="41" t="s">
        <v>77</v>
      </c>
      <c r="AY432" s="41" t="s">
        <v>1177</v>
      </c>
      <c r="AZ432" s="30" t="s">
        <v>478</v>
      </c>
      <c r="BB432" s="56">
        <f>AV432+AW432</f>
        <v>0</v>
      </c>
      <c r="BC432" s="56">
        <f>H432/(100-BD432)*100</f>
        <v>0</v>
      </c>
      <c r="BD432" s="56">
        <v>0</v>
      </c>
      <c r="BE432" s="56" t="e">
        <f>#REF!</f>
        <v>#REF!</v>
      </c>
      <c r="BG432" s="56">
        <f>G432*AN432</f>
        <v>0</v>
      </c>
      <c r="BH432" s="56">
        <f>G432*AO432</f>
        <v>0</v>
      </c>
      <c r="BI432" s="56">
        <f>G432*H432</f>
        <v>0</v>
      </c>
      <c r="BJ432" s="56"/>
      <c r="BK432" s="56">
        <v>87</v>
      </c>
      <c r="BV432" s="56">
        <v>21</v>
      </c>
    </row>
    <row r="433" spans="1:74" ht="13.5" customHeight="1" x14ac:dyDescent="0.25">
      <c r="A433" s="57" t="s">
        <v>634</v>
      </c>
      <c r="B433" s="50" t="s">
        <v>262</v>
      </c>
      <c r="C433" s="50" t="s">
        <v>737</v>
      </c>
      <c r="D433" s="135" t="s">
        <v>956</v>
      </c>
      <c r="E433" s="136"/>
      <c r="F433" s="50" t="s">
        <v>909</v>
      </c>
      <c r="G433" s="31">
        <v>24</v>
      </c>
      <c r="H433" s="31">
        <v>0</v>
      </c>
      <c r="I433" s="31">
        <f>G433*H433</f>
        <v>0</v>
      </c>
      <c r="J433" s="47" t="s">
        <v>501</v>
      </c>
      <c r="Y433" s="56">
        <f>IF(AP433="5",BI433,0)</f>
        <v>0</v>
      </c>
      <c r="AA433" s="56">
        <f>IF(AP433="1",BG433,0)</f>
        <v>0</v>
      </c>
      <c r="AB433" s="56">
        <f>IF(AP433="1",BH433,0)</f>
        <v>0</v>
      </c>
      <c r="AC433" s="56">
        <f>IF(AP433="7",BG433,0)</f>
        <v>0</v>
      </c>
      <c r="AD433" s="56">
        <f>IF(AP433="7",BH433,0)</f>
        <v>0</v>
      </c>
      <c r="AE433" s="56">
        <f>IF(AP433="2",BG433,0)</f>
        <v>0</v>
      </c>
      <c r="AF433" s="56">
        <f>IF(AP433="2",BH433,0)</f>
        <v>0</v>
      </c>
      <c r="AG433" s="56">
        <f>IF(AP433="0",BI433,0)</f>
        <v>0</v>
      </c>
      <c r="AH433" s="30" t="s">
        <v>262</v>
      </c>
      <c r="AI433" s="31">
        <f>IF(AM433=0,I433,0)</f>
        <v>0</v>
      </c>
      <c r="AJ433" s="31">
        <f>IF(AM433=15,I433,0)</f>
        <v>0</v>
      </c>
      <c r="AK433" s="31">
        <f>IF(AM433=21,I433,0)</f>
        <v>0</v>
      </c>
      <c r="AM433" s="56">
        <v>21</v>
      </c>
      <c r="AN433" s="56">
        <f>H433*1</f>
        <v>0</v>
      </c>
      <c r="AO433" s="56">
        <f>H433*(1-1)</f>
        <v>0</v>
      </c>
      <c r="AP433" s="58" t="s">
        <v>1109</v>
      </c>
      <c r="AU433" s="56">
        <f>AV433+AW433</f>
        <v>0</v>
      </c>
      <c r="AV433" s="56">
        <f>G433*AN433</f>
        <v>0</v>
      </c>
      <c r="AW433" s="56">
        <f>G433*AO433</f>
        <v>0</v>
      </c>
      <c r="AX433" s="41" t="s">
        <v>77</v>
      </c>
      <c r="AY433" s="41" t="s">
        <v>1177</v>
      </c>
      <c r="AZ433" s="30" t="s">
        <v>478</v>
      </c>
      <c r="BB433" s="56">
        <f>AV433+AW433</f>
        <v>0</v>
      </c>
      <c r="BC433" s="56">
        <f>H433/(100-BD433)*100</f>
        <v>0</v>
      </c>
      <c r="BD433" s="56">
        <v>0</v>
      </c>
      <c r="BE433" s="56" t="e">
        <f>#REF!</f>
        <v>#REF!</v>
      </c>
      <c r="BG433" s="31">
        <f>G433*AN433</f>
        <v>0</v>
      </c>
      <c r="BH433" s="31">
        <f>G433*AO433</f>
        <v>0</v>
      </c>
      <c r="BI433" s="31">
        <f>G433*H433</f>
        <v>0</v>
      </c>
      <c r="BJ433" s="31"/>
      <c r="BK433" s="56">
        <v>87</v>
      </c>
      <c r="BV433" s="56">
        <v>21</v>
      </c>
    </row>
    <row r="434" spans="1:74" ht="15" customHeight="1" x14ac:dyDescent="0.25">
      <c r="A434" s="53"/>
      <c r="D434" s="52" t="s">
        <v>112</v>
      </c>
      <c r="E434" s="37" t="s">
        <v>626</v>
      </c>
      <c r="G434" s="21">
        <v>24.000000000000004</v>
      </c>
      <c r="J434" s="48"/>
    </row>
    <row r="435" spans="1:74" ht="13.5" customHeight="1" x14ac:dyDescent="0.25">
      <c r="A435" s="57" t="s">
        <v>274</v>
      </c>
      <c r="B435" s="50" t="s">
        <v>262</v>
      </c>
      <c r="C435" s="50" t="s">
        <v>471</v>
      </c>
      <c r="D435" s="135" t="s">
        <v>1156</v>
      </c>
      <c r="E435" s="136"/>
      <c r="F435" s="50" t="s">
        <v>275</v>
      </c>
      <c r="G435" s="31">
        <v>1</v>
      </c>
      <c r="H435" s="31">
        <v>0</v>
      </c>
      <c r="I435" s="31">
        <f>G435*H435</f>
        <v>0</v>
      </c>
      <c r="J435" s="47" t="s">
        <v>501</v>
      </c>
      <c r="Y435" s="56">
        <f>IF(AP435="5",BI435,0)</f>
        <v>0</v>
      </c>
      <c r="AA435" s="56">
        <f>IF(AP435="1",BG435,0)</f>
        <v>0</v>
      </c>
      <c r="AB435" s="56">
        <f>IF(AP435="1",BH435,0)</f>
        <v>0</v>
      </c>
      <c r="AC435" s="56">
        <f>IF(AP435="7",BG435,0)</f>
        <v>0</v>
      </c>
      <c r="AD435" s="56">
        <f>IF(AP435="7",BH435,0)</f>
        <v>0</v>
      </c>
      <c r="AE435" s="56">
        <f>IF(AP435="2",BG435,0)</f>
        <v>0</v>
      </c>
      <c r="AF435" s="56">
        <f>IF(AP435="2",BH435,0)</f>
        <v>0</v>
      </c>
      <c r="AG435" s="56">
        <f>IF(AP435="0",BI435,0)</f>
        <v>0</v>
      </c>
      <c r="AH435" s="30" t="s">
        <v>262</v>
      </c>
      <c r="AI435" s="31">
        <f>IF(AM435=0,I435,0)</f>
        <v>0</v>
      </c>
      <c r="AJ435" s="31">
        <f>IF(AM435=15,I435,0)</f>
        <v>0</v>
      </c>
      <c r="AK435" s="31">
        <f>IF(AM435=21,I435,0)</f>
        <v>0</v>
      </c>
      <c r="AM435" s="56">
        <v>21</v>
      </c>
      <c r="AN435" s="56">
        <f>H435*1</f>
        <v>0</v>
      </c>
      <c r="AO435" s="56">
        <f>H435*(1-1)</f>
        <v>0</v>
      </c>
      <c r="AP435" s="58" t="s">
        <v>1109</v>
      </c>
      <c r="AU435" s="56">
        <f>AV435+AW435</f>
        <v>0</v>
      </c>
      <c r="AV435" s="56">
        <f>G435*AN435</f>
        <v>0</v>
      </c>
      <c r="AW435" s="56">
        <f>G435*AO435</f>
        <v>0</v>
      </c>
      <c r="AX435" s="41" t="s">
        <v>77</v>
      </c>
      <c r="AY435" s="41" t="s">
        <v>1177</v>
      </c>
      <c r="AZ435" s="30" t="s">
        <v>478</v>
      </c>
      <c r="BB435" s="56">
        <f>AV435+AW435</f>
        <v>0</v>
      </c>
      <c r="BC435" s="56">
        <f>H435/(100-BD435)*100</f>
        <v>0</v>
      </c>
      <c r="BD435" s="56">
        <v>0</v>
      </c>
      <c r="BE435" s="56" t="e">
        <f>#REF!</f>
        <v>#REF!</v>
      </c>
      <c r="BG435" s="31">
        <f>G435*AN435</f>
        <v>0</v>
      </c>
      <c r="BH435" s="31">
        <f>G435*AO435</f>
        <v>0</v>
      </c>
      <c r="BI435" s="31">
        <f>G435*H435</f>
        <v>0</v>
      </c>
      <c r="BJ435" s="31"/>
      <c r="BK435" s="56">
        <v>87</v>
      </c>
      <c r="BV435" s="56">
        <v>21</v>
      </c>
    </row>
    <row r="436" spans="1:74" ht="15" customHeight="1" x14ac:dyDescent="0.25">
      <c r="A436" s="53"/>
      <c r="D436" s="52" t="s">
        <v>1109</v>
      </c>
      <c r="E436" s="37" t="s">
        <v>1044</v>
      </c>
      <c r="G436" s="21">
        <v>1</v>
      </c>
      <c r="J436" s="48"/>
    </row>
    <row r="437" spans="1:74" ht="13.5" customHeight="1" x14ac:dyDescent="0.25">
      <c r="A437" s="10" t="s">
        <v>838</v>
      </c>
      <c r="B437" s="9" t="s">
        <v>262</v>
      </c>
      <c r="C437" s="9" t="s">
        <v>328</v>
      </c>
      <c r="D437" s="76" t="s">
        <v>73</v>
      </c>
      <c r="E437" s="77"/>
      <c r="F437" s="9" t="s">
        <v>909</v>
      </c>
      <c r="G437" s="56">
        <v>2</v>
      </c>
      <c r="H437" s="56">
        <v>0</v>
      </c>
      <c r="I437" s="56">
        <f>G437*H437</f>
        <v>0</v>
      </c>
      <c r="J437" s="54" t="s">
        <v>501</v>
      </c>
      <c r="Y437" s="56">
        <f>IF(AP437="5",BI437,0)</f>
        <v>0</v>
      </c>
      <c r="AA437" s="56">
        <f>IF(AP437="1",BG437,0)</f>
        <v>0</v>
      </c>
      <c r="AB437" s="56">
        <f>IF(AP437="1",BH437,0)</f>
        <v>0</v>
      </c>
      <c r="AC437" s="56">
        <f>IF(AP437="7",BG437,0)</f>
        <v>0</v>
      </c>
      <c r="AD437" s="56">
        <f>IF(AP437="7",BH437,0)</f>
        <v>0</v>
      </c>
      <c r="AE437" s="56">
        <f>IF(AP437="2",BG437,0)</f>
        <v>0</v>
      </c>
      <c r="AF437" s="56">
        <f>IF(AP437="2",BH437,0)</f>
        <v>0</v>
      </c>
      <c r="AG437" s="56">
        <f>IF(AP437="0",BI437,0)</f>
        <v>0</v>
      </c>
      <c r="AH437" s="30" t="s">
        <v>262</v>
      </c>
      <c r="AI437" s="56">
        <f>IF(AM437=0,I437,0)</f>
        <v>0</v>
      </c>
      <c r="AJ437" s="56">
        <f>IF(AM437=15,I437,0)</f>
        <v>0</v>
      </c>
      <c r="AK437" s="56">
        <f>IF(AM437=21,I437,0)</f>
        <v>0</v>
      </c>
      <c r="AM437" s="56">
        <v>21</v>
      </c>
      <c r="AN437" s="56">
        <f>H437*0</f>
        <v>0</v>
      </c>
      <c r="AO437" s="56">
        <f>H437*(1-0)</f>
        <v>0</v>
      </c>
      <c r="AP437" s="41" t="s">
        <v>1109</v>
      </c>
      <c r="AU437" s="56">
        <f>AV437+AW437</f>
        <v>0</v>
      </c>
      <c r="AV437" s="56">
        <f>G437*AN437</f>
        <v>0</v>
      </c>
      <c r="AW437" s="56">
        <f>G437*AO437</f>
        <v>0</v>
      </c>
      <c r="AX437" s="41" t="s">
        <v>77</v>
      </c>
      <c r="AY437" s="41" t="s">
        <v>1177</v>
      </c>
      <c r="AZ437" s="30" t="s">
        <v>478</v>
      </c>
      <c r="BB437" s="56">
        <f>AV437+AW437</f>
        <v>0</v>
      </c>
      <c r="BC437" s="56">
        <f>H437/(100-BD437)*100</f>
        <v>0</v>
      </c>
      <c r="BD437" s="56">
        <v>0</v>
      </c>
      <c r="BE437" s="56" t="e">
        <f>#REF!</f>
        <v>#REF!</v>
      </c>
      <c r="BG437" s="56">
        <f>G437*AN437</f>
        <v>0</v>
      </c>
      <c r="BH437" s="56">
        <f>G437*AO437</f>
        <v>0</v>
      </c>
      <c r="BI437" s="56">
        <f>G437*H437</f>
        <v>0</v>
      </c>
      <c r="BJ437" s="56"/>
      <c r="BK437" s="56">
        <v>87</v>
      </c>
      <c r="BV437" s="56">
        <v>21</v>
      </c>
    </row>
    <row r="438" spans="1:74" ht="13.5" customHeight="1" x14ac:dyDescent="0.25">
      <c r="A438" s="57" t="s">
        <v>563</v>
      </c>
      <c r="B438" s="50" t="s">
        <v>262</v>
      </c>
      <c r="C438" s="50" t="s">
        <v>875</v>
      </c>
      <c r="D438" s="135" t="s">
        <v>91</v>
      </c>
      <c r="E438" s="136"/>
      <c r="F438" s="50" t="s">
        <v>909</v>
      </c>
      <c r="G438" s="31">
        <v>2</v>
      </c>
      <c r="H438" s="31">
        <v>0</v>
      </c>
      <c r="I438" s="31">
        <f>G438*H438</f>
        <v>0</v>
      </c>
      <c r="J438" s="47" t="s">
        <v>501</v>
      </c>
      <c r="Y438" s="56">
        <f>IF(AP438="5",BI438,0)</f>
        <v>0</v>
      </c>
      <c r="AA438" s="56">
        <f>IF(AP438="1",BG438,0)</f>
        <v>0</v>
      </c>
      <c r="AB438" s="56">
        <f>IF(AP438="1",BH438,0)</f>
        <v>0</v>
      </c>
      <c r="AC438" s="56">
        <f>IF(AP438="7",BG438,0)</f>
        <v>0</v>
      </c>
      <c r="AD438" s="56">
        <f>IF(AP438="7",BH438,0)</f>
        <v>0</v>
      </c>
      <c r="AE438" s="56">
        <f>IF(AP438="2",BG438,0)</f>
        <v>0</v>
      </c>
      <c r="AF438" s="56">
        <f>IF(AP438="2",BH438,0)</f>
        <v>0</v>
      </c>
      <c r="AG438" s="56">
        <f>IF(AP438="0",BI438,0)</f>
        <v>0</v>
      </c>
      <c r="AH438" s="30" t="s">
        <v>262</v>
      </c>
      <c r="AI438" s="31">
        <f>IF(AM438=0,I438,0)</f>
        <v>0</v>
      </c>
      <c r="AJ438" s="31">
        <f>IF(AM438=15,I438,0)</f>
        <v>0</v>
      </c>
      <c r="AK438" s="31">
        <f>IF(AM438=21,I438,0)</f>
        <v>0</v>
      </c>
      <c r="AM438" s="56">
        <v>21</v>
      </c>
      <c r="AN438" s="56">
        <f>H438*1</f>
        <v>0</v>
      </c>
      <c r="AO438" s="56">
        <f>H438*(1-1)</f>
        <v>0</v>
      </c>
      <c r="AP438" s="58" t="s">
        <v>1109</v>
      </c>
      <c r="AU438" s="56">
        <f>AV438+AW438</f>
        <v>0</v>
      </c>
      <c r="AV438" s="56">
        <f>G438*AN438</f>
        <v>0</v>
      </c>
      <c r="AW438" s="56">
        <f>G438*AO438</f>
        <v>0</v>
      </c>
      <c r="AX438" s="41" t="s">
        <v>77</v>
      </c>
      <c r="AY438" s="41" t="s">
        <v>1177</v>
      </c>
      <c r="AZ438" s="30" t="s">
        <v>478</v>
      </c>
      <c r="BB438" s="56">
        <f>AV438+AW438</f>
        <v>0</v>
      </c>
      <c r="BC438" s="56">
        <f>H438/(100-BD438)*100</f>
        <v>0</v>
      </c>
      <c r="BD438" s="56">
        <v>0</v>
      </c>
      <c r="BE438" s="56" t="e">
        <f>#REF!</f>
        <v>#REF!</v>
      </c>
      <c r="BG438" s="31">
        <f>G438*AN438</f>
        <v>0</v>
      </c>
      <c r="BH438" s="31">
        <f>G438*AO438</f>
        <v>0</v>
      </c>
      <c r="BI438" s="31">
        <f>G438*H438</f>
        <v>0</v>
      </c>
      <c r="BJ438" s="31"/>
      <c r="BK438" s="56">
        <v>87</v>
      </c>
      <c r="BV438" s="56">
        <v>21</v>
      </c>
    </row>
    <row r="439" spans="1:74" ht="15" customHeight="1" x14ac:dyDescent="0.25">
      <c r="A439" s="53"/>
      <c r="D439" s="52" t="s">
        <v>766</v>
      </c>
      <c r="E439" s="37" t="s">
        <v>361</v>
      </c>
      <c r="G439" s="21">
        <v>2</v>
      </c>
      <c r="J439" s="48"/>
    </row>
    <row r="440" spans="1:74" ht="13.5" customHeight="1" x14ac:dyDescent="0.25">
      <c r="A440" s="10" t="s">
        <v>8</v>
      </c>
      <c r="B440" s="9" t="s">
        <v>262</v>
      </c>
      <c r="C440" s="9" t="s">
        <v>955</v>
      </c>
      <c r="D440" s="76" t="s">
        <v>45</v>
      </c>
      <c r="E440" s="77"/>
      <c r="F440" s="9" t="s">
        <v>778</v>
      </c>
      <c r="G440" s="56">
        <v>4</v>
      </c>
      <c r="H440" s="56">
        <v>0</v>
      </c>
      <c r="I440" s="56">
        <f>G440*H440</f>
        <v>0</v>
      </c>
      <c r="J440" s="54" t="s">
        <v>501</v>
      </c>
      <c r="Y440" s="56">
        <f>IF(AP440="5",BI440,0)</f>
        <v>0</v>
      </c>
      <c r="AA440" s="56">
        <f>IF(AP440="1",BG440,0)</f>
        <v>0</v>
      </c>
      <c r="AB440" s="56">
        <f>IF(AP440="1",BH440,0)</f>
        <v>0</v>
      </c>
      <c r="AC440" s="56">
        <f>IF(AP440="7",BG440,0)</f>
        <v>0</v>
      </c>
      <c r="AD440" s="56">
        <f>IF(AP440="7",BH440,0)</f>
        <v>0</v>
      </c>
      <c r="AE440" s="56">
        <f>IF(AP440="2",BG440,0)</f>
        <v>0</v>
      </c>
      <c r="AF440" s="56">
        <f>IF(AP440="2",BH440,0)</f>
        <v>0</v>
      </c>
      <c r="AG440" s="56">
        <f>IF(AP440="0",BI440,0)</f>
        <v>0</v>
      </c>
      <c r="AH440" s="30" t="s">
        <v>262</v>
      </c>
      <c r="AI440" s="56">
        <f>IF(AM440=0,I440,0)</f>
        <v>0</v>
      </c>
      <c r="AJ440" s="56">
        <f>IF(AM440=15,I440,0)</f>
        <v>0</v>
      </c>
      <c r="AK440" s="56">
        <f>IF(AM440=21,I440,0)</f>
        <v>0</v>
      </c>
      <c r="AM440" s="56">
        <v>21</v>
      </c>
      <c r="AN440" s="56">
        <f>H440*0</f>
        <v>0</v>
      </c>
      <c r="AO440" s="56">
        <f>H440*(1-0)</f>
        <v>0</v>
      </c>
      <c r="AP440" s="41" t="s">
        <v>1109</v>
      </c>
      <c r="AU440" s="56">
        <f>AV440+AW440</f>
        <v>0</v>
      </c>
      <c r="AV440" s="56">
        <f>G440*AN440</f>
        <v>0</v>
      </c>
      <c r="AW440" s="56">
        <f>G440*AO440</f>
        <v>0</v>
      </c>
      <c r="AX440" s="41" t="s">
        <v>77</v>
      </c>
      <c r="AY440" s="41" t="s">
        <v>1177</v>
      </c>
      <c r="AZ440" s="30" t="s">
        <v>478</v>
      </c>
      <c r="BB440" s="56">
        <f>AV440+AW440</f>
        <v>0</v>
      </c>
      <c r="BC440" s="56">
        <f>H440/(100-BD440)*100</f>
        <v>0</v>
      </c>
      <c r="BD440" s="56">
        <v>0</v>
      </c>
      <c r="BE440" s="56" t="e">
        <f>#REF!</f>
        <v>#REF!</v>
      </c>
      <c r="BG440" s="56">
        <f>G440*AN440</f>
        <v>0</v>
      </c>
      <c r="BH440" s="56">
        <f>G440*AO440</f>
        <v>0</v>
      </c>
      <c r="BI440" s="56">
        <f>G440*H440</f>
        <v>0</v>
      </c>
      <c r="BJ440" s="56"/>
      <c r="BK440" s="56">
        <v>87</v>
      </c>
      <c r="BV440" s="56">
        <v>21</v>
      </c>
    </row>
    <row r="441" spans="1:74" ht="13.5" customHeight="1" x14ac:dyDescent="0.25">
      <c r="A441" s="57" t="s">
        <v>463</v>
      </c>
      <c r="B441" s="50" t="s">
        <v>262</v>
      </c>
      <c r="C441" s="50" t="s">
        <v>214</v>
      </c>
      <c r="D441" s="135" t="s">
        <v>429</v>
      </c>
      <c r="E441" s="136"/>
      <c r="F441" s="50" t="s">
        <v>275</v>
      </c>
      <c r="G441" s="31">
        <v>2</v>
      </c>
      <c r="H441" s="31">
        <v>0</v>
      </c>
      <c r="I441" s="31">
        <f>G441*H441</f>
        <v>0</v>
      </c>
      <c r="J441" s="47" t="s">
        <v>501</v>
      </c>
      <c r="Y441" s="56">
        <f>IF(AP441="5",BI441,0)</f>
        <v>0</v>
      </c>
      <c r="AA441" s="56">
        <f>IF(AP441="1",BG441,0)</f>
        <v>0</v>
      </c>
      <c r="AB441" s="56">
        <f>IF(AP441="1",BH441,0)</f>
        <v>0</v>
      </c>
      <c r="AC441" s="56">
        <f>IF(AP441="7",BG441,0)</f>
        <v>0</v>
      </c>
      <c r="AD441" s="56">
        <f>IF(AP441="7",BH441,0)</f>
        <v>0</v>
      </c>
      <c r="AE441" s="56">
        <f>IF(AP441="2",BG441,0)</f>
        <v>0</v>
      </c>
      <c r="AF441" s="56">
        <f>IF(AP441="2",BH441,0)</f>
        <v>0</v>
      </c>
      <c r="AG441" s="56">
        <f>IF(AP441="0",BI441,0)</f>
        <v>0</v>
      </c>
      <c r="AH441" s="30" t="s">
        <v>262</v>
      </c>
      <c r="AI441" s="31">
        <f>IF(AM441=0,I441,0)</f>
        <v>0</v>
      </c>
      <c r="AJ441" s="31">
        <f>IF(AM441=15,I441,0)</f>
        <v>0</v>
      </c>
      <c r="AK441" s="31">
        <f>IF(AM441=21,I441,0)</f>
        <v>0</v>
      </c>
      <c r="AM441" s="56">
        <v>21</v>
      </c>
      <c r="AN441" s="56">
        <f>H441*1</f>
        <v>0</v>
      </c>
      <c r="AO441" s="56">
        <f>H441*(1-1)</f>
        <v>0</v>
      </c>
      <c r="AP441" s="58" t="s">
        <v>1109</v>
      </c>
      <c r="AU441" s="56">
        <f>AV441+AW441</f>
        <v>0</v>
      </c>
      <c r="AV441" s="56">
        <f>G441*AN441</f>
        <v>0</v>
      </c>
      <c r="AW441" s="56">
        <f>G441*AO441</f>
        <v>0</v>
      </c>
      <c r="AX441" s="41" t="s">
        <v>77</v>
      </c>
      <c r="AY441" s="41" t="s">
        <v>1177</v>
      </c>
      <c r="AZ441" s="30" t="s">
        <v>478</v>
      </c>
      <c r="BB441" s="56">
        <f>AV441+AW441</f>
        <v>0</v>
      </c>
      <c r="BC441" s="56">
        <f>H441/(100-BD441)*100</f>
        <v>0</v>
      </c>
      <c r="BD441" s="56">
        <v>0</v>
      </c>
      <c r="BE441" s="56" t="e">
        <f>#REF!</f>
        <v>#REF!</v>
      </c>
      <c r="BG441" s="31">
        <f>G441*AN441</f>
        <v>0</v>
      </c>
      <c r="BH441" s="31">
        <f>G441*AO441</f>
        <v>0</v>
      </c>
      <c r="BI441" s="31">
        <f>G441*H441</f>
        <v>0</v>
      </c>
      <c r="BJ441" s="31"/>
      <c r="BK441" s="56">
        <v>87</v>
      </c>
      <c r="BV441" s="56">
        <v>21</v>
      </c>
    </row>
    <row r="442" spans="1:74" ht="15" customHeight="1" x14ac:dyDescent="0.25">
      <c r="A442" s="53"/>
      <c r="D442" s="52" t="s">
        <v>766</v>
      </c>
      <c r="E442" s="37" t="s">
        <v>1180</v>
      </c>
      <c r="G442" s="21">
        <v>2</v>
      </c>
      <c r="J442" s="48"/>
    </row>
    <row r="443" spans="1:74" ht="13.5" customHeight="1" x14ac:dyDescent="0.25">
      <c r="A443" s="57" t="s">
        <v>371</v>
      </c>
      <c r="B443" s="50" t="s">
        <v>262</v>
      </c>
      <c r="C443" s="50" t="s">
        <v>259</v>
      </c>
      <c r="D443" s="135" t="s">
        <v>1211</v>
      </c>
      <c r="E443" s="136"/>
      <c r="F443" s="50" t="s">
        <v>275</v>
      </c>
      <c r="G443" s="31">
        <v>1</v>
      </c>
      <c r="H443" s="31">
        <v>0</v>
      </c>
      <c r="I443" s="31">
        <f>G443*H443</f>
        <v>0</v>
      </c>
      <c r="J443" s="47" t="s">
        <v>501</v>
      </c>
      <c r="Y443" s="56">
        <f>IF(AP443="5",BI443,0)</f>
        <v>0</v>
      </c>
      <c r="AA443" s="56">
        <f>IF(AP443="1",BG443,0)</f>
        <v>0</v>
      </c>
      <c r="AB443" s="56">
        <f>IF(AP443="1",BH443,0)</f>
        <v>0</v>
      </c>
      <c r="AC443" s="56">
        <f>IF(AP443="7",BG443,0)</f>
        <v>0</v>
      </c>
      <c r="AD443" s="56">
        <f>IF(AP443="7",BH443,0)</f>
        <v>0</v>
      </c>
      <c r="AE443" s="56">
        <f>IF(AP443="2",BG443,0)</f>
        <v>0</v>
      </c>
      <c r="AF443" s="56">
        <f>IF(AP443="2",BH443,0)</f>
        <v>0</v>
      </c>
      <c r="AG443" s="56">
        <f>IF(AP443="0",BI443,0)</f>
        <v>0</v>
      </c>
      <c r="AH443" s="30" t="s">
        <v>262</v>
      </c>
      <c r="AI443" s="31">
        <f>IF(AM443=0,I443,0)</f>
        <v>0</v>
      </c>
      <c r="AJ443" s="31">
        <f>IF(AM443=15,I443,0)</f>
        <v>0</v>
      </c>
      <c r="AK443" s="31">
        <f>IF(AM443=21,I443,0)</f>
        <v>0</v>
      </c>
      <c r="AM443" s="56">
        <v>21</v>
      </c>
      <c r="AN443" s="56">
        <f>H443*1</f>
        <v>0</v>
      </c>
      <c r="AO443" s="56">
        <f>H443*(1-1)</f>
        <v>0</v>
      </c>
      <c r="AP443" s="58" t="s">
        <v>1109</v>
      </c>
      <c r="AU443" s="56">
        <f>AV443+AW443</f>
        <v>0</v>
      </c>
      <c r="AV443" s="56">
        <f>G443*AN443</f>
        <v>0</v>
      </c>
      <c r="AW443" s="56">
        <f>G443*AO443</f>
        <v>0</v>
      </c>
      <c r="AX443" s="41" t="s">
        <v>77</v>
      </c>
      <c r="AY443" s="41" t="s">
        <v>1177</v>
      </c>
      <c r="AZ443" s="30" t="s">
        <v>478</v>
      </c>
      <c r="BB443" s="56">
        <f>AV443+AW443</f>
        <v>0</v>
      </c>
      <c r="BC443" s="56">
        <f>H443/(100-BD443)*100</f>
        <v>0</v>
      </c>
      <c r="BD443" s="56">
        <v>0</v>
      </c>
      <c r="BE443" s="56" t="e">
        <f>#REF!</f>
        <v>#REF!</v>
      </c>
      <c r="BG443" s="31">
        <f>G443*AN443</f>
        <v>0</v>
      </c>
      <c r="BH443" s="31">
        <f>G443*AO443</f>
        <v>0</v>
      </c>
      <c r="BI443" s="31">
        <f>G443*H443</f>
        <v>0</v>
      </c>
      <c r="BJ443" s="31"/>
      <c r="BK443" s="56">
        <v>87</v>
      </c>
      <c r="BV443" s="56">
        <v>21</v>
      </c>
    </row>
    <row r="444" spans="1:74" ht="15" customHeight="1" x14ac:dyDescent="0.25">
      <c r="A444" s="53"/>
      <c r="D444" s="52" t="s">
        <v>1109</v>
      </c>
      <c r="E444" s="37" t="s">
        <v>1155</v>
      </c>
      <c r="G444" s="21">
        <v>1</v>
      </c>
      <c r="J444" s="48"/>
    </row>
    <row r="445" spans="1:74" ht="13.5" customHeight="1" x14ac:dyDescent="0.25">
      <c r="A445" s="57" t="s">
        <v>1163</v>
      </c>
      <c r="B445" s="50" t="s">
        <v>262</v>
      </c>
      <c r="C445" s="50" t="s">
        <v>583</v>
      </c>
      <c r="D445" s="135" t="s">
        <v>1247</v>
      </c>
      <c r="E445" s="136"/>
      <c r="F445" s="50" t="s">
        <v>275</v>
      </c>
      <c r="G445" s="31">
        <v>1</v>
      </c>
      <c r="H445" s="31">
        <v>0</v>
      </c>
      <c r="I445" s="31">
        <f>G445*H445</f>
        <v>0</v>
      </c>
      <c r="J445" s="47" t="s">
        <v>501</v>
      </c>
      <c r="Y445" s="56">
        <f>IF(AP445="5",BI445,0)</f>
        <v>0</v>
      </c>
      <c r="AA445" s="56">
        <f>IF(AP445="1",BG445,0)</f>
        <v>0</v>
      </c>
      <c r="AB445" s="56">
        <f>IF(AP445="1",BH445,0)</f>
        <v>0</v>
      </c>
      <c r="AC445" s="56">
        <f>IF(AP445="7",BG445,0)</f>
        <v>0</v>
      </c>
      <c r="AD445" s="56">
        <f>IF(AP445="7",BH445,0)</f>
        <v>0</v>
      </c>
      <c r="AE445" s="56">
        <f>IF(AP445="2",BG445,0)</f>
        <v>0</v>
      </c>
      <c r="AF445" s="56">
        <f>IF(AP445="2",BH445,0)</f>
        <v>0</v>
      </c>
      <c r="AG445" s="56">
        <f>IF(AP445="0",BI445,0)</f>
        <v>0</v>
      </c>
      <c r="AH445" s="30" t="s">
        <v>262</v>
      </c>
      <c r="AI445" s="31">
        <f>IF(AM445=0,I445,0)</f>
        <v>0</v>
      </c>
      <c r="AJ445" s="31">
        <f>IF(AM445=15,I445,0)</f>
        <v>0</v>
      </c>
      <c r="AK445" s="31">
        <f>IF(AM445=21,I445,0)</f>
        <v>0</v>
      </c>
      <c r="AM445" s="56">
        <v>21</v>
      </c>
      <c r="AN445" s="56">
        <f>H445*1</f>
        <v>0</v>
      </c>
      <c r="AO445" s="56">
        <f>H445*(1-1)</f>
        <v>0</v>
      </c>
      <c r="AP445" s="58" t="s">
        <v>1109</v>
      </c>
      <c r="AU445" s="56">
        <f>AV445+AW445</f>
        <v>0</v>
      </c>
      <c r="AV445" s="56">
        <f>G445*AN445</f>
        <v>0</v>
      </c>
      <c r="AW445" s="56">
        <f>G445*AO445</f>
        <v>0</v>
      </c>
      <c r="AX445" s="41" t="s">
        <v>77</v>
      </c>
      <c r="AY445" s="41" t="s">
        <v>1177</v>
      </c>
      <c r="AZ445" s="30" t="s">
        <v>478</v>
      </c>
      <c r="BB445" s="56">
        <f>AV445+AW445</f>
        <v>0</v>
      </c>
      <c r="BC445" s="56">
        <f>H445/(100-BD445)*100</f>
        <v>0</v>
      </c>
      <c r="BD445" s="56">
        <v>0</v>
      </c>
      <c r="BE445" s="56" t="e">
        <f>#REF!</f>
        <v>#REF!</v>
      </c>
      <c r="BG445" s="31">
        <f>G445*AN445</f>
        <v>0</v>
      </c>
      <c r="BH445" s="31">
        <f>G445*AO445</f>
        <v>0</v>
      </c>
      <c r="BI445" s="31">
        <f>G445*H445</f>
        <v>0</v>
      </c>
      <c r="BJ445" s="31"/>
      <c r="BK445" s="56">
        <v>87</v>
      </c>
      <c r="BV445" s="56">
        <v>21</v>
      </c>
    </row>
    <row r="446" spans="1:74" ht="15" customHeight="1" x14ac:dyDescent="0.25">
      <c r="A446" s="53"/>
      <c r="D446" s="52" t="s">
        <v>1109</v>
      </c>
      <c r="E446" s="37" t="s">
        <v>324</v>
      </c>
      <c r="G446" s="21">
        <v>1</v>
      </c>
      <c r="J446" s="48"/>
    </row>
    <row r="447" spans="1:74" ht="13.5" customHeight="1" x14ac:dyDescent="0.25">
      <c r="A447" s="57" t="s">
        <v>632</v>
      </c>
      <c r="B447" s="50" t="s">
        <v>262</v>
      </c>
      <c r="C447" s="50" t="s">
        <v>543</v>
      </c>
      <c r="D447" s="135" t="s">
        <v>1173</v>
      </c>
      <c r="E447" s="136"/>
      <c r="F447" s="50" t="s">
        <v>275</v>
      </c>
      <c r="G447" s="31">
        <v>1</v>
      </c>
      <c r="H447" s="31">
        <v>0</v>
      </c>
      <c r="I447" s="31">
        <f>G447*H447</f>
        <v>0</v>
      </c>
      <c r="J447" s="47" t="s">
        <v>501</v>
      </c>
      <c r="Y447" s="56">
        <f>IF(AP447="5",BI447,0)</f>
        <v>0</v>
      </c>
      <c r="AA447" s="56">
        <f>IF(AP447="1",BG447,0)</f>
        <v>0</v>
      </c>
      <c r="AB447" s="56">
        <f>IF(AP447="1",BH447,0)</f>
        <v>0</v>
      </c>
      <c r="AC447" s="56">
        <f>IF(AP447="7",BG447,0)</f>
        <v>0</v>
      </c>
      <c r="AD447" s="56">
        <f>IF(AP447="7",BH447,0)</f>
        <v>0</v>
      </c>
      <c r="AE447" s="56">
        <f>IF(AP447="2",BG447,0)</f>
        <v>0</v>
      </c>
      <c r="AF447" s="56">
        <f>IF(AP447="2",BH447,0)</f>
        <v>0</v>
      </c>
      <c r="AG447" s="56">
        <f>IF(AP447="0",BI447,0)</f>
        <v>0</v>
      </c>
      <c r="AH447" s="30" t="s">
        <v>262</v>
      </c>
      <c r="AI447" s="31">
        <f>IF(AM447=0,I447,0)</f>
        <v>0</v>
      </c>
      <c r="AJ447" s="31">
        <f>IF(AM447=15,I447,0)</f>
        <v>0</v>
      </c>
      <c r="AK447" s="31">
        <f>IF(AM447=21,I447,0)</f>
        <v>0</v>
      </c>
      <c r="AM447" s="56">
        <v>21</v>
      </c>
      <c r="AN447" s="56">
        <f>H447*1</f>
        <v>0</v>
      </c>
      <c r="AO447" s="56">
        <f>H447*(1-1)</f>
        <v>0</v>
      </c>
      <c r="AP447" s="58" t="s">
        <v>1109</v>
      </c>
      <c r="AU447" s="56">
        <f>AV447+AW447</f>
        <v>0</v>
      </c>
      <c r="AV447" s="56">
        <f>G447*AN447</f>
        <v>0</v>
      </c>
      <c r="AW447" s="56">
        <f>G447*AO447</f>
        <v>0</v>
      </c>
      <c r="AX447" s="41" t="s">
        <v>77</v>
      </c>
      <c r="AY447" s="41" t="s">
        <v>1177</v>
      </c>
      <c r="AZ447" s="30" t="s">
        <v>478</v>
      </c>
      <c r="BB447" s="56">
        <f>AV447+AW447</f>
        <v>0</v>
      </c>
      <c r="BC447" s="56">
        <f>H447/(100-BD447)*100</f>
        <v>0</v>
      </c>
      <c r="BD447" s="56">
        <v>0</v>
      </c>
      <c r="BE447" s="56" t="e">
        <f>#REF!</f>
        <v>#REF!</v>
      </c>
      <c r="BG447" s="31">
        <f>G447*AN447</f>
        <v>0</v>
      </c>
      <c r="BH447" s="31">
        <f>G447*AO447</f>
        <v>0</v>
      </c>
      <c r="BI447" s="31">
        <f>G447*H447</f>
        <v>0</v>
      </c>
      <c r="BJ447" s="31"/>
      <c r="BK447" s="56">
        <v>87</v>
      </c>
      <c r="BV447" s="56">
        <v>21</v>
      </c>
    </row>
    <row r="448" spans="1:74" ht="15" customHeight="1" x14ac:dyDescent="0.25">
      <c r="A448" s="53"/>
      <c r="D448" s="52" t="s">
        <v>1109</v>
      </c>
      <c r="E448" s="37" t="s">
        <v>483</v>
      </c>
      <c r="G448" s="21">
        <v>1</v>
      </c>
      <c r="J448" s="48"/>
    </row>
    <row r="449" spans="1:74" ht="13.5" customHeight="1" x14ac:dyDescent="0.25">
      <c r="A449" s="10" t="s">
        <v>599</v>
      </c>
      <c r="B449" s="9" t="s">
        <v>262</v>
      </c>
      <c r="C449" s="9" t="s">
        <v>405</v>
      </c>
      <c r="D449" s="76" t="s">
        <v>375</v>
      </c>
      <c r="E449" s="77"/>
      <c r="F449" s="9" t="s">
        <v>778</v>
      </c>
      <c r="G449" s="56">
        <v>1</v>
      </c>
      <c r="H449" s="56">
        <v>0</v>
      </c>
      <c r="I449" s="56">
        <f>G449*H449</f>
        <v>0</v>
      </c>
      <c r="J449" s="54" t="s">
        <v>769</v>
      </c>
      <c r="Y449" s="56">
        <f>IF(AP449="5",BI449,0)</f>
        <v>0</v>
      </c>
      <c r="AA449" s="56">
        <f>IF(AP449="1",BG449,0)</f>
        <v>0</v>
      </c>
      <c r="AB449" s="56">
        <f>IF(AP449="1",BH449,0)</f>
        <v>0</v>
      </c>
      <c r="AC449" s="56">
        <f>IF(AP449="7",BG449,0)</f>
        <v>0</v>
      </c>
      <c r="AD449" s="56">
        <f>IF(AP449="7",BH449,0)</f>
        <v>0</v>
      </c>
      <c r="AE449" s="56">
        <f>IF(AP449="2",BG449,0)</f>
        <v>0</v>
      </c>
      <c r="AF449" s="56">
        <f>IF(AP449="2",BH449,0)</f>
        <v>0</v>
      </c>
      <c r="AG449" s="56">
        <f>IF(AP449="0",BI449,0)</f>
        <v>0</v>
      </c>
      <c r="AH449" s="30" t="s">
        <v>262</v>
      </c>
      <c r="AI449" s="56">
        <f>IF(AM449=0,I449,0)</f>
        <v>0</v>
      </c>
      <c r="AJ449" s="56">
        <f>IF(AM449=15,I449,0)</f>
        <v>0</v>
      </c>
      <c r="AK449" s="56">
        <f>IF(AM449=21,I449,0)</f>
        <v>0</v>
      </c>
      <c r="AM449" s="56">
        <v>21</v>
      </c>
      <c r="AN449" s="56">
        <f>H449*0</f>
        <v>0</v>
      </c>
      <c r="AO449" s="56">
        <f>H449*(1-0)</f>
        <v>0</v>
      </c>
      <c r="AP449" s="41" t="s">
        <v>1109</v>
      </c>
      <c r="AU449" s="56">
        <f>AV449+AW449</f>
        <v>0</v>
      </c>
      <c r="AV449" s="56">
        <f>G449*AN449</f>
        <v>0</v>
      </c>
      <c r="AW449" s="56">
        <f>G449*AO449</f>
        <v>0</v>
      </c>
      <c r="AX449" s="41" t="s">
        <v>77</v>
      </c>
      <c r="AY449" s="41" t="s">
        <v>1177</v>
      </c>
      <c r="AZ449" s="30" t="s">
        <v>478</v>
      </c>
      <c r="BB449" s="56">
        <f>AV449+AW449</f>
        <v>0</v>
      </c>
      <c r="BC449" s="56">
        <f>H449/(100-BD449)*100</f>
        <v>0</v>
      </c>
      <c r="BD449" s="56">
        <v>0</v>
      </c>
      <c r="BE449" s="56" t="e">
        <f>#REF!</f>
        <v>#REF!</v>
      </c>
      <c r="BG449" s="56">
        <f>G449*AN449</f>
        <v>0</v>
      </c>
      <c r="BH449" s="56">
        <f>G449*AO449</f>
        <v>0</v>
      </c>
      <c r="BI449" s="56">
        <f>G449*H449</f>
        <v>0</v>
      </c>
      <c r="BJ449" s="56"/>
      <c r="BK449" s="56">
        <v>87</v>
      </c>
      <c r="BV449" s="56">
        <v>21</v>
      </c>
    </row>
    <row r="450" spans="1:74" ht="13.5" customHeight="1" x14ac:dyDescent="0.25">
      <c r="A450" s="57" t="s">
        <v>925</v>
      </c>
      <c r="B450" s="50" t="s">
        <v>262</v>
      </c>
      <c r="C450" s="50" t="s">
        <v>436</v>
      </c>
      <c r="D450" s="135" t="s">
        <v>1134</v>
      </c>
      <c r="E450" s="136"/>
      <c r="F450" s="50" t="s">
        <v>275</v>
      </c>
      <c r="G450" s="31">
        <v>1</v>
      </c>
      <c r="H450" s="31">
        <v>0</v>
      </c>
      <c r="I450" s="31">
        <f>G450*H450</f>
        <v>0</v>
      </c>
      <c r="J450" s="47" t="s">
        <v>501</v>
      </c>
      <c r="Y450" s="56">
        <f>IF(AP450="5",BI450,0)</f>
        <v>0</v>
      </c>
      <c r="AA450" s="56">
        <f>IF(AP450="1",BG450,0)</f>
        <v>0</v>
      </c>
      <c r="AB450" s="56">
        <f>IF(AP450="1",BH450,0)</f>
        <v>0</v>
      </c>
      <c r="AC450" s="56">
        <f>IF(AP450="7",BG450,0)</f>
        <v>0</v>
      </c>
      <c r="AD450" s="56">
        <f>IF(AP450="7",BH450,0)</f>
        <v>0</v>
      </c>
      <c r="AE450" s="56">
        <f>IF(AP450="2",BG450,0)</f>
        <v>0</v>
      </c>
      <c r="AF450" s="56">
        <f>IF(AP450="2",BH450,0)</f>
        <v>0</v>
      </c>
      <c r="AG450" s="56">
        <f>IF(AP450="0",BI450,0)</f>
        <v>0</v>
      </c>
      <c r="AH450" s="30" t="s">
        <v>262</v>
      </c>
      <c r="AI450" s="31">
        <f>IF(AM450=0,I450,0)</f>
        <v>0</v>
      </c>
      <c r="AJ450" s="31">
        <f>IF(AM450=15,I450,0)</f>
        <v>0</v>
      </c>
      <c r="AK450" s="31">
        <f>IF(AM450=21,I450,0)</f>
        <v>0</v>
      </c>
      <c r="AM450" s="56">
        <v>21</v>
      </c>
      <c r="AN450" s="56">
        <f>H450*1</f>
        <v>0</v>
      </c>
      <c r="AO450" s="56">
        <f>H450*(1-1)</f>
        <v>0</v>
      </c>
      <c r="AP450" s="58" t="s">
        <v>1109</v>
      </c>
      <c r="AU450" s="56">
        <f>AV450+AW450</f>
        <v>0</v>
      </c>
      <c r="AV450" s="56">
        <f>G450*AN450</f>
        <v>0</v>
      </c>
      <c r="AW450" s="56">
        <f>G450*AO450</f>
        <v>0</v>
      </c>
      <c r="AX450" s="41" t="s">
        <v>77</v>
      </c>
      <c r="AY450" s="41" t="s">
        <v>1177</v>
      </c>
      <c r="AZ450" s="30" t="s">
        <v>478</v>
      </c>
      <c r="BB450" s="56">
        <f>AV450+AW450</f>
        <v>0</v>
      </c>
      <c r="BC450" s="56">
        <f>H450/(100-BD450)*100</f>
        <v>0</v>
      </c>
      <c r="BD450" s="56">
        <v>0</v>
      </c>
      <c r="BE450" s="56" t="e">
        <f>#REF!</f>
        <v>#REF!</v>
      </c>
      <c r="BG450" s="31">
        <f>G450*AN450</f>
        <v>0</v>
      </c>
      <c r="BH450" s="31">
        <f>G450*AO450</f>
        <v>0</v>
      </c>
      <c r="BI450" s="31">
        <f>G450*H450</f>
        <v>0</v>
      </c>
      <c r="BJ450" s="31"/>
      <c r="BK450" s="56">
        <v>87</v>
      </c>
      <c r="BV450" s="56">
        <v>21</v>
      </c>
    </row>
    <row r="451" spans="1:74" ht="15" customHeight="1" x14ac:dyDescent="0.25">
      <c r="A451" s="53"/>
      <c r="D451" s="52" t="s">
        <v>1109</v>
      </c>
      <c r="E451" s="37" t="s">
        <v>1077</v>
      </c>
      <c r="G451" s="21">
        <v>1</v>
      </c>
      <c r="J451" s="48"/>
    </row>
    <row r="452" spans="1:74" ht="13.5" customHeight="1" x14ac:dyDescent="0.25">
      <c r="A452" s="10" t="s">
        <v>1026</v>
      </c>
      <c r="B452" s="9" t="s">
        <v>262</v>
      </c>
      <c r="C452" s="9" t="s">
        <v>1029</v>
      </c>
      <c r="D452" s="76" t="s">
        <v>17</v>
      </c>
      <c r="E452" s="77"/>
      <c r="F452" s="9" t="s">
        <v>275</v>
      </c>
      <c r="G452" s="56">
        <v>1</v>
      </c>
      <c r="H452" s="56">
        <v>0</v>
      </c>
      <c r="I452" s="56">
        <f>G452*H452</f>
        <v>0</v>
      </c>
      <c r="J452" s="54" t="s">
        <v>501</v>
      </c>
      <c r="Y452" s="56">
        <f>IF(AP452="5",BI452,0)</f>
        <v>0</v>
      </c>
      <c r="AA452" s="56">
        <f>IF(AP452="1",BG452,0)</f>
        <v>0</v>
      </c>
      <c r="AB452" s="56">
        <f>IF(AP452="1",BH452,0)</f>
        <v>0</v>
      </c>
      <c r="AC452" s="56">
        <f>IF(AP452="7",BG452,0)</f>
        <v>0</v>
      </c>
      <c r="AD452" s="56">
        <f>IF(AP452="7",BH452,0)</f>
        <v>0</v>
      </c>
      <c r="AE452" s="56">
        <f>IF(AP452="2",BG452,0)</f>
        <v>0</v>
      </c>
      <c r="AF452" s="56">
        <f>IF(AP452="2",BH452,0)</f>
        <v>0</v>
      </c>
      <c r="AG452" s="56">
        <f>IF(AP452="0",BI452,0)</f>
        <v>0</v>
      </c>
      <c r="AH452" s="30" t="s">
        <v>262</v>
      </c>
      <c r="AI452" s="56">
        <f>IF(AM452=0,I452,0)</f>
        <v>0</v>
      </c>
      <c r="AJ452" s="56">
        <f>IF(AM452=15,I452,0)</f>
        <v>0</v>
      </c>
      <c r="AK452" s="56">
        <f>IF(AM452=21,I452,0)</f>
        <v>0</v>
      </c>
      <c r="AM452" s="56">
        <v>21</v>
      </c>
      <c r="AN452" s="56">
        <f>H452*0.00462365591397849</f>
        <v>0</v>
      </c>
      <c r="AO452" s="56">
        <f>H452*(1-0.00462365591397849)</f>
        <v>0</v>
      </c>
      <c r="AP452" s="41" t="s">
        <v>1109</v>
      </c>
      <c r="AU452" s="56">
        <f>AV452+AW452</f>
        <v>0</v>
      </c>
      <c r="AV452" s="56">
        <f>G452*AN452</f>
        <v>0</v>
      </c>
      <c r="AW452" s="56">
        <f>G452*AO452</f>
        <v>0</v>
      </c>
      <c r="AX452" s="41" t="s">
        <v>77</v>
      </c>
      <c r="AY452" s="41" t="s">
        <v>1177</v>
      </c>
      <c r="AZ452" s="30" t="s">
        <v>478</v>
      </c>
      <c r="BB452" s="56">
        <f>AV452+AW452</f>
        <v>0</v>
      </c>
      <c r="BC452" s="56">
        <f>H452/(100-BD452)*100</f>
        <v>0</v>
      </c>
      <c r="BD452" s="56">
        <v>0</v>
      </c>
      <c r="BE452" s="56" t="e">
        <f>#REF!</f>
        <v>#REF!</v>
      </c>
      <c r="BG452" s="56">
        <f>G452*AN452</f>
        <v>0</v>
      </c>
      <c r="BH452" s="56">
        <f>G452*AO452</f>
        <v>0</v>
      </c>
      <c r="BI452" s="56">
        <f>G452*H452</f>
        <v>0</v>
      </c>
      <c r="BJ452" s="56"/>
      <c r="BK452" s="56">
        <v>87</v>
      </c>
      <c r="BV452" s="56">
        <v>21</v>
      </c>
    </row>
    <row r="453" spans="1:74" ht="15" customHeight="1" x14ac:dyDescent="0.25">
      <c r="A453" s="27" t="s">
        <v>769</v>
      </c>
      <c r="B453" s="28" t="s">
        <v>262</v>
      </c>
      <c r="C453" s="28" t="s">
        <v>1171</v>
      </c>
      <c r="D453" s="132" t="s">
        <v>719</v>
      </c>
      <c r="E453" s="133"/>
      <c r="F453" s="23" t="s">
        <v>1027</v>
      </c>
      <c r="G453" s="23" t="s">
        <v>1027</v>
      </c>
      <c r="H453" s="23" t="s">
        <v>1027</v>
      </c>
      <c r="I453" s="14">
        <f>SUM(I454:I490)</f>
        <v>0</v>
      </c>
      <c r="J453" s="44" t="s">
        <v>769</v>
      </c>
      <c r="AH453" s="30" t="s">
        <v>262</v>
      </c>
      <c r="AR453" s="14">
        <f>SUM(AI454:AI490)</f>
        <v>0</v>
      </c>
      <c r="AS453" s="14">
        <f>SUM(AJ454:AJ490)</f>
        <v>0</v>
      </c>
      <c r="AT453" s="14">
        <f>SUM(AK454:AK490)</f>
        <v>0</v>
      </c>
    </row>
    <row r="454" spans="1:74" ht="13.5" customHeight="1" x14ac:dyDescent="0.25">
      <c r="A454" s="10" t="s">
        <v>1112</v>
      </c>
      <c r="B454" s="9" t="s">
        <v>262</v>
      </c>
      <c r="C454" s="9" t="s">
        <v>829</v>
      </c>
      <c r="D454" s="76" t="s">
        <v>1196</v>
      </c>
      <c r="E454" s="77"/>
      <c r="F454" s="9" t="s">
        <v>275</v>
      </c>
      <c r="G454" s="56">
        <v>9</v>
      </c>
      <c r="H454" s="56">
        <v>0</v>
      </c>
      <c r="I454" s="56">
        <f>G454*H454</f>
        <v>0</v>
      </c>
      <c r="J454" s="54" t="s">
        <v>501</v>
      </c>
      <c r="Y454" s="56">
        <f>IF(AP454="5",BI454,0)</f>
        <v>0</v>
      </c>
      <c r="AA454" s="56">
        <f>IF(AP454="1",BG454,0)</f>
        <v>0</v>
      </c>
      <c r="AB454" s="56">
        <f>IF(AP454="1",BH454,0)</f>
        <v>0</v>
      </c>
      <c r="AC454" s="56">
        <f>IF(AP454="7",BG454,0)</f>
        <v>0</v>
      </c>
      <c r="AD454" s="56">
        <f>IF(AP454="7",BH454,0)</f>
        <v>0</v>
      </c>
      <c r="AE454" s="56">
        <f>IF(AP454="2",BG454,0)</f>
        <v>0</v>
      </c>
      <c r="AF454" s="56">
        <f>IF(AP454="2",BH454,0)</f>
        <v>0</v>
      </c>
      <c r="AG454" s="56">
        <f>IF(AP454="0",BI454,0)</f>
        <v>0</v>
      </c>
      <c r="AH454" s="30" t="s">
        <v>262</v>
      </c>
      <c r="AI454" s="56">
        <f>IF(AM454=0,I454,0)</f>
        <v>0</v>
      </c>
      <c r="AJ454" s="56">
        <f>IF(AM454=15,I454,0)</f>
        <v>0</v>
      </c>
      <c r="AK454" s="56">
        <f>IF(AM454=21,I454,0)</f>
        <v>0</v>
      </c>
      <c r="AM454" s="56">
        <v>21</v>
      </c>
      <c r="AN454" s="56">
        <f>H454*0</f>
        <v>0</v>
      </c>
      <c r="AO454" s="56">
        <f>H454*(1-0)</f>
        <v>0</v>
      </c>
      <c r="AP454" s="41" t="s">
        <v>1109</v>
      </c>
      <c r="AU454" s="56">
        <f>AV454+AW454</f>
        <v>0</v>
      </c>
      <c r="AV454" s="56">
        <f>G454*AN454</f>
        <v>0</v>
      </c>
      <c r="AW454" s="56">
        <f>G454*AO454</f>
        <v>0</v>
      </c>
      <c r="AX454" s="41" t="s">
        <v>95</v>
      </c>
      <c r="AY454" s="41" t="s">
        <v>1177</v>
      </c>
      <c r="AZ454" s="30" t="s">
        <v>478</v>
      </c>
      <c r="BB454" s="56">
        <f>AV454+AW454</f>
        <v>0</v>
      </c>
      <c r="BC454" s="56">
        <f>H454/(100-BD454)*100</f>
        <v>0</v>
      </c>
      <c r="BD454" s="56">
        <v>0</v>
      </c>
      <c r="BE454" s="56" t="e">
        <f>#REF!</f>
        <v>#REF!</v>
      </c>
      <c r="BG454" s="56">
        <f>G454*AN454</f>
        <v>0</v>
      </c>
      <c r="BH454" s="56">
        <f>G454*AO454</f>
        <v>0</v>
      </c>
      <c r="BI454" s="56">
        <f>G454*H454</f>
        <v>0</v>
      </c>
      <c r="BJ454" s="56"/>
      <c r="BK454" s="56">
        <v>89</v>
      </c>
      <c r="BV454" s="56">
        <v>21</v>
      </c>
    </row>
    <row r="455" spans="1:74" ht="13.5" customHeight="1" x14ac:dyDescent="0.25">
      <c r="A455" s="57" t="s">
        <v>753</v>
      </c>
      <c r="B455" s="50" t="s">
        <v>262</v>
      </c>
      <c r="C455" s="50" t="s">
        <v>545</v>
      </c>
      <c r="D455" s="135" t="s">
        <v>879</v>
      </c>
      <c r="E455" s="136"/>
      <c r="F455" s="50" t="s">
        <v>275</v>
      </c>
      <c r="G455" s="31">
        <v>2</v>
      </c>
      <c r="H455" s="31">
        <v>0</v>
      </c>
      <c r="I455" s="31">
        <f>G455*H455</f>
        <v>0</v>
      </c>
      <c r="J455" s="47" t="s">
        <v>501</v>
      </c>
      <c r="Y455" s="56">
        <f>IF(AP455="5",BI455,0)</f>
        <v>0</v>
      </c>
      <c r="AA455" s="56">
        <f>IF(AP455="1",BG455,0)</f>
        <v>0</v>
      </c>
      <c r="AB455" s="56">
        <f>IF(AP455="1",BH455,0)</f>
        <v>0</v>
      </c>
      <c r="AC455" s="56">
        <f>IF(AP455="7",BG455,0)</f>
        <v>0</v>
      </c>
      <c r="AD455" s="56">
        <f>IF(AP455="7",BH455,0)</f>
        <v>0</v>
      </c>
      <c r="AE455" s="56">
        <f>IF(AP455="2",BG455,0)</f>
        <v>0</v>
      </c>
      <c r="AF455" s="56">
        <f>IF(AP455="2",BH455,0)</f>
        <v>0</v>
      </c>
      <c r="AG455" s="56">
        <f>IF(AP455="0",BI455,0)</f>
        <v>0</v>
      </c>
      <c r="AH455" s="30" t="s">
        <v>262</v>
      </c>
      <c r="AI455" s="31">
        <f>IF(AM455=0,I455,0)</f>
        <v>0</v>
      </c>
      <c r="AJ455" s="31">
        <f>IF(AM455=15,I455,0)</f>
        <v>0</v>
      </c>
      <c r="AK455" s="31">
        <f>IF(AM455=21,I455,0)</f>
        <v>0</v>
      </c>
      <c r="AM455" s="56">
        <v>21</v>
      </c>
      <c r="AN455" s="56">
        <f>H455*1</f>
        <v>0</v>
      </c>
      <c r="AO455" s="56">
        <f>H455*(1-1)</f>
        <v>0</v>
      </c>
      <c r="AP455" s="58" t="s">
        <v>1109</v>
      </c>
      <c r="AU455" s="56">
        <f>AV455+AW455</f>
        <v>0</v>
      </c>
      <c r="AV455" s="56">
        <f>G455*AN455</f>
        <v>0</v>
      </c>
      <c r="AW455" s="56">
        <f>G455*AO455</f>
        <v>0</v>
      </c>
      <c r="AX455" s="41" t="s">
        <v>95</v>
      </c>
      <c r="AY455" s="41" t="s">
        <v>1177</v>
      </c>
      <c r="AZ455" s="30" t="s">
        <v>478</v>
      </c>
      <c r="BB455" s="56">
        <f>AV455+AW455</f>
        <v>0</v>
      </c>
      <c r="BC455" s="56">
        <f>H455/(100-BD455)*100</f>
        <v>0</v>
      </c>
      <c r="BD455" s="56">
        <v>0</v>
      </c>
      <c r="BE455" s="56" t="e">
        <f>#REF!</f>
        <v>#REF!</v>
      </c>
      <c r="BG455" s="31">
        <f>G455*AN455</f>
        <v>0</v>
      </c>
      <c r="BH455" s="31">
        <f>G455*AO455</f>
        <v>0</v>
      </c>
      <c r="BI455" s="31">
        <f>G455*H455</f>
        <v>0</v>
      </c>
      <c r="BJ455" s="31"/>
      <c r="BK455" s="56">
        <v>89</v>
      </c>
      <c r="BV455" s="56">
        <v>21</v>
      </c>
    </row>
    <row r="456" spans="1:74" ht="15" customHeight="1" x14ac:dyDescent="0.25">
      <c r="A456" s="53"/>
      <c r="D456" s="52" t="s">
        <v>766</v>
      </c>
      <c r="E456" s="37" t="s">
        <v>723</v>
      </c>
      <c r="G456" s="21">
        <v>2</v>
      </c>
      <c r="J456" s="48"/>
    </row>
    <row r="457" spans="1:74" ht="13.5" customHeight="1" x14ac:dyDescent="0.25">
      <c r="A457" s="57" t="s">
        <v>997</v>
      </c>
      <c r="B457" s="50" t="s">
        <v>262</v>
      </c>
      <c r="C457" s="50" t="s">
        <v>568</v>
      </c>
      <c r="D457" s="135" t="s">
        <v>524</v>
      </c>
      <c r="E457" s="136"/>
      <c r="F457" s="50" t="s">
        <v>275</v>
      </c>
      <c r="G457" s="31">
        <v>7</v>
      </c>
      <c r="H457" s="31">
        <v>0</v>
      </c>
      <c r="I457" s="31">
        <f>G457*H457</f>
        <v>0</v>
      </c>
      <c r="J457" s="47" t="s">
        <v>501</v>
      </c>
      <c r="Y457" s="56">
        <f>IF(AP457="5",BI457,0)</f>
        <v>0</v>
      </c>
      <c r="AA457" s="56">
        <f>IF(AP457="1",BG457,0)</f>
        <v>0</v>
      </c>
      <c r="AB457" s="56">
        <f>IF(AP457="1",BH457,0)</f>
        <v>0</v>
      </c>
      <c r="AC457" s="56">
        <f>IF(AP457="7",BG457,0)</f>
        <v>0</v>
      </c>
      <c r="AD457" s="56">
        <f>IF(AP457="7",BH457,0)</f>
        <v>0</v>
      </c>
      <c r="AE457" s="56">
        <f>IF(AP457="2",BG457,0)</f>
        <v>0</v>
      </c>
      <c r="AF457" s="56">
        <f>IF(AP457="2",BH457,0)</f>
        <v>0</v>
      </c>
      <c r="AG457" s="56">
        <f>IF(AP457="0",BI457,0)</f>
        <v>0</v>
      </c>
      <c r="AH457" s="30" t="s">
        <v>262</v>
      </c>
      <c r="AI457" s="31">
        <f>IF(AM457=0,I457,0)</f>
        <v>0</v>
      </c>
      <c r="AJ457" s="31">
        <f>IF(AM457=15,I457,0)</f>
        <v>0</v>
      </c>
      <c r="AK457" s="31">
        <f>IF(AM457=21,I457,0)</f>
        <v>0</v>
      </c>
      <c r="AM457" s="56">
        <v>21</v>
      </c>
      <c r="AN457" s="56">
        <f>H457*1</f>
        <v>0</v>
      </c>
      <c r="AO457" s="56">
        <f>H457*(1-1)</f>
        <v>0</v>
      </c>
      <c r="AP457" s="58" t="s">
        <v>1109</v>
      </c>
      <c r="AU457" s="56">
        <f>AV457+AW457</f>
        <v>0</v>
      </c>
      <c r="AV457" s="56">
        <f>G457*AN457</f>
        <v>0</v>
      </c>
      <c r="AW457" s="56">
        <f>G457*AO457</f>
        <v>0</v>
      </c>
      <c r="AX457" s="41" t="s">
        <v>95</v>
      </c>
      <c r="AY457" s="41" t="s">
        <v>1177</v>
      </c>
      <c r="AZ457" s="30" t="s">
        <v>478</v>
      </c>
      <c r="BB457" s="56">
        <f>AV457+AW457</f>
        <v>0</v>
      </c>
      <c r="BC457" s="56">
        <f>H457/(100-BD457)*100</f>
        <v>0</v>
      </c>
      <c r="BD457" s="56">
        <v>0</v>
      </c>
      <c r="BE457" s="56" t="e">
        <f>#REF!</f>
        <v>#REF!</v>
      </c>
      <c r="BG457" s="31">
        <f>G457*AN457</f>
        <v>0</v>
      </c>
      <c r="BH457" s="31">
        <f>G457*AO457</f>
        <v>0</v>
      </c>
      <c r="BI457" s="31">
        <f>G457*H457</f>
        <v>0</v>
      </c>
      <c r="BJ457" s="31"/>
      <c r="BK457" s="56">
        <v>89</v>
      </c>
      <c r="BV457" s="56">
        <v>21</v>
      </c>
    </row>
    <row r="458" spans="1:74" ht="15" customHeight="1" x14ac:dyDescent="0.25">
      <c r="A458" s="53"/>
      <c r="D458" s="52" t="s">
        <v>1114</v>
      </c>
      <c r="E458" s="37" t="s">
        <v>890</v>
      </c>
      <c r="G458" s="21">
        <v>7.0000000000000009</v>
      </c>
      <c r="J458" s="48"/>
    </row>
    <row r="459" spans="1:74" ht="13.5" customHeight="1" x14ac:dyDescent="0.25">
      <c r="A459" s="10" t="s">
        <v>23</v>
      </c>
      <c r="B459" s="9" t="s">
        <v>262</v>
      </c>
      <c r="C459" s="9" t="s">
        <v>789</v>
      </c>
      <c r="D459" s="76" t="s">
        <v>74</v>
      </c>
      <c r="E459" s="77"/>
      <c r="F459" s="9" t="s">
        <v>275</v>
      </c>
      <c r="G459" s="56">
        <v>6</v>
      </c>
      <c r="H459" s="56">
        <v>0</v>
      </c>
      <c r="I459" s="56">
        <f>G459*H459</f>
        <v>0</v>
      </c>
      <c r="J459" s="54" t="s">
        <v>501</v>
      </c>
      <c r="Y459" s="56">
        <f>IF(AP459="5",BI459,0)</f>
        <v>0</v>
      </c>
      <c r="AA459" s="56">
        <f>IF(AP459="1",BG459,0)</f>
        <v>0</v>
      </c>
      <c r="AB459" s="56">
        <f>IF(AP459="1",BH459,0)</f>
        <v>0</v>
      </c>
      <c r="AC459" s="56">
        <f>IF(AP459="7",BG459,0)</f>
        <v>0</v>
      </c>
      <c r="AD459" s="56">
        <f>IF(AP459="7",BH459,0)</f>
        <v>0</v>
      </c>
      <c r="AE459" s="56">
        <f>IF(AP459="2",BG459,0)</f>
        <v>0</v>
      </c>
      <c r="AF459" s="56">
        <f>IF(AP459="2",BH459,0)</f>
        <v>0</v>
      </c>
      <c r="AG459" s="56">
        <f>IF(AP459="0",BI459,0)</f>
        <v>0</v>
      </c>
      <c r="AH459" s="30" t="s">
        <v>262</v>
      </c>
      <c r="AI459" s="56">
        <f>IF(AM459=0,I459,0)</f>
        <v>0</v>
      </c>
      <c r="AJ459" s="56">
        <f>IF(AM459=15,I459,0)</f>
        <v>0</v>
      </c>
      <c r="AK459" s="56">
        <f>IF(AM459=21,I459,0)</f>
        <v>0</v>
      </c>
      <c r="AM459" s="56">
        <v>21</v>
      </c>
      <c r="AN459" s="56">
        <f>H459*0.108757894736842</f>
        <v>0</v>
      </c>
      <c r="AO459" s="56">
        <f>H459*(1-0.108757894736842)</f>
        <v>0</v>
      </c>
      <c r="AP459" s="41" t="s">
        <v>1109</v>
      </c>
      <c r="AU459" s="56">
        <f>AV459+AW459</f>
        <v>0</v>
      </c>
      <c r="AV459" s="56">
        <f>G459*AN459</f>
        <v>0</v>
      </c>
      <c r="AW459" s="56">
        <f>G459*AO459</f>
        <v>0</v>
      </c>
      <c r="AX459" s="41" t="s">
        <v>95</v>
      </c>
      <c r="AY459" s="41" t="s">
        <v>1177</v>
      </c>
      <c r="AZ459" s="30" t="s">
        <v>478</v>
      </c>
      <c r="BB459" s="56">
        <f>AV459+AW459</f>
        <v>0</v>
      </c>
      <c r="BC459" s="56">
        <f>H459/(100-BD459)*100</f>
        <v>0</v>
      </c>
      <c r="BD459" s="56">
        <v>0</v>
      </c>
      <c r="BE459" s="56" t="e">
        <f>#REF!</f>
        <v>#REF!</v>
      </c>
      <c r="BG459" s="56">
        <f>G459*AN459</f>
        <v>0</v>
      </c>
      <c r="BH459" s="56">
        <f>G459*AO459</f>
        <v>0</v>
      </c>
      <c r="BI459" s="56">
        <f>G459*H459</f>
        <v>0</v>
      </c>
      <c r="BJ459" s="56"/>
      <c r="BK459" s="56">
        <v>89</v>
      </c>
      <c r="BV459" s="56">
        <v>21</v>
      </c>
    </row>
    <row r="460" spans="1:74" ht="13.5" customHeight="1" x14ac:dyDescent="0.25">
      <c r="A460" s="57" t="s">
        <v>1170</v>
      </c>
      <c r="B460" s="50" t="s">
        <v>262</v>
      </c>
      <c r="C460" s="50" t="s">
        <v>257</v>
      </c>
      <c r="D460" s="135" t="s">
        <v>133</v>
      </c>
      <c r="E460" s="136"/>
      <c r="F460" s="50" t="s">
        <v>275</v>
      </c>
      <c r="G460" s="31">
        <v>2</v>
      </c>
      <c r="H460" s="31">
        <v>0</v>
      </c>
      <c r="I460" s="31">
        <f>G460*H460</f>
        <v>0</v>
      </c>
      <c r="J460" s="47" t="s">
        <v>501</v>
      </c>
      <c r="Y460" s="56">
        <f>IF(AP460="5",BI460,0)</f>
        <v>0</v>
      </c>
      <c r="AA460" s="56">
        <f>IF(AP460="1",BG460,0)</f>
        <v>0</v>
      </c>
      <c r="AB460" s="56">
        <f>IF(AP460="1",BH460,0)</f>
        <v>0</v>
      </c>
      <c r="AC460" s="56">
        <f>IF(AP460="7",BG460,0)</f>
        <v>0</v>
      </c>
      <c r="AD460" s="56">
        <f>IF(AP460="7",BH460,0)</f>
        <v>0</v>
      </c>
      <c r="AE460" s="56">
        <f>IF(AP460="2",BG460,0)</f>
        <v>0</v>
      </c>
      <c r="AF460" s="56">
        <f>IF(AP460="2",BH460,0)</f>
        <v>0</v>
      </c>
      <c r="AG460" s="56">
        <f>IF(AP460="0",BI460,0)</f>
        <v>0</v>
      </c>
      <c r="AH460" s="30" t="s">
        <v>262</v>
      </c>
      <c r="AI460" s="31">
        <f>IF(AM460=0,I460,0)</f>
        <v>0</v>
      </c>
      <c r="AJ460" s="31">
        <f>IF(AM460=15,I460,0)</f>
        <v>0</v>
      </c>
      <c r="AK460" s="31">
        <f>IF(AM460=21,I460,0)</f>
        <v>0</v>
      </c>
      <c r="AM460" s="56">
        <v>21</v>
      </c>
      <c r="AN460" s="56">
        <f>H460*1</f>
        <v>0</v>
      </c>
      <c r="AO460" s="56">
        <f>H460*(1-1)</f>
        <v>0</v>
      </c>
      <c r="AP460" s="58" t="s">
        <v>1109</v>
      </c>
      <c r="AU460" s="56">
        <f>AV460+AW460</f>
        <v>0</v>
      </c>
      <c r="AV460" s="56">
        <f>G460*AN460</f>
        <v>0</v>
      </c>
      <c r="AW460" s="56">
        <f>G460*AO460</f>
        <v>0</v>
      </c>
      <c r="AX460" s="41" t="s">
        <v>95</v>
      </c>
      <c r="AY460" s="41" t="s">
        <v>1177</v>
      </c>
      <c r="AZ460" s="30" t="s">
        <v>478</v>
      </c>
      <c r="BB460" s="56">
        <f>AV460+AW460</f>
        <v>0</v>
      </c>
      <c r="BC460" s="56">
        <f>H460/(100-BD460)*100</f>
        <v>0</v>
      </c>
      <c r="BD460" s="56">
        <v>0</v>
      </c>
      <c r="BE460" s="56" t="e">
        <f>#REF!</f>
        <v>#REF!</v>
      </c>
      <c r="BG460" s="31">
        <f>G460*AN460</f>
        <v>0</v>
      </c>
      <c r="BH460" s="31">
        <f>G460*AO460</f>
        <v>0</v>
      </c>
      <c r="BI460" s="31">
        <f>G460*H460</f>
        <v>0</v>
      </c>
      <c r="BJ460" s="31"/>
      <c r="BK460" s="56">
        <v>89</v>
      </c>
      <c r="BV460" s="56">
        <v>21</v>
      </c>
    </row>
    <row r="461" spans="1:74" ht="15" customHeight="1" x14ac:dyDescent="0.25">
      <c r="A461" s="53"/>
      <c r="D461" s="52" t="s">
        <v>766</v>
      </c>
      <c r="E461" s="37" t="s">
        <v>542</v>
      </c>
      <c r="G461" s="21">
        <v>2</v>
      </c>
      <c r="J461" s="48"/>
    </row>
    <row r="462" spans="1:74" ht="13.5" customHeight="1" x14ac:dyDescent="0.25">
      <c r="A462" s="10" t="s">
        <v>836</v>
      </c>
      <c r="B462" s="9" t="s">
        <v>262</v>
      </c>
      <c r="C462" s="9" t="s">
        <v>1049</v>
      </c>
      <c r="D462" s="76" t="s">
        <v>443</v>
      </c>
      <c r="E462" s="77"/>
      <c r="F462" s="9" t="s">
        <v>275</v>
      </c>
      <c r="G462" s="56">
        <v>2</v>
      </c>
      <c r="H462" s="56">
        <v>0</v>
      </c>
      <c r="I462" s="56">
        <f>G462*H462</f>
        <v>0</v>
      </c>
      <c r="J462" s="54" t="s">
        <v>501</v>
      </c>
      <c r="Y462" s="56">
        <f>IF(AP462="5",BI462,0)</f>
        <v>0</v>
      </c>
      <c r="AA462" s="56">
        <f>IF(AP462="1",BG462,0)</f>
        <v>0</v>
      </c>
      <c r="AB462" s="56">
        <f>IF(AP462="1",BH462,0)</f>
        <v>0</v>
      </c>
      <c r="AC462" s="56">
        <f>IF(AP462="7",BG462,0)</f>
        <v>0</v>
      </c>
      <c r="AD462" s="56">
        <f>IF(AP462="7",BH462,0)</f>
        <v>0</v>
      </c>
      <c r="AE462" s="56">
        <f>IF(AP462="2",BG462,0)</f>
        <v>0</v>
      </c>
      <c r="AF462" s="56">
        <f>IF(AP462="2",BH462,0)</f>
        <v>0</v>
      </c>
      <c r="AG462" s="56">
        <f>IF(AP462="0",BI462,0)</f>
        <v>0</v>
      </c>
      <c r="AH462" s="30" t="s">
        <v>262</v>
      </c>
      <c r="AI462" s="56">
        <f>IF(AM462=0,I462,0)</f>
        <v>0</v>
      </c>
      <c r="AJ462" s="56">
        <f>IF(AM462=15,I462,0)</f>
        <v>0</v>
      </c>
      <c r="AK462" s="56">
        <f>IF(AM462=21,I462,0)</f>
        <v>0</v>
      </c>
      <c r="AM462" s="56">
        <v>21</v>
      </c>
      <c r="AN462" s="56">
        <f>H462*0.0979181286549708</f>
        <v>0</v>
      </c>
      <c r="AO462" s="56">
        <f>H462*(1-0.0979181286549708)</f>
        <v>0</v>
      </c>
      <c r="AP462" s="41" t="s">
        <v>1109</v>
      </c>
      <c r="AU462" s="56">
        <f>AV462+AW462</f>
        <v>0</v>
      </c>
      <c r="AV462" s="56">
        <f>G462*AN462</f>
        <v>0</v>
      </c>
      <c r="AW462" s="56">
        <f>G462*AO462</f>
        <v>0</v>
      </c>
      <c r="AX462" s="41" t="s">
        <v>95</v>
      </c>
      <c r="AY462" s="41" t="s">
        <v>1177</v>
      </c>
      <c r="AZ462" s="30" t="s">
        <v>478</v>
      </c>
      <c r="BB462" s="56">
        <f>AV462+AW462</f>
        <v>0</v>
      </c>
      <c r="BC462" s="56">
        <f>H462/(100-BD462)*100</f>
        <v>0</v>
      </c>
      <c r="BD462" s="56">
        <v>0</v>
      </c>
      <c r="BE462" s="56" t="e">
        <f>#REF!</f>
        <v>#REF!</v>
      </c>
      <c r="BG462" s="56">
        <f>G462*AN462</f>
        <v>0</v>
      </c>
      <c r="BH462" s="56">
        <f>G462*AO462</f>
        <v>0</v>
      </c>
      <c r="BI462" s="56">
        <f>G462*H462</f>
        <v>0</v>
      </c>
      <c r="BJ462" s="56"/>
      <c r="BK462" s="56">
        <v>89</v>
      </c>
      <c r="BV462" s="56">
        <v>21</v>
      </c>
    </row>
    <row r="463" spans="1:74" ht="13.5" customHeight="1" x14ac:dyDescent="0.25">
      <c r="A463" s="57" t="s">
        <v>641</v>
      </c>
      <c r="B463" s="50" t="s">
        <v>262</v>
      </c>
      <c r="C463" s="50" t="s">
        <v>530</v>
      </c>
      <c r="D463" s="135" t="s">
        <v>1054</v>
      </c>
      <c r="E463" s="136"/>
      <c r="F463" s="50" t="s">
        <v>275</v>
      </c>
      <c r="G463" s="31">
        <v>1</v>
      </c>
      <c r="H463" s="31">
        <v>0</v>
      </c>
      <c r="I463" s="31">
        <f>G463*H463</f>
        <v>0</v>
      </c>
      <c r="J463" s="47" t="s">
        <v>501</v>
      </c>
      <c r="Y463" s="56">
        <f>IF(AP463="5",BI463,0)</f>
        <v>0</v>
      </c>
      <c r="AA463" s="56">
        <f>IF(AP463="1",BG463,0)</f>
        <v>0</v>
      </c>
      <c r="AB463" s="56">
        <f>IF(AP463="1",BH463,0)</f>
        <v>0</v>
      </c>
      <c r="AC463" s="56">
        <f>IF(AP463="7",BG463,0)</f>
        <v>0</v>
      </c>
      <c r="AD463" s="56">
        <f>IF(AP463="7",BH463,0)</f>
        <v>0</v>
      </c>
      <c r="AE463" s="56">
        <f>IF(AP463="2",BG463,0)</f>
        <v>0</v>
      </c>
      <c r="AF463" s="56">
        <f>IF(AP463="2",BH463,0)</f>
        <v>0</v>
      </c>
      <c r="AG463" s="56">
        <f>IF(AP463="0",BI463,0)</f>
        <v>0</v>
      </c>
      <c r="AH463" s="30" t="s">
        <v>262</v>
      </c>
      <c r="AI463" s="31">
        <f>IF(AM463=0,I463,0)</f>
        <v>0</v>
      </c>
      <c r="AJ463" s="31">
        <f>IF(AM463=15,I463,0)</f>
        <v>0</v>
      </c>
      <c r="AK463" s="31">
        <f>IF(AM463=21,I463,0)</f>
        <v>0</v>
      </c>
      <c r="AM463" s="56">
        <v>21</v>
      </c>
      <c r="AN463" s="56">
        <f>H463*1</f>
        <v>0</v>
      </c>
      <c r="AO463" s="56">
        <f>H463*(1-1)</f>
        <v>0</v>
      </c>
      <c r="AP463" s="58" t="s">
        <v>1109</v>
      </c>
      <c r="AU463" s="56">
        <f>AV463+AW463</f>
        <v>0</v>
      </c>
      <c r="AV463" s="56">
        <f>G463*AN463</f>
        <v>0</v>
      </c>
      <c r="AW463" s="56">
        <f>G463*AO463</f>
        <v>0</v>
      </c>
      <c r="AX463" s="41" t="s">
        <v>95</v>
      </c>
      <c r="AY463" s="41" t="s">
        <v>1177</v>
      </c>
      <c r="AZ463" s="30" t="s">
        <v>478</v>
      </c>
      <c r="BB463" s="56">
        <f>AV463+AW463</f>
        <v>0</v>
      </c>
      <c r="BC463" s="56">
        <f>H463/(100-BD463)*100</f>
        <v>0</v>
      </c>
      <c r="BD463" s="56">
        <v>0</v>
      </c>
      <c r="BE463" s="56" t="e">
        <f>#REF!</f>
        <v>#REF!</v>
      </c>
      <c r="BG463" s="31">
        <f>G463*AN463</f>
        <v>0</v>
      </c>
      <c r="BH463" s="31">
        <f>G463*AO463</f>
        <v>0</v>
      </c>
      <c r="BI463" s="31">
        <f>G463*H463</f>
        <v>0</v>
      </c>
      <c r="BJ463" s="31"/>
      <c r="BK463" s="56">
        <v>89</v>
      </c>
      <c r="BV463" s="56">
        <v>21</v>
      </c>
    </row>
    <row r="464" spans="1:74" ht="15" customHeight="1" x14ac:dyDescent="0.25">
      <c r="A464" s="53"/>
      <c r="D464" s="52" t="s">
        <v>1109</v>
      </c>
      <c r="E464" s="37" t="s">
        <v>433</v>
      </c>
      <c r="G464" s="21">
        <v>1</v>
      </c>
      <c r="J464" s="48"/>
    </row>
    <row r="465" spans="1:74" ht="13.5" customHeight="1" x14ac:dyDescent="0.25">
      <c r="A465" s="10" t="s">
        <v>1135</v>
      </c>
      <c r="B465" s="9" t="s">
        <v>262</v>
      </c>
      <c r="C465" s="9" t="s">
        <v>1108</v>
      </c>
      <c r="D465" s="76" t="s">
        <v>744</v>
      </c>
      <c r="E465" s="77"/>
      <c r="F465" s="9" t="s">
        <v>275</v>
      </c>
      <c r="G465" s="56">
        <v>7</v>
      </c>
      <c r="H465" s="56">
        <v>0</v>
      </c>
      <c r="I465" s="56">
        <f>G465*H465</f>
        <v>0</v>
      </c>
      <c r="J465" s="54" t="s">
        <v>501</v>
      </c>
      <c r="Y465" s="56">
        <f>IF(AP465="5",BI465,0)</f>
        <v>0</v>
      </c>
      <c r="AA465" s="56">
        <f>IF(AP465="1",BG465,0)</f>
        <v>0</v>
      </c>
      <c r="AB465" s="56">
        <f>IF(AP465="1",BH465,0)</f>
        <v>0</v>
      </c>
      <c r="AC465" s="56">
        <f>IF(AP465="7",BG465,0)</f>
        <v>0</v>
      </c>
      <c r="AD465" s="56">
        <f>IF(AP465="7",BH465,0)</f>
        <v>0</v>
      </c>
      <c r="AE465" s="56">
        <f>IF(AP465="2",BG465,0)</f>
        <v>0</v>
      </c>
      <c r="AF465" s="56">
        <f>IF(AP465="2",BH465,0)</f>
        <v>0</v>
      </c>
      <c r="AG465" s="56">
        <f>IF(AP465="0",BI465,0)</f>
        <v>0</v>
      </c>
      <c r="AH465" s="30" t="s">
        <v>262</v>
      </c>
      <c r="AI465" s="56">
        <f>IF(AM465=0,I465,0)</f>
        <v>0</v>
      </c>
      <c r="AJ465" s="56">
        <f>IF(AM465=15,I465,0)</f>
        <v>0</v>
      </c>
      <c r="AK465" s="56">
        <f>IF(AM465=21,I465,0)</f>
        <v>0</v>
      </c>
      <c r="AM465" s="56">
        <v>21</v>
      </c>
      <c r="AN465" s="56">
        <f>H465*0</f>
        <v>0</v>
      </c>
      <c r="AO465" s="56">
        <f>H465*(1-0)</f>
        <v>0</v>
      </c>
      <c r="AP465" s="41" t="s">
        <v>1109</v>
      </c>
      <c r="AU465" s="56">
        <f>AV465+AW465</f>
        <v>0</v>
      </c>
      <c r="AV465" s="56">
        <f>G465*AN465</f>
        <v>0</v>
      </c>
      <c r="AW465" s="56">
        <f>G465*AO465</f>
        <v>0</v>
      </c>
      <c r="AX465" s="41" t="s">
        <v>95</v>
      </c>
      <c r="AY465" s="41" t="s">
        <v>1177</v>
      </c>
      <c r="AZ465" s="30" t="s">
        <v>478</v>
      </c>
      <c r="BB465" s="56">
        <f>AV465+AW465</f>
        <v>0</v>
      </c>
      <c r="BC465" s="56">
        <f>H465/(100-BD465)*100</f>
        <v>0</v>
      </c>
      <c r="BD465" s="56">
        <v>0</v>
      </c>
      <c r="BE465" s="56" t="e">
        <f>#REF!</f>
        <v>#REF!</v>
      </c>
      <c r="BG465" s="56">
        <f>G465*AN465</f>
        <v>0</v>
      </c>
      <c r="BH465" s="56">
        <f>G465*AO465</f>
        <v>0</v>
      </c>
      <c r="BI465" s="56">
        <f>G465*H465</f>
        <v>0</v>
      </c>
      <c r="BJ465" s="56"/>
      <c r="BK465" s="56">
        <v>89</v>
      </c>
      <c r="BV465" s="56">
        <v>21</v>
      </c>
    </row>
    <row r="466" spans="1:74" ht="15" customHeight="1" x14ac:dyDescent="0.25">
      <c r="A466" s="53"/>
      <c r="D466" s="52" t="s">
        <v>1114</v>
      </c>
      <c r="E466" s="37" t="s">
        <v>548</v>
      </c>
      <c r="G466" s="21">
        <v>7.0000000000000009</v>
      </c>
      <c r="J466" s="48"/>
    </row>
    <row r="467" spans="1:74" ht="13.5" customHeight="1" x14ac:dyDescent="0.25">
      <c r="A467" s="10" t="s">
        <v>888</v>
      </c>
      <c r="B467" s="9" t="s">
        <v>262</v>
      </c>
      <c r="C467" s="9" t="s">
        <v>705</v>
      </c>
      <c r="D467" s="76" t="s">
        <v>1087</v>
      </c>
      <c r="E467" s="77"/>
      <c r="F467" s="9" t="s">
        <v>909</v>
      </c>
      <c r="G467" s="56">
        <v>96.8</v>
      </c>
      <c r="H467" s="56">
        <v>0</v>
      </c>
      <c r="I467" s="56">
        <f>G467*H467</f>
        <v>0</v>
      </c>
      <c r="J467" s="54" t="s">
        <v>501</v>
      </c>
      <c r="Y467" s="56">
        <f>IF(AP467="5",BI467,0)</f>
        <v>0</v>
      </c>
      <c r="AA467" s="56">
        <f>IF(AP467="1",BG467,0)</f>
        <v>0</v>
      </c>
      <c r="AB467" s="56">
        <f>IF(AP467="1",BH467,0)</f>
        <v>0</v>
      </c>
      <c r="AC467" s="56">
        <f>IF(AP467="7",BG467,0)</f>
        <v>0</v>
      </c>
      <c r="AD467" s="56">
        <f>IF(AP467="7",BH467,0)</f>
        <v>0</v>
      </c>
      <c r="AE467" s="56">
        <f>IF(AP467="2",BG467,0)</f>
        <v>0</v>
      </c>
      <c r="AF467" s="56">
        <f>IF(AP467="2",BH467,0)</f>
        <v>0</v>
      </c>
      <c r="AG467" s="56">
        <f>IF(AP467="0",BI467,0)</f>
        <v>0</v>
      </c>
      <c r="AH467" s="30" t="s">
        <v>262</v>
      </c>
      <c r="AI467" s="56">
        <f>IF(AM467=0,I467,0)</f>
        <v>0</v>
      </c>
      <c r="AJ467" s="56">
        <f>IF(AM467=15,I467,0)</f>
        <v>0</v>
      </c>
      <c r="AK467" s="56">
        <f>IF(AM467=21,I467,0)</f>
        <v>0</v>
      </c>
      <c r="AM467" s="56">
        <v>21</v>
      </c>
      <c r="AN467" s="56">
        <f>H467*0.0308715837067539</f>
        <v>0</v>
      </c>
      <c r="AO467" s="56">
        <f>H467*(1-0.0308715837067539)</f>
        <v>0</v>
      </c>
      <c r="AP467" s="41" t="s">
        <v>1109</v>
      </c>
      <c r="AU467" s="56">
        <f>AV467+AW467</f>
        <v>0</v>
      </c>
      <c r="AV467" s="56">
        <f>G467*AN467</f>
        <v>0</v>
      </c>
      <c r="AW467" s="56">
        <f>G467*AO467</f>
        <v>0</v>
      </c>
      <c r="AX467" s="41" t="s">
        <v>95</v>
      </c>
      <c r="AY467" s="41" t="s">
        <v>1177</v>
      </c>
      <c r="AZ467" s="30" t="s">
        <v>478</v>
      </c>
      <c r="BB467" s="56">
        <f>AV467+AW467</f>
        <v>0</v>
      </c>
      <c r="BC467" s="56">
        <f>H467/(100-BD467)*100</f>
        <v>0</v>
      </c>
      <c r="BD467" s="56">
        <v>0</v>
      </c>
      <c r="BE467" s="56" t="e">
        <f>#REF!</f>
        <v>#REF!</v>
      </c>
      <c r="BG467" s="56">
        <f>G467*AN467</f>
        <v>0</v>
      </c>
      <c r="BH467" s="56">
        <f>G467*AO467</f>
        <v>0</v>
      </c>
      <c r="BI467" s="56">
        <f>G467*H467</f>
        <v>0</v>
      </c>
      <c r="BJ467" s="56"/>
      <c r="BK467" s="56">
        <v>89</v>
      </c>
      <c r="BV467" s="56">
        <v>21</v>
      </c>
    </row>
    <row r="468" spans="1:74" ht="15" customHeight="1" x14ac:dyDescent="0.25">
      <c r="A468" s="53"/>
      <c r="D468" s="52" t="s">
        <v>115</v>
      </c>
      <c r="E468" s="37" t="s">
        <v>376</v>
      </c>
      <c r="G468" s="21">
        <v>96.800000000000011</v>
      </c>
      <c r="J468" s="48"/>
    </row>
    <row r="469" spans="1:74" ht="13.5" customHeight="1" x14ac:dyDescent="0.25">
      <c r="A469" s="10" t="s">
        <v>1090</v>
      </c>
      <c r="B469" s="9" t="s">
        <v>262</v>
      </c>
      <c r="C469" s="9" t="s">
        <v>1183</v>
      </c>
      <c r="D469" s="76" t="s">
        <v>891</v>
      </c>
      <c r="E469" s="77"/>
      <c r="F469" s="9" t="s">
        <v>909</v>
      </c>
      <c r="G469" s="56">
        <v>96.8</v>
      </c>
      <c r="H469" s="56">
        <v>0</v>
      </c>
      <c r="I469" s="56">
        <f>G469*H469</f>
        <v>0</v>
      </c>
      <c r="J469" s="54" t="s">
        <v>501</v>
      </c>
      <c r="Y469" s="56">
        <f>IF(AP469="5",BI469,0)</f>
        <v>0</v>
      </c>
      <c r="AA469" s="56">
        <f>IF(AP469="1",BG469,0)</f>
        <v>0</v>
      </c>
      <c r="AB469" s="56">
        <f>IF(AP469="1",BH469,0)</f>
        <v>0</v>
      </c>
      <c r="AC469" s="56">
        <f>IF(AP469="7",BG469,0)</f>
        <v>0</v>
      </c>
      <c r="AD469" s="56">
        <f>IF(AP469="7",BH469,0)</f>
        <v>0</v>
      </c>
      <c r="AE469" s="56">
        <f>IF(AP469="2",BG469,0)</f>
        <v>0</v>
      </c>
      <c r="AF469" s="56">
        <f>IF(AP469="2",BH469,0)</f>
        <v>0</v>
      </c>
      <c r="AG469" s="56">
        <f>IF(AP469="0",BI469,0)</f>
        <v>0</v>
      </c>
      <c r="AH469" s="30" t="s">
        <v>262</v>
      </c>
      <c r="AI469" s="56">
        <f>IF(AM469=0,I469,0)</f>
        <v>0</v>
      </c>
      <c r="AJ469" s="56">
        <f>IF(AM469=15,I469,0)</f>
        <v>0</v>
      </c>
      <c r="AK469" s="56">
        <f>IF(AM469=21,I469,0)</f>
        <v>0</v>
      </c>
      <c r="AM469" s="56">
        <v>21</v>
      </c>
      <c r="AN469" s="56">
        <f>H469*0.0256326530612245</f>
        <v>0</v>
      </c>
      <c r="AO469" s="56">
        <f>H469*(1-0.0256326530612245)</f>
        <v>0</v>
      </c>
      <c r="AP469" s="41" t="s">
        <v>1109</v>
      </c>
      <c r="AU469" s="56">
        <f>AV469+AW469</f>
        <v>0</v>
      </c>
      <c r="AV469" s="56">
        <f>G469*AN469</f>
        <v>0</v>
      </c>
      <c r="AW469" s="56">
        <f>G469*AO469</f>
        <v>0</v>
      </c>
      <c r="AX469" s="41" t="s">
        <v>95</v>
      </c>
      <c r="AY469" s="41" t="s">
        <v>1177</v>
      </c>
      <c r="AZ469" s="30" t="s">
        <v>478</v>
      </c>
      <c r="BB469" s="56">
        <f>AV469+AW469</f>
        <v>0</v>
      </c>
      <c r="BC469" s="56">
        <f>H469/(100-BD469)*100</f>
        <v>0</v>
      </c>
      <c r="BD469" s="56">
        <v>0</v>
      </c>
      <c r="BE469" s="56" t="e">
        <f>#REF!</f>
        <v>#REF!</v>
      </c>
      <c r="BG469" s="56">
        <f>G469*AN469</f>
        <v>0</v>
      </c>
      <c r="BH469" s="56">
        <f>G469*AO469</f>
        <v>0</v>
      </c>
      <c r="BI469" s="56">
        <f>G469*H469</f>
        <v>0</v>
      </c>
      <c r="BJ469" s="56"/>
      <c r="BK469" s="56">
        <v>89</v>
      </c>
      <c r="BV469" s="56">
        <v>21</v>
      </c>
    </row>
    <row r="470" spans="1:74" ht="15" customHeight="1" x14ac:dyDescent="0.25">
      <c r="A470" s="53"/>
      <c r="D470" s="52" t="s">
        <v>115</v>
      </c>
      <c r="E470" s="37" t="s">
        <v>769</v>
      </c>
      <c r="G470" s="21">
        <v>96.800000000000011</v>
      </c>
      <c r="J470" s="48"/>
    </row>
    <row r="471" spans="1:74" ht="13.5" customHeight="1" x14ac:dyDescent="0.25">
      <c r="A471" s="10" t="s">
        <v>187</v>
      </c>
      <c r="B471" s="9" t="s">
        <v>262</v>
      </c>
      <c r="C471" s="9" t="s">
        <v>1120</v>
      </c>
      <c r="D471" s="76" t="s">
        <v>623</v>
      </c>
      <c r="E471" s="77"/>
      <c r="F471" s="9" t="s">
        <v>275</v>
      </c>
      <c r="G471" s="56">
        <v>7</v>
      </c>
      <c r="H471" s="56">
        <v>0</v>
      </c>
      <c r="I471" s="56">
        <f>G471*H471</f>
        <v>0</v>
      </c>
      <c r="J471" s="54" t="s">
        <v>501</v>
      </c>
      <c r="Y471" s="56">
        <f>IF(AP471="5",BI471,0)</f>
        <v>0</v>
      </c>
      <c r="AA471" s="56">
        <f>IF(AP471="1",BG471,0)</f>
        <v>0</v>
      </c>
      <c r="AB471" s="56">
        <f>IF(AP471="1",BH471,0)</f>
        <v>0</v>
      </c>
      <c r="AC471" s="56">
        <f>IF(AP471="7",BG471,0)</f>
        <v>0</v>
      </c>
      <c r="AD471" s="56">
        <f>IF(AP471="7",BH471,0)</f>
        <v>0</v>
      </c>
      <c r="AE471" s="56">
        <f>IF(AP471="2",BG471,0)</f>
        <v>0</v>
      </c>
      <c r="AF471" s="56">
        <f>IF(AP471="2",BH471,0)</f>
        <v>0</v>
      </c>
      <c r="AG471" s="56">
        <f>IF(AP471="0",BI471,0)</f>
        <v>0</v>
      </c>
      <c r="AH471" s="30" t="s">
        <v>262</v>
      </c>
      <c r="AI471" s="56">
        <f>IF(AM471=0,I471,0)</f>
        <v>0</v>
      </c>
      <c r="AJ471" s="56">
        <f>IF(AM471=15,I471,0)</f>
        <v>0</v>
      </c>
      <c r="AK471" s="56">
        <f>IF(AM471=21,I471,0)</f>
        <v>0</v>
      </c>
      <c r="AM471" s="56">
        <v>21</v>
      </c>
      <c r="AN471" s="56">
        <f>H471*0.300018181818182</f>
        <v>0</v>
      </c>
      <c r="AO471" s="56">
        <f>H471*(1-0.300018181818182)</f>
        <v>0</v>
      </c>
      <c r="AP471" s="41" t="s">
        <v>1109</v>
      </c>
      <c r="AU471" s="56">
        <f>AV471+AW471</f>
        <v>0</v>
      </c>
      <c r="AV471" s="56">
        <f>G471*AN471</f>
        <v>0</v>
      </c>
      <c r="AW471" s="56">
        <f>G471*AO471</f>
        <v>0</v>
      </c>
      <c r="AX471" s="41" t="s">
        <v>95</v>
      </c>
      <c r="AY471" s="41" t="s">
        <v>1177</v>
      </c>
      <c r="AZ471" s="30" t="s">
        <v>478</v>
      </c>
      <c r="BB471" s="56">
        <f>AV471+AW471</f>
        <v>0</v>
      </c>
      <c r="BC471" s="56">
        <f>H471/(100-BD471)*100</f>
        <v>0</v>
      </c>
      <c r="BD471" s="56">
        <v>0</v>
      </c>
      <c r="BE471" s="56" t="e">
        <f>#REF!</f>
        <v>#REF!</v>
      </c>
      <c r="BG471" s="56">
        <f>G471*AN471</f>
        <v>0</v>
      </c>
      <c r="BH471" s="56">
        <f>G471*AO471</f>
        <v>0</v>
      </c>
      <c r="BI471" s="56">
        <f>G471*H471</f>
        <v>0</v>
      </c>
      <c r="BJ471" s="56"/>
      <c r="BK471" s="56">
        <v>89</v>
      </c>
      <c r="BV471" s="56">
        <v>21</v>
      </c>
    </row>
    <row r="472" spans="1:74" ht="13.5" customHeight="1" x14ac:dyDescent="0.25">
      <c r="A472" s="57" t="s">
        <v>912</v>
      </c>
      <c r="B472" s="50" t="s">
        <v>262</v>
      </c>
      <c r="C472" s="50" t="s">
        <v>426</v>
      </c>
      <c r="D472" s="135" t="s">
        <v>37</v>
      </c>
      <c r="E472" s="136"/>
      <c r="F472" s="50" t="s">
        <v>275</v>
      </c>
      <c r="G472" s="31">
        <v>7</v>
      </c>
      <c r="H472" s="31">
        <v>0</v>
      </c>
      <c r="I472" s="31">
        <f>G472*H472</f>
        <v>0</v>
      </c>
      <c r="J472" s="47" t="s">
        <v>501</v>
      </c>
      <c r="Y472" s="56">
        <f>IF(AP472="5",BI472,0)</f>
        <v>0</v>
      </c>
      <c r="AA472" s="56">
        <f>IF(AP472="1",BG472,0)</f>
        <v>0</v>
      </c>
      <c r="AB472" s="56">
        <f>IF(AP472="1",BH472,0)</f>
        <v>0</v>
      </c>
      <c r="AC472" s="56">
        <f>IF(AP472="7",BG472,0)</f>
        <v>0</v>
      </c>
      <c r="AD472" s="56">
        <f>IF(AP472="7",BH472,0)</f>
        <v>0</v>
      </c>
      <c r="AE472" s="56">
        <f>IF(AP472="2",BG472,0)</f>
        <v>0</v>
      </c>
      <c r="AF472" s="56">
        <f>IF(AP472="2",BH472,0)</f>
        <v>0</v>
      </c>
      <c r="AG472" s="56">
        <f>IF(AP472="0",BI472,0)</f>
        <v>0</v>
      </c>
      <c r="AH472" s="30" t="s">
        <v>262</v>
      </c>
      <c r="AI472" s="31">
        <f>IF(AM472=0,I472,0)</f>
        <v>0</v>
      </c>
      <c r="AJ472" s="31">
        <f>IF(AM472=15,I472,0)</f>
        <v>0</v>
      </c>
      <c r="AK472" s="31">
        <f>IF(AM472=21,I472,0)</f>
        <v>0</v>
      </c>
      <c r="AM472" s="56">
        <v>21</v>
      </c>
      <c r="AN472" s="56">
        <f>H472*1</f>
        <v>0</v>
      </c>
      <c r="AO472" s="56">
        <f>H472*(1-1)</f>
        <v>0</v>
      </c>
      <c r="AP472" s="58" t="s">
        <v>1109</v>
      </c>
      <c r="AU472" s="56">
        <f>AV472+AW472</f>
        <v>0</v>
      </c>
      <c r="AV472" s="56">
        <f>G472*AN472</f>
        <v>0</v>
      </c>
      <c r="AW472" s="56">
        <f>G472*AO472</f>
        <v>0</v>
      </c>
      <c r="AX472" s="41" t="s">
        <v>95</v>
      </c>
      <c r="AY472" s="41" t="s">
        <v>1177</v>
      </c>
      <c r="AZ472" s="30" t="s">
        <v>478</v>
      </c>
      <c r="BB472" s="56">
        <f>AV472+AW472</f>
        <v>0</v>
      </c>
      <c r="BC472" s="56">
        <f>H472/(100-BD472)*100</f>
        <v>0</v>
      </c>
      <c r="BD472" s="56">
        <v>0</v>
      </c>
      <c r="BE472" s="56" t="e">
        <f>#REF!</f>
        <v>#REF!</v>
      </c>
      <c r="BG472" s="31">
        <f>G472*AN472</f>
        <v>0</v>
      </c>
      <c r="BH472" s="31">
        <f>G472*AO472</f>
        <v>0</v>
      </c>
      <c r="BI472" s="31">
        <f>G472*H472</f>
        <v>0</v>
      </c>
      <c r="BJ472" s="31"/>
      <c r="BK472" s="56">
        <v>89</v>
      </c>
      <c r="BV472" s="56">
        <v>21</v>
      </c>
    </row>
    <row r="473" spans="1:74" ht="15" customHeight="1" x14ac:dyDescent="0.25">
      <c r="A473" s="53"/>
      <c r="D473" s="52" t="s">
        <v>1114</v>
      </c>
      <c r="E473" s="37" t="s">
        <v>1123</v>
      </c>
      <c r="G473" s="21">
        <v>7.0000000000000009</v>
      </c>
      <c r="J473" s="48"/>
    </row>
    <row r="474" spans="1:74" ht="13.5" customHeight="1" x14ac:dyDescent="0.25">
      <c r="A474" s="57" t="s">
        <v>1240</v>
      </c>
      <c r="B474" s="50" t="s">
        <v>262</v>
      </c>
      <c r="C474" s="50" t="s">
        <v>884</v>
      </c>
      <c r="D474" s="135" t="s">
        <v>380</v>
      </c>
      <c r="E474" s="136"/>
      <c r="F474" s="50" t="s">
        <v>275</v>
      </c>
      <c r="G474" s="31">
        <v>7</v>
      </c>
      <c r="H474" s="31">
        <v>0</v>
      </c>
      <c r="I474" s="31">
        <f>G474*H474</f>
        <v>0</v>
      </c>
      <c r="J474" s="47" t="s">
        <v>501</v>
      </c>
      <c r="Y474" s="56">
        <f>IF(AP474="5",BI474,0)</f>
        <v>0</v>
      </c>
      <c r="AA474" s="56">
        <f>IF(AP474="1",BG474,0)</f>
        <v>0</v>
      </c>
      <c r="AB474" s="56">
        <f>IF(AP474="1",BH474,0)</f>
        <v>0</v>
      </c>
      <c r="AC474" s="56">
        <f>IF(AP474="7",BG474,0)</f>
        <v>0</v>
      </c>
      <c r="AD474" s="56">
        <f>IF(AP474="7",BH474,0)</f>
        <v>0</v>
      </c>
      <c r="AE474" s="56">
        <f>IF(AP474="2",BG474,0)</f>
        <v>0</v>
      </c>
      <c r="AF474" s="56">
        <f>IF(AP474="2",BH474,0)</f>
        <v>0</v>
      </c>
      <c r="AG474" s="56">
        <f>IF(AP474="0",BI474,0)</f>
        <v>0</v>
      </c>
      <c r="AH474" s="30" t="s">
        <v>262</v>
      </c>
      <c r="AI474" s="31">
        <f>IF(AM474=0,I474,0)</f>
        <v>0</v>
      </c>
      <c r="AJ474" s="31">
        <f>IF(AM474=15,I474,0)</f>
        <v>0</v>
      </c>
      <c r="AK474" s="31">
        <f>IF(AM474=21,I474,0)</f>
        <v>0</v>
      </c>
      <c r="AM474" s="56">
        <v>21</v>
      </c>
      <c r="AN474" s="56">
        <f>H474*1</f>
        <v>0</v>
      </c>
      <c r="AO474" s="56">
        <f>H474*(1-1)</f>
        <v>0</v>
      </c>
      <c r="AP474" s="58" t="s">
        <v>1109</v>
      </c>
      <c r="AU474" s="56">
        <f>AV474+AW474</f>
        <v>0</v>
      </c>
      <c r="AV474" s="56">
        <f>G474*AN474</f>
        <v>0</v>
      </c>
      <c r="AW474" s="56">
        <f>G474*AO474</f>
        <v>0</v>
      </c>
      <c r="AX474" s="41" t="s">
        <v>95</v>
      </c>
      <c r="AY474" s="41" t="s">
        <v>1177</v>
      </c>
      <c r="AZ474" s="30" t="s">
        <v>478</v>
      </c>
      <c r="BB474" s="56">
        <f>AV474+AW474</f>
        <v>0</v>
      </c>
      <c r="BC474" s="56">
        <f>H474/(100-BD474)*100</f>
        <v>0</v>
      </c>
      <c r="BD474" s="56">
        <v>0</v>
      </c>
      <c r="BE474" s="56" t="e">
        <f>#REF!</f>
        <v>#REF!</v>
      </c>
      <c r="BG474" s="31">
        <f>G474*AN474</f>
        <v>0</v>
      </c>
      <c r="BH474" s="31">
        <f>G474*AO474</f>
        <v>0</v>
      </c>
      <c r="BI474" s="31">
        <f>G474*H474</f>
        <v>0</v>
      </c>
      <c r="BJ474" s="31"/>
      <c r="BK474" s="56">
        <v>89</v>
      </c>
      <c r="BV474" s="56">
        <v>21</v>
      </c>
    </row>
    <row r="475" spans="1:74" ht="15" customHeight="1" x14ac:dyDescent="0.25">
      <c r="A475" s="53"/>
      <c r="D475" s="52" t="s">
        <v>1114</v>
      </c>
      <c r="E475" s="37" t="s">
        <v>170</v>
      </c>
      <c r="G475" s="21">
        <v>7.0000000000000009</v>
      </c>
      <c r="J475" s="48"/>
    </row>
    <row r="476" spans="1:74" ht="13.5" customHeight="1" x14ac:dyDescent="0.25">
      <c r="A476" s="10" t="s">
        <v>281</v>
      </c>
      <c r="B476" s="9" t="s">
        <v>262</v>
      </c>
      <c r="C476" s="9" t="s">
        <v>864</v>
      </c>
      <c r="D476" s="76" t="s">
        <v>143</v>
      </c>
      <c r="E476" s="77"/>
      <c r="F476" s="9" t="s">
        <v>275</v>
      </c>
      <c r="G476" s="56">
        <v>2</v>
      </c>
      <c r="H476" s="56">
        <v>0</v>
      </c>
      <c r="I476" s="56">
        <f>G476*H476</f>
        <v>0</v>
      </c>
      <c r="J476" s="54" t="s">
        <v>501</v>
      </c>
      <c r="Y476" s="56">
        <f>IF(AP476="5",BI476,0)</f>
        <v>0</v>
      </c>
      <c r="AA476" s="56">
        <f>IF(AP476="1",BG476,0)</f>
        <v>0</v>
      </c>
      <c r="AB476" s="56">
        <f>IF(AP476="1",BH476,0)</f>
        <v>0</v>
      </c>
      <c r="AC476" s="56">
        <f>IF(AP476="7",BG476,0)</f>
        <v>0</v>
      </c>
      <c r="AD476" s="56">
        <f>IF(AP476="7",BH476,0)</f>
        <v>0</v>
      </c>
      <c r="AE476" s="56">
        <f>IF(AP476="2",BG476,0)</f>
        <v>0</v>
      </c>
      <c r="AF476" s="56">
        <f>IF(AP476="2",BH476,0)</f>
        <v>0</v>
      </c>
      <c r="AG476" s="56">
        <f>IF(AP476="0",BI476,0)</f>
        <v>0</v>
      </c>
      <c r="AH476" s="30" t="s">
        <v>262</v>
      </c>
      <c r="AI476" s="56">
        <f>IF(AM476=0,I476,0)</f>
        <v>0</v>
      </c>
      <c r="AJ476" s="56">
        <f>IF(AM476=15,I476,0)</f>
        <v>0</v>
      </c>
      <c r="AK476" s="56">
        <f>IF(AM476=21,I476,0)</f>
        <v>0</v>
      </c>
      <c r="AM476" s="56">
        <v>21</v>
      </c>
      <c r="AN476" s="56">
        <f>H476*0.42892998678996</f>
        <v>0</v>
      </c>
      <c r="AO476" s="56">
        <f>H476*(1-0.42892998678996)</f>
        <v>0</v>
      </c>
      <c r="AP476" s="41" t="s">
        <v>1109</v>
      </c>
      <c r="AU476" s="56">
        <f>AV476+AW476</f>
        <v>0</v>
      </c>
      <c r="AV476" s="56">
        <f>G476*AN476</f>
        <v>0</v>
      </c>
      <c r="AW476" s="56">
        <f>G476*AO476</f>
        <v>0</v>
      </c>
      <c r="AX476" s="41" t="s">
        <v>95</v>
      </c>
      <c r="AY476" s="41" t="s">
        <v>1177</v>
      </c>
      <c r="AZ476" s="30" t="s">
        <v>478</v>
      </c>
      <c r="BB476" s="56">
        <f>AV476+AW476</f>
        <v>0</v>
      </c>
      <c r="BC476" s="56">
        <f>H476/(100-BD476)*100</f>
        <v>0</v>
      </c>
      <c r="BD476" s="56">
        <v>0</v>
      </c>
      <c r="BE476" s="56" t="e">
        <f>#REF!</f>
        <v>#REF!</v>
      </c>
      <c r="BG476" s="56">
        <f>G476*AN476</f>
        <v>0</v>
      </c>
      <c r="BH476" s="56">
        <f>G476*AO476</f>
        <v>0</v>
      </c>
      <c r="BI476" s="56">
        <f>G476*H476</f>
        <v>0</v>
      </c>
      <c r="BJ476" s="56"/>
      <c r="BK476" s="56">
        <v>89</v>
      </c>
      <c r="BV476" s="56">
        <v>21</v>
      </c>
    </row>
    <row r="477" spans="1:74" ht="13.5" customHeight="1" x14ac:dyDescent="0.25">
      <c r="A477" s="57" t="s">
        <v>413</v>
      </c>
      <c r="B477" s="50" t="s">
        <v>262</v>
      </c>
      <c r="C477" s="50" t="s">
        <v>843</v>
      </c>
      <c r="D477" s="135" t="s">
        <v>75</v>
      </c>
      <c r="E477" s="136"/>
      <c r="F477" s="50" t="s">
        <v>275</v>
      </c>
      <c r="G477" s="31">
        <v>2</v>
      </c>
      <c r="H477" s="31">
        <v>0</v>
      </c>
      <c r="I477" s="31">
        <f>G477*H477</f>
        <v>0</v>
      </c>
      <c r="J477" s="47" t="s">
        <v>501</v>
      </c>
      <c r="Y477" s="56">
        <f>IF(AP477="5",BI477,0)</f>
        <v>0</v>
      </c>
      <c r="AA477" s="56">
        <f>IF(AP477="1",BG477,0)</f>
        <v>0</v>
      </c>
      <c r="AB477" s="56">
        <f>IF(AP477="1",BH477,0)</f>
        <v>0</v>
      </c>
      <c r="AC477" s="56">
        <f>IF(AP477="7",BG477,0)</f>
        <v>0</v>
      </c>
      <c r="AD477" s="56">
        <f>IF(AP477="7",BH477,0)</f>
        <v>0</v>
      </c>
      <c r="AE477" s="56">
        <f>IF(AP477="2",BG477,0)</f>
        <v>0</v>
      </c>
      <c r="AF477" s="56">
        <f>IF(AP477="2",BH477,0)</f>
        <v>0</v>
      </c>
      <c r="AG477" s="56">
        <f>IF(AP477="0",BI477,0)</f>
        <v>0</v>
      </c>
      <c r="AH477" s="30" t="s">
        <v>262</v>
      </c>
      <c r="AI477" s="31">
        <f>IF(AM477=0,I477,0)</f>
        <v>0</v>
      </c>
      <c r="AJ477" s="31">
        <f>IF(AM477=15,I477,0)</f>
        <v>0</v>
      </c>
      <c r="AK477" s="31">
        <f>IF(AM477=21,I477,0)</f>
        <v>0</v>
      </c>
      <c r="AM477" s="56">
        <v>21</v>
      </c>
      <c r="AN477" s="56">
        <f>H477*1</f>
        <v>0</v>
      </c>
      <c r="AO477" s="56">
        <f>H477*(1-1)</f>
        <v>0</v>
      </c>
      <c r="AP477" s="58" t="s">
        <v>1109</v>
      </c>
      <c r="AU477" s="56">
        <f>AV477+AW477</f>
        <v>0</v>
      </c>
      <c r="AV477" s="56">
        <f>G477*AN477</f>
        <v>0</v>
      </c>
      <c r="AW477" s="56">
        <f>G477*AO477</f>
        <v>0</v>
      </c>
      <c r="AX477" s="41" t="s">
        <v>95</v>
      </c>
      <c r="AY477" s="41" t="s">
        <v>1177</v>
      </c>
      <c r="AZ477" s="30" t="s">
        <v>478</v>
      </c>
      <c r="BB477" s="56">
        <f>AV477+AW477</f>
        <v>0</v>
      </c>
      <c r="BC477" s="56">
        <f>H477/(100-BD477)*100</f>
        <v>0</v>
      </c>
      <c r="BD477" s="56">
        <v>0</v>
      </c>
      <c r="BE477" s="56" t="e">
        <f>#REF!</f>
        <v>#REF!</v>
      </c>
      <c r="BG477" s="31">
        <f>G477*AN477</f>
        <v>0</v>
      </c>
      <c r="BH477" s="31">
        <f>G477*AO477</f>
        <v>0</v>
      </c>
      <c r="BI477" s="31">
        <f>G477*H477</f>
        <v>0</v>
      </c>
      <c r="BJ477" s="31"/>
      <c r="BK477" s="56">
        <v>89</v>
      </c>
      <c r="BV477" s="56">
        <v>21</v>
      </c>
    </row>
    <row r="478" spans="1:74" ht="15" customHeight="1" x14ac:dyDescent="0.25">
      <c r="A478" s="53"/>
      <c r="D478" s="52" t="s">
        <v>766</v>
      </c>
      <c r="E478" s="37" t="s">
        <v>505</v>
      </c>
      <c r="G478" s="21">
        <v>2</v>
      </c>
      <c r="J478" s="48"/>
    </row>
    <row r="479" spans="1:74" ht="13.5" customHeight="1" x14ac:dyDescent="0.25">
      <c r="A479" s="57" t="s">
        <v>386</v>
      </c>
      <c r="B479" s="50" t="s">
        <v>262</v>
      </c>
      <c r="C479" s="50" t="s">
        <v>316</v>
      </c>
      <c r="D479" s="135" t="s">
        <v>31</v>
      </c>
      <c r="E479" s="136"/>
      <c r="F479" s="50" t="s">
        <v>275</v>
      </c>
      <c r="G479" s="31">
        <v>2</v>
      </c>
      <c r="H479" s="31">
        <v>0</v>
      </c>
      <c r="I479" s="31">
        <f>G479*H479</f>
        <v>0</v>
      </c>
      <c r="J479" s="47" t="s">
        <v>501</v>
      </c>
      <c r="Y479" s="56">
        <f>IF(AP479="5",BI479,0)</f>
        <v>0</v>
      </c>
      <c r="AA479" s="56">
        <f>IF(AP479="1",BG479,0)</f>
        <v>0</v>
      </c>
      <c r="AB479" s="56">
        <f>IF(AP479="1",BH479,0)</f>
        <v>0</v>
      </c>
      <c r="AC479" s="56">
        <f>IF(AP479="7",BG479,0)</f>
        <v>0</v>
      </c>
      <c r="AD479" s="56">
        <f>IF(AP479="7",BH479,0)</f>
        <v>0</v>
      </c>
      <c r="AE479" s="56">
        <f>IF(AP479="2",BG479,0)</f>
        <v>0</v>
      </c>
      <c r="AF479" s="56">
        <f>IF(AP479="2",BH479,0)</f>
        <v>0</v>
      </c>
      <c r="AG479" s="56">
        <f>IF(AP479="0",BI479,0)</f>
        <v>0</v>
      </c>
      <c r="AH479" s="30" t="s">
        <v>262</v>
      </c>
      <c r="AI479" s="31">
        <f>IF(AM479=0,I479,0)</f>
        <v>0</v>
      </c>
      <c r="AJ479" s="31">
        <f>IF(AM479=15,I479,0)</f>
        <v>0</v>
      </c>
      <c r="AK479" s="31">
        <f>IF(AM479=21,I479,0)</f>
        <v>0</v>
      </c>
      <c r="AM479" s="56">
        <v>21</v>
      </c>
      <c r="AN479" s="56">
        <f>H479*1</f>
        <v>0</v>
      </c>
      <c r="AO479" s="56">
        <f>H479*(1-1)</f>
        <v>0</v>
      </c>
      <c r="AP479" s="58" t="s">
        <v>1109</v>
      </c>
      <c r="AU479" s="56">
        <f>AV479+AW479</f>
        <v>0</v>
      </c>
      <c r="AV479" s="56">
        <f>G479*AN479</f>
        <v>0</v>
      </c>
      <c r="AW479" s="56">
        <f>G479*AO479</f>
        <v>0</v>
      </c>
      <c r="AX479" s="41" t="s">
        <v>95</v>
      </c>
      <c r="AY479" s="41" t="s">
        <v>1177</v>
      </c>
      <c r="AZ479" s="30" t="s">
        <v>478</v>
      </c>
      <c r="BB479" s="56">
        <f>AV479+AW479</f>
        <v>0</v>
      </c>
      <c r="BC479" s="56">
        <f>H479/(100-BD479)*100</f>
        <v>0</v>
      </c>
      <c r="BD479" s="56">
        <v>0</v>
      </c>
      <c r="BE479" s="56" t="e">
        <f>#REF!</f>
        <v>#REF!</v>
      </c>
      <c r="BG479" s="31">
        <f>G479*AN479</f>
        <v>0</v>
      </c>
      <c r="BH479" s="31">
        <f>G479*AO479</f>
        <v>0</v>
      </c>
      <c r="BI479" s="31">
        <f>G479*H479</f>
        <v>0</v>
      </c>
      <c r="BJ479" s="31"/>
      <c r="BK479" s="56">
        <v>89</v>
      </c>
      <c r="BV479" s="56">
        <v>21</v>
      </c>
    </row>
    <row r="480" spans="1:74" ht="15" customHeight="1" x14ac:dyDescent="0.25">
      <c r="A480" s="53"/>
      <c r="D480" s="52" t="s">
        <v>766</v>
      </c>
      <c r="E480" s="37" t="s">
        <v>809</v>
      </c>
      <c r="G480" s="21">
        <v>2</v>
      </c>
      <c r="J480" s="48"/>
    </row>
    <row r="481" spans="1:74" ht="13.5" customHeight="1" x14ac:dyDescent="0.25">
      <c r="A481" s="10" t="s">
        <v>726</v>
      </c>
      <c r="B481" s="9" t="s">
        <v>262</v>
      </c>
      <c r="C481" s="9" t="s">
        <v>797</v>
      </c>
      <c r="D481" s="76" t="s">
        <v>397</v>
      </c>
      <c r="E481" s="77"/>
      <c r="F481" s="9" t="s">
        <v>275</v>
      </c>
      <c r="G481" s="56">
        <v>1</v>
      </c>
      <c r="H481" s="56">
        <v>0</v>
      </c>
      <c r="I481" s="56">
        <f>G481*H481</f>
        <v>0</v>
      </c>
      <c r="J481" s="54" t="s">
        <v>501</v>
      </c>
      <c r="Y481" s="56">
        <f>IF(AP481="5",BI481,0)</f>
        <v>0</v>
      </c>
      <c r="AA481" s="56">
        <f>IF(AP481="1",BG481,0)</f>
        <v>0</v>
      </c>
      <c r="AB481" s="56">
        <f>IF(AP481="1",BH481,0)</f>
        <v>0</v>
      </c>
      <c r="AC481" s="56">
        <f>IF(AP481="7",BG481,0)</f>
        <v>0</v>
      </c>
      <c r="AD481" s="56">
        <f>IF(AP481="7",BH481,0)</f>
        <v>0</v>
      </c>
      <c r="AE481" s="56">
        <f>IF(AP481="2",BG481,0)</f>
        <v>0</v>
      </c>
      <c r="AF481" s="56">
        <f>IF(AP481="2",BH481,0)</f>
        <v>0</v>
      </c>
      <c r="AG481" s="56">
        <f>IF(AP481="0",BI481,0)</f>
        <v>0</v>
      </c>
      <c r="AH481" s="30" t="s">
        <v>262</v>
      </c>
      <c r="AI481" s="56">
        <f>IF(AM481=0,I481,0)</f>
        <v>0</v>
      </c>
      <c r="AJ481" s="56">
        <f>IF(AM481=15,I481,0)</f>
        <v>0</v>
      </c>
      <c r="AK481" s="56">
        <f>IF(AM481=21,I481,0)</f>
        <v>0</v>
      </c>
      <c r="AM481" s="56">
        <v>21</v>
      </c>
      <c r="AN481" s="56">
        <f>H481*0.593457374830852</f>
        <v>0</v>
      </c>
      <c r="AO481" s="56">
        <f>H481*(1-0.593457374830852)</f>
        <v>0</v>
      </c>
      <c r="AP481" s="41" t="s">
        <v>1109</v>
      </c>
      <c r="AU481" s="56">
        <f>AV481+AW481</f>
        <v>0</v>
      </c>
      <c r="AV481" s="56">
        <f>G481*AN481</f>
        <v>0</v>
      </c>
      <c r="AW481" s="56">
        <f>G481*AO481</f>
        <v>0</v>
      </c>
      <c r="AX481" s="41" t="s">
        <v>95</v>
      </c>
      <c r="AY481" s="41" t="s">
        <v>1177</v>
      </c>
      <c r="AZ481" s="30" t="s">
        <v>478</v>
      </c>
      <c r="BB481" s="56">
        <f>AV481+AW481</f>
        <v>0</v>
      </c>
      <c r="BC481" s="56">
        <f>H481/(100-BD481)*100</f>
        <v>0</v>
      </c>
      <c r="BD481" s="56">
        <v>0</v>
      </c>
      <c r="BE481" s="56" t="e">
        <f>#REF!</f>
        <v>#REF!</v>
      </c>
      <c r="BG481" s="56">
        <f>G481*AN481</f>
        <v>0</v>
      </c>
      <c r="BH481" s="56">
        <f>G481*AO481</f>
        <v>0</v>
      </c>
      <c r="BI481" s="56">
        <f>G481*H481</f>
        <v>0</v>
      </c>
      <c r="BJ481" s="56"/>
      <c r="BK481" s="56">
        <v>89</v>
      </c>
      <c r="BV481" s="56">
        <v>21</v>
      </c>
    </row>
    <row r="482" spans="1:74" ht="13.5" customHeight="1" x14ac:dyDescent="0.25">
      <c r="A482" s="57" t="s">
        <v>174</v>
      </c>
      <c r="B482" s="50" t="s">
        <v>262</v>
      </c>
      <c r="C482" s="50" t="s">
        <v>554</v>
      </c>
      <c r="D482" s="135" t="s">
        <v>788</v>
      </c>
      <c r="E482" s="136"/>
      <c r="F482" s="50" t="s">
        <v>275</v>
      </c>
      <c r="G482" s="31">
        <v>1</v>
      </c>
      <c r="H482" s="31">
        <v>0</v>
      </c>
      <c r="I482" s="31">
        <f>G482*H482</f>
        <v>0</v>
      </c>
      <c r="J482" s="47" t="s">
        <v>501</v>
      </c>
      <c r="Y482" s="56">
        <f>IF(AP482="5",BI482,0)</f>
        <v>0</v>
      </c>
      <c r="AA482" s="56">
        <f>IF(AP482="1",BG482,0)</f>
        <v>0</v>
      </c>
      <c r="AB482" s="56">
        <f>IF(AP482="1",BH482,0)</f>
        <v>0</v>
      </c>
      <c r="AC482" s="56">
        <f>IF(AP482="7",BG482,0)</f>
        <v>0</v>
      </c>
      <c r="AD482" s="56">
        <f>IF(AP482="7",BH482,0)</f>
        <v>0</v>
      </c>
      <c r="AE482" s="56">
        <f>IF(AP482="2",BG482,0)</f>
        <v>0</v>
      </c>
      <c r="AF482" s="56">
        <f>IF(AP482="2",BH482,0)</f>
        <v>0</v>
      </c>
      <c r="AG482" s="56">
        <f>IF(AP482="0",BI482,0)</f>
        <v>0</v>
      </c>
      <c r="AH482" s="30" t="s">
        <v>262</v>
      </c>
      <c r="AI482" s="31">
        <f>IF(AM482=0,I482,0)</f>
        <v>0</v>
      </c>
      <c r="AJ482" s="31">
        <f>IF(AM482=15,I482,0)</f>
        <v>0</v>
      </c>
      <c r="AK482" s="31">
        <f>IF(AM482=21,I482,0)</f>
        <v>0</v>
      </c>
      <c r="AM482" s="56">
        <v>21</v>
      </c>
      <c r="AN482" s="56">
        <f>H482*1</f>
        <v>0</v>
      </c>
      <c r="AO482" s="56">
        <f>H482*(1-1)</f>
        <v>0</v>
      </c>
      <c r="AP482" s="58" t="s">
        <v>1109</v>
      </c>
      <c r="AU482" s="56">
        <f>AV482+AW482</f>
        <v>0</v>
      </c>
      <c r="AV482" s="56">
        <f>G482*AN482</f>
        <v>0</v>
      </c>
      <c r="AW482" s="56">
        <f>G482*AO482</f>
        <v>0</v>
      </c>
      <c r="AX482" s="41" t="s">
        <v>95</v>
      </c>
      <c r="AY482" s="41" t="s">
        <v>1177</v>
      </c>
      <c r="AZ482" s="30" t="s">
        <v>478</v>
      </c>
      <c r="BB482" s="56">
        <f>AV482+AW482</f>
        <v>0</v>
      </c>
      <c r="BC482" s="56">
        <f>H482/(100-BD482)*100</f>
        <v>0</v>
      </c>
      <c r="BD482" s="56">
        <v>0</v>
      </c>
      <c r="BE482" s="56" t="e">
        <f>#REF!</f>
        <v>#REF!</v>
      </c>
      <c r="BG482" s="31">
        <f>G482*AN482</f>
        <v>0</v>
      </c>
      <c r="BH482" s="31">
        <f>G482*AO482</f>
        <v>0</v>
      </c>
      <c r="BI482" s="31">
        <f>G482*H482</f>
        <v>0</v>
      </c>
      <c r="BJ482" s="31"/>
      <c r="BK482" s="56">
        <v>89</v>
      </c>
      <c r="BV482" s="56">
        <v>21</v>
      </c>
    </row>
    <row r="483" spans="1:74" ht="15" customHeight="1" x14ac:dyDescent="0.25">
      <c r="A483" s="53"/>
      <c r="D483" s="52" t="s">
        <v>1109</v>
      </c>
      <c r="E483" s="37" t="s">
        <v>837</v>
      </c>
      <c r="G483" s="21">
        <v>1</v>
      </c>
      <c r="J483" s="48"/>
    </row>
    <row r="484" spans="1:74" ht="13.5" customHeight="1" x14ac:dyDescent="0.25">
      <c r="A484" s="57" t="s">
        <v>407</v>
      </c>
      <c r="B484" s="50" t="s">
        <v>262</v>
      </c>
      <c r="C484" s="50" t="s">
        <v>918</v>
      </c>
      <c r="D484" s="135" t="s">
        <v>639</v>
      </c>
      <c r="E484" s="136"/>
      <c r="F484" s="50" t="s">
        <v>275</v>
      </c>
      <c r="G484" s="31">
        <v>1</v>
      </c>
      <c r="H484" s="31">
        <v>0</v>
      </c>
      <c r="I484" s="31">
        <f>G484*H484</f>
        <v>0</v>
      </c>
      <c r="J484" s="47" t="s">
        <v>501</v>
      </c>
      <c r="Y484" s="56">
        <f>IF(AP484="5",BI484,0)</f>
        <v>0</v>
      </c>
      <c r="AA484" s="56">
        <f>IF(AP484="1",BG484,0)</f>
        <v>0</v>
      </c>
      <c r="AB484" s="56">
        <f>IF(AP484="1",BH484,0)</f>
        <v>0</v>
      </c>
      <c r="AC484" s="56">
        <f>IF(AP484="7",BG484,0)</f>
        <v>0</v>
      </c>
      <c r="AD484" s="56">
        <f>IF(AP484="7",BH484,0)</f>
        <v>0</v>
      </c>
      <c r="AE484" s="56">
        <f>IF(AP484="2",BG484,0)</f>
        <v>0</v>
      </c>
      <c r="AF484" s="56">
        <f>IF(AP484="2",BH484,0)</f>
        <v>0</v>
      </c>
      <c r="AG484" s="56">
        <f>IF(AP484="0",BI484,0)</f>
        <v>0</v>
      </c>
      <c r="AH484" s="30" t="s">
        <v>262</v>
      </c>
      <c r="AI484" s="31">
        <f>IF(AM484=0,I484,0)</f>
        <v>0</v>
      </c>
      <c r="AJ484" s="31">
        <f>IF(AM484=15,I484,0)</f>
        <v>0</v>
      </c>
      <c r="AK484" s="31">
        <f>IF(AM484=21,I484,0)</f>
        <v>0</v>
      </c>
      <c r="AM484" s="56">
        <v>21</v>
      </c>
      <c r="AN484" s="56">
        <f>H484*1</f>
        <v>0</v>
      </c>
      <c r="AO484" s="56">
        <f>H484*(1-1)</f>
        <v>0</v>
      </c>
      <c r="AP484" s="58" t="s">
        <v>1109</v>
      </c>
      <c r="AU484" s="56">
        <f>AV484+AW484</f>
        <v>0</v>
      </c>
      <c r="AV484" s="56">
        <f>G484*AN484</f>
        <v>0</v>
      </c>
      <c r="AW484" s="56">
        <f>G484*AO484</f>
        <v>0</v>
      </c>
      <c r="AX484" s="41" t="s">
        <v>95</v>
      </c>
      <c r="AY484" s="41" t="s">
        <v>1177</v>
      </c>
      <c r="AZ484" s="30" t="s">
        <v>478</v>
      </c>
      <c r="BB484" s="56">
        <f>AV484+AW484</f>
        <v>0</v>
      </c>
      <c r="BC484" s="56">
        <f>H484/(100-BD484)*100</f>
        <v>0</v>
      </c>
      <c r="BD484" s="56">
        <v>0</v>
      </c>
      <c r="BE484" s="56" t="e">
        <f>#REF!</f>
        <v>#REF!</v>
      </c>
      <c r="BG484" s="31">
        <f>G484*AN484</f>
        <v>0</v>
      </c>
      <c r="BH484" s="31">
        <f>G484*AO484</f>
        <v>0</v>
      </c>
      <c r="BI484" s="31">
        <f>G484*H484</f>
        <v>0</v>
      </c>
      <c r="BJ484" s="31"/>
      <c r="BK484" s="56">
        <v>89</v>
      </c>
      <c r="BV484" s="56">
        <v>21</v>
      </c>
    </row>
    <row r="485" spans="1:74" ht="15" customHeight="1" x14ac:dyDescent="0.25">
      <c r="A485" s="53"/>
      <c r="D485" s="52" t="s">
        <v>1109</v>
      </c>
      <c r="E485" s="37" t="s">
        <v>680</v>
      </c>
      <c r="G485" s="21">
        <v>1</v>
      </c>
      <c r="J485" s="48"/>
    </row>
    <row r="486" spans="1:74" ht="13.5" customHeight="1" x14ac:dyDescent="0.25">
      <c r="A486" s="10" t="s">
        <v>915</v>
      </c>
      <c r="B486" s="9" t="s">
        <v>262</v>
      </c>
      <c r="C486" s="9" t="s">
        <v>202</v>
      </c>
      <c r="D486" s="76" t="s">
        <v>1178</v>
      </c>
      <c r="E486" s="77"/>
      <c r="F486" s="9" t="s">
        <v>909</v>
      </c>
      <c r="G486" s="56">
        <v>28</v>
      </c>
      <c r="H486" s="56">
        <v>0</v>
      </c>
      <c r="I486" s="56">
        <f>G486*H486</f>
        <v>0</v>
      </c>
      <c r="J486" s="54" t="s">
        <v>501</v>
      </c>
      <c r="Y486" s="56">
        <f>IF(AP486="5",BI486,0)</f>
        <v>0</v>
      </c>
      <c r="AA486" s="56">
        <f>IF(AP486="1",BG486,0)</f>
        <v>0</v>
      </c>
      <c r="AB486" s="56">
        <f>IF(AP486="1",BH486,0)</f>
        <v>0</v>
      </c>
      <c r="AC486" s="56">
        <f>IF(AP486="7",BG486,0)</f>
        <v>0</v>
      </c>
      <c r="AD486" s="56">
        <f>IF(AP486="7",BH486,0)</f>
        <v>0</v>
      </c>
      <c r="AE486" s="56">
        <f>IF(AP486="2",BG486,0)</f>
        <v>0</v>
      </c>
      <c r="AF486" s="56">
        <f>IF(AP486="2",BH486,0)</f>
        <v>0</v>
      </c>
      <c r="AG486" s="56">
        <f>IF(AP486="0",BI486,0)</f>
        <v>0</v>
      </c>
      <c r="AH486" s="30" t="s">
        <v>262</v>
      </c>
      <c r="AI486" s="56">
        <f>IF(AM486=0,I486,0)</f>
        <v>0</v>
      </c>
      <c r="AJ486" s="56">
        <f>IF(AM486=15,I486,0)</f>
        <v>0</v>
      </c>
      <c r="AK486" s="56">
        <f>IF(AM486=21,I486,0)</f>
        <v>0</v>
      </c>
      <c r="AM486" s="56">
        <v>21</v>
      </c>
      <c r="AN486" s="56">
        <f>H486*0.353978065802592</f>
        <v>0</v>
      </c>
      <c r="AO486" s="56">
        <f>H486*(1-0.353978065802592)</f>
        <v>0</v>
      </c>
      <c r="AP486" s="41" t="s">
        <v>1109</v>
      </c>
      <c r="AU486" s="56">
        <f>AV486+AW486</f>
        <v>0</v>
      </c>
      <c r="AV486" s="56">
        <f>G486*AN486</f>
        <v>0</v>
      </c>
      <c r="AW486" s="56">
        <f>G486*AO486</f>
        <v>0</v>
      </c>
      <c r="AX486" s="41" t="s">
        <v>95</v>
      </c>
      <c r="AY486" s="41" t="s">
        <v>1177</v>
      </c>
      <c r="AZ486" s="30" t="s">
        <v>478</v>
      </c>
      <c r="BB486" s="56">
        <f>AV486+AW486</f>
        <v>0</v>
      </c>
      <c r="BC486" s="56">
        <f>H486/(100-BD486)*100</f>
        <v>0</v>
      </c>
      <c r="BD486" s="56">
        <v>0</v>
      </c>
      <c r="BE486" s="56" t="e">
        <f>#REF!</f>
        <v>#REF!</v>
      </c>
      <c r="BG486" s="56">
        <f>G486*AN486</f>
        <v>0</v>
      </c>
      <c r="BH486" s="56">
        <f>G486*AO486</f>
        <v>0</v>
      </c>
      <c r="BI486" s="56">
        <f>G486*H486</f>
        <v>0</v>
      </c>
      <c r="BJ486" s="56"/>
      <c r="BK486" s="56">
        <v>89</v>
      </c>
      <c r="BV486" s="56">
        <v>21</v>
      </c>
    </row>
    <row r="487" spans="1:74" ht="15" customHeight="1" x14ac:dyDescent="0.25">
      <c r="A487" s="53"/>
      <c r="D487" s="52" t="s">
        <v>1201</v>
      </c>
      <c r="E487" s="37" t="s">
        <v>823</v>
      </c>
      <c r="G487" s="21">
        <v>28.000000000000004</v>
      </c>
      <c r="J487" s="48"/>
    </row>
    <row r="488" spans="1:74" ht="13.5" customHeight="1" x14ac:dyDescent="0.25">
      <c r="A488" s="10" t="s">
        <v>26</v>
      </c>
      <c r="B488" s="9" t="s">
        <v>262</v>
      </c>
      <c r="C488" s="9" t="s">
        <v>3</v>
      </c>
      <c r="D488" s="76" t="s">
        <v>1222</v>
      </c>
      <c r="E488" s="77"/>
      <c r="F488" s="9" t="s">
        <v>909</v>
      </c>
      <c r="G488" s="56">
        <v>116</v>
      </c>
      <c r="H488" s="56">
        <v>0</v>
      </c>
      <c r="I488" s="56">
        <f>G488*H488</f>
        <v>0</v>
      </c>
      <c r="J488" s="54" t="s">
        <v>501</v>
      </c>
      <c r="Y488" s="56">
        <f>IF(AP488="5",BI488,0)</f>
        <v>0</v>
      </c>
      <c r="AA488" s="56">
        <f>IF(AP488="1",BG488,0)</f>
        <v>0</v>
      </c>
      <c r="AB488" s="56">
        <f>IF(AP488="1",BH488,0)</f>
        <v>0</v>
      </c>
      <c r="AC488" s="56">
        <f>IF(AP488="7",BG488,0)</f>
        <v>0</v>
      </c>
      <c r="AD488" s="56">
        <f>IF(AP488="7",BH488,0)</f>
        <v>0</v>
      </c>
      <c r="AE488" s="56">
        <f>IF(AP488="2",BG488,0)</f>
        <v>0</v>
      </c>
      <c r="AF488" s="56">
        <f>IF(AP488="2",BH488,0)</f>
        <v>0</v>
      </c>
      <c r="AG488" s="56">
        <f>IF(AP488="0",BI488,0)</f>
        <v>0</v>
      </c>
      <c r="AH488" s="30" t="s">
        <v>262</v>
      </c>
      <c r="AI488" s="56">
        <f>IF(AM488=0,I488,0)</f>
        <v>0</v>
      </c>
      <c r="AJ488" s="56">
        <f>IF(AM488=15,I488,0)</f>
        <v>0</v>
      </c>
      <c r="AK488" s="56">
        <f>IF(AM488=21,I488,0)</f>
        <v>0</v>
      </c>
      <c r="AM488" s="56">
        <v>21</v>
      </c>
      <c r="AN488" s="56">
        <f>H488*0.568167931408298</f>
        <v>0</v>
      </c>
      <c r="AO488" s="56">
        <f>H488*(1-0.568167931408298)</f>
        <v>0</v>
      </c>
      <c r="AP488" s="41" t="s">
        <v>1109</v>
      </c>
      <c r="AU488" s="56">
        <f>AV488+AW488</f>
        <v>0</v>
      </c>
      <c r="AV488" s="56">
        <f>G488*AN488</f>
        <v>0</v>
      </c>
      <c r="AW488" s="56">
        <f>G488*AO488</f>
        <v>0</v>
      </c>
      <c r="AX488" s="41" t="s">
        <v>95</v>
      </c>
      <c r="AY488" s="41" t="s">
        <v>1177</v>
      </c>
      <c r="AZ488" s="30" t="s">
        <v>478</v>
      </c>
      <c r="BB488" s="56">
        <f>AV488+AW488</f>
        <v>0</v>
      </c>
      <c r="BC488" s="56">
        <f>H488/(100-BD488)*100</f>
        <v>0</v>
      </c>
      <c r="BD488" s="56">
        <v>0</v>
      </c>
      <c r="BE488" s="56" t="e">
        <f>#REF!</f>
        <v>#REF!</v>
      </c>
      <c r="BG488" s="56">
        <f>G488*AN488</f>
        <v>0</v>
      </c>
      <c r="BH488" s="56">
        <f>G488*AO488</f>
        <v>0</v>
      </c>
      <c r="BI488" s="56">
        <f>G488*H488</f>
        <v>0</v>
      </c>
      <c r="BJ488" s="56"/>
      <c r="BK488" s="56">
        <v>89</v>
      </c>
      <c r="BV488" s="56">
        <v>21</v>
      </c>
    </row>
    <row r="489" spans="1:74" ht="15" customHeight="1" x14ac:dyDescent="0.25">
      <c r="A489" s="53"/>
      <c r="D489" s="52" t="s">
        <v>588</v>
      </c>
      <c r="E489" s="37" t="s">
        <v>197</v>
      </c>
      <c r="G489" s="21">
        <v>116.00000000000001</v>
      </c>
      <c r="J489" s="48"/>
    </row>
    <row r="490" spans="1:74" ht="13.5" customHeight="1" x14ac:dyDescent="0.25">
      <c r="A490" s="10" t="s">
        <v>484</v>
      </c>
      <c r="B490" s="9" t="s">
        <v>262</v>
      </c>
      <c r="C490" s="9" t="s">
        <v>496</v>
      </c>
      <c r="D490" s="76" t="s">
        <v>835</v>
      </c>
      <c r="E490" s="77"/>
      <c r="F490" s="9" t="s">
        <v>909</v>
      </c>
      <c r="G490" s="56">
        <v>83</v>
      </c>
      <c r="H490" s="56">
        <v>0</v>
      </c>
      <c r="I490" s="56">
        <f>G490*H490</f>
        <v>0</v>
      </c>
      <c r="J490" s="54" t="s">
        <v>501</v>
      </c>
      <c r="Y490" s="56">
        <f>IF(AP490="5",BI490,0)</f>
        <v>0</v>
      </c>
      <c r="AA490" s="56">
        <f>IF(AP490="1",BG490,0)</f>
        <v>0</v>
      </c>
      <c r="AB490" s="56">
        <f>IF(AP490="1",BH490,0)</f>
        <v>0</v>
      </c>
      <c r="AC490" s="56">
        <f>IF(AP490="7",BG490,0)</f>
        <v>0</v>
      </c>
      <c r="AD490" s="56">
        <f>IF(AP490="7",BH490,0)</f>
        <v>0</v>
      </c>
      <c r="AE490" s="56">
        <f>IF(AP490="2",BG490,0)</f>
        <v>0</v>
      </c>
      <c r="AF490" s="56">
        <f>IF(AP490="2",BH490,0)</f>
        <v>0</v>
      </c>
      <c r="AG490" s="56">
        <f>IF(AP490="0",BI490,0)</f>
        <v>0</v>
      </c>
      <c r="AH490" s="30" t="s">
        <v>262</v>
      </c>
      <c r="AI490" s="56">
        <f>IF(AM490=0,I490,0)</f>
        <v>0</v>
      </c>
      <c r="AJ490" s="56">
        <f>IF(AM490=15,I490,0)</f>
        <v>0</v>
      </c>
      <c r="AK490" s="56">
        <f>IF(AM490=21,I490,0)</f>
        <v>0</v>
      </c>
      <c r="AM490" s="56">
        <v>21</v>
      </c>
      <c r="AN490" s="56">
        <f>H490*0.767356687898089</f>
        <v>0</v>
      </c>
      <c r="AO490" s="56">
        <f>H490*(1-0.767356687898089)</f>
        <v>0</v>
      </c>
      <c r="AP490" s="41" t="s">
        <v>1109</v>
      </c>
      <c r="AU490" s="56">
        <f>AV490+AW490</f>
        <v>0</v>
      </c>
      <c r="AV490" s="56">
        <f>G490*AN490</f>
        <v>0</v>
      </c>
      <c r="AW490" s="56">
        <f>G490*AO490</f>
        <v>0</v>
      </c>
      <c r="AX490" s="41" t="s">
        <v>95</v>
      </c>
      <c r="AY490" s="41" t="s">
        <v>1177</v>
      </c>
      <c r="AZ490" s="30" t="s">
        <v>478</v>
      </c>
      <c r="BB490" s="56">
        <f>AV490+AW490</f>
        <v>0</v>
      </c>
      <c r="BC490" s="56">
        <f>H490/(100-BD490)*100</f>
        <v>0</v>
      </c>
      <c r="BD490" s="56">
        <v>0</v>
      </c>
      <c r="BE490" s="56" t="e">
        <f>#REF!</f>
        <v>#REF!</v>
      </c>
      <c r="BG490" s="56">
        <f>G490*AN490</f>
        <v>0</v>
      </c>
      <c r="BH490" s="56">
        <f>G490*AO490</f>
        <v>0</v>
      </c>
      <c r="BI490" s="56">
        <f>G490*H490</f>
        <v>0</v>
      </c>
      <c r="BJ490" s="56"/>
      <c r="BK490" s="56">
        <v>89</v>
      </c>
      <c r="BV490" s="56">
        <v>21</v>
      </c>
    </row>
    <row r="491" spans="1:74" ht="15" customHeight="1" x14ac:dyDescent="0.25">
      <c r="A491" s="53"/>
      <c r="D491" s="52" t="s">
        <v>1131</v>
      </c>
      <c r="E491" s="37" t="s">
        <v>861</v>
      </c>
      <c r="G491" s="21">
        <v>83</v>
      </c>
      <c r="J491" s="48"/>
    </row>
    <row r="492" spans="1:74" ht="15" customHeight="1" x14ac:dyDescent="0.25">
      <c r="A492" s="27" t="s">
        <v>769</v>
      </c>
      <c r="B492" s="28" t="s">
        <v>262</v>
      </c>
      <c r="C492" s="28" t="s">
        <v>762</v>
      </c>
      <c r="D492" s="132" t="s">
        <v>745</v>
      </c>
      <c r="E492" s="133"/>
      <c r="F492" s="23" t="s">
        <v>1027</v>
      </c>
      <c r="G492" s="23" t="s">
        <v>1027</v>
      </c>
      <c r="H492" s="23" t="s">
        <v>1027</v>
      </c>
      <c r="I492" s="14">
        <f>SUM(I493:I499)</f>
        <v>0</v>
      </c>
      <c r="J492" s="44" t="s">
        <v>769</v>
      </c>
      <c r="AH492" s="30" t="s">
        <v>262</v>
      </c>
      <c r="AR492" s="14">
        <f>SUM(AI493:AI499)</f>
        <v>0</v>
      </c>
      <c r="AS492" s="14">
        <f>SUM(AJ493:AJ499)</f>
        <v>0</v>
      </c>
      <c r="AT492" s="14">
        <f>SUM(AK493:AK499)</f>
        <v>0</v>
      </c>
    </row>
    <row r="493" spans="1:74" ht="13.5" customHeight="1" x14ac:dyDescent="0.25">
      <c r="A493" s="10" t="s">
        <v>52</v>
      </c>
      <c r="B493" s="9" t="s">
        <v>262</v>
      </c>
      <c r="C493" s="9" t="s">
        <v>995</v>
      </c>
      <c r="D493" s="76" t="s">
        <v>813</v>
      </c>
      <c r="E493" s="77"/>
      <c r="F493" s="9" t="s">
        <v>275</v>
      </c>
      <c r="G493" s="56">
        <v>7</v>
      </c>
      <c r="H493" s="56">
        <v>0</v>
      </c>
      <c r="I493" s="56">
        <f>G493*H493</f>
        <v>0</v>
      </c>
      <c r="J493" s="54" t="s">
        <v>501</v>
      </c>
      <c r="Y493" s="56">
        <f>IF(AP493="5",BI493,0)</f>
        <v>0</v>
      </c>
      <c r="AA493" s="56">
        <f>IF(AP493="1",BG493,0)</f>
        <v>0</v>
      </c>
      <c r="AB493" s="56">
        <f>IF(AP493="1",BH493,0)</f>
        <v>0</v>
      </c>
      <c r="AC493" s="56">
        <f>IF(AP493="7",BG493,0)</f>
        <v>0</v>
      </c>
      <c r="AD493" s="56">
        <f>IF(AP493="7",BH493,0)</f>
        <v>0</v>
      </c>
      <c r="AE493" s="56">
        <f>IF(AP493="2",BG493,0)</f>
        <v>0</v>
      </c>
      <c r="AF493" s="56">
        <f>IF(AP493="2",BH493,0)</f>
        <v>0</v>
      </c>
      <c r="AG493" s="56">
        <f>IF(AP493="0",BI493,0)</f>
        <v>0</v>
      </c>
      <c r="AH493" s="30" t="s">
        <v>262</v>
      </c>
      <c r="AI493" s="56">
        <f>IF(AM493=0,I493,0)</f>
        <v>0</v>
      </c>
      <c r="AJ493" s="56">
        <f>IF(AM493=15,I493,0)</f>
        <v>0</v>
      </c>
      <c r="AK493" s="56">
        <f>IF(AM493=21,I493,0)</f>
        <v>0</v>
      </c>
      <c r="AM493" s="56">
        <v>21</v>
      </c>
      <c r="AN493" s="56">
        <f>H493*0</f>
        <v>0</v>
      </c>
      <c r="AO493" s="56">
        <f>H493*(1-0)</f>
        <v>0</v>
      </c>
      <c r="AP493" s="41" t="s">
        <v>1109</v>
      </c>
      <c r="AU493" s="56">
        <f>AV493+AW493</f>
        <v>0</v>
      </c>
      <c r="AV493" s="56">
        <f>G493*AN493</f>
        <v>0</v>
      </c>
      <c r="AW493" s="56">
        <f>G493*AO493</f>
        <v>0</v>
      </c>
      <c r="AX493" s="41" t="s">
        <v>586</v>
      </c>
      <c r="AY493" s="41" t="s">
        <v>1177</v>
      </c>
      <c r="AZ493" s="30" t="s">
        <v>478</v>
      </c>
      <c r="BB493" s="56">
        <f>AV493+AW493</f>
        <v>0</v>
      </c>
      <c r="BC493" s="56">
        <f>H493/(100-BD493)*100</f>
        <v>0</v>
      </c>
      <c r="BD493" s="56">
        <v>0</v>
      </c>
      <c r="BE493" s="56" t="e">
        <f>#REF!</f>
        <v>#REF!</v>
      </c>
      <c r="BG493" s="56">
        <f>G493*AN493</f>
        <v>0</v>
      </c>
      <c r="BH493" s="56">
        <f>G493*AO493</f>
        <v>0</v>
      </c>
      <c r="BI493" s="56">
        <f>G493*H493</f>
        <v>0</v>
      </c>
      <c r="BJ493" s="56"/>
      <c r="BK493" s="56"/>
      <c r="BV493" s="56">
        <v>21</v>
      </c>
    </row>
    <row r="494" spans="1:74" ht="15" customHeight="1" x14ac:dyDescent="0.25">
      <c r="A494" s="53"/>
      <c r="D494" s="52" t="s">
        <v>1114</v>
      </c>
      <c r="E494" s="37" t="s">
        <v>502</v>
      </c>
      <c r="G494" s="21">
        <v>7.0000000000000009</v>
      </c>
      <c r="J494" s="48"/>
    </row>
    <row r="495" spans="1:74" ht="13.5" customHeight="1" x14ac:dyDescent="0.25">
      <c r="A495" s="10" t="s">
        <v>206</v>
      </c>
      <c r="B495" s="9" t="s">
        <v>262</v>
      </c>
      <c r="C495" s="9" t="s">
        <v>990</v>
      </c>
      <c r="D495" s="76" t="s">
        <v>992</v>
      </c>
      <c r="E495" s="77"/>
      <c r="F495" s="9" t="s">
        <v>275</v>
      </c>
      <c r="G495" s="56">
        <v>2</v>
      </c>
      <c r="H495" s="56">
        <v>0</v>
      </c>
      <c r="I495" s="56">
        <f>G495*H495</f>
        <v>0</v>
      </c>
      <c r="J495" s="54" t="s">
        <v>501</v>
      </c>
      <c r="Y495" s="56">
        <f>IF(AP495="5",BI495,0)</f>
        <v>0</v>
      </c>
      <c r="AA495" s="56">
        <f>IF(AP495="1",BG495,0)</f>
        <v>0</v>
      </c>
      <c r="AB495" s="56">
        <f>IF(AP495="1",BH495,0)</f>
        <v>0</v>
      </c>
      <c r="AC495" s="56">
        <f>IF(AP495="7",BG495,0)</f>
        <v>0</v>
      </c>
      <c r="AD495" s="56">
        <f>IF(AP495="7",BH495,0)</f>
        <v>0</v>
      </c>
      <c r="AE495" s="56">
        <f>IF(AP495="2",BG495,0)</f>
        <v>0</v>
      </c>
      <c r="AF495" s="56">
        <f>IF(AP495="2",BH495,0)</f>
        <v>0</v>
      </c>
      <c r="AG495" s="56">
        <f>IF(AP495="0",BI495,0)</f>
        <v>0</v>
      </c>
      <c r="AH495" s="30" t="s">
        <v>262</v>
      </c>
      <c r="AI495" s="56">
        <f>IF(AM495=0,I495,0)</f>
        <v>0</v>
      </c>
      <c r="AJ495" s="56">
        <f>IF(AM495=15,I495,0)</f>
        <v>0</v>
      </c>
      <c r="AK495" s="56">
        <f>IF(AM495=21,I495,0)</f>
        <v>0</v>
      </c>
      <c r="AM495" s="56">
        <v>21</v>
      </c>
      <c r="AN495" s="56">
        <f>H495*0</f>
        <v>0</v>
      </c>
      <c r="AO495" s="56">
        <f>H495*(1-0)</f>
        <v>0</v>
      </c>
      <c r="AP495" s="41" t="s">
        <v>1109</v>
      </c>
      <c r="AU495" s="56">
        <f>AV495+AW495</f>
        <v>0</v>
      </c>
      <c r="AV495" s="56">
        <f>G495*AN495</f>
        <v>0</v>
      </c>
      <c r="AW495" s="56">
        <f>G495*AO495</f>
        <v>0</v>
      </c>
      <c r="AX495" s="41" t="s">
        <v>586</v>
      </c>
      <c r="AY495" s="41" t="s">
        <v>1177</v>
      </c>
      <c r="AZ495" s="30" t="s">
        <v>478</v>
      </c>
      <c r="BB495" s="56">
        <f>AV495+AW495</f>
        <v>0</v>
      </c>
      <c r="BC495" s="56">
        <f>H495/(100-BD495)*100</f>
        <v>0</v>
      </c>
      <c r="BD495" s="56">
        <v>0</v>
      </c>
      <c r="BE495" s="56" t="e">
        <f>#REF!</f>
        <v>#REF!</v>
      </c>
      <c r="BG495" s="56">
        <f>G495*AN495</f>
        <v>0</v>
      </c>
      <c r="BH495" s="56">
        <f>G495*AO495</f>
        <v>0</v>
      </c>
      <c r="BI495" s="56">
        <f>G495*H495</f>
        <v>0</v>
      </c>
      <c r="BJ495" s="56"/>
      <c r="BK495" s="56"/>
      <c r="BV495" s="56">
        <v>21</v>
      </c>
    </row>
    <row r="496" spans="1:74" ht="15" customHeight="1" x14ac:dyDescent="0.25">
      <c r="A496" s="53"/>
      <c r="D496" s="52" t="s">
        <v>766</v>
      </c>
      <c r="E496" s="37" t="s">
        <v>398</v>
      </c>
      <c r="G496" s="21">
        <v>2</v>
      </c>
      <c r="J496" s="48"/>
    </row>
    <row r="497" spans="1:74" ht="13.5" customHeight="1" x14ac:dyDescent="0.25">
      <c r="A497" s="10" t="s">
        <v>253</v>
      </c>
      <c r="B497" s="9" t="s">
        <v>262</v>
      </c>
      <c r="C497" s="9" t="s">
        <v>1210</v>
      </c>
      <c r="D497" s="76" t="s">
        <v>941</v>
      </c>
      <c r="E497" s="77"/>
      <c r="F497" s="9" t="s">
        <v>275</v>
      </c>
      <c r="G497" s="56">
        <v>1</v>
      </c>
      <c r="H497" s="56">
        <v>0</v>
      </c>
      <c r="I497" s="56">
        <f>G497*H497</f>
        <v>0</v>
      </c>
      <c r="J497" s="54" t="s">
        <v>501</v>
      </c>
      <c r="Y497" s="56">
        <f>IF(AP497="5",BI497,0)</f>
        <v>0</v>
      </c>
      <c r="AA497" s="56">
        <f>IF(AP497="1",BG497,0)</f>
        <v>0</v>
      </c>
      <c r="AB497" s="56">
        <f>IF(AP497="1",BH497,0)</f>
        <v>0</v>
      </c>
      <c r="AC497" s="56">
        <f>IF(AP497="7",BG497,0)</f>
        <v>0</v>
      </c>
      <c r="AD497" s="56">
        <f>IF(AP497="7",BH497,0)</f>
        <v>0</v>
      </c>
      <c r="AE497" s="56">
        <f>IF(AP497="2",BG497,0)</f>
        <v>0</v>
      </c>
      <c r="AF497" s="56">
        <f>IF(AP497="2",BH497,0)</f>
        <v>0</v>
      </c>
      <c r="AG497" s="56">
        <f>IF(AP497="0",BI497,0)</f>
        <v>0</v>
      </c>
      <c r="AH497" s="30" t="s">
        <v>262</v>
      </c>
      <c r="AI497" s="56">
        <f>IF(AM497=0,I497,0)</f>
        <v>0</v>
      </c>
      <c r="AJ497" s="56">
        <f>IF(AM497=15,I497,0)</f>
        <v>0</v>
      </c>
      <c r="AK497" s="56">
        <f>IF(AM497=21,I497,0)</f>
        <v>0</v>
      </c>
      <c r="AM497" s="56">
        <v>21</v>
      </c>
      <c r="AN497" s="56">
        <f>H497*0</f>
        <v>0</v>
      </c>
      <c r="AO497" s="56">
        <f>H497*(1-0)</f>
        <v>0</v>
      </c>
      <c r="AP497" s="41" t="s">
        <v>1109</v>
      </c>
      <c r="AU497" s="56">
        <f>AV497+AW497</f>
        <v>0</v>
      </c>
      <c r="AV497" s="56">
        <f>G497*AN497</f>
        <v>0</v>
      </c>
      <c r="AW497" s="56">
        <f>G497*AO497</f>
        <v>0</v>
      </c>
      <c r="AX497" s="41" t="s">
        <v>586</v>
      </c>
      <c r="AY497" s="41" t="s">
        <v>1177</v>
      </c>
      <c r="AZ497" s="30" t="s">
        <v>478</v>
      </c>
      <c r="BB497" s="56">
        <f>AV497+AW497</f>
        <v>0</v>
      </c>
      <c r="BC497" s="56">
        <f>H497/(100-BD497)*100</f>
        <v>0</v>
      </c>
      <c r="BD497" s="56">
        <v>0</v>
      </c>
      <c r="BE497" s="56" t="e">
        <f>#REF!</f>
        <v>#REF!</v>
      </c>
      <c r="BG497" s="56">
        <f>G497*AN497</f>
        <v>0</v>
      </c>
      <c r="BH497" s="56">
        <f>G497*AO497</f>
        <v>0</v>
      </c>
      <c r="BI497" s="56">
        <f>G497*H497</f>
        <v>0</v>
      </c>
      <c r="BJ497" s="56"/>
      <c r="BK497" s="56"/>
      <c r="BV497" s="56">
        <v>21</v>
      </c>
    </row>
    <row r="498" spans="1:74" ht="15" customHeight="1" x14ac:dyDescent="0.25">
      <c r="A498" s="53"/>
      <c r="D498" s="52" t="s">
        <v>1109</v>
      </c>
      <c r="E498" s="37" t="s">
        <v>708</v>
      </c>
      <c r="G498" s="21">
        <v>1</v>
      </c>
      <c r="J498" s="48"/>
    </row>
    <row r="499" spans="1:74" ht="13.5" customHeight="1" x14ac:dyDescent="0.25">
      <c r="A499" s="10" t="s">
        <v>199</v>
      </c>
      <c r="B499" s="9" t="s">
        <v>262</v>
      </c>
      <c r="C499" s="9" t="s">
        <v>971</v>
      </c>
      <c r="D499" s="76" t="s">
        <v>125</v>
      </c>
      <c r="E499" s="77"/>
      <c r="F499" s="9" t="s">
        <v>778</v>
      </c>
      <c r="G499" s="56">
        <v>3</v>
      </c>
      <c r="H499" s="56">
        <v>0</v>
      </c>
      <c r="I499" s="56">
        <f>G499*H499</f>
        <v>0</v>
      </c>
      <c r="J499" s="54" t="s">
        <v>501</v>
      </c>
      <c r="Y499" s="56">
        <f>IF(AP499="5",BI499,0)</f>
        <v>0</v>
      </c>
      <c r="AA499" s="56">
        <f>IF(AP499="1",BG499,0)</f>
        <v>0</v>
      </c>
      <c r="AB499" s="56">
        <f>IF(AP499="1",BH499,0)</f>
        <v>0</v>
      </c>
      <c r="AC499" s="56">
        <f>IF(AP499="7",BG499,0)</f>
        <v>0</v>
      </c>
      <c r="AD499" s="56">
        <f>IF(AP499="7",BH499,0)</f>
        <v>0</v>
      </c>
      <c r="AE499" s="56">
        <f>IF(AP499="2",BG499,0)</f>
        <v>0</v>
      </c>
      <c r="AF499" s="56">
        <f>IF(AP499="2",BH499,0)</f>
        <v>0</v>
      </c>
      <c r="AG499" s="56">
        <f>IF(AP499="0",BI499,0)</f>
        <v>0</v>
      </c>
      <c r="AH499" s="30" t="s">
        <v>262</v>
      </c>
      <c r="AI499" s="56">
        <f>IF(AM499=0,I499,0)</f>
        <v>0</v>
      </c>
      <c r="AJ499" s="56">
        <f>IF(AM499=15,I499,0)</f>
        <v>0</v>
      </c>
      <c r="AK499" s="56">
        <f>IF(AM499=21,I499,0)</f>
        <v>0</v>
      </c>
      <c r="AM499" s="56">
        <v>21</v>
      </c>
      <c r="AN499" s="56">
        <f>H499*0</f>
        <v>0</v>
      </c>
      <c r="AO499" s="56">
        <f>H499*(1-0)</f>
        <v>0</v>
      </c>
      <c r="AP499" s="41" t="s">
        <v>1109</v>
      </c>
      <c r="AU499" s="56">
        <f>AV499+AW499</f>
        <v>0</v>
      </c>
      <c r="AV499" s="56">
        <f>G499*AN499</f>
        <v>0</v>
      </c>
      <c r="AW499" s="56">
        <f>G499*AO499</f>
        <v>0</v>
      </c>
      <c r="AX499" s="41" t="s">
        <v>586</v>
      </c>
      <c r="AY499" s="41" t="s">
        <v>1177</v>
      </c>
      <c r="AZ499" s="30" t="s">
        <v>478</v>
      </c>
      <c r="BB499" s="56">
        <f>AV499+AW499</f>
        <v>0</v>
      </c>
      <c r="BC499" s="56">
        <f>H499/(100-BD499)*100</f>
        <v>0</v>
      </c>
      <c r="BD499" s="56">
        <v>0</v>
      </c>
      <c r="BE499" s="56" t="e">
        <f>#REF!</f>
        <v>#REF!</v>
      </c>
      <c r="BG499" s="56">
        <f>G499*AN499</f>
        <v>0</v>
      </c>
      <c r="BH499" s="56">
        <f>G499*AO499</f>
        <v>0</v>
      </c>
      <c r="BI499" s="56">
        <f>G499*H499</f>
        <v>0</v>
      </c>
      <c r="BJ499" s="56"/>
      <c r="BK499" s="56"/>
      <c r="BV499" s="56">
        <v>21</v>
      </c>
    </row>
    <row r="500" spans="1:74" ht="15" customHeight="1" x14ac:dyDescent="0.25">
      <c r="A500" s="53"/>
      <c r="D500" s="52" t="s">
        <v>766</v>
      </c>
      <c r="E500" s="37" t="s">
        <v>470</v>
      </c>
      <c r="G500" s="21">
        <v>2</v>
      </c>
      <c r="J500" s="48"/>
    </row>
    <row r="501" spans="1:74" ht="15" customHeight="1" x14ac:dyDescent="0.25">
      <c r="A501" s="53"/>
      <c r="D501" s="52" t="s">
        <v>1109</v>
      </c>
      <c r="E501" s="37" t="s">
        <v>1073</v>
      </c>
      <c r="G501" s="21">
        <v>1</v>
      </c>
      <c r="J501" s="48"/>
    </row>
    <row r="502" spans="1:74" ht="15" customHeight="1" x14ac:dyDescent="0.25">
      <c r="A502" s="27" t="s">
        <v>769</v>
      </c>
      <c r="B502" s="28" t="s">
        <v>262</v>
      </c>
      <c r="C502" s="28" t="s">
        <v>785</v>
      </c>
      <c r="D502" s="132" t="s">
        <v>877</v>
      </c>
      <c r="E502" s="133"/>
      <c r="F502" s="23" t="s">
        <v>1027</v>
      </c>
      <c r="G502" s="23" t="s">
        <v>1027</v>
      </c>
      <c r="H502" s="23" t="s">
        <v>1027</v>
      </c>
      <c r="I502" s="14">
        <f>SUM(I503:I503)</f>
        <v>0</v>
      </c>
      <c r="J502" s="44" t="s">
        <v>769</v>
      </c>
      <c r="AH502" s="30" t="s">
        <v>262</v>
      </c>
      <c r="AR502" s="14">
        <f>SUM(AI503:AI503)</f>
        <v>0</v>
      </c>
      <c r="AS502" s="14">
        <f>SUM(AJ503:AJ503)</f>
        <v>0</v>
      </c>
      <c r="AT502" s="14">
        <f>SUM(AK503:AK503)</f>
        <v>0</v>
      </c>
    </row>
    <row r="503" spans="1:74" ht="13.5" customHeight="1" x14ac:dyDescent="0.25">
      <c r="A503" s="10" t="s">
        <v>338</v>
      </c>
      <c r="B503" s="9" t="s">
        <v>262</v>
      </c>
      <c r="C503" s="9" t="s">
        <v>121</v>
      </c>
      <c r="D503" s="76" t="s">
        <v>664</v>
      </c>
      <c r="E503" s="77"/>
      <c r="F503" s="9" t="s">
        <v>909</v>
      </c>
      <c r="G503" s="56">
        <v>199</v>
      </c>
      <c r="H503" s="56">
        <v>0</v>
      </c>
      <c r="I503" s="56">
        <f>G503*H503</f>
        <v>0</v>
      </c>
      <c r="J503" s="54" t="s">
        <v>501</v>
      </c>
      <c r="Y503" s="56">
        <f>IF(AP503="5",BI503,0)</f>
        <v>0</v>
      </c>
      <c r="AA503" s="56">
        <f>IF(AP503="1",BG503,0)</f>
        <v>0</v>
      </c>
      <c r="AB503" s="56">
        <f>IF(AP503="1",BH503,0)</f>
        <v>0</v>
      </c>
      <c r="AC503" s="56">
        <f>IF(AP503="7",BG503,0)</f>
        <v>0</v>
      </c>
      <c r="AD503" s="56">
        <f>IF(AP503="7",BH503,0)</f>
        <v>0</v>
      </c>
      <c r="AE503" s="56">
        <f>IF(AP503="2",BG503,0)</f>
        <v>0</v>
      </c>
      <c r="AF503" s="56">
        <f>IF(AP503="2",BH503,0)</f>
        <v>0</v>
      </c>
      <c r="AG503" s="56">
        <f>IF(AP503="0",BI503,0)</f>
        <v>0</v>
      </c>
      <c r="AH503" s="30" t="s">
        <v>262</v>
      </c>
      <c r="AI503" s="56">
        <f>IF(AM503=0,I503,0)</f>
        <v>0</v>
      </c>
      <c r="AJ503" s="56">
        <f>IF(AM503=15,I503,0)</f>
        <v>0</v>
      </c>
      <c r="AK503" s="56">
        <f>IF(AM503=21,I503,0)</f>
        <v>0</v>
      </c>
      <c r="AM503" s="56">
        <v>21</v>
      </c>
      <c r="AN503" s="56">
        <f>H503*0</f>
        <v>0</v>
      </c>
      <c r="AO503" s="56">
        <f>H503*(1-0)</f>
        <v>0</v>
      </c>
      <c r="AP503" s="41" t="s">
        <v>1109</v>
      </c>
      <c r="AU503" s="56">
        <f>AV503+AW503</f>
        <v>0</v>
      </c>
      <c r="AV503" s="56">
        <f>G503*AN503</f>
        <v>0</v>
      </c>
      <c r="AW503" s="56">
        <f>G503*AO503</f>
        <v>0</v>
      </c>
      <c r="AX503" s="41" t="s">
        <v>1038</v>
      </c>
      <c r="AY503" s="41" t="s">
        <v>1177</v>
      </c>
      <c r="AZ503" s="30" t="s">
        <v>478</v>
      </c>
      <c r="BB503" s="56">
        <f>AV503+AW503</f>
        <v>0</v>
      </c>
      <c r="BC503" s="56">
        <f>H503/(100-BD503)*100</f>
        <v>0</v>
      </c>
      <c r="BD503" s="56">
        <v>0</v>
      </c>
      <c r="BE503" s="56" t="e">
        <f>#REF!</f>
        <v>#REF!</v>
      </c>
      <c r="BG503" s="56">
        <f>G503*AN503</f>
        <v>0</v>
      </c>
      <c r="BH503" s="56">
        <f>G503*AO503</f>
        <v>0</v>
      </c>
      <c r="BI503" s="56">
        <f>G503*H503</f>
        <v>0</v>
      </c>
      <c r="BJ503" s="56"/>
      <c r="BK503" s="56"/>
      <c r="BV503" s="56">
        <v>21</v>
      </c>
    </row>
    <row r="504" spans="1:74" ht="15" customHeight="1" x14ac:dyDescent="0.25">
      <c r="A504" s="53"/>
      <c r="D504" s="52" t="s">
        <v>1075</v>
      </c>
      <c r="E504" s="37" t="s">
        <v>769</v>
      </c>
      <c r="G504" s="21">
        <v>199.00000000000003</v>
      </c>
      <c r="J504" s="48"/>
    </row>
    <row r="505" spans="1:74" ht="15" customHeight="1" x14ac:dyDescent="0.25">
      <c r="A505" s="27" t="s">
        <v>769</v>
      </c>
      <c r="B505" s="28" t="s">
        <v>262</v>
      </c>
      <c r="C505" s="28" t="s">
        <v>54</v>
      </c>
      <c r="D505" s="132" t="s">
        <v>403</v>
      </c>
      <c r="E505" s="133"/>
      <c r="F505" s="23" t="s">
        <v>1027</v>
      </c>
      <c r="G505" s="23" t="s">
        <v>1027</v>
      </c>
      <c r="H505" s="23" t="s">
        <v>1027</v>
      </c>
      <c r="I505" s="14">
        <f>SUM(I506:I510)</f>
        <v>0</v>
      </c>
      <c r="J505" s="44" t="s">
        <v>769</v>
      </c>
      <c r="AH505" s="30" t="s">
        <v>262</v>
      </c>
      <c r="AR505" s="14">
        <f>SUM(AI506:AI510)</f>
        <v>0</v>
      </c>
      <c r="AS505" s="14">
        <f>SUM(AJ506:AJ510)</f>
        <v>0</v>
      </c>
      <c r="AT505" s="14">
        <f>SUM(AK506:AK510)</f>
        <v>0</v>
      </c>
    </row>
    <row r="506" spans="1:74" ht="13.5" customHeight="1" x14ac:dyDescent="0.25">
      <c r="A506" s="10" t="s">
        <v>576</v>
      </c>
      <c r="B506" s="9" t="s">
        <v>262</v>
      </c>
      <c r="C506" s="9" t="s">
        <v>1025</v>
      </c>
      <c r="D506" s="76" t="s">
        <v>99</v>
      </c>
      <c r="E506" s="77"/>
      <c r="F506" s="9" t="s">
        <v>909</v>
      </c>
      <c r="G506" s="56">
        <v>17</v>
      </c>
      <c r="H506" s="56">
        <v>0</v>
      </c>
      <c r="I506" s="56">
        <f>G506*H506</f>
        <v>0</v>
      </c>
      <c r="J506" s="54" t="s">
        <v>501</v>
      </c>
      <c r="Y506" s="56">
        <f>IF(AP506="5",BI506,0)</f>
        <v>0</v>
      </c>
      <c r="AA506" s="56">
        <f>IF(AP506="1",BG506,0)</f>
        <v>0</v>
      </c>
      <c r="AB506" s="56">
        <f>IF(AP506="1",BH506,0)</f>
        <v>0</v>
      </c>
      <c r="AC506" s="56">
        <f>IF(AP506="7",BG506,0)</f>
        <v>0</v>
      </c>
      <c r="AD506" s="56">
        <f>IF(AP506="7",BH506,0)</f>
        <v>0</v>
      </c>
      <c r="AE506" s="56">
        <f>IF(AP506="2",BG506,0)</f>
        <v>0</v>
      </c>
      <c r="AF506" s="56">
        <f>IF(AP506="2",BH506,0)</f>
        <v>0</v>
      </c>
      <c r="AG506" s="56">
        <f>IF(AP506="0",BI506,0)</f>
        <v>0</v>
      </c>
      <c r="AH506" s="30" t="s">
        <v>262</v>
      </c>
      <c r="AI506" s="56">
        <f>IF(AM506=0,I506,0)</f>
        <v>0</v>
      </c>
      <c r="AJ506" s="56">
        <f>IF(AM506=15,I506,0)</f>
        <v>0</v>
      </c>
      <c r="AK506" s="56">
        <f>IF(AM506=21,I506,0)</f>
        <v>0</v>
      </c>
      <c r="AM506" s="56">
        <v>21</v>
      </c>
      <c r="AN506" s="56">
        <f>H506*0.600980926430518</f>
        <v>0</v>
      </c>
      <c r="AO506" s="56">
        <f>H506*(1-0.600980926430518)</f>
        <v>0</v>
      </c>
      <c r="AP506" s="41" t="s">
        <v>1109</v>
      </c>
      <c r="AU506" s="56">
        <f>AV506+AW506</f>
        <v>0</v>
      </c>
      <c r="AV506" s="56">
        <f>G506*AN506</f>
        <v>0</v>
      </c>
      <c r="AW506" s="56">
        <f>G506*AO506</f>
        <v>0</v>
      </c>
      <c r="AX506" s="41" t="s">
        <v>1085</v>
      </c>
      <c r="AY506" s="41" t="s">
        <v>633</v>
      </c>
      <c r="AZ506" s="30" t="s">
        <v>478</v>
      </c>
      <c r="BB506" s="56">
        <f>AV506+AW506</f>
        <v>0</v>
      </c>
      <c r="BC506" s="56">
        <f>H506/(100-BD506)*100</f>
        <v>0</v>
      </c>
      <c r="BD506" s="56">
        <v>0</v>
      </c>
      <c r="BE506" s="56" t="e">
        <f>#REF!</f>
        <v>#REF!</v>
      </c>
      <c r="BG506" s="56">
        <f>G506*AN506</f>
        <v>0</v>
      </c>
      <c r="BH506" s="56">
        <f>G506*AO506</f>
        <v>0</v>
      </c>
      <c r="BI506" s="56">
        <f>G506*H506</f>
        <v>0</v>
      </c>
      <c r="BJ506" s="56"/>
      <c r="BK506" s="56">
        <v>91</v>
      </c>
      <c r="BV506" s="56">
        <v>21</v>
      </c>
    </row>
    <row r="507" spans="1:74" ht="13.5" customHeight="1" x14ac:dyDescent="0.25">
      <c r="A507" s="57" t="s">
        <v>818</v>
      </c>
      <c r="B507" s="50" t="s">
        <v>262</v>
      </c>
      <c r="C507" s="50" t="s">
        <v>1133</v>
      </c>
      <c r="D507" s="135" t="s">
        <v>1086</v>
      </c>
      <c r="E507" s="136"/>
      <c r="F507" s="50" t="s">
        <v>275</v>
      </c>
      <c r="G507" s="31">
        <v>2</v>
      </c>
      <c r="H507" s="31">
        <v>0</v>
      </c>
      <c r="I507" s="31">
        <f>G507*H507</f>
        <v>0</v>
      </c>
      <c r="J507" s="47" t="s">
        <v>501</v>
      </c>
      <c r="Y507" s="56">
        <f>IF(AP507="5",BI507,0)</f>
        <v>0</v>
      </c>
      <c r="AA507" s="56">
        <f>IF(AP507="1",BG507,0)</f>
        <v>0</v>
      </c>
      <c r="AB507" s="56">
        <f>IF(AP507="1",BH507,0)</f>
        <v>0</v>
      </c>
      <c r="AC507" s="56">
        <f>IF(AP507="7",BG507,0)</f>
        <v>0</v>
      </c>
      <c r="AD507" s="56">
        <f>IF(AP507="7",BH507,0)</f>
        <v>0</v>
      </c>
      <c r="AE507" s="56">
        <f>IF(AP507="2",BG507,0)</f>
        <v>0</v>
      </c>
      <c r="AF507" s="56">
        <f>IF(AP507="2",BH507,0)</f>
        <v>0</v>
      </c>
      <c r="AG507" s="56">
        <f>IF(AP507="0",BI507,0)</f>
        <v>0</v>
      </c>
      <c r="AH507" s="30" t="s">
        <v>262</v>
      </c>
      <c r="AI507" s="31">
        <f>IF(AM507=0,I507,0)</f>
        <v>0</v>
      </c>
      <c r="AJ507" s="31">
        <f>IF(AM507=15,I507,0)</f>
        <v>0</v>
      </c>
      <c r="AK507" s="31">
        <f>IF(AM507=21,I507,0)</f>
        <v>0</v>
      </c>
      <c r="AM507" s="56">
        <v>21</v>
      </c>
      <c r="AN507" s="56">
        <f>H507*1</f>
        <v>0</v>
      </c>
      <c r="AO507" s="56">
        <f>H507*(1-1)</f>
        <v>0</v>
      </c>
      <c r="AP507" s="58" t="s">
        <v>1109</v>
      </c>
      <c r="AU507" s="56">
        <f>AV507+AW507</f>
        <v>0</v>
      </c>
      <c r="AV507" s="56">
        <f>G507*AN507</f>
        <v>0</v>
      </c>
      <c r="AW507" s="56">
        <f>G507*AO507</f>
        <v>0</v>
      </c>
      <c r="AX507" s="41" t="s">
        <v>1085</v>
      </c>
      <c r="AY507" s="41" t="s">
        <v>633</v>
      </c>
      <c r="AZ507" s="30" t="s">
        <v>478</v>
      </c>
      <c r="BB507" s="56">
        <f>AV507+AW507</f>
        <v>0</v>
      </c>
      <c r="BC507" s="56">
        <f>H507/(100-BD507)*100</f>
        <v>0</v>
      </c>
      <c r="BD507" s="56">
        <v>0</v>
      </c>
      <c r="BE507" s="56" t="e">
        <f>#REF!</f>
        <v>#REF!</v>
      </c>
      <c r="BG507" s="31">
        <f>G507*AN507</f>
        <v>0</v>
      </c>
      <c r="BH507" s="31">
        <f>G507*AO507</f>
        <v>0</v>
      </c>
      <c r="BI507" s="31">
        <f>G507*H507</f>
        <v>0</v>
      </c>
      <c r="BJ507" s="31"/>
      <c r="BK507" s="56">
        <v>91</v>
      </c>
      <c r="BV507" s="56">
        <v>21</v>
      </c>
    </row>
    <row r="508" spans="1:74" ht="15" customHeight="1" x14ac:dyDescent="0.25">
      <c r="A508" s="53"/>
      <c r="D508" s="52" t="s">
        <v>766</v>
      </c>
      <c r="E508" s="37" t="s">
        <v>412</v>
      </c>
      <c r="G508" s="21">
        <v>2</v>
      </c>
      <c r="J508" s="48"/>
    </row>
    <row r="509" spans="1:74" ht="13.5" customHeight="1" x14ac:dyDescent="0.25">
      <c r="A509" s="10" t="s">
        <v>140</v>
      </c>
      <c r="B509" s="9" t="s">
        <v>262</v>
      </c>
      <c r="C509" s="9" t="s">
        <v>849</v>
      </c>
      <c r="D509" s="76" t="s">
        <v>674</v>
      </c>
      <c r="E509" s="77"/>
      <c r="F509" s="9" t="s">
        <v>909</v>
      </c>
      <c r="G509" s="56">
        <v>35</v>
      </c>
      <c r="H509" s="56">
        <v>0</v>
      </c>
      <c r="I509" s="56">
        <f>G509*H509</f>
        <v>0</v>
      </c>
      <c r="J509" s="54" t="s">
        <v>501</v>
      </c>
      <c r="Y509" s="56">
        <f>IF(AP509="5",BI509,0)</f>
        <v>0</v>
      </c>
      <c r="AA509" s="56">
        <f>IF(AP509="1",BG509,0)</f>
        <v>0</v>
      </c>
      <c r="AB509" s="56">
        <f>IF(AP509="1",BH509,0)</f>
        <v>0</v>
      </c>
      <c r="AC509" s="56">
        <f>IF(AP509="7",BG509,0)</f>
        <v>0</v>
      </c>
      <c r="AD509" s="56">
        <f>IF(AP509="7",BH509,0)</f>
        <v>0</v>
      </c>
      <c r="AE509" s="56">
        <f>IF(AP509="2",BG509,0)</f>
        <v>0</v>
      </c>
      <c r="AF509" s="56">
        <f>IF(AP509="2",BH509,0)</f>
        <v>0</v>
      </c>
      <c r="AG509" s="56">
        <f>IF(AP509="0",BI509,0)</f>
        <v>0</v>
      </c>
      <c r="AH509" s="30" t="s">
        <v>262</v>
      </c>
      <c r="AI509" s="56">
        <f>IF(AM509=0,I509,0)</f>
        <v>0</v>
      </c>
      <c r="AJ509" s="56">
        <f>IF(AM509=15,I509,0)</f>
        <v>0</v>
      </c>
      <c r="AK509" s="56">
        <f>IF(AM509=21,I509,0)</f>
        <v>0</v>
      </c>
      <c r="AM509" s="56">
        <v>21</v>
      </c>
      <c r="AN509" s="56">
        <f>H509*0.579044117647059</f>
        <v>0</v>
      </c>
      <c r="AO509" s="56">
        <f>H509*(1-0.579044117647059)</f>
        <v>0</v>
      </c>
      <c r="AP509" s="41" t="s">
        <v>1109</v>
      </c>
      <c r="AU509" s="56">
        <f>AV509+AW509</f>
        <v>0</v>
      </c>
      <c r="AV509" s="56">
        <f>G509*AN509</f>
        <v>0</v>
      </c>
      <c r="AW509" s="56">
        <f>G509*AO509</f>
        <v>0</v>
      </c>
      <c r="AX509" s="41" t="s">
        <v>1085</v>
      </c>
      <c r="AY509" s="41" t="s">
        <v>633</v>
      </c>
      <c r="AZ509" s="30" t="s">
        <v>478</v>
      </c>
      <c r="BB509" s="56">
        <f>AV509+AW509</f>
        <v>0</v>
      </c>
      <c r="BC509" s="56">
        <f>H509/(100-BD509)*100</f>
        <v>0</v>
      </c>
      <c r="BD509" s="56">
        <v>0</v>
      </c>
      <c r="BE509" s="56" t="e">
        <f>#REF!</f>
        <v>#REF!</v>
      </c>
      <c r="BG509" s="56">
        <f>G509*AN509</f>
        <v>0</v>
      </c>
      <c r="BH509" s="56">
        <f>G509*AO509</f>
        <v>0</v>
      </c>
      <c r="BI509" s="56">
        <f>G509*H509</f>
        <v>0</v>
      </c>
      <c r="BJ509" s="56"/>
      <c r="BK509" s="56">
        <v>91</v>
      </c>
      <c r="BV509" s="56">
        <v>21</v>
      </c>
    </row>
    <row r="510" spans="1:74" ht="13.5" customHeight="1" x14ac:dyDescent="0.25">
      <c r="A510" s="10" t="s">
        <v>1117</v>
      </c>
      <c r="B510" s="9" t="s">
        <v>262</v>
      </c>
      <c r="C510" s="9" t="s">
        <v>385</v>
      </c>
      <c r="D510" s="76" t="s">
        <v>79</v>
      </c>
      <c r="E510" s="77"/>
      <c r="F510" s="9" t="s">
        <v>778</v>
      </c>
      <c r="G510" s="56">
        <v>2</v>
      </c>
      <c r="H510" s="56">
        <v>0</v>
      </c>
      <c r="I510" s="56">
        <f>G510*H510</f>
        <v>0</v>
      </c>
      <c r="J510" s="54" t="s">
        <v>769</v>
      </c>
      <c r="Y510" s="56">
        <f>IF(AP510="5",BI510,0)</f>
        <v>0</v>
      </c>
      <c r="AA510" s="56">
        <f>IF(AP510="1",BG510,0)</f>
        <v>0</v>
      </c>
      <c r="AB510" s="56">
        <f>IF(AP510="1",BH510,0)</f>
        <v>0</v>
      </c>
      <c r="AC510" s="56">
        <f>IF(AP510="7",BG510,0)</f>
        <v>0</v>
      </c>
      <c r="AD510" s="56">
        <f>IF(AP510="7",BH510,0)</f>
        <v>0</v>
      </c>
      <c r="AE510" s="56">
        <f>IF(AP510="2",BG510,0)</f>
        <v>0</v>
      </c>
      <c r="AF510" s="56">
        <f>IF(AP510="2",BH510,0)</f>
        <v>0</v>
      </c>
      <c r="AG510" s="56">
        <f>IF(AP510="0",BI510,0)</f>
        <v>0</v>
      </c>
      <c r="AH510" s="30" t="s">
        <v>262</v>
      </c>
      <c r="AI510" s="56">
        <f>IF(AM510=0,I510,0)</f>
        <v>0</v>
      </c>
      <c r="AJ510" s="56">
        <f>IF(AM510=15,I510,0)</f>
        <v>0</v>
      </c>
      <c r="AK510" s="56">
        <f>IF(AM510=21,I510,0)</f>
        <v>0</v>
      </c>
      <c r="AM510" s="56">
        <v>21</v>
      </c>
      <c r="AN510" s="56">
        <f>H510*0</f>
        <v>0</v>
      </c>
      <c r="AO510" s="56">
        <f>H510*(1-0)</f>
        <v>0</v>
      </c>
      <c r="AP510" s="41" t="s">
        <v>1109</v>
      </c>
      <c r="AU510" s="56">
        <f>AV510+AW510</f>
        <v>0</v>
      </c>
      <c r="AV510" s="56">
        <f>G510*AN510</f>
        <v>0</v>
      </c>
      <c r="AW510" s="56">
        <f>G510*AO510</f>
        <v>0</v>
      </c>
      <c r="AX510" s="41" t="s">
        <v>1085</v>
      </c>
      <c r="AY510" s="41" t="s">
        <v>633</v>
      </c>
      <c r="AZ510" s="30" t="s">
        <v>478</v>
      </c>
      <c r="BB510" s="56">
        <f>AV510+AW510</f>
        <v>0</v>
      </c>
      <c r="BC510" s="56">
        <f>H510/(100-BD510)*100</f>
        <v>0</v>
      </c>
      <c r="BD510" s="56">
        <v>0</v>
      </c>
      <c r="BE510" s="56" t="e">
        <f>#REF!</f>
        <v>#REF!</v>
      </c>
      <c r="BG510" s="56">
        <f>G510*AN510</f>
        <v>0</v>
      </c>
      <c r="BH510" s="56">
        <f>G510*AO510</f>
        <v>0</v>
      </c>
      <c r="BI510" s="56">
        <f>G510*H510</f>
        <v>0</v>
      </c>
      <c r="BJ510" s="56"/>
      <c r="BK510" s="56">
        <v>91</v>
      </c>
      <c r="BV510" s="56">
        <v>21</v>
      </c>
    </row>
    <row r="511" spans="1:74" ht="15" customHeight="1" x14ac:dyDescent="0.25">
      <c r="A511" s="27" t="s">
        <v>769</v>
      </c>
      <c r="B511" s="28" t="s">
        <v>262</v>
      </c>
      <c r="C511" s="28" t="s">
        <v>128</v>
      </c>
      <c r="D511" s="132" t="s">
        <v>1225</v>
      </c>
      <c r="E511" s="133"/>
      <c r="F511" s="23" t="s">
        <v>1027</v>
      </c>
      <c r="G511" s="23" t="s">
        <v>1027</v>
      </c>
      <c r="H511" s="23" t="s">
        <v>1027</v>
      </c>
      <c r="I511" s="14">
        <f>SUM(I512:I512)</f>
        <v>0</v>
      </c>
      <c r="J511" s="44" t="s">
        <v>769</v>
      </c>
      <c r="AH511" s="30" t="s">
        <v>262</v>
      </c>
      <c r="AR511" s="14">
        <f>SUM(AI512:AI512)</f>
        <v>0</v>
      </c>
      <c r="AS511" s="14">
        <f>SUM(AJ512:AJ512)</f>
        <v>0</v>
      </c>
      <c r="AT511" s="14">
        <f>SUM(AK512:AK512)</f>
        <v>0</v>
      </c>
    </row>
    <row r="512" spans="1:74" ht="13.5" customHeight="1" x14ac:dyDescent="0.25">
      <c r="A512" s="10" t="s">
        <v>64</v>
      </c>
      <c r="B512" s="9" t="s">
        <v>262</v>
      </c>
      <c r="C512" s="9" t="s">
        <v>387</v>
      </c>
      <c r="D512" s="76" t="s">
        <v>1161</v>
      </c>
      <c r="E512" s="77"/>
      <c r="F512" s="9" t="s">
        <v>909</v>
      </c>
      <c r="G512" s="56">
        <v>15</v>
      </c>
      <c r="H512" s="56">
        <v>0</v>
      </c>
      <c r="I512" s="56">
        <f>G512*H512</f>
        <v>0</v>
      </c>
      <c r="J512" s="54" t="s">
        <v>501</v>
      </c>
      <c r="Y512" s="56">
        <f>IF(AP512="5",BI512,0)</f>
        <v>0</v>
      </c>
      <c r="AA512" s="56">
        <f>IF(AP512="1",BG512,0)</f>
        <v>0</v>
      </c>
      <c r="AB512" s="56">
        <f>IF(AP512="1",BH512,0)</f>
        <v>0</v>
      </c>
      <c r="AC512" s="56">
        <f>IF(AP512="7",BG512,0)</f>
        <v>0</v>
      </c>
      <c r="AD512" s="56">
        <f>IF(AP512="7",BH512,0)</f>
        <v>0</v>
      </c>
      <c r="AE512" s="56">
        <f>IF(AP512="2",BG512,0)</f>
        <v>0</v>
      </c>
      <c r="AF512" s="56">
        <f>IF(AP512="2",BH512,0)</f>
        <v>0</v>
      </c>
      <c r="AG512" s="56">
        <f>IF(AP512="0",BI512,0)</f>
        <v>0</v>
      </c>
      <c r="AH512" s="30" t="s">
        <v>262</v>
      </c>
      <c r="AI512" s="56">
        <f>IF(AM512=0,I512,0)</f>
        <v>0</v>
      </c>
      <c r="AJ512" s="56">
        <f>IF(AM512=15,I512,0)</f>
        <v>0</v>
      </c>
      <c r="AK512" s="56">
        <f>IF(AM512=21,I512,0)</f>
        <v>0</v>
      </c>
      <c r="AM512" s="56">
        <v>21</v>
      </c>
      <c r="AN512" s="56">
        <f>H512*0</f>
        <v>0</v>
      </c>
      <c r="AO512" s="56">
        <f>H512*(1-0)</f>
        <v>0</v>
      </c>
      <c r="AP512" s="41" t="s">
        <v>1109</v>
      </c>
      <c r="AU512" s="56">
        <f>AV512+AW512</f>
        <v>0</v>
      </c>
      <c r="AV512" s="56">
        <f>G512*AN512</f>
        <v>0</v>
      </c>
      <c r="AW512" s="56">
        <f>G512*AO512</f>
        <v>0</v>
      </c>
      <c r="AX512" s="41" t="s">
        <v>348</v>
      </c>
      <c r="AY512" s="41" t="s">
        <v>633</v>
      </c>
      <c r="AZ512" s="30" t="s">
        <v>478</v>
      </c>
      <c r="BB512" s="56">
        <f>AV512+AW512</f>
        <v>0</v>
      </c>
      <c r="BC512" s="56">
        <f>H512/(100-BD512)*100</f>
        <v>0</v>
      </c>
      <c r="BD512" s="56">
        <v>0</v>
      </c>
      <c r="BE512" s="56" t="e">
        <f>#REF!</f>
        <v>#REF!</v>
      </c>
      <c r="BG512" s="56">
        <f>G512*AN512</f>
        <v>0</v>
      </c>
      <c r="BH512" s="56">
        <f>G512*AO512</f>
        <v>0</v>
      </c>
      <c r="BI512" s="56">
        <f>G512*H512</f>
        <v>0</v>
      </c>
      <c r="BJ512" s="56"/>
      <c r="BK512" s="56">
        <v>97</v>
      </c>
      <c r="BV512" s="56">
        <v>21</v>
      </c>
    </row>
    <row r="513" spans="1:74" ht="15" customHeight="1" x14ac:dyDescent="0.25">
      <c r="A513" s="27" t="s">
        <v>769</v>
      </c>
      <c r="B513" s="28" t="s">
        <v>262</v>
      </c>
      <c r="C513" s="28" t="s">
        <v>628</v>
      </c>
      <c r="D513" s="132" t="s">
        <v>606</v>
      </c>
      <c r="E513" s="133"/>
      <c r="F513" s="23" t="s">
        <v>1027</v>
      </c>
      <c r="G513" s="23" t="s">
        <v>1027</v>
      </c>
      <c r="H513" s="23" t="s">
        <v>1027</v>
      </c>
      <c r="I513" s="14">
        <f>SUM(I514:I514)</f>
        <v>0</v>
      </c>
      <c r="J513" s="44" t="s">
        <v>769</v>
      </c>
      <c r="AH513" s="30" t="s">
        <v>262</v>
      </c>
      <c r="AR513" s="14">
        <f>SUM(AI514:AI514)</f>
        <v>0</v>
      </c>
      <c r="AS513" s="14">
        <f>SUM(AJ514:AJ514)</f>
        <v>0</v>
      </c>
      <c r="AT513" s="14">
        <f>SUM(AK514:AK514)</f>
        <v>0</v>
      </c>
    </row>
    <row r="514" spans="1:74" ht="13.5" customHeight="1" x14ac:dyDescent="0.25">
      <c r="A514" s="10" t="s">
        <v>620</v>
      </c>
      <c r="B514" s="9" t="s">
        <v>262</v>
      </c>
      <c r="C514" s="9" t="s">
        <v>962</v>
      </c>
      <c r="D514" s="76" t="s">
        <v>754</v>
      </c>
      <c r="E514" s="77"/>
      <c r="F514" s="9" t="s">
        <v>517</v>
      </c>
      <c r="G514" s="56">
        <v>118.812</v>
      </c>
      <c r="H514" s="56">
        <v>0</v>
      </c>
      <c r="I514" s="56">
        <f>G514*H514</f>
        <v>0</v>
      </c>
      <c r="J514" s="54" t="s">
        <v>501</v>
      </c>
      <c r="Y514" s="56">
        <f>IF(AP514="5",BI514,0)</f>
        <v>0</v>
      </c>
      <c r="AA514" s="56">
        <f>IF(AP514="1",BG514,0)</f>
        <v>0</v>
      </c>
      <c r="AB514" s="56">
        <f>IF(AP514="1",BH514,0)</f>
        <v>0</v>
      </c>
      <c r="AC514" s="56">
        <f>IF(AP514="7",BG514,0)</f>
        <v>0</v>
      </c>
      <c r="AD514" s="56">
        <f>IF(AP514="7",BH514,0)</f>
        <v>0</v>
      </c>
      <c r="AE514" s="56">
        <f>IF(AP514="2",BG514,0)</f>
        <v>0</v>
      </c>
      <c r="AF514" s="56">
        <f>IF(AP514="2",BH514,0)</f>
        <v>0</v>
      </c>
      <c r="AG514" s="56">
        <f>IF(AP514="0",BI514,0)</f>
        <v>0</v>
      </c>
      <c r="AH514" s="30" t="s">
        <v>262</v>
      </c>
      <c r="AI514" s="56">
        <f>IF(AM514=0,I514,0)</f>
        <v>0</v>
      </c>
      <c r="AJ514" s="56">
        <f>IF(AM514=15,I514,0)</f>
        <v>0</v>
      </c>
      <c r="AK514" s="56">
        <f>IF(AM514=21,I514,0)</f>
        <v>0</v>
      </c>
      <c r="AM514" s="56">
        <v>21</v>
      </c>
      <c r="AN514" s="56">
        <f>H514*0</f>
        <v>0</v>
      </c>
      <c r="AO514" s="56">
        <f>H514*(1-0)</f>
        <v>0</v>
      </c>
      <c r="AP514" s="41" t="s">
        <v>596</v>
      </c>
      <c r="AU514" s="56">
        <f>AV514+AW514</f>
        <v>0</v>
      </c>
      <c r="AV514" s="56">
        <f>G514*AN514</f>
        <v>0</v>
      </c>
      <c r="AW514" s="56">
        <f>G514*AO514</f>
        <v>0</v>
      </c>
      <c r="AX514" s="41" t="s">
        <v>345</v>
      </c>
      <c r="AY514" s="41" t="s">
        <v>633</v>
      </c>
      <c r="AZ514" s="30" t="s">
        <v>478</v>
      </c>
      <c r="BB514" s="56">
        <f>AV514+AW514</f>
        <v>0</v>
      </c>
      <c r="BC514" s="56">
        <f>H514/(100-BD514)*100</f>
        <v>0</v>
      </c>
      <c r="BD514" s="56">
        <v>0</v>
      </c>
      <c r="BE514" s="56" t="e">
        <f>#REF!</f>
        <v>#REF!</v>
      </c>
      <c r="BG514" s="56">
        <f>G514*AN514</f>
        <v>0</v>
      </c>
      <c r="BH514" s="56">
        <f>G514*AO514</f>
        <v>0</v>
      </c>
      <c r="BI514" s="56">
        <f>G514*H514</f>
        <v>0</v>
      </c>
      <c r="BJ514" s="56"/>
      <c r="BK514" s="56"/>
      <c r="BV514" s="56">
        <v>21</v>
      </c>
    </row>
    <row r="515" spans="1:74" ht="15" customHeight="1" x14ac:dyDescent="0.25">
      <c r="A515" s="27" t="s">
        <v>769</v>
      </c>
      <c r="B515" s="28" t="s">
        <v>262</v>
      </c>
      <c r="C515" s="28" t="s">
        <v>27</v>
      </c>
      <c r="D515" s="132" t="s">
        <v>593</v>
      </c>
      <c r="E515" s="133"/>
      <c r="F515" s="23" t="s">
        <v>1027</v>
      </c>
      <c r="G515" s="23" t="s">
        <v>1027</v>
      </c>
      <c r="H515" s="23" t="s">
        <v>1027</v>
      </c>
      <c r="I515" s="14">
        <f>SUM(I516:I516)</f>
        <v>0</v>
      </c>
      <c r="J515" s="44" t="s">
        <v>769</v>
      </c>
      <c r="AH515" s="30" t="s">
        <v>262</v>
      </c>
      <c r="AR515" s="14">
        <f>SUM(AI516:AI516)</f>
        <v>0</v>
      </c>
      <c r="AS515" s="14">
        <f>SUM(AJ516:AJ516)</f>
        <v>0</v>
      </c>
      <c r="AT515" s="14">
        <f>SUM(AK516:AK516)</f>
        <v>0</v>
      </c>
    </row>
    <row r="516" spans="1:74" ht="13.5" customHeight="1" x14ac:dyDescent="0.25">
      <c r="A516" s="10" t="s">
        <v>1207</v>
      </c>
      <c r="B516" s="9" t="s">
        <v>262</v>
      </c>
      <c r="C516" s="9" t="s">
        <v>859</v>
      </c>
      <c r="D516" s="76" t="s">
        <v>1048</v>
      </c>
      <c r="E516" s="77"/>
      <c r="F516" s="9" t="s">
        <v>275</v>
      </c>
      <c r="G516" s="56">
        <v>0.4</v>
      </c>
      <c r="H516" s="56">
        <v>0</v>
      </c>
      <c r="I516" s="56">
        <f>G516*H516</f>
        <v>0</v>
      </c>
      <c r="J516" s="54" t="s">
        <v>501</v>
      </c>
      <c r="Y516" s="56">
        <f>IF(AP516="5",BI516,0)</f>
        <v>0</v>
      </c>
      <c r="AA516" s="56">
        <f>IF(AP516="1",BG516,0)</f>
        <v>0</v>
      </c>
      <c r="AB516" s="56">
        <f>IF(AP516="1",BH516,0)</f>
        <v>0</v>
      </c>
      <c r="AC516" s="56">
        <f>IF(AP516="7",BG516,0)</f>
        <v>0</v>
      </c>
      <c r="AD516" s="56">
        <f>IF(AP516="7",BH516,0)</f>
        <v>0</v>
      </c>
      <c r="AE516" s="56">
        <f>IF(AP516="2",BG516,0)</f>
        <v>0</v>
      </c>
      <c r="AF516" s="56">
        <f>IF(AP516="2",BH516,0)</f>
        <v>0</v>
      </c>
      <c r="AG516" s="56">
        <f>IF(AP516="0",BI516,0)</f>
        <v>0</v>
      </c>
      <c r="AH516" s="30" t="s">
        <v>262</v>
      </c>
      <c r="AI516" s="56">
        <f>IF(AM516=0,I516,0)</f>
        <v>0</v>
      </c>
      <c r="AJ516" s="56">
        <f>IF(AM516=15,I516,0)</f>
        <v>0</v>
      </c>
      <c r="AK516" s="56">
        <f>IF(AM516=21,I516,0)</f>
        <v>0</v>
      </c>
      <c r="AM516" s="56">
        <v>21</v>
      </c>
      <c r="AN516" s="56">
        <f>H516*0</f>
        <v>0</v>
      </c>
      <c r="AO516" s="56">
        <f>H516*(1-0)</f>
        <v>0</v>
      </c>
      <c r="AP516" s="41" t="s">
        <v>766</v>
      </c>
      <c r="AU516" s="56">
        <f>AV516+AW516</f>
        <v>0</v>
      </c>
      <c r="AV516" s="56">
        <f>G516*AN516</f>
        <v>0</v>
      </c>
      <c r="AW516" s="56">
        <f>G516*AO516</f>
        <v>0</v>
      </c>
      <c r="AX516" s="41" t="s">
        <v>1217</v>
      </c>
      <c r="AY516" s="41" t="s">
        <v>633</v>
      </c>
      <c r="AZ516" s="30" t="s">
        <v>478</v>
      </c>
      <c r="BB516" s="56">
        <f>AV516+AW516</f>
        <v>0</v>
      </c>
      <c r="BC516" s="56">
        <f>H516/(100-BD516)*100</f>
        <v>0</v>
      </c>
      <c r="BD516" s="56">
        <v>0</v>
      </c>
      <c r="BE516" s="56" t="e">
        <f>#REF!</f>
        <v>#REF!</v>
      </c>
      <c r="BG516" s="56">
        <f>G516*AN516</f>
        <v>0</v>
      </c>
      <c r="BH516" s="56">
        <f>G516*AO516</f>
        <v>0</v>
      </c>
      <c r="BI516" s="56">
        <f>G516*H516</f>
        <v>0</v>
      </c>
      <c r="BJ516" s="56"/>
      <c r="BK516" s="56"/>
      <c r="BV516" s="56">
        <v>21</v>
      </c>
    </row>
    <row r="517" spans="1:74" ht="15" customHeight="1" x14ac:dyDescent="0.25">
      <c r="A517" s="53"/>
      <c r="D517" s="52" t="s">
        <v>766</v>
      </c>
      <c r="E517" s="37" t="s">
        <v>120</v>
      </c>
      <c r="G517" s="21">
        <v>2</v>
      </c>
      <c r="J517" s="48"/>
    </row>
    <row r="518" spans="1:74" ht="15" customHeight="1" x14ac:dyDescent="0.25">
      <c r="A518" s="27" t="s">
        <v>769</v>
      </c>
      <c r="B518" s="28" t="s">
        <v>262</v>
      </c>
      <c r="C518" s="28" t="s">
        <v>369</v>
      </c>
      <c r="D518" s="132" t="s">
        <v>485</v>
      </c>
      <c r="E518" s="133"/>
      <c r="F518" s="23" t="s">
        <v>1027</v>
      </c>
      <c r="G518" s="23" t="s">
        <v>1027</v>
      </c>
      <c r="H518" s="23" t="s">
        <v>1027</v>
      </c>
      <c r="I518" s="14">
        <f>SUM(I519:I527)</f>
        <v>0</v>
      </c>
      <c r="J518" s="44" t="s">
        <v>769</v>
      </c>
      <c r="AH518" s="30" t="s">
        <v>262</v>
      </c>
      <c r="AR518" s="14">
        <f>SUM(AI519:AI527)</f>
        <v>0</v>
      </c>
      <c r="AS518" s="14">
        <f>SUM(AJ519:AJ527)</f>
        <v>0</v>
      </c>
      <c r="AT518" s="14">
        <f>SUM(AK519:AK527)</f>
        <v>0</v>
      </c>
    </row>
    <row r="519" spans="1:74" ht="13.5" customHeight="1" x14ac:dyDescent="0.25">
      <c r="A519" s="10" t="s">
        <v>920</v>
      </c>
      <c r="B519" s="9" t="s">
        <v>262</v>
      </c>
      <c r="C519" s="9" t="s">
        <v>477</v>
      </c>
      <c r="D519" s="76" t="s">
        <v>1164</v>
      </c>
      <c r="E519" s="77"/>
      <c r="F519" s="9" t="s">
        <v>517</v>
      </c>
      <c r="G519" s="56">
        <v>33.887999999999998</v>
      </c>
      <c r="H519" s="56">
        <v>0</v>
      </c>
      <c r="I519" s="56">
        <f>G519*H519</f>
        <v>0</v>
      </c>
      <c r="J519" s="54" t="s">
        <v>501</v>
      </c>
      <c r="Y519" s="56">
        <f>IF(AP519="5",BI519,0)</f>
        <v>0</v>
      </c>
      <c r="AA519" s="56">
        <f>IF(AP519="1",BG519,0)</f>
        <v>0</v>
      </c>
      <c r="AB519" s="56">
        <f>IF(AP519="1",BH519,0)</f>
        <v>0</v>
      </c>
      <c r="AC519" s="56">
        <f>IF(AP519="7",BG519,0)</f>
        <v>0</v>
      </c>
      <c r="AD519" s="56">
        <f>IF(AP519="7",BH519,0)</f>
        <v>0</v>
      </c>
      <c r="AE519" s="56">
        <f>IF(AP519="2",BG519,0)</f>
        <v>0</v>
      </c>
      <c r="AF519" s="56">
        <f>IF(AP519="2",BH519,0)</f>
        <v>0</v>
      </c>
      <c r="AG519" s="56">
        <f>IF(AP519="0",BI519,0)</f>
        <v>0</v>
      </c>
      <c r="AH519" s="30" t="s">
        <v>262</v>
      </c>
      <c r="AI519" s="56">
        <f>IF(AM519=0,I519,0)</f>
        <v>0</v>
      </c>
      <c r="AJ519" s="56">
        <f>IF(AM519=15,I519,0)</f>
        <v>0</v>
      </c>
      <c r="AK519" s="56">
        <f>IF(AM519=21,I519,0)</f>
        <v>0</v>
      </c>
      <c r="AM519" s="56">
        <v>21</v>
      </c>
      <c r="AN519" s="56">
        <f>H519*0</f>
        <v>0</v>
      </c>
      <c r="AO519" s="56">
        <f>H519*(1-0)</f>
        <v>0</v>
      </c>
      <c r="AP519" s="41" t="s">
        <v>596</v>
      </c>
      <c r="AU519" s="56">
        <f>AV519+AW519</f>
        <v>0</v>
      </c>
      <c r="AV519" s="56">
        <f>G519*AN519</f>
        <v>0</v>
      </c>
      <c r="AW519" s="56">
        <f>G519*AO519</f>
        <v>0</v>
      </c>
      <c r="AX519" s="41" t="s">
        <v>465</v>
      </c>
      <c r="AY519" s="41" t="s">
        <v>633</v>
      </c>
      <c r="AZ519" s="30" t="s">
        <v>478</v>
      </c>
      <c r="BB519" s="56">
        <f>AV519+AW519</f>
        <v>0</v>
      </c>
      <c r="BC519" s="56">
        <f>H519/(100-BD519)*100</f>
        <v>0</v>
      </c>
      <c r="BD519" s="56">
        <v>0</v>
      </c>
      <c r="BE519" s="56" t="e">
        <f>#REF!</f>
        <v>#REF!</v>
      </c>
      <c r="BG519" s="56">
        <f>G519*AN519</f>
        <v>0</v>
      </c>
      <c r="BH519" s="56">
        <f>G519*AO519</f>
        <v>0</v>
      </c>
      <c r="BI519" s="56">
        <f>G519*H519</f>
        <v>0</v>
      </c>
      <c r="BJ519" s="56"/>
      <c r="BK519" s="56"/>
      <c r="BV519" s="56">
        <v>21</v>
      </c>
    </row>
    <row r="520" spans="1:74" ht="15" customHeight="1" x14ac:dyDescent="0.25">
      <c r="A520" s="53"/>
      <c r="D520" s="52" t="s">
        <v>764</v>
      </c>
      <c r="E520" s="37" t="s">
        <v>769</v>
      </c>
      <c r="G520" s="21">
        <v>33.888000000000005</v>
      </c>
      <c r="J520" s="48"/>
    </row>
    <row r="521" spans="1:74" ht="13.5" customHeight="1" x14ac:dyDescent="0.25">
      <c r="A521" s="10" t="s">
        <v>718</v>
      </c>
      <c r="B521" s="9" t="s">
        <v>262</v>
      </c>
      <c r="C521" s="9" t="s">
        <v>544</v>
      </c>
      <c r="D521" s="76" t="s">
        <v>1052</v>
      </c>
      <c r="E521" s="77"/>
      <c r="F521" s="9" t="s">
        <v>517</v>
      </c>
      <c r="G521" s="56">
        <v>643.87199999999996</v>
      </c>
      <c r="H521" s="56">
        <v>0</v>
      </c>
      <c r="I521" s="56">
        <f>G521*H521</f>
        <v>0</v>
      </c>
      <c r="J521" s="54" t="s">
        <v>501</v>
      </c>
      <c r="Y521" s="56">
        <f>IF(AP521="5",BI521,0)</f>
        <v>0</v>
      </c>
      <c r="AA521" s="56">
        <f>IF(AP521="1",BG521,0)</f>
        <v>0</v>
      </c>
      <c r="AB521" s="56">
        <f>IF(AP521="1",BH521,0)</f>
        <v>0</v>
      </c>
      <c r="AC521" s="56">
        <f>IF(AP521="7",BG521,0)</f>
        <v>0</v>
      </c>
      <c r="AD521" s="56">
        <f>IF(AP521="7",BH521,0)</f>
        <v>0</v>
      </c>
      <c r="AE521" s="56">
        <f>IF(AP521="2",BG521,0)</f>
        <v>0</v>
      </c>
      <c r="AF521" s="56">
        <f>IF(AP521="2",BH521,0)</f>
        <v>0</v>
      </c>
      <c r="AG521" s="56">
        <f>IF(AP521="0",BI521,0)</f>
        <v>0</v>
      </c>
      <c r="AH521" s="30" t="s">
        <v>262</v>
      </c>
      <c r="AI521" s="56">
        <f>IF(AM521=0,I521,0)</f>
        <v>0</v>
      </c>
      <c r="AJ521" s="56">
        <f>IF(AM521=15,I521,0)</f>
        <v>0</v>
      </c>
      <c r="AK521" s="56">
        <f>IF(AM521=21,I521,0)</f>
        <v>0</v>
      </c>
      <c r="AM521" s="56">
        <v>21</v>
      </c>
      <c r="AN521" s="56">
        <f>H521*0</f>
        <v>0</v>
      </c>
      <c r="AO521" s="56">
        <f>H521*(1-0)</f>
        <v>0</v>
      </c>
      <c r="AP521" s="41" t="s">
        <v>596</v>
      </c>
      <c r="AU521" s="56">
        <f>AV521+AW521</f>
        <v>0</v>
      </c>
      <c r="AV521" s="56">
        <f>G521*AN521</f>
        <v>0</v>
      </c>
      <c r="AW521" s="56">
        <f>G521*AO521</f>
        <v>0</v>
      </c>
      <c r="AX521" s="41" t="s">
        <v>465</v>
      </c>
      <c r="AY521" s="41" t="s">
        <v>633</v>
      </c>
      <c r="AZ521" s="30" t="s">
        <v>478</v>
      </c>
      <c r="BB521" s="56">
        <f>AV521+AW521</f>
        <v>0</v>
      </c>
      <c r="BC521" s="56">
        <f>H521/(100-BD521)*100</f>
        <v>0</v>
      </c>
      <c r="BD521" s="56">
        <v>0</v>
      </c>
      <c r="BE521" s="56" t="e">
        <f>#REF!</f>
        <v>#REF!</v>
      </c>
      <c r="BG521" s="56">
        <f>G521*AN521</f>
        <v>0</v>
      </c>
      <c r="BH521" s="56">
        <f>G521*AO521</f>
        <v>0</v>
      </c>
      <c r="BI521" s="56">
        <f>G521*H521</f>
        <v>0</v>
      </c>
      <c r="BJ521" s="56"/>
      <c r="BK521" s="56"/>
      <c r="BV521" s="56">
        <v>21</v>
      </c>
    </row>
    <row r="522" spans="1:74" ht="15" customHeight="1" x14ac:dyDescent="0.25">
      <c r="A522" s="53"/>
      <c r="D522" s="52" t="s">
        <v>418</v>
      </c>
      <c r="E522" s="37" t="s">
        <v>446</v>
      </c>
      <c r="G522" s="21">
        <v>643.87200000000007</v>
      </c>
      <c r="J522" s="48"/>
    </row>
    <row r="523" spans="1:74" ht="13.5" customHeight="1" x14ac:dyDescent="0.25">
      <c r="A523" s="10" t="s">
        <v>173</v>
      </c>
      <c r="B523" s="9" t="s">
        <v>262</v>
      </c>
      <c r="C523" s="9" t="s">
        <v>212</v>
      </c>
      <c r="D523" s="76" t="s">
        <v>675</v>
      </c>
      <c r="E523" s="77"/>
      <c r="F523" s="9" t="s">
        <v>517</v>
      </c>
      <c r="G523" s="56">
        <v>33.887999999999998</v>
      </c>
      <c r="H523" s="56">
        <v>0</v>
      </c>
      <c r="I523" s="56">
        <f>G523*H523</f>
        <v>0</v>
      </c>
      <c r="J523" s="54" t="s">
        <v>501</v>
      </c>
      <c r="Y523" s="56">
        <f>IF(AP523="5",BI523,0)</f>
        <v>0</v>
      </c>
      <c r="AA523" s="56">
        <f>IF(AP523="1",BG523,0)</f>
        <v>0</v>
      </c>
      <c r="AB523" s="56">
        <f>IF(AP523="1",BH523,0)</f>
        <v>0</v>
      </c>
      <c r="AC523" s="56">
        <f>IF(AP523="7",BG523,0)</f>
        <v>0</v>
      </c>
      <c r="AD523" s="56">
        <f>IF(AP523="7",BH523,0)</f>
        <v>0</v>
      </c>
      <c r="AE523" s="56">
        <f>IF(AP523="2",BG523,0)</f>
        <v>0</v>
      </c>
      <c r="AF523" s="56">
        <f>IF(AP523="2",BH523,0)</f>
        <v>0</v>
      </c>
      <c r="AG523" s="56">
        <f>IF(AP523="0",BI523,0)</f>
        <v>0</v>
      </c>
      <c r="AH523" s="30" t="s">
        <v>262</v>
      </c>
      <c r="AI523" s="56">
        <f>IF(AM523=0,I523,0)</f>
        <v>0</v>
      </c>
      <c r="AJ523" s="56">
        <f>IF(AM523=15,I523,0)</f>
        <v>0</v>
      </c>
      <c r="AK523" s="56">
        <f>IF(AM523=21,I523,0)</f>
        <v>0</v>
      </c>
      <c r="AM523" s="56">
        <v>21</v>
      </c>
      <c r="AN523" s="56">
        <f>H523*0</f>
        <v>0</v>
      </c>
      <c r="AO523" s="56">
        <f>H523*(1-0)</f>
        <v>0</v>
      </c>
      <c r="AP523" s="41" t="s">
        <v>596</v>
      </c>
      <c r="AU523" s="56">
        <f>AV523+AW523</f>
        <v>0</v>
      </c>
      <c r="AV523" s="56">
        <f>G523*AN523</f>
        <v>0</v>
      </c>
      <c r="AW523" s="56">
        <f>G523*AO523</f>
        <v>0</v>
      </c>
      <c r="AX523" s="41" t="s">
        <v>465</v>
      </c>
      <c r="AY523" s="41" t="s">
        <v>633</v>
      </c>
      <c r="AZ523" s="30" t="s">
        <v>478</v>
      </c>
      <c r="BB523" s="56">
        <f>AV523+AW523</f>
        <v>0</v>
      </c>
      <c r="BC523" s="56">
        <f>H523/(100-BD523)*100</f>
        <v>0</v>
      </c>
      <c r="BD523" s="56">
        <v>0</v>
      </c>
      <c r="BE523" s="56" t="e">
        <f>#REF!</f>
        <v>#REF!</v>
      </c>
      <c r="BG523" s="56">
        <f>G523*AN523</f>
        <v>0</v>
      </c>
      <c r="BH523" s="56">
        <f>G523*AO523</f>
        <v>0</v>
      </c>
      <c r="BI523" s="56">
        <f>G523*H523</f>
        <v>0</v>
      </c>
      <c r="BJ523" s="56"/>
      <c r="BK523" s="56"/>
      <c r="BV523" s="56">
        <v>21</v>
      </c>
    </row>
    <row r="524" spans="1:74" ht="13.5" customHeight="1" x14ac:dyDescent="0.25">
      <c r="A524" s="10" t="s">
        <v>535</v>
      </c>
      <c r="B524" s="9" t="s">
        <v>262</v>
      </c>
      <c r="C524" s="9" t="s">
        <v>363</v>
      </c>
      <c r="D524" s="76" t="s">
        <v>652</v>
      </c>
      <c r="E524" s="77"/>
      <c r="F524" s="9" t="s">
        <v>517</v>
      </c>
      <c r="G524" s="56">
        <v>12.1</v>
      </c>
      <c r="H524" s="56">
        <v>0</v>
      </c>
      <c r="I524" s="56">
        <f>G524*H524</f>
        <v>0</v>
      </c>
      <c r="J524" s="54" t="s">
        <v>501</v>
      </c>
      <c r="Y524" s="56">
        <f>IF(AP524="5",BI524,0)</f>
        <v>0</v>
      </c>
      <c r="AA524" s="56">
        <f>IF(AP524="1",BG524,0)</f>
        <v>0</v>
      </c>
      <c r="AB524" s="56">
        <f>IF(AP524="1",BH524,0)</f>
        <v>0</v>
      </c>
      <c r="AC524" s="56">
        <f>IF(AP524="7",BG524,0)</f>
        <v>0</v>
      </c>
      <c r="AD524" s="56">
        <f>IF(AP524="7",BH524,0)</f>
        <v>0</v>
      </c>
      <c r="AE524" s="56">
        <f>IF(AP524="2",BG524,0)</f>
        <v>0</v>
      </c>
      <c r="AF524" s="56">
        <f>IF(AP524="2",BH524,0)</f>
        <v>0</v>
      </c>
      <c r="AG524" s="56">
        <f>IF(AP524="0",BI524,0)</f>
        <v>0</v>
      </c>
      <c r="AH524" s="30" t="s">
        <v>262</v>
      </c>
      <c r="AI524" s="56">
        <f>IF(AM524=0,I524,0)</f>
        <v>0</v>
      </c>
      <c r="AJ524" s="56">
        <f>IF(AM524=15,I524,0)</f>
        <v>0</v>
      </c>
      <c r="AK524" s="56">
        <f>IF(AM524=21,I524,0)</f>
        <v>0</v>
      </c>
      <c r="AM524" s="56">
        <v>21</v>
      </c>
      <c r="AN524" s="56">
        <f>H524*0</f>
        <v>0</v>
      </c>
      <c r="AO524" s="56">
        <f>H524*(1-0)</f>
        <v>0</v>
      </c>
      <c r="AP524" s="41" t="s">
        <v>596</v>
      </c>
      <c r="AU524" s="56">
        <f>AV524+AW524</f>
        <v>0</v>
      </c>
      <c r="AV524" s="56">
        <f>G524*AN524</f>
        <v>0</v>
      </c>
      <c r="AW524" s="56">
        <f>G524*AO524</f>
        <v>0</v>
      </c>
      <c r="AX524" s="41" t="s">
        <v>465</v>
      </c>
      <c r="AY524" s="41" t="s">
        <v>633</v>
      </c>
      <c r="AZ524" s="30" t="s">
        <v>478</v>
      </c>
      <c r="BB524" s="56">
        <f>AV524+AW524</f>
        <v>0</v>
      </c>
      <c r="BC524" s="56">
        <f>H524/(100-BD524)*100</f>
        <v>0</v>
      </c>
      <c r="BD524" s="56">
        <v>0</v>
      </c>
      <c r="BE524" s="56" t="e">
        <f>#REF!</f>
        <v>#REF!</v>
      </c>
      <c r="BG524" s="56">
        <f>G524*AN524</f>
        <v>0</v>
      </c>
      <c r="BH524" s="56">
        <f>G524*AO524</f>
        <v>0</v>
      </c>
      <c r="BI524" s="56">
        <f>G524*H524</f>
        <v>0</v>
      </c>
      <c r="BJ524" s="56"/>
      <c r="BK524" s="56"/>
      <c r="BV524" s="56">
        <v>21</v>
      </c>
    </row>
    <row r="525" spans="1:74" ht="13.5" customHeight="1" x14ac:dyDescent="0.25">
      <c r="A525" s="10" t="s">
        <v>1226</v>
      </c>
      <c r="B525" s="9" t="s">
        <v>262</v>
      </c>
      <c r="C525" s="9" t="s">
        <v>226</v>
      </c>
      <c r="D525" s="76" t="s">
        <v>53</v>
      </c>
      <c r="E525" s="77"/>
      <c r="F525" s="9" t="s">
        <v>517</v>
      </c>
      <c r="G525" s="56">
        <v>0.45900000000000002</v>
      </c>
      <c r="H525" s="56">
        <v>0</v>
      </c>
      <c r="I525" s="56">
        <f>G525*H525</f>
        <v>0</v>
      </c>
      <c r="J525" s="54" t="s">
        <v>501</v>
      </c>
      <c r="Y525" s="56">
        <f>IF(AP525="5",BI525,0)</f>
        <v>0</v>
      </c>
      <c r="AA525" s="56">
        <f>IF(AP525="1",BG525,0)</f>
        <v>0</v>
      </c>
      <c r="AB525" s="56">
        <f>IF(AP525="1",BH525,0)</f>
        <v>0</v>
      </c>
      <c r="AC525" s="56">
        <f>IF(AP525="7",BG525,0)</f>
        <v>0</v>
      </c>
      <c r="AD525" s="56">
        <f>IF(AP525="7",BH525,0)</f>
        <v>0</v>
      </c>
      <c r="AE525" s="56">
        <f>IF(AP525="2",BG525,0)</f>
        <v>0</v>
      </c>
      <c r="AF525" s="56">
        <f>IF(AP525="2",BH525,0)</f>
        <v>0</v>
      </c>
      <c r="AG525" s="56">
        <f>IF(AP525="0",BI525,0)</f>
        <v>0</v>
      </c>
      <c r="AH525" s="30" t="s">
        <v>262</v>
      </c>
      <c r="AI525" s="56">
        <f>IF(AM525=0,I525,0)</f>
        <v>0</v>
      </c>
      <c r="AJ525" s="56">
        <f>IF(AM525=15,I525,0)</f>
        <v>0</v>
      </c>
      <c r="AK525" s="56">
        <f>IF(AM525=21,I525,0)</f>
        <v>0</v>
      </c>
      <c r="AM525" s="56">
        <v>21</v>
      </c>
      <c r="AN525" s="56">
        <f>H525*0</f>
        <v>0</v>
      </c>
      <c r="AO525" s="56">
        <f>H525*(1-0)</f>
        <v>0</v>
      </c>
      <c r="AP525" s="41" t="s">
        <v>596</v>
      </c>
      <c r="AU525" s="56">
        <f>AV525+AW525</f>
        <v>0</v>
      </c>
      <c r="AV525" s="56">
        <f>G525*AN525</f>
        <v>0</v>
      </c>
      <c r="AW525" s="56">
        <f>G525*AO525</f>
        <v>0</v>
      </c>
      <c r="AX525" s="41" t="s">
        <v>465</v>
      </c>
      <c r="AY525" s="41" t="s">
        <v>633</v>
      </c>
      <c r="AZ525" s="30" t="s">
        <v>478</v>
      </c>
      <c r="BB525" s="56">
        <f>AV525+AW525</f>
        <v>0</v>
      </c>
      <c r="BC525" s="56">
        <f>H525/(100-BD525)*100</f>
        <v>0</v>
      </c>
      <c r="BD525" s="56">
        <v>0</v>
      </c>
      <c r="BE525" s="56" t="e">
        <f>#REF!</f>
        <v>#REF!</v>
      </c>
      <c r="BG525" s="56">
        <f>G525*AN525</f>
        <v>0</v>
      </c>
      <c r="BH525" s="56">
        <f>G525*AO525</f>
        <v>0</v>
      </c>
      <c r="BI525" s="56">
        <f>G525*H525</f>
        <v>0</v>
      </c>
      <c r="BJ525" s="56"/>
      <c r="BK525" s="56"/>
      <c r="BV525" s="56">
        <v>21</v>
      </c>
    </row>
    <row r="526" spans="1:74" ht="15" customHeight="1" x14ac:dyDescent="0.25">
      <c r="A526" s="53"/>
      <c r="D526" s="52" t="s">
        <v>254</v>
      </c>
      <c r="E526" s="37" t="s">
        <v>1185</v>
      </c>
      <c r="G526" s="21">
        <v>0.45900000000000002</v>
      </c>
      <c r="J526" s="48"/>
    </row>
    <row r="527" spans="1:74" ht="13.5" customHeight="1" x14ac:dyDescent="0.25">
      <c r="A527" s="10" t="s">
        <v>1176</v>
      </c>
      <c r="B527" s="9" t="s">
        <v>262</v>
      </c>
      <c r="C527" s="9" t="s">
        <v>1115</v>
      </c>
      <c r="D527" s="76" t="s">
        <v>945</v>
      </c>
      <c r="E527" s="77"/>
      <c r="F527" s="9" t="s">
        <v>517</v>
      </c>
      <c r="G527" s="56">
        <v>21.329000000000001</v>
      </c>
      <c r="H527" s="56">
        <v>0</v>
      </c>
      <c r="I527" s="56">
        <f>G527*H527</f>
        <v>0</v>
      </c>
      <c r="J527" s="54" t="s">
        <v>501</v>
      </c>
      <c r="Y527" s="56">
        <f>IF(AP527="5",BI527,0)</f>
        <v>0</v>
      </c>
      <c r="AA527" s="56">
        <f>IF(AP527="1",BG527,0)</f>
        <v>0</v>
      </c>
      <c r="AB527" s="56">
        <f>IF(AP527="1",BH527,0)</f>
        <v>0</v>
      </c>
      <c r="AC527" s="56">
        <f>IF(AP527="7",BG527,0)</f>
        <v>0</v>
      </c>
      <c r="AD527" s="56">
        <f>IF(AP527="7",BH527,0)</f>
        <v>0</v>
      </c>
      <c r="AE527" s="56">
        <f>IF(AP527="2",BG527,0)</f>
        <v>0</v>
      </c>
      <c r="AF527" s="56">
        <f>IF(AP527="2",BH527,0)</f>
        <v>0</v>
      </c>
      <c r="AG527" s="56">
        <f>IF(AP527="0",BI527,0)</f>
        <v>0</v>
      </c>
      <c r="AH527" s="30" t="s">
        <v>262</v>
      </c>
      <c r="AI527" s="56">
        <f>IF(AM527=0,I527,0)</f>
        <v>0</v>
      </c>
      <c r="AJ527" s="56">
        <f>IF(AM527=15,I527,0)</f>
        <v>0</v>
      </c>
      <c r="AK527" s="56">
        <f>IF(AM527=21,I527,0)</f>
        <v>0</v>
      </c>
      <c r="AM527" s="56">
        <v>21</v>
      </c>
      <c r="AN527" s="56">
        <f>H527*0</f>
        <v>0</v>
      </c>
      <c r="AO527" s="56">
        <f>H527*(1-0)</f>
        <v>0</v>
      </c>
      <c r="AP527" s="41" t="s">
        <v>596</v>
      </c>
      <c r="AU527" s="56">
        <f>AV527+AW527</f>
        <v>0</v>
      </c>
      <c r="AV527" s="56">
        <f>G527*AN527</f>
        <v>0</v>
      </c>
      <c r="AW527" s="56">
        <f>G527*AO527</f>
        <v>0</v>
      </c>
      <c r="AX527" s="41" t="s">
        <v>465</v>
      </c>
      <c r="AY527" s="41" t="s">
        <v>633</v>
      </c>
      <c r="AZ527" s="30" t="s">
        <v>478</v>
      </c>
      <c r="BB527" s="56">
        <f>AV527+AW527</f>
        <v>0</v>
      </c>
      <c r="BC527" s="56">
        <f>H527/(100-BD527)*100</f>
        <v>0</v>
      </c>
      <c r="BD527" s="56">
        <v>0</v>
      </c>
      <c r="BE527" s="56" t="e">
        <f>#REF!</f>
        <v>#REF!</v>
      </c>
      <c r="BG527" s="56">
        <f>G527*AN527</f>
        <v>0</v>
      </c>
      <c r="BH527" s="56">
        <f>G527*AO527</f>
        <v>0</v>
      </c>
      <c r="BI527" s="56">
        <f>G527*H527</f>
        <v>0</v>
      </c>
      <c r="BJ527" s="56"/>
      <c r="BK527" s="56"/>
      <c r="BV527" s="56">
        <v>21</v>
      </c>
    </row>
    <row r="528" spans="1:74" ht="15" customHeight="1" x14ac:dyDescent="0.25">
      <c r="A528" s="27" t="s">
        <v>769</v>
      </c>
      <c r="B528" s="28" t="s">
        <v>1212</v>
      </c>
      <c r="C528" s="28" t="s">
        <v>769</v>
      </c>
      <c r="D528" s="132" t="s">
        <v>763</v>
      </c>
      <c r="E528" s="133"/>
      <c r="F528" s="23" t="s">
        <v>1027</v>
      </c>
      <c r="G528" s="23" t="s">
        <v>1027</v>
      </c>
      <c r="H528" s="23" t="s">
        <v>1027</v>
      </c>
      <c r="I528" s="14">
        <f>I529+I540+I546+I554+I561+I566+I587+I590+I597+I610+I618+I628+I633+I637+I643+I645</f>
        <v>0</v>
      </c>
      <c r="J528" s="44" t="s">
        <v>769</v>
      </c>
    </row>
    <row r="529" spans="1:74" ht="15" customHeight="1" x14ac:dyDescent="0.25">
      <c r="A529" s="27" t="s">
        <v>769</v>
      </c>
      <c r="B529" s="28" t="s">
        <v>1212</v>
      </c>
      <c r="C529" s="28" t="s">
        <v>917</v>
      </c>
      <c r="D529" s="132" t="s">
        <v>611</v>
      </c>
      <c r="E529" s="133"/>
      <c r="F529" s="23" t="s">
        <v>1027</v>
      </c>
      <c r="G529" s="23" t="s">
        <v>1027</v>
      </c>
      <c r="H529" s="23" t="s">
        <v>1027</v>
      </c>
      <c r="I529" s="14">
        <f>SUM(I530:I538)</f>
        <v>0</v>
      </c>
      <c r="J529" s="44" t="s">
        <v>769</v>
      </c>
      <c r="AH529" s="30" t="s">
        <v>1212</v>
      </c>
      <c r="AR529" s="14">
        <f>SUM(AI530:AI538)</f>
        <v>0</v>
      </c>
      <c r="AS529" s="14">
        <f>SUM(AJ530:AJ538)</f>
        <v>0</v>
      </c>
      <c r="AT529" s="14">
        <f>SUM(AK530:AK538)</f>
        <v>0</v>
      </c>
    </row>
    <row r="530" spans="1:74" ht="13.5" customHeight="1" x14ac:dyDescent="0.25">
      <c r="A530" s="10" t="s">
        <v>523</v>
      </c>
      <c r="B530" s="9" t="s">
        <v>1212</v>
      </c>
      <c r="C530" s="9" t="s">
        <v>373</v>
      </c>
      <c r="D530" s="76" t="s">
        <v>885</v>
      </c>
      <c r="E530" s="77"/>
      <c r="F530" s="9" t="s">
        <v>1095</v>
      </c>
      <c r="G530" s="56">
        <v>11.7</v>
      </c>
      <c r="H530" s="56">
        <v>0</v>
      </c>
      <c r="I530" s="56">
        <f>G530*H530</f>
        <v>0</v>
      </c>
      <c r="J530" s="54" t="s">
        <v>501</v>
      </c>
      <c r="Y530" s="56">
        <f>IF(AP530="5",BI530,0)</f>
        <v>0</v>
      </c>
      <c r="AA530" s="56">
        <f>IF(AP530="1",BG530,0)</f>
        <v>0</v>
      </c>
      <c r="AB530" s="56">
        <f>IF(AP530="1",BH530,0)</f>
        <v>0</v>
      </c>
      <c r="AC530" s="56">
        <f>IF(AP530="7",BG530,0)</f>
        <v>0</v>
      </c>
      <c r="AD530" s="56">
        <f>IF(AP530="7",BH530,0)</f>
        <v>0</v>
      </c>
      <c r="AE530" s="56">
        <f>IF(AP530="2",BG530,0)</f>
        <v>0</v>
      </c>
      <c r="AF530" s="56">
        <f>IF(AP530="2",BH530,0)</f>
        <v>0</v>
      </c>
      <c r="AG530" s="56">
        <f>IF(AP530="0",BI530,0)</f>
        <v>0</v>
      </c>
      <c r="AH530" s="30" t="s">
        <v>1212</v>
      </c>
      <c r="AI530" s="56">
        <f>IF(AM530=0,I530,0)</f>
        <v>0</v>
      </c>
      <c r="AJ530" s="56">
        <f>IF(AM530=15,I530,0)</f>
        <v>0</v>
      </c>
      <c r="AK530" s="56">
        <f>IF(AM530=21,I530,0)</f>
        <v>0</v>
      </c>
      <c r="AM530" s="56">
        <v>21</v>
      </c>
      <c r="AN530" s="56">
        <f>H530*0</f>
        <v>0</v>
      </c>
      <c r="AO530" s="56">
        <f>H530*(1-0)</f>
        <v>0</v>
      </c>
      <c r="AP530" s="41" t="s">
        <v>1109</v>
      </c>
      <c r="AU530" s="56">
        <f>AV530+AW530</f>
        <v>0</v>
      </c>
      <c r="AV530" s="56">
        <f>G530*AN530</f>
        <v>0</v>
      </c>
      <c r="AW530" s="56">
        <f>G530*AO530</f>
        <v>0</v>
      </c>
      <c r="AX530" s="41" t="s">
        <v>124</v>
      </c>
      <c r="AY530" s="41" t="s">
        <v>404</v>
      </c>
      <c r="AZ530" s="30" t="s">
        <v>1193</v>
      </c>
      <c r="BB530" s="56">
        <f>AV530+AW530</f>
        <v>0</v>
      </c>
      <c r="BC530" s="56">
        <f>H530/(100-BD530)*100</f>
        <v>0</v>
      </c>
      <c r="BD530" s="56">
        <v>0</v>
      </c>
      <c r="BE530" s="56" t="e">
        <f>#REF!</f>
        <v>#REF!</v>
      </c>
      <c r="BG530" s="56">
        <f>G530*AN530</f>
        <v>0</v>
      </c>
      <c r="BH530" s="56">
        <f>G530*AO530</f>
        <v>0</v>
      </c>
      <c r="BI530" s="56">
        <f>G530*H530</f>
        <v>0</v>
      </c>
      <c r="BJ530" s="56"/>
      <c r="BK530" s="56">
        <v>11</v>
      </c>
      <c r="BV530" s="56">
        <v>21</v>
      </c>
    </row>
    <row r="531" spans="1:74" ht="15" customHeight="1" x14ac:dyDescent="0.25">
      <c r="A531" s="53"/>
      <c r="D531" s="52" t="s">
        <v>787</v>
      </c>
      <c r="E531" s="37" t="s">
        <v>715</v>
      </c>
      <c r="G531" s="21">
        <v>0.9</v>
      </c>
      <c r="J531" s="48"/>
    </row>
    <row r="532" spans="1:74" ht="15" customHeight="1" x14ac:dyDescent="0.25">
      <c r="A532" s="53"/>
      <c r="D532" s="52" t="s">
        <v>314</v>
      </c>
      <c r="E532" s="37" t="s">
        <v>425</v>
      </c>
      <c r="G532" s="21">
        <v>2.6</v>
      </c>
      <c r="J532" s="48"/>
    </row>
    <row r="533" spans="1:74" ht="15" customHeight="1" x14ac:dyDescent="0.25">
      <c r="A533" s="53"/>
      <c r="D533" s="52" t="s">
        <v>1069</v>
      </c>
      <c r="E533" s="37" t="s">
        <v>159</v>
      </c>
      <c r="G533" s="21">
        <v>6.5000000000000009</v>
      </c>
      <c r="J533" s="48"/>
    </row>
    <row r="534" spans="1:74" ht="15" customHeight="1" x14ac:dyDescent="0.25">
      <c r="A534" s="53"/>
      <c r="D534" s="52" t="s">
        <v>893</v>
      </c>
      <c r="E534" s="37" t="s">
        <v>80</v>
      </c>
      <c r="G534" s="21">
        <v>1.7000000000000002</v>
      </c>
      <c r="J534" s="48"/>
    </row>
    <row r="535" spans="1:74" ht="13.5" customHeight="1" x14ac:dyDescent="0.25">
      <c r="A535" s="10" t="s">
        <v>1168</v>
      </c>
      <c r="B535" s="9" t="s">
        <v>1212</v>
      </c>
      <c r="C535" s="9" t="s">
        <v>980</v>
      </c>
      <c r="D535" s="76" t="s">
        <v>283</v>
      </c>
      <c r="E535" s="77"/>
      <c r="F535" s="9" t="s">
        <v>1095</v>
      </c>
      <c r="G535" s="56">
        <v>16</v>
      </c>
      <c r="H535" s="56">
        <v>0</v>
      </c>
      <c r="I535" s="56">
        <f>G535*H535</f>
        <v>0</v>
      </c>
      <c r="J535" s="54" t="s">
        <v>501</v>
      </c>
      <c r="Y535" s="56">
        <f>IF(AP535="5",BI535,0)</f>
        <v>0</v>
      </c>
      <c r="AA535" s="56">
        <f>IF(AP535="1",BG535,0)</f>
        <v>0</v>
      </c>
      <c r="AB535" s="56">
        <f>IF(AP535="1",BH535,0)</f>
        <v>0</v>
      </c>
      <c r="AC535" s="56">
        <f>IF(AP535="7",BG535,0)</f>
        <v>0</v>
      </c>
      <c r="AD535" s="56">
        <f>IF(AP535="7",BH535,0)</f>
        <v>0</v>
      </c>
      <c r="AE535" s="56">
        <f>IF(AP535="2",BG535,0)</f>
        <v>0</v>
      </c>
      <c r="AF535" s="56">
        <f>IF(AP535="2",BH535,0)</f>
        <v>0</v>
      </c>
      <c r="AG535" s="56">
        <f>IF(AP535="0",BI535,0)</f>
        <v>0</v>
      </c>
      <c r="AH535" s="30" t="s">
        <v>1212</v>
      </c>
      <c r="AI535" s="56">
        <f>IF(AM535=0,I535,0)</f>
        <v>0</v>
      </c>
      <c r="AJ535" s="56">
        <f>IF(AM535=15,I535,0)</f>
        <v>0</v>
      </c>
      <c r="AK535" s="56">
        <f>IF(AM535=21,I535,0)</f>
        <v>0</v>
      </c>
      <c r="AM535" s="56">
        <v>21</v>
      </c>
      <c r="AN535" s="56">
        <f>H535*0</f>
        <v>0</v>
      </c>
      <c r="AO535" s="56">
        <f>H535*(1-0)</f>
        <v>0</v>
      </c>
      <c r="AP535" s="41" t="s">
        <v>1109</v>
      </c>
      <c r="AU535" s="56">
        <f>AV535+AW535</f>
        <v>0</v>
      </c>
      <c r="AV535" s="56">
        <f>G535*AN535</f>
        <v>0</v>
      </c>
      <c r="AW535" s="56">
        <f>G535*AO535</f>
        <v>0</v>
      </c>
      <c r="AX535" s="41" t="s">
        <v>124</v>
      </c>
      <c r="AY535" s="41" t="s">
        <v>404</v>
      </c>
      <c r="AZ535" s="30" t="s">
        <v>1193</v>
      </c>
      <c r="BB535" s="56">
        <f>AV535+AW535</f>
        <v>0</v>
      </c>
      <c r="BC535" s="56">
        <f>H535/(100-BD535)*100</f>
        <v>0</v>
      </c>
      <c r="BD535" s="56">
        <v>0</v>
      </c>
      <c r="BE535" s="56" t="e">
        <f>#REF!</f>
        <v>#REF!</v>
      </c>
      <c r="BG535" s="56">
        <f>G535*AN535</f>
        <v>0</v>
      </c>
      <c r="BH535" s="56">
        <f>G535*AO535</f>
        <v>0</v>
      </c>
      <c r="BI535" s="56">
        <f>G535*H535</f>
        <v>0</v>
      </c>
      <c r="BJ535" s="56"/>
      <c r="BK535" s="56">
        <v>11</v>
      </c>
      <c r="BV535" s="56">
        <v>21</v>
      </c>
    </row>
    <row r="536" spans="1:74" ht="13.5" customHeight="1" x14ac:dyDescent="0.25">
      <c r="A536" s="10" t="s">
        <v>605</v>
      </c>
      <c r="B536" s="9" t="s">
        <v>1212</v>
      </c>
      <c r="C536" s="9" t="s">
        <v>1158</v>
      </c>
      <c r="D536" s="76" t="s">
        <v>480</v>
      </c>
      <c r="E536" s="77"/>
      <c r="F536" s="9" t="s">
        <v>1095</v>
      </c>
      <c r="G536" s="56">
        <v>3.5</v>
      </c>
      <c r="H536" s="56">
        <v>0</v>
      </c>
      <c r="I536" s="56">
        <f>G536*H536</f>
        <v>0</v>
      </c>
      <c r="J536" s="54" t="s">
        <v>501</v>
      </c>
      <c r="Y536" s="56">
        <f>IF(AP536="5",BI536,0)</f>
        <v>0</v>
      </c>
      <c r="AA536" s="56">
        <f>IF(AP536="1",BG536,0)</f>
        <v>0</v>
      </c>
      <c r="AB536" s="56">
        <f>IF(AP536="1",BH536,0)</f>
        <v>0</v>
      </c>
      <c r="AC536" s="56">
        <f>IF(AP536="7",BG536,0)</f>
        <v>0</v>
      </c>
      <c r="AD536" s="56">
        <f>IF(AP536="7",BH536,0)</f>
        <v>0</v>
      </c>
      <c r="AE536" s="56">
        <f>IF(AP536="2",BG536,0)</f>
        <v>0</v>
      </c>
      <c r="AF536" s="56">
        <f>IF(AP536="2",BH536,0)</f>
        <v>0</v>
      </c>
      <c r="AG536" s="56">
        <f>IF(AP536="0",BI536,0)</f>
        <v>0</v>
      </c>
      <c r="AH536" s="30" t="s">
        <v>1212</v>
      </c>
      <c r="AI536" s="56">
        <f>IF(AM536=0,I536,0)</f>
        <v>0</v>
      </c>
      <c r="AJ536" s="56">
        <f>IF(AM536=15,I536,0)</f>
        <v>0</v>
      </c>
      <c r="AK536" s="56">
        <f>IF(AM536=21,I536,0)</f>
        <v>0</v>
      </c>
      <c r="AM536" s="56">
        <v>21</v>
      </c>
      <c r="AN536" s="56">
        <f>H536*0</f>
        <v>0</v>
      </c>
      <c r="AO536" s="56">
        <f>H536*(1-0)</f>
        <v>0</v>
      </c>
      <c r="AP536" s="41" t="s">
        <v>1109</v>
      </c>
      <c r="AU536" s="56">
        <f>AV536+AW536</f>
        <v>0</v>
      </c>
      <c r="AV536" s="56">
        <f>G536*AN536</f>
        <v>0</v>
      </c>
      <c r="AW536" s="56">
        <f>G536*AO536</f>
        <v>0</v>
      </c>
      <c r="AX536" s="41" t="s">
        <v>124</v>
      </c>
      <c r="AY536" s="41" t="s">
        <v>404</v>
      </c>
      <c r="AZ536" s="30" t="s">
        <v>1193</v>
      </c>
      <c r="BB536" s="56">
        <f>AV536+AW536</f>
        <v>0</v>
      </c>
      <c r="BC536" s="56">
        <f>H536/(100-BD536)*100</f>
        <v>0</v>
      </c>
      <c r="BD536" s="56">
        <v>0</v>
      </c>
      <c r="BE536" s="56" t="e">
        <f>#REF!</f>
        <v>#REF!</v>
      </c>
      <c r="BG536" s="56">
        <f>G536*AN536</f>
        <v>0</v>
      </c>
      <c r="BH536" s="56">
        <f>G536*AO536</f>
        <v>0</v>
      </c>
      <c r="BI536" s="56">
        <f>G536*H536</f>
        <v>0</v>
      </c>
      <c r="BJ536" s="56"/>
      <c r="BK536" s="56">
        <v>11</v>
      </c>
      <c r="BV536" s="56">
        <v>21</v>
      </c>
    </row>
    <row r="537" spans="1:74" ht="13.5" customHeight="1" x14ac:dyDescent="0.25">
      <c r="A537" s="10" t="s">
        <v>830</v>
      </c>
      <c r="B537" s="9" t="s">
        <v>1212</v>
      </c>
      <c r="C537" s="9" t="s">
        <v>790</v>
      </c>
      <c r="D537" s="76" t="s">
        <v>1040</v>
      </c>
      <c r="E537" s="77"/>
      <c r="F537" s="9" t="s">
        <v>909</v>
      </c>
      <c r="G537" s="56">
        <v>8</v>
      </c>
      <c r="H537" s="56">
        <v>0</v>
      </c>
      <c r="I537" s="56">
        <f>G537*H537</f>
        <v>0</v>
      </c>
      <c r="J537" s="54" t="s">
        <v>501</v>
      </c>
      <c r="Y537" s="56">
        <f>IF(AP537="5",BI537,0)</f>
        <v>0</v>
      </c>
      <c r="AA537" s="56">
        <f>IF(AP537="1",BG537,0)</f>
        <v>0</v>
      </c>
      <c r="AB537" s="56">
        <f>IF(AP537="1",BH537,0)</f>
        <v>0</v>
      </c>
      <c r="AC537" s="56">
        <f>IF(AP537="7",BG537,0)</f>
        <v>0</v>
      </c>
      <c r="AD537" s="56">
        <f>IF(AP537="7",BH537,0)</f>
        <v>0</v>
      </c>
      <c r="AE537" s="56">
        <f>IF(AP537="2",BG537,0)</f>
        <v>0</v>
      </c>
      <c r="AF537" s="56">
        <f>IF(AP537="2",BH537,0)</f>
        <v>0</v>
      </c>
      <c r="AG537" s="56">
        <f>IF(AP537="0",BI537,0)</f>
        <v>0</v>
      </c>
      <c r="AH537" s="30" t="s">
        <v>1212</v>
      </c>
      <c r="AI537" s="56">
        <f>IF(AM537=0,I537,0)</f>
        <v>0</v>
      </c>
      <c r="AJ537" s="56">
        <f>IF(AM537=15,I537,0)</f>
        <v>0</v>
      </c>
      <c r="AK537" s="56">
        <f>IF(AM537=21,I537,0)</f>
        <v>0</v>
      </c>
      <c r="AM537" s="56">
        <v>21</v>
      </c>
      <c r="AN537" s="56">
        <f>H537*0</f>
        <v>0</v>
      </c>
      <c r="AO537" s="56">
        <f>H537*(1-0)</f>
        <v>0</v>
      </c>
      <c r="AP537" s="41" t="s">
        <v>1109</v>
      </c>
      <c r="AU537" s="56">
        <f>AV537+AW537</f>
        <v>0</v>
      </c>
      <c r="AV537" s="56">
        <f>G537*AN537</f>
        <v>0</v>
      </c>
      <c r="AW537" s="56">
        <f>G537*AO537</f>
        <v>0</v>
      </c>
      <c r="AX537" s="41" t="s">
        <v>124</v>
      </c>
      <c r="AY537" s="41" t="s">
        <v>404</v>
      </c>
      <c r="AZ537" s="30" t="s">
        <v>1193</v>
      </c>
      <c r="BB537" s="56">
        <f>AV537+AW537</f>
        <v>0</v>
      </c>
      <c r="BC537" s="56">
        <f>H537/(100-BD537)*100</f>
        <v>0</v>
      </c>
      <c r="BD537" s="56">
        <v>0</v>
      </c>
      <c r="BE537" s="56" t="e">
        <f>#REF!</f>
        <v>#REF!</v>
      </c>
      <c r="BG537" s="56">
        <f>G537*AN537</f>
        <v>0</v>
      </c>
      <c r="BH537" s="56">
        <f>G537*AO537</f>
        <v>0</v>
      </c>
      <c r="BI537" s="56">
        <f>G537*H537</f>
        <v>0</v>
      </c>
      <c r="BJ537" s="56"/>
      <c r="BK537" s="56">
        <v>11</v>
      </c>
      <c r="BV537" s="56">
        <v>21</v>
      </c>
    </row>
    <row r="538" spans="1:74" ht="13.5" customHeight="1" x14ac:dyDescent="0.25">
      <c r="A538" s="10" t="s">
        <v>513</v>
      </c>
      <c r="B538" s="9" t="s">
        <v>1212</v>
      </c>
      <c r="C538" s="9" t="s">
        <v>804</v>
      </c>
      <c r="D538" s="76" t="s">
        <v>697</v>
      </c>
      <c r="E538" s="77"/>
      <c r="F538" s="9" t="s">
        <v>909</v>
      </c>
      <c r="G538" s="56">
        <v>3</v>
      </c>
      <c r="H538" s="56">
        <v>0</v>
      </c>
      <c r="I538" s="56">
        <f>G538*H538</f>
        <v>0</v>
      </c>
      <c r="J538" s="54" t="s">
        <v>501</v>
      </c>
      <c r="Y538" s="56">
        <f>IF(AP538="5",BI538,0)</f>
        <v>0</v>
      </c>
      <c r="AA538" s="56">
        <f>IF(AP538="1",BG538,0)</f>
        <v>0</v>
      </c>
      <c r="AB538" s="56">
        <f>IF(AP538="1",BH538,0)</f>
        <v>0</v>
      </c>
      <c r="AC538" s="56">
        <f>IF(AP538="7",BG538,0)</f>
        <v>0</v>
      </c>
      <c r="AD538" s="56">
        <f>IF(AP538="7",BH538,0)</f>
        <v>0</v>
      </c>
      <c r="AE538" s="56">
        <f>IF(AP538="2",BG538,0)</f>
        <v>0</v>
      </c>
      <c r="AF538" s="56">
        <f>IF(AP538="2",BH538,0)</f>
        <v>0</v>
      </c>
      <c r="AG538" s="56">
        <f>IF(AP538="0",BI538,0)</f>
        <v>0</v>
      </c>
      <c r="AH538" s="30" t="s">
        <v>1212</v>
      </c>
      <c r="AI538" s="56">
        <f>IF(AM538=0,I538,0)</f>
        <v>0</v>
      </c>
      <c r="AJ538" s="56">
        <f>IF(AM538=15,I538,0)</f>
        <v>0</v>
      </c>
      <c r="AK538" s="56">
        <f>IF(AM538=21,I538,0)</f>
        <v>0</v>
      </c>
      <c r="AM538" s="56">
        <v>21</v>
      </c>
      <c r="AN538" s="56">
        <f>H538*0.341992238033635</f>
        <v>0</v>
      </c>
      <c r="AO538" s="56">
        <f>H538*(1-0.341992238033635)</f>
        <v>0</v>
      </c>
      <c r="AP538" s="41" t="s">
        <v>1109</v>
      </c>
      <c r="AU538" s="56">
        <f>AV538+AW538</f>
        <v>0</v>
      </c>
      <c r="AV538" s="56">
        <f>G538*AN538</f>
        <v>0</v>
      </c>
      <c r="AW538" s="56">
        <f>G538*AO538</f>
        <v>0</v>
      </c>
      <c r="AX538" s="41" t="s">
        <v>124</v>
      </c>
      <c r="AY538" s="41" t="s">
        <v>404</v>
      </c>
      <c r="AZ538" s="30" t="s">
        <v>1193</v>
      </c>
      <c r="BB538" s="56">
        <f>AV538+AW538</f>
        <v>0</v>
      </c>
      <c r="BC538" s="56">
        <f>H538/(100-BD538)*100</f>
        <v>0</v>
      </c>
      <c r="BD538" s="56">
        <v>0</v>
      </c>
      <c r="BE538" s="56" t="e">
        <f>#REF!</f>
        <v>#REF!</v>
      </c>
      <c r="BG538" s="56">
        <f>G538*AN538</f>
        <v>0</v>
      </c>
      <c r="BH538" s="56">
        <f>G538*AO538</f>
        <v>0</v>
      </c>
      <c r="BI538" s="56">
        <f>G538*H538</f>
        <v>0</v>
      </c>
      <c r="BJ538" s="56"/>
      <c r="BK538" s="56">
        <v>11</v>
      </c>
      <c r="BV538" s="56">
        <v>21</v>
      </c>
    </row>
    <row r="539" spans="1:74" ht="15" customHeight="1" x14ac:dyDescent="0.25">
      <c r="A539" s="53"/>
      <c r="D539" s="52" t="s">
        <v>952</v>
      </c>
      <c r="E539" s="37" t="s">
        <v>709</v>
      </c>
      <c r="G539" s="21">
        <v>3.0000000000000004</v>
      </c>
      <c r="J539" s="48"/>
    </row>
    <row r="540" spans="1:74" ht="15" customHeight="1" x14ac:dyDescent="0.25">
      <c r="A540" s="27" t="s">
        <v>769</v>
      </c>
      <c r="B540" s="28" t="s">
        <v>1212</v>
      </c>
      <c r="C540" s="28" t="s">
        <v>815</v>
      </c>
      <c r="D540" s="132" t="s">
        <v>276</v>
      </c>
      <c r="E540" s="133"/>
      <c r="F540" s="23" t="s">
        <v>1027</v>
      </c>
      <c r="G540" s="23" t="s">
        <v>1027</v>
      </c>
      <c r="H540" s="23" t="s">
        <v>1027</v>
      </c>
      <c r="I540" s="14">
        <f>SUM(I541:I544)</f>
        <v>0</v>
      </c>
      <c r="J540" s="44" t="s">
        <v>769</v>
      </c>
      <c r="AH540" s="30" t="s">
        <v>1212</v>
      </c>
      <c r="AR540" s="14">
        <f>SUM(AI541:AI544)</f>
        <v>0</v>
      </c>
      <c r="AS540" s="14">
        <f>SUM(AJ541:AJ544)</f>
        <v>0</v>
      </c>
      <c r="AT540" s="14">
        <f>SUM(AK541:AK544)</f>
        <v>0</v>
      </c>
    </row>
    <row r="541" spans="1:74" ht="13.5" customHeight="1" x14ac:dyDescent="0.25">
      <c r="A541" s="10" t="s">
        <v>1106</v>
      </c>
      <c r="B541" s="9" t="s">
        <v>1212</v>
      </c>
      <c r="C541" s="9" t="s">
        <v>383</v>
      </c>
      <c r="D541" s="76" t="s">
        <v>76</v>
      </c>
      <c r="E541" s="77"/>
      <c r="F541" s="9" t="s">
        <v>1079</v>
      </c>
      <c r="G541" s="56">
        <v>7</v>
      </c>
      <c r="H541" s="56">
        <v>0</v>
      </c>
      <c r="I541" s="56">
        <f>G541*H541</f>
        <v>0</v>
      </c>
      <c r="J541" s="54" t="s">
        <v>501</v>
      </c>
      <c r="Y541" s="56">
        <f>IF(AP541="5",BI541,0)</f>
        <v>0</v>
      </c>
      <c r="AA541" s="56">
        <f>IF(AP541="1",BG541,0)</f>
        <v>0</v>
      </c>
      <c r="AB541" s="56">
        <f>IF(AP541="1",BH541,0)</f>
        <v>0</v>
      </c>
      <c r="AC541" s="56">
        <f>IF(AP541="7",BG541,0)</f>
        <v>0</v>
      </c>
      <c r="AD541" s="56">
        <f>IF(AP541="7",BH541,0)</f>
        <v>0</v>
      </c>
      <c r="AE541" s="56">
        <f>IF(AP541="2",BG541,0)</f>
        <v>0</v>
      </c>
      <c r="AF541" s="56">
        <f>IF(AP541="2",BH541,0)</f>
        <v>0</v>
      </c>
      <c r="AG541" s="56">
        <f>IF(AP541="0",BI541,0)</f>
        <v>0</v>
      </c>
      <c r="AH541" s="30" t="s">
        <v>1212</v>
      </c>
      <c r="AI541" s="56">
        <f>IF(AM541=0,I541,0)</f>
        <v>0</v>
      </c>
      <c r="AJ541" s="56">
        <f>IF(AM541=15,I541,0)</f>
        <v>0</v>
      </c>
      <c r="AK541" s="56">
        <f>IF(AM541=21,I541,0)</f>
        <v>0</v>
      </c>
      <c r="AM541" s="56">
        <v>21</v>
      </c>
      <c r="AN541" s="56">
        <f>H541*0</f>
        <v>0</v>
      </c>
      <c r="AO541" s="56">
        <f>H541*(1-0)</f>
        <v>0</v>
      </c>
      <c r="AP541" s="41" t="s">
        <v>1109</v>
      </c>
      <c r="AU541" s="56">
        <f>AV541+AW541</f>
        <v>0</v>
      </c>
      <c r="AV541" s="56">
        <f>G541*AN541</f>
        <v>0</v>
      </c>
      <c r="AW541" s="56">
        <f>G541*AO541</f>
        <v>0</v>
      </c>
      <c r="AX541" s="41" t="s">
        <v>569</v>
      </c>
      <c r="AY541" s="41" t="s">
        <v>404</v>
      </c>
      <c r="AZ541" s="30" t="s">
        <v>1193</v>
      </c>
      <c r="BB541" s="56">
        <f>AV541+AW541</f>
        <v>0</v>
      </c>
      <c r="BC541" s="56">
        <f>H541/(100-BD541)*100</f>
        <v>0</v>
      </c>
      <c r="BD541" s="56">
        <v>0</v>
      </c>
      <c r="BE541" s="56" t="e">
        <f>#REF!</f>
        <v>#REF!</v>
      </c>
      <c r="BG541" s="56">
        <f>G541*AN541</f>
        <v>0</v>
      </c>
      <c r="BH541" s="56">
        <f>G541*AO541</f>
        <v>0</v>
      </c>
      <c r="BI541" s="56">
        <f>G541*H541</f>
        <v>0</v>
      </c>
      <c r="BJ541" s="56"/>
      <c r="BK541" s="56">
        <v>12</v>
      </c>
      <c r="BV541" s="56">
        <v>21</v>
      </c>
    </row>
    <row r="542" spans="1:74" ht="15" customHeight="1" x14ac:dyDescent="0.25">
      <c r="A542" s="53"/>
      <c r="D542" s="52" t="s">
        <v>1165</v>
      </c>
      <c r="E542" s="37" t="s">
        <v>1140</v>
      </c>
      <c r="G542" s="21">
        <v>4</v>
      </c>
      <c r="J542" s="48"/>
    </row>
    <row r="543" spans="1:74" ht="15" customHeight="1" x14ac:dyDescent="0.25">
      <c r="A543" s="53"/>
      <c r="D543" s="52" t="s">
        <v>374</v>
      </c>
      <c r="E543" s="37" t="s">
        <v>709</v>
      </c>
      <c r="G543" s="21">
        <v>3.0000000000000004</v>
      </c>
      <c r="J543" s="48"/>
    </row>
    <row r="544" spans="1:74" ht="13.5" customHeight="1" x14ac:dyDescent="0.25">
      <c r="A544" s="10" t="s">
        <v>458</v>
      </c>
      <c r="B544" s="9" t="s">
        <v>1212</v>
      </c>
      <c r="C544" s="9" t="s">
        <v>1004</v>
      </c>
      <c r="D544" s="76" t="s">
        <v>284</v>
      </c>
      <c r="E544" s="77"/>
      <c r="F544" s="9" t="s">
        <v>1079</v>
      </c>
      <c r="G544" s="56">
        <v>1.6</v>
      </c>
      <c r="H544" s="56">
        <v>0</v>
      </c>
      <c r="I544" s="56">
        <f>G544*H544</f>
        <v>0</v>
      </c>
      <c r="J544" s="54" t="s">
        <v>501</v>
      </c>
      <c r="Y544" s="56">
        <f>IF(AP544="5",BI544,0)</f>
        <v>0</v>
      </c>
      <c r="AA544" s="56">
        <f>IF(AP544="1",BG544,0)</f>
        <v>0</v>
      </c>
      <c r="AB544" s="56">
        <f>IF(AP544="1",BH544,0)</f>
        <v>0</v>
      </c>
      <c r="AC544" s="56">
        <f>IF(AP544="7",BG544,0)</f>
        <v>0</v>
      </c>
      <c r="AD544" s="56">
        <f>IF(AP544="7",BH544,0)</f>
        <v>0</v>
      </c>
      <c r="AE544" s="56">
        <f>IF(AP544="2",BG544,0)</f>
        <v>0</v>
      </c>
      <c r="AF544" s="56">
        <f>IF(AP544="2",BH544,0)</f>
        <v>0</v>
      </c>
      <c r="AG544" s="56">
        <f>IF(AP544="0",BI544,0)</f>
        <v>0</v>
      </c>
      <c r="AH544" s="30" t="s">
        <v>1212</v>
      </c>
      <c r="AI544" s="56">
        <f>IF(AM544=0,I544,0)</f>
        <v>0</v>
      </c>
      <c r="AJ544" s="56">
        <f>IF(AM544=15,I544,0)</f>
        <v>0</v>
      </c>
      <c r="AK544" s="56">
        <f>IF(AM544=21,I544,0)</f>
        <v>0</v>
      </c>
      <c r="AM544" s="56">
        <v>21</v>
      </c>
      <c r="AN544" s="56">
        <f>H544*0</f>
        <v>0</v>
      </c>
      <c r="AO544" s="56">
        <f>H544*(1-0)</f>
        <v>0</v>
      </c>
      <c r="AP544" s="41" t="s">
        <v>1109</v>
      </c>
      <c r="AU544" s="56">
        <f>AV544+AW544</f>
        <v>0</v>
      </c>
      <c r="AV544" s="56">
        <f>G544*AN544</f>
        <v>0</v>
      </c>
      <c r="AW544" s="56">
        <f>G544*AO544</f>
        <v>0</v>
      </c>
      <c r="AX544" s="41" t="s">
        <v>569</v>
      </c>
      <c r="AY544" s="41" t="s">
        <v>404</v>
      </c>
      <c r="AZ544" s="30" t="s">
        <v>1193</v>
      </c>
      <c r="BB544" s="56">
        <f>AV544+AW544</f>
        <v>0</v>
      </c>
      <c r="BC544" s="56">
        <f>H544/(100-BD544)*100</f>
        <v>0</v>
      </c>
      <c r="BD544" s="56">
        <v>0</v>
      </c>
      <c r="BE544" s="56" t="e">
        <f>#REF!</f>
        <v>#REF!</v>
      </c>
      <c r="BG544" s="56">
        <f>G544*AN544</f>
        <v>0</v>
      </c>
      <c r="BH544" s="56">
        <f>G544*AO544</f>
        <v>0</v>
      </c>
      <c r="BI544" s="56">
        <f>G544*H544</f>
        <v>0</v>
      </c>
      <c r="BJ544" s="56"/>
      <c r="BK544" s="56">
        <v>12</v>
      </c>
      <c r="BV544" s="56">
        <v>21</v>
      </c>
    </row>
    <row r="545" spans="1:74" ht="15" customHeight="1" x14ac:dyDescent="0.25">
      <c r="A545" s="53"/>
      <c r="D545" s="52" t="s">
        <v>1060</v>
      </c>
      <c r="E545" s="37" t="s">
        <v>769</v>
      </c>
      <c r="G545" s="21">
        <v>1.6</v>
      </c>
      <c r="J545" s="48"/>
    </row>
    <row r="546" spans="1:74" ht="15" customHeight="1" x14ac:dyDescent="0.25">
      <c r="A546" s="27" t="s">
        <v>769</v>
      </c>
      <c r="B546" s="28" t="s">
        <v>1212</v>
      </c>
      <c r="C546" s="28" t="s">
        <v>333</v>
      </c>
      <c r="D546" s="132" t="s">
        <v>7</v>
      </c>
      <c r="E546" s="133"/>
      <c r="F546" s="23" t="s">
        <v>1027</v>
      </c>
      <c r="G546" s="23" t="s">
        <v>1027</v>
      </c>
      <c r="H546" s="23" t="s">
        <v>1027</v>
      </c>
      <c r="I546" s="14">
        <f>SUM(I547:I552)</f>
        <v>0</v>
      </c>
      <c r="J546" s="44" t="s">
        <v>769</v>
      </c>
      <c r="AH546" s="30" t="s">
        <v>1212</v>
      </c>
      <c r="AR546" s="14">
        <f>SUM(AI547:AI552)</f>
        <v>0</v>
      </c>
      <c r="AS546" s="14">
        <f>SUM(AJ547:AJ552)</f>
        <v>0</v>
      </c>
      <c r="AT546" s="14">
        <f>SUM(AK547:AK552)</f>
        <v>0</v>
      </c>
    </row>
    <row r="547" spans="1:74" ht="13.5" customHeight="1" x14ac:dyDescent="0.25">
      <c r="A547" s="10" t="s">
        <v>154</v>
      </c>
      <c r="B547" s="9" t="s">
        <v>1212</v>
      </c>
      <c r="C547" s="9" t="s">
        <v>264</v>
      </c>
      <c r="D547" s="76" t="s">
        <v>117</v>
      </c>
      <c r="E547" s="77"/>
      <c r="F547" s="9" t="s">
        <v>1079</v>
      </c>
      <c r="G547" s="56">
        <v>29.582999999999998</v>
      </c>
      <c r="H547" s="56">
        <v>0</v>
      </c>
      <c r="I547" s="56">
        <f>G547*H547</f>
        <v>0</v>
      </c>
      <c r="J547" s="54" t="s">
        <v>501</v>
      </c>
      <c r="Y547" s="56">
        <f>IF(AP547="5",BI547,0)</f>
        <v>0</v>
      </c>
      <c r="AA547" s="56">
        <f>IF(AP547="1",BG547,0)</f>
        <v>0</v>
      </c>
      <c r="AB547" s="56">
        <f>IF(AP547="1",BH547,0)</f>
        <v>0</v>
      </c>
      <c r="AC547" s="56">
        <f>IF(AP547="7",BG547,0)</f>
        <v>0</v>
      </c>
      <c r="AD547" s="56">
        <f>IF(AP547="7",BH547,0)</f>
        <v>0</v>
      </c>
      <c r="AE547" s="56">
        <f>IF(AP547="2",BG547,0)</f>
        <v>0</v>
      </c>
      <c r="AF547" s="56">
        <f>IF(AP547="2",BH547,0)</f>
        <v>0</v>
      </c>
      <c r="AG547" s="56">
        <f>IF(AP547="0",BI547,0)</f>
        <v>0</v>
      </c>
      <c r="AH547" s="30" t="s">
        <v>1212</v>
      </c>
      <c r="AI547" s="56">
        <f>IF(AM547=0,I547,0)</f>
        <v>0</v>
      </c>
      <c r="AJ547" s="56">
        <f>IF(AM547=15,I547,0)</f>
        <v>0</v>
      </c>
      <c r="AK547" s="56">
        <f>IF(AM547=21,I547,0)</f>
        <v>0</v>
      </c>
      <c r="AM547" s="56">
        <v>21</v>
      </c>
      <c r="AN547" s="56">
        <f>H547*0</f>
        <v>0</v>
      </c>
      <c r="AO547" s="56">
        <f>H547*(1-0)</f>
        <v>0</v>
      </c>
      <c r="AP547" s="41" t="s">
        <v>1109</v>
      </c>
      <c r="AU547" s="56">
        <f>AV547+AW547</f>
        <v>0</v>
      </c>
      <c r="AV547" s="56">
        <f>G547*AN547</f>
        <v>0</v>
      </c>
      <c r="AW547" s="56">
        <f>G547*AO547</f>
        <v>0</v>
      </c>
      <c r="AX547" s="41" t="s">
        <v>1001</v>
      </c>
      <c r="AY547" s="41" t="s">
        <v>404</v>
      </c>
      <c r="AZ547" s="30" t="s">
        <v>1193</v>
      </c>
      <c r="BB547" s="56">
        <f>AV547+AW547</f>
        <v>0</v>
      </c>
      <c r="BC547" s="56">
        <f>H547/(100-BD547)*100</f>
        <v>0</v>
      </c>
      <c r="BD547" s="56">
        <v>0</v>
      </c>
      <c r="BE547" s="56" t="e">
        <f>#REF!</f>
        <v>#REF!</v>
      </c>
      <c r="BG547" s="56">
        <f>G547*AN547</f>
        <v>0</v>
      </c>
      <c r="BH547" s="56">
        <f>G547*AO547</f>
        <v>0</v>
      </c>
      <c r="BI547" s="56">
        <f>G547*H547</f>
        <v>0</v>
      </c>
      <c r="BJ547" s="56"/>
      <c r="BK547" s="56">
        <v>13</v>
      </c>
      <c r="BV547" s="56">
        <v>21</v>
      </c>
    </row>
    <row r="548" spans="1:74" ht="15" customHeight="1" x14ac:dyDescent="0.25">
      <c r="A548" s="53"/>
      <c r="D548" s="52" t="s">
        <v>440</v>
      </c>
      <c r="E548" s="37" t="s">
        <v>715</v>
      </c>
      <c r="G548" s="21">
        <v>1.3050000000000002</v>
      </c>
      <c r="J548" s="48"/>
    </row>
    <row r="549" spans="1:74" ht="15" customHeight="1" x14ac:dyDescent="0.25">
      <c r="A549" s="53"/>
      <c r="D549" s="52" t="s">
        <v>651</v>
      </c>
      <c r="E549" s="37" t="s">
        <v>425</v>
      </c>
      <c r="G549" s="21">
        <v>8.09</v>
      </c>
      <c r="J549" s="48"/>
    </row>
    <row r="550" spans="1:74" ht="15" customHeight="1" x14ac:dyDescent="0.25">
      <c r="A550" s="53"/>
      <c r="D550" s="52" t="s">
        <v>732</v>
      </c>
      <c r="E550" s="37" t="s">
        <v>159</v>
      </c>
      <c r="G550" s="21">
        <v>9.4250000000000007</v>
      </c>
      <c r="J550" s="48"/>
    </row>
    <row r="551" spans="1:74" ht="15" customHeight="1" x14ac:dyDescent="0.25">
      <c r="A551" s="53"/>
      <c r="D551" s="52" t="s">
        <v>1204</v>
      </c>
      <c r="E551" s="37" t="s">
        <v>80</v>
      </c>
      <c r="G551" s="21">
        <v>10.763000000000002</v>
      </c>
      <c r="J551" s="48"/>
    </row>
    <row r="552" spans="1:74" ht="13.5" customHeight="1" x14ac:dyDescent="0.25">
      <c r="A552" s="10" t="s">
        <v>313</v>
      </c>
      <c r="B552" s="9" t="s">
        <v>1212</v>
      </c>
      <c r="C552" s="9" t="s">
        <v>802</v>
      </c>
      <c r="D552" s="76" t="s">
        <v>97</v>
      </c>
      <c r="E552" s="77"/>
      <c r="F552" s="9" t="s">
        <v>1079</v>
      </c>
      <c r="G552" s="56">
        <v>12.172000000000001</v>
      </c>
      <c r="H552" s="56">
        <v>0</v>
      </c>
      <c r="I552" s="56">
        <f>G552*H552</f>
        <v>0</v>
      </c>
      <c r="J552" s="54" t="s">
        <v>501</v>
      </c>
      <c r="Y552" s="56">
        <f>IF(AP552="5",BI552,0)</f>
        <v>0</v>
      </c>
      <c r="AA552" s="56">
        <f>IF(AP552="1",BG552,0)</f>
        <v>0</v>
      </c>
      <c r="AB552" s="56">
        <f>IF(AP552="1",BH552,0)</f>
        <v>0</v>
      </c>
      <c r="AC552" s="56">
        <f>IF(AP552="7",BG552,0)</f>
        <v>0</v>
      </c>
      <c r="AD552" s="56">
        <f>IF(AP552="7",BH552,0)</f>
        <v>0</v>
      </c>
      <c r="AE552" s="56">
        <f>IF(AP552="2",BG552,0)</f>
        <v>0</v>
      </c>
      <c r="AF552" s="56">
        <f>IF(AP552="2",BH552,0)</f>
        <v>0</v>
      </c>
      <c r="AG552" s="56">
        <f>IF(AP552="0",BI552,0)</f>
        <v>0</v>
      </c>
      <c r="AH552" s="30" t="s">
        <v>1212</v>
      </c>
      <c r="AI552" s="56">
        <f>IF(AM552=0,I552,0)</f>
        <v>0</v>
      </c>
      <c r="AJ552" s="56">
        <f>IF(AM552=15,I552,0)</f>
        <v>0</v>
      </c>
      <c r="AK552" s="56">
        <f>IF(AM552=21,I552,0)</f>
        <v>0</v>
      </c>
      <c r="AM552" s="56">
        <v>21</v>
      </c>
      <c r="AN552" s="56">
        <f>H552*0</f>
        <v>0</v>
      </c>
      <c r="AO552" s="56">
        <f>H552*(1-0)</f>
        <v>0</v>
      </c>
      <c r="AP552" s="41" t="s">
        <v>1109</v>
      </c>
      <c r="AU552" s="56">
        <f>AV552+AW552</f>
        <v>0</v>
      </c>
      <c r="AV552" s="56">
        <f>G552*AN552</f>
        <v>0</v>
      </c>
      <c r="AW552" s="56">
        <f>G552*AO552</f>
        <v>0</v>
      </c>
      <c r="AX552" s="41" t="s">
        <v>1001</v>
      </c>
      <c r="AY552" s="41" t="s">
        <v>404</v>
      </c>
      <c r="AZ552" s="30" t="s">
        <v>1193</v>
      </c>
      <c r="BB552" s="56">
        <f>AV552+AW552</f>
        <v>0</v>
      </c>
      <c r="BC552" s="56">
        <f>H552/(100-BD552)*100</f>
        <v>0</v>
      </c>
      <c r="BD552" s="56">
        <v>0</v>
      </c>
      <c r="BE552" s="56" t="e">
        <f>#REF!</f>
        <v>#REF!</v>
      </c>
      <c r="BG552" s="56">
        <f>G552*AN552</f>
        <v>0</v>
      </c>
      <c r="BH552" s="56">
        <f>G552*AO552</f>
        <v>0</v>
      </c>
      <c r="BI552" s="56">
        <f>G552*H552</f>
        <v>0</v>
      </c>
      <c r="BJ552" s="56"/>
      <c r="BK552" s="56">
        <v>13</v>
      </c>
      <c r="BV552" s="56">
        <v>21</v>
      </c>
    </row>
    <row r="553" spans="1:74" ht="15" customHeight="1" x14ac:dyDescent="0.25">
      <c r="A553" s="53"/>
      <c r="D553" s="52" t="s">
        <v>671</v>
      </c>
      <c r="E553" s="37" t="s">
        <v>769</v>
      </c>
      <c r="G553" s="21">
        <v>12.172000000000001</v>
      </c>
      <c r="J553" s="48"/>
    </row>
    <row r="554" spans="1:74" ht="15" customHeight="1" x14ac:dyDescent="0.25">
      <c r="A554" s="27" t="s">
        <v>769</v>
      </c>
      <c r="B554" s="28" t="s">
        <v>1212</v>
      </c>
      <c r="C554" s="28" t="s">
        <v>442</v>
      </c>
      <c r="D554" s="132" t="s">
        <v>957</v>
      </c>
      <c r="E554" s="133"/>
      <c r="F554" s="23" t="s">
        <v>1027</v>
      </c>
      <c r="G554" s="23" t="s">
        <v>1027</v>
      </c>
      <c r="H554" s="23" t="s">
        <v>1027</v>
      </c>
      <c r="I554" s="14">
        <f>SUM(I555:I560)</f>
        <v>0</v>
      </c>
      <c r="J554" s="44" t="s">
        <v>769</v>
      </c>
      <c r="AH554" s="30" t="s">
        <v>1212</v>
      </c>
      <c r="AR554" s="14">
        <f>SUM(AI555:AI560)</f>
        <v>0</v>
      </c>
      <c r="AS554" s="14">
        <f>SUM(AJ555:AJ560)</f>
        <v>0</v>
      </c>
      <c r="AT554" s="14">
        <f>SUM(AK555:AK560)</f>
        <v>0</v>
      </c>
    </row>
    <row r="555" spans="1:74" ht="13.5" customHeight="1" x14ac:dyDescent="0.25">
      <c r="A555" s="10" t="s">
        <v>561</v>
      </c>
      <c r="B555" s="9" t="s">
        <v>1212</v>
      </c>
      <c r="C555" s="9" t="s">
        <v>1218</v>
      </c>
      <c r="D555" s="76" t="s">
        <v>247</v>
      </c>
      <c r="E555" s="77"/>
      <c r="F555" s="9" t="s">
        <v>1095</v>
      </c>
      <c r="G555" s="56">
        <v>71.097999999999999</v>
      </c>
      <c r="H555" s="56">
        <v>0</v>
      </c>
      <c r="I555" s="56">
        <f>G555*H555</f>
        <v>0</v>
      </c>
      <c r="J555" s="54" t="s">
        <v>501</v>
      </c>
      <c r="Y555" s="56">
        <f>IF(AP555="5",BI555,0)</f>
        <v>0</v>
      </c>
      <c r="AA555" s="56">
        <f>IF(AP555="1",BG555,0)</f>
        <v>0</v>
      </c>
      <c r="AB555" s="56">
        <f>IF(AP555="1",BH555,0)</f>
        <v>0</v>
      </c>
      <c r="AC555" s="56">
        <f>IF(AP555="7",BG555,0)</f>
        <v>0</v>
      </c>
      <c r="AD555" s="56">
        <f>IF(AP555="7",BH555,0)</f>
        <v>0</v>
      </c>
      <c r="AE555" s="56">
        <f>IF(AP555="2",BG555,0)</f>
        <v>0</v>
      </c>
      <c r="AF555" s="56">
        <f>IF(AP555="2",BH555,0)</f>
        <v>0</v>
      </c>
      <c r="AG555" s="56">
        <f>IF(AP555="0",BI555,0)</f>
        <v>0</v>
      </c>
      <c r="AH555" s="30" t="s">
        <v>1212</v>
      </c>
      <c r="AI555" s="56">
        <f>IF(AM555=0,I555,0)</f>
        <v>0</v>
      </c>
      <c r="AJ555" s="56">
        <f>IF(AM555=15,I555,0)</f>
        <v>0</v>
      </c>
      <c r="AK555" s="56">
        <f>IF(AM555=21,I555,0)</f>
        <v>0</v>
      </c>
      <c r="AM555" s="56">
        <v>21</v>
      </c>
      <c r="AN555" s="56">
        <f>H555*0.085202855767985</f>
        <v>0</v>
      </c>
      <c r="AO555" s="56">
        <f>H555*(1-0.085202855767985)</f>
        <v>0</v>
      </c>
      <c r="AP555" s="41" t="s">
        <v>1109</v>
      </c>
      <c r="AU555" s="56">
        <f>AV555+AW555</f>
        <v>0</v>
      </c>
      <c r="AV555" s="56">
        <f>G555*AN555</f>
        <v>0</v>
      </c>
      <c r="AW555" s="56">
        <f>G555*AO555</f>
        <v>0</v>
      </c>
      <c r="AX555" s="41" t="s">
        <v>784</v>
      </c>
      <c r="AY555" s="41" t="s">
        <v>404</v>
      </c>
      <c r="AZ555" s="30" t="s">
        <v>1193</v>
      </c>
      <c r="BB555" s="56">
        <f>AV555+AW555</f>
        <v>0</v>
      </c>
      <c r="BC555" s="56">
        <f>H555/(100-BD555)*100</f>
        <v>0</v>
      </c>
      <c r="BD555" s="56">
        <v>0</v>
      </c>
      <c r="BE555" s="56" t="e">
        <f>#REF!</f>
        <v>#REF!</v>
      </c>
      <c r="BG555" s="56">
        <f>G555*AN555</f>
        <v>0</v>
      </c>
      <c r="BH555" s="56">
        <f>G555*AO555</f>
        <v>0</v>
      </c>
      <c r="BI555" s="56">
        <f>G555*H555</f>
        <v>0</v>
      </c>
      <c r="BJ555" s="56"/>
      <c r="BK555" s="56">
        <v>15</v>
      </c>
      <c r="BV555" s="56">
        <v>21</v>
      </c>
    </row>
    <row r="556" spans="1:74" ht="15" customHeight="1" x14ac:dyDescent="0.25">
      <c r="A556" s="53"/>
      <c r="D556" s="52" t="s">
        <v>2</v>
      </c>
      <c r="E556" s="37" t="s">
        <v>715</v>
      </c>
      <c r="G556" s="21">
        <v>3.4200000000000004</v>
      </c>
      <c r="J556" s="48"/>
    </row>
    <row r="557" spans="1:74" ht="15" customHeight="1" x14ac:dyDescent="0.25">
      <c r="A557" s="53"/>
      <c r="D557" s="52" t="s">
        <v>820</v>
      </c>
      <c r="E557" s="37" t="s">
        <v>425</v>
      </c>
      <c r="G557" s="21">
        <v>19</v>
      </c>
      <c r="J557" s="48"/>
    </row>
    <row r="558" spans="1:74" ht="15" customHeight="1" x14ac:dyDescent="0.25">
      <c r="A558" s="53"/>
      <c r="D558" s="52" t="s">
        <v>703</v>
      </c>
      <c r="E558" s="37" t="s">
        <v>159</v>
      </c>
      <c r="G558" s="21">
        <v>24.700000000000003</v>
      </c>
      <c r="J558" s="48"/>
    </row>
    <row r="559" spans="1:74" ht="15" customHeight="1" x14ac:dyDescent="0.25">
      <c r="A559" s="53"/>
      <c r="D559" s="52" t="s">
        <v>564</v>
      </c>
      <c r="E559" s="37" t="s">
        <v>80</v>
      </c>
      <c r="G559" s="21">
        <v>23.978000000000002</v>
      </c>
      <c r="J559" s="48"/>
    </row>
    <row r="560" spans="1:74" ht="13.5" customHeight="1" x14ac:dyDescent="0.25">
      <c r="A560" s="10" t="s">
        <v>690</v>
      </c>
      <c r="B560" s="9" t="s">
        <v>1212</v>
      </c>
      <c r="C560" s="9" t="s">
        <v>748</v>
      </c>
      <c r="D560" s="76" t="s">
        <v>1080</v>
      </c>
      <c r="E560" s="77"/>
      <c r="F560" s="9" t="s">
        <v>1095</v>
      </c>
      <c r="G560" s="56">
        <v>71.097999999999999</v>
      </c>
      <c r="H560" s="56">
        <v>0</v>
      </c>
      <c r="I560" s="56">
        <f>G560*H560</f>
        <v>0</v>
      </c>
      <c r="J560" s="54" t="s">
        <v>501</v>
      </c>
      <c r="Y560" s="56">
        <f>IF(AP560="5",BI560,0)</f>
        <v>0</v>
      </c>
      <c r="AA560" s="56">
        <f>IF(AP560="1",BG560,0)</f>
        <v>0</v>
      </c>
      <c r="AB560" s="56">
        <f>IF(AP560="1",BH560,0)</f>
        <v>0</v>
      </c>
      <c r="AC560" s="56">
        <f>IF(AP560="7",BG560,0)</f>
        <v>0</v>
      </c>
      <c r="AD560" s="56">
        <f>IF(AP560="7",BH560,0)</f>
        <v>0</v>
      </c>
      <c r="AE560" s="56">
        <f>IF(AP560="2",BG560,0)</f>
        <v>0</v>
      </c>
      <c r="AF560" s="56">
        <f>IF(AP560="2",BH560,0)</f>
        <v>0</v>
      </c>
      <c r="AG560" s="56">
        <f>IF(AP560="0",BI560,0)</f>
        <v>0</v>
      </c>
      <c r="AH560" s="30" t="s">
        <v>1212</v>
      </c>
      <c r="AI560" s="56">
        <f>IF(AM560=0,I560,0)</f>
        <v>0</v>
      </c>
      <c r="AJ560" s="56">
        <f>IF(AM560=15,I560,0)</f>
        <v>0</v>
      </c>
      <c r="AK560" s="56">
        <f>IF(AM560=21,I560,0)</f>
        <v>0</v>
      </c>
      <c r="AM560" s="56">
        <v>21</v>
      </c>
      <c r="AN560" s="56">
        <f>H560*0</f>
        <v>0</v>
      </c>
      <c r="AO560" s="56">
        <f>H560*(1-0)</f>
        <v>0</v>
      </c>
      <c r="AP560" s="41" t="s">
        <v>1109</v>
      </c>
      <c r="AU560" s="56">
        <f>AV560+AW560</f>
        <v>0</v>
      </c>
      <c r="AV560" s="56">
        <f>G560*AN560</f>
        <v>0</v>
      </c>
      <c r="AW560" s="56">
        <f>G560*AO560</f>
        <v>0</v>
      </c>
      <c r="AX560" s="41" t="s">
        <v>784</v>
      </c>
      <c r="AY560" s="41" t="s">
        <v>404</v>
      </c>
      <c r="AZ560" s="30" t="s">
        <v>1193</v>
      </c>
      <c r="BB560" s="56">
        <f>AV560+AW560</f>
        <v>0</v>
      </c>
      <c r="BC560" s="56">
        <f>H560/(100-BD560)*100</f>
        <v>0</v>
      </c>
      <c r="BD560" s="56">
        <v>0</v>
      </c>
      <c r="BE560" s="56" t="e">
        <f>#REF!</f>
        <v>#REF!</v>
      </c>
      <c r="BG560" s="56">
        <f>G560*AN560</f>
        <v>0</v>
      </c>
      <c r="BH560" s="56">
        <f>G560*AO560</f>
        <v>0</v>
      </c>
      <c r="BI560" s="56">
        <f>G560*H560</f>
        <v>0</v>
      </c>
      <c r="BJ560" s="56"/>
      <c r="BK560" s="56">
        <v>15</v>
      </c>
      <c r="BV560" s="56">
        <v>21</v>
      </c>
    </row>
    <row r="561" spans="1:74" ht="15" customHeight="1" x14ac:dyDescent="0.25">
      <c r="A561" s="27" t="s">
        <v>769</v>
      </c>
      <c r="B561" s="28" t="s">
        <v>1212</v>
      </c>
      <c r="C561" s="28" t="s">
        <v>107</v>
      </c>
      <c r="D561" s="132" t="s">
        <v>916</v>
      </c>
      <c r="E561" s="133"/>
      <c r="F561" s="23" t="s">
        <v>1027</v>
      </c>
      <c r="G561" s="23" t="s">
        <v>1027</v>
      </c>
      <c r="H561" s="23" t="s">
        <v>1027</v>
      </c>
      <c r="I561" s="14">
        <f>SUM(I562:I564)</f>
        <v>0</v>
      </c>
      <c r="J561" s="44" t="s">
        <v>769</v>
      </c>
      <c r="AH561" s="30" t="s">
        <v>1212</v>
      </c>
      <c r="AR561" s="14">
        <f>SUM(AI562:AI564)</f>
        <v>0</v>
      </c>
      <c r="AS561" s="14">
        <f>SUM(AJ562:AJ564)</f>
        <v>0</v>
      </c>
      <c r="AT561" s="14">
        <f>SUM(AK562:AK564)</f>
        <v>0</v>
      </c>
    </row>
    <row r="562" spans="1:74" ht="13.5" customHeight="1" x14ac:dyDescent="0.25">
      <c r="A562" s="10" t="s">
        <v>1059</v>
      </c>
      <c r="B562" s="9" t="s">
        <v>1212</v>
      </c>
      <c r="C562" s="9" t="s">
        <v>12</v>
      </c>
      <c r="D562" s="76" t="s">
        <v>919</v>
      </c>
      <c r="E562" s="77"/>
      <c r="F562" s="9" t="s">
        <v>1079</v>
      </c>
      <c r="G562" s="56">
        <v>19.994</v>
      </c>
      <c r="H562" s="56">
        <v>0</v>
      </c>
      <c r="I562" s="56">
        <f>G562*H562</f>
        <v>0</v>
      </c>
      <c r="J562" s="54" t="s">
        <v>501</v>
      </c>
      <c r="Y562" s="56">
        <f>IF(AP562="5",BI562,0)</f>
        <v>0</v>
      </c>
      <c r="AA562" s="56">
        <f>IF(AP562="1",BG562,0)</f>
        <v>0</v>
      </c>
      <c r="AB562" s="56">
        <f>IF(AP562="1",BH562,0)</f>
        <v>0</v>
      </c>
      <c r="AC562" s="56">
        <f>IF(AP562="7",BG562,0)</f>
        <v>0</v>
      </c>
      <c r="AD562" s="56">
        <f>IF(AP562="7",BH562,0)</f>
        <v>0</v>
      </c>
      <c r="AE562" s="56">
        <f>IF(AP562="2",BG562,0)</f>
        <v>0</v>
      </c>
      <c r="AF562" s="56">
        <f>IF(AP562="2",BH562,0)</f>
        <v>0</v>
      </c>
      <c r="AG562" s="56">
        <f>IF(AP562="0",BI562,0)</f>
        <v>0</v>
      </c>
      <c r="AH562" s="30" t="s">
        <v>1212</v>
      </c>
      <c r="AI562" s="56">
        <f>IF(AM562=0,I562,0)</f>
        <v>0</v>
      </c>
      <c r="AJ562" s="56">
        <f>IF(AM562=15,I562,0)</f>
        <v>0</v>
      </c>
      <c r="AK562" s="56">
        <f>IF(AM562=21,I562,0)</f>
        <v>0</v>
      </c>
      <c r="AM562" s="56">
        <v>21</v>
      </c>
      <c r="AN562" s="56">
        <f>H562*0</f>
        <v>0</v>
      </c>
      <c r="AO562" s="56">
        <f>H562*(1-0)</f>
        <v>0</v>
      </c>
      <c r="AP562" s="41" t="s">
        <v>1109</v>
      </c>
      <c r="AU562" s="56">
        <f>AV562+AW562</f>
        <v>0</v>
      </c>
      <c r="AV562" s="56">
        <f>G562*AN562</f>
        <v>0</v>
      </c>
      <c r="AW562" s="56">
        <f>G562*AO562</f>
        <v>0</v>
      </c>
      <c r="AX562" s="41" t="s">
        <v>1028</v>
      </c>
      <c r="AY562" s="41" t="s">
        <v>404</v>
      </c>
      <c r="AZ562" s="30" t="s">
        <v>1193</v>
      </c>
      <c r="BB562" s="56">
        <f>AV562+AW562</f>
        <v>0</v>
      </c>
      <c r="BC562" s="56">
        <f>H562/(100-BD562)*100</f>
        <v>0</v>
      </c>
      <c r="BD562" s="56">
        <v>0</v>
      </c>
      <c r="BE562" s="56" t="e">
        <f>#REF!</f>
        <v>#REF!</v>
      </c>
      <c r="BG562" s="56">
        <f>G562*AN562</f>
        <v>0</v>
      </c>
      <c r="BH562" s="56">
        <f>G562*AO562</f>
        <v>0</v>
      </c>
      <c r="BI562" s="56">
        <f>G562*H562</f>
        <v>0</v>
      </c>
      <c r="BJ562" s="56"/>
      <c r="BK562" s="56">
        <v>16</v>
      </c>
      <c r="BV562" s="56">
        <v>21</v>
      </c>
    </row>
    <row r="563" spans="1:74" ht="15" customHeight="1" x14ac:dyDescent="0.25">
      <c r="A563" s="53"/>
      <c r="D563" s="52" t="s">
        <v>49</v>
      </c>
      <c r="E563" s="37" t="s">
        <v>769</v>
      </c>
      <c r="G563" s="21">
        <v>19.994000000000003</v>
      </c>
      <c r="J563" s="48"/>
    </row>
    <row r="564" spans="1:74" ht="13.5" customHeight="1" x14ac:dyDescent="0.25">
      <c r="A564" s="10" t="s">
        <v>234</v>
      </c>
      <c r="B564" s="9" t="s">
        <v>1212</v>
      </c>
      <c r="C564" s="9" t="s">
        <v>521</v>
      </c>
      <c r="D564" s="76" t="s">
        <v>602</v>
      </c>
      <c r="E564" s="77"/>
      <c r="F564" s="9" t="s">
        <v>1079</v>
      </c>
      <c r="G564" s="56">
        <v>199.94</v>
      </c>
      <c r="H564" s="56">
        <v>0</v>
      </c>
      <c r="I564" s="56">
        <f>G564*H564</f>
        <v>0</v>
      </c>
      <c r="J564" s="54" t="s">
        <v>501</v>
      </c>
      <c r="Y564" s="56">
        <f>IF(AP564="5",BI564,0)</f>
        <v>0</v>
      </c>
      <c r="AA564" s="56">
        <f>IF(AP564="1",BG564,0)</f>
        <v>0</v>
      </c>
      <c r="AB564" s="56">
        <f>IF(AP564="1",BH564,0)</f>
        <v>0</v>
      </c>
      <c r="AC564" s="56">
        <f>IF(AP564="7",BG564,0)</f>
        <v>0</v>
      </c>
      <c r="AD564" s="56">
        <f>IF(AP564="7",BH564,0)</f>
        <v>0</v>
      </c>
      <c r="AE564" s="56">
        <f>IF(AP564="2",BG564,0)</f>
        <v>0</v>
      </c>
      <c r="AF564" s="56">
        <f>IF(AP564="2",BH564,0)</f>
        <v>0</v>
      </c>
      <c r="AG564" s="56">
        <f>IF(AP564="0",BI564,0)</f>
        <v>0</v>
      </c>
      <c r="AH564" s="30" t="s">
        <v>1212</v>
      </c>
      <c r="AI564" s="56">
        <f>IF(AM564=0,I564,0)</f>
        <v>0</v>
      </c>
      <c r="AJ564" s="56">
        <f>IF(AM564=15,I564,0)</f>
        <v>0</v>
      </c>
      <c r="AK564" s="56">
        <f>IF(AM564=21,I564,0)</f>
        <v>0</v>
      </c>
      <c r="AM564" s="56">
        <v>21</v>
      </c>
      <c r="AN564" s="56">
        <f>H564*0</f>
        <v>0</v>
      </c>
      <c r="AO564" s="56">
        <f>H564*(1-0)</f>
        <v>0</v>
      </c>
      <c r="AP564" s="41" t="s">
        <v>1109</v>
      </c>
      <c r="AU564" s="56">
        <f>AV564+AW564</f>
        <v>0</v>
      </c>
      <c r="AV564" s="56">
        <f>G564*AN564</f>
        <v>0</v>
      </c>
      <c r="AW564" s="56">
        <f>G564*AO564</f>
        <v>0</v>
      </c>
      <c r="AX564" s="41" t="s">
        <v>1028</v>
      </c>
      <c r="AY564" s="41" t="s">
        <v>404</v>
      </c>
      <c r="AZ564" s="30" t="s">
        <v>1193</v>
      </c>
      <c r="BB564" s="56">
        <f>AV564+AW564</f>
        <v>0</v>
      </c>
      <c r="BC564" s="56">
        <f>H564/(100-BD564)*100</f>
        <v>0</v>
      </c>
      <c r="BD564" s="56">
        <v>0</v>
      </c>
      <c r="BE564" s="56" t="e">
        <f>#REF!</f>
        <v>#REF!</v>
      </c>
      <c r="BG564" s="56">
        <f>G564*AN564</f>
        <v>0</v>
      </c>
      <c r="BH564" s="56">
        <f>G564*AO564</f>
        <v>0</v>
      </c>
      <c r="BI564" s="56">
        <f>G564*H564</f>
        <v>0</v>
      </c>
      <c r="BJ564" s="56"/>
      <c r="BK564" s="56">
        <v>16</v>
      </c>
      <c r="BV564" s="56">
        <v>21</v>
      </c>
    </row>
    <row r="565" spans="1:74" ht="15" customHeight="1" x14ac:dyDescent="0.25">
      <c r="A565" s="53"/>
      <c r="D565" s="52" t="s">
        <v>832</v>
      </c>
      <c r="E565" s="37" t="s">
        <v>446</v>
      </c>
      <c r="G565" s="21">
        <v>199.94000000000003</v>
      </c>
      <c r="J565" s="48"/>
    </row>
    <row r="566" spans="1:74" ht="15" customHeight="1" x14ac:dyDescent="0.25">
      <c r="A566" s="27" t="s">
        <v>769</v>
      </c>
      <c r="B566" s="28" t="s">
        <v>1212</v>
      </c>
      <c r="C566" s="28" t="s">
        <v>774</v>
      </c>
      <c r="D566" s="132" t="s">
        <v>150</v>
      </c>
      <c r="E566" s="133"/>
      <c r="F566" s="23" t="s">
        <v>1027</v>
      </c>
      <c r="G566" s="23" t="s">
        <v>1027</v>
      </c>
      <c r="H566" s="23" t="s">
        <v>1027</v>
      </c>
      <c r="I566" s="14">
        <f>SUM(I567:I582)</f>
        <v>0</v>
      </c>
      <c r="J566" s="44" t="s">
        <v>769</v>
      </c>
      <c r="AH566" s="30" t="s">
        <v>1212</v>
      </c>
      <c r="AR566" s="14">
        <f>SUM(AI567:AI582)</f>
        <v>0</v>
      </c>
      <c r="AS566" s="14">
        <f>SUM(AJ567:AJ582)</f>
        <v>0</v>
      </c>
      <c r="AT566" s="14">
        <f>SUM(AK567:AK582)</f>
        <v>0</v>
      </c>
    </row>
    <row r="567" spans="1:74" ht="13.5" customHeight="1" x14ac:dyDescent="0.25">
      <c r="A567" s="10" t="s">
        <v>1083</v>
      </c>
      <c r="B567" s="9" t="s">
        <v>1212</v>
      </c>
      <c r="C567" s="9" t="s">
        <v>356</v>
      </c>
      <c r="D567" s="76" t="s">
        <v>1089</v>
      </c>
      <c r="E567" s="77"/>
      <c r="F567" s="9" t="s">
        <v>1079</v>
      </c>
      <c r="G567" s="56">
        <v>19.994</v>
      </c>
      <c r="H567" s="56">
        <v>0</v>
      </c>
      <c r="I567" s="56">
        <f>G567*H567</f>
        <v>0</v>
      </c>
      <c r="J567" s="54" t="s">
        <v>501</v>
      </c>
      <c r="Y567" s="56">
        <f>IF(AP567="5",BI567,0)</f>
        <v>0</v>
      </c>
      <c r="AA567" s="56">
        <f>IF(AP567="1",BG567,0)</f>
        <v>0</v>
      </c>
      <c r="AB567" s="56">
        <f>IF(AP567="1",BH567,0)</f>
        <v>0</v>
      </c>
      <c r="AC567" s="56">
        <f>IF(AP567="7",BG567,0)</f>
        <v>0</v>
      </c>
      <c r="AD567" s="56">
        <f>IF(AP567="7",BH567,0)</f>
        <v>0</v>
      </c>
      <c r="AE567" s="56">
        <f>IF(AP567="2",BG567,0)</f>
        <v>0</v>
      </c>
      <c r="AF567" s="56">
        <f>IF(AP567="2",BH567,0)</f>
        <v>0</v>
      </c>
      <c r="AG567" s="56">
        <f>IF(AP567="0",BI567,0)</f>
        <v>0</v>
      </c>
      <c r="AH567" s="30" t="s">
        <v>1212</v>
      </c>
      <c r="AI567" s="56">
        <f>IF(AM567=0,I567,0)</f>
        <v>0</v>
      </c>
      <c r="AJ567" s="56">
        <f>IF(AM567=15,I567,0)</f>
        <v>0</v>
      </c>
      <c r="AK567" s="56">
        <f>IF(AM567=21,I567,0)</f>
        <v>0</v>
      </c>
      <c r="AM567" s="56">
        <v>21</v>
      </c>
      <c r="AN567" s="56">
        <f>H567*0</f>
        <v>0</v>
      </c>
      <c r="AO567" s="56">
        <f>H567*(1-0)</f>
        <v>0</v>
      </c>
      <c r="AP567" s="41" t="s">
        <v>1109</v>
      </c>
      <c r="AU567" s="56">
        <f>AV567+AW567</f>
        <v>0</v>
      </c>
      <c r="AV567" s="56">
        <f>G567*AN567</f>
        <v>0</v>
      </c>
      <c r="AW567" s="56">
        <f>G567*AO567</f>
        <v>0</v>
      </c>
      <c r="AX567" s="41" t="s">
        <v>223</v>
      </c>
      <c r="AY567" s="41" t="s">
        <v>404</v>
      </c>
      <c r="AZ567" s="30" t="s">
        <v>1193</v>
      </c>
      <c r="BB567" s="56">
        <f>AV567+AW567</f>
        <v>0</v>
      </c>
      <c r="BC567" s="56">
        <f>H567/(100-BD567)*100</f>
        <v>0</v>
      </c>
      <c r="BD567" s="56">
        <v>0</v>
      </c>
      <c r="BE567" s="56" t="e">
        <f>#REF!</f>
        <v>#REF!</v>
      </c>
      <c r="BG567" s="56">
        <f>G567*AN567</f>
        <v>0</v>
      </c>
      <c r="BH567" s="56">
        <f>G567*AO567</f>
        <v>0</v>
      </c>
      <c r="BI567" s="56">
        <f>G567*H567</f>
        <v>0</v>
      </c>
      <c r="BJ567" s="56"/>
      <c r="BK567" s="56">
        <v>17</v>
      </c>
      <c r="BV567" s="56">
        <v>21</v>
      </c>
    </row>
    <row r="568" spans="1:74" ht="13.5" customHeight="1" x14ac:dyDescent="0.25">
      <c r="A568" s="10" t="s">
        <v>467</v>
      </c>
      <c r="B568" s="9" t="s">
        <v>1212</v>
      </c>
      <c r="C568" s="9" t="s">
        <v>756</v>
      </c>
      <c r="D568" s="76" t="s">
        <v>1192</v>
      </c>
      <c r="E568" s="77"/>
      <c r="F568" s="9" t="s">
        <v>1079</v>
      </c>
      <c r="G568" s="56">
        <v>19.994</v>
      </c>
      <c r="H568" s="56">
        <v>0</v>
      </c>
      <c r="I568" s="56">
        <f>G568*H568</f>
        <v>0</v>
      </c>
      <c r="J568" s="54" t="s">
        <v>501</v>
      </c>
      <c r="Y568" s="56">
        <f>IF(AP568="5",BI568,0)</f>
        <v>0</v>
      </c>
      <c r="AA568" s="56">
        <f>IF(AP568="1",BG568,0)</f>
        <v>0</v>
      </c>
      <c r="AB568" s="56">
        <f>IF(AP568="1",BH568,0)</f>
        <v>0</v>
      </c>
      <c r="AC568" s="56">
        <f>IF(AP568="7",BG568,0)</f>
        <v>0</v>
      </c>
      <c r="AD568" s="56">
        <f>IF(AP568="7",BH568,0)</f>
        <v>0</v>
      </c>
      <c r="AE568" s="56">
        <f>IF(AP568="2",BG568,0)</f>
        <v>0</v>
      </c>
      <c r="AF568" s="56">
        <f>IF(AP568="2",BH568,0)</f>
        <v>0</v>
      </c>
      <c r="AG568" s="56">
        <f>IF(AP568="0",BI568,0)</f>
        <v>0</v>
      </c>
      <c r="AH568" s="30" t="s">
        <v>1212</v>
      </c>
      <c r="AI568" s="56">
        <f>IF(AM568=0,I568,0)</f>
        <v>0</v>
      </c>
      <c r="AJ568" s="56">
        <f>IF(AM568=15,I568,0)</f>
        <v>0</v>
      </c>
      <c r="AK568" s="56">
        <f>IF(AM568=21,I568,0)</f>
        <v>0</v>
      </c>
      <c r="AM568" s="56">
        <v>21</v>
      </c>
      <c r="AN568" s="56">
        <f>H568*0</f>
        <v>0</v>
      </c>
      <c r="AO568" s="56">
        <f>H568*(1-0)</f>
        <v>0</v>
      </c>
      <c r="AP568" s="41" t="s">
        <v>1109</v>
      </c>
      <c r="AU568" s="56">
        <f>AV568+AW568</f>
        <v>0</v>
      </c>
      <c r="AV568" s="56">
        <f>G568*AN568</f>
        <v>0</v>
      </c>
      <c r="AW568" s="56">
        <f>G568*AO568</f>
        <v>0</v>
      </c>
      <c r="AX568" s="41" t="s">
        <v>223</v>
      </c>
      <c r="AY568" s="41" t="s">
        <v>404</v>
      </c>
      <c r="AZ568" s="30" t="s">
        <v>1193</v>
      </c>
      <c r="BB568" s="56">
        <f>AV568+AW568</f>
        <v>0</v>
      </c>
      <c r="BC568" s="56">
        <f>H568/(100-BD568)*100</f>
        <v>0</v>
      </c>
      <c r="BD568" s="56">
        <v>0</v>
      </c>
      <c r="BE568" s="56" t="e">
        <f>#REF!</f>
        <v>#REF!</v>
      </c>
      <c r="BG568" s="56">
        <f>G568*AN568</f>
        <v>0</v>
      </c>
      <c r="BH568" s="56">
        <f>G568*AO568</f>
        <v>0</v>
      </c>
      <c r="BI568" s="56">
        <f>G568*H568</f>
        <v>0</v>
      </c>
      <c r="BJ568" s="56"/>
      <c r="BK568" s="56">
        <v>17</v>
      </c>
      <c r="BV568" s="56">
        <v>21</v>
      </c>
    </row>
    <row r="569" spans="1:74" ht="13.5" customHeight="1" x14ac:dyDescent="0.25">
      <c r="A569" s="10" t="s">
        <v>10</v>
      </c>
      <c r="B569" s="9" t="s">
        <v>1212</v>
      </c>
      <c r="C569" s="9" t="s">
        <v>810</v>
      </c>
      <c r="D569" s="76" t="s">
        <v>587</v>
      </c>
      <c r="E569" s="77"/>
      <c r="F569" s="9" t="s">
        <v>1079</v>
      </c>
      <c r="G569" s="56">
        <v>21.5</v>
      </c>
      <c r="H569" s="56">
        <v>0</v>
      </c>
      <c r="I569" s="56">
        <f>G569*H569</f>
        <v>0</v>
      </c>
      <c r="J569" s="54" t="s">
        <v>501</v>
      </c>
      <c r="Y569" s="56">
        <f>IF(AP569="5",BI569,0)</f>
        <v>0</v>
      </c>
      <c r="AA569" s="56">
        <f>IF(AP569="1",BG569,0)</f>
        <v>0</v>
      </c>
      <c r="AB569" s="56">
        <f>IF(AP569="1",BH569,0)</f>
        <v>0</v>
      </c>
      <c r="AC569" s="56">
        <f>IF(AP569="7",BG569,0)</f>
        <v>0</v>
      </c>
      <c r="AD569" s="56">
        <f>IF(AP569="7",BH569,0)</f>
        <v>0</v>
      </c>
      <c r="AE569" s="56">
        <f>IF(AP569="2",BG569,0)</f>
        <v>0</v>
      </c>
      <c r="AF569" s="56">
        <f>IF(AP569="2",BH569,0)</f>
        <v>0</v>
      </c>
      <c r="AG569" s="56">
        <f>IF(AP569="0",BI569,0)</f>
        <v>0</v>
      </c>
      <c r="AH569" s="30" t="s">
        <v>1212</v>
      </c>
      <c r="AI569" s="56">
        <f>IF(AM569=0,I569,0)</f>
        <v>0</v>
      </c>
      <c r="AJ569" s="56">
        <f>IF(AM569=15,I569,0)</f>
        <v>0</v>
      </c>
      <c r="AK569" s="56">
        <f>IF(AM569=21,I569,0)</f>
        <v>0</v>
      </c>
      <c r="AM569" s="56">
        <v>21</v>
      </c>
      <c r="AN569" s="56">
        <f>H569*0</f>
        <v>0</v>
      </c>
      <c r="AO569" s="56">
        <f>H569*(1-0)</f>
        <v>0</v>
      </c>
      <c r="AP569" s="41" t="s">
        <v>1109</v>
      </c>
      <c r="AU569" s="56">
        <f>AV569+AW569</f>
        <v>0</v>
      </c>
      <c r="AV569" s="56">
        <f>G569*AN569</f>
        <v>0</v>
      </c>
      <c r="AW569" s="56">
        <f>G569*AO569</f>
        <v>0</v>
      </c>
      <c r="AX569" s="41" t="s">
        <v>223</v>
      </c>
      <c r="AY569" s="41" t="s">
        <v>404</v>
      </c>
      <c r="AZ569" s="30" t="s">
        <v>1193</v>
      </c>
      <c r="BB569" s="56">
        <f>AV569+AW569</f>
        <v>0</v>
      </c>
      <c r="BC569" s="56">
        <f>H569/(100-BD569)*100</f>
        <v>0</v>
      </c>
      <c r="BD569" s="56">
        <v>0</v>
      </c>
      <c r="BE569" s="56" t="e">
        <f>#REF!</f>
        <v>#REF!</v>
      </c>
      <c r="BG569" s="56">
        <f>G569*AN569</f>
        <v>0</v>
      </c>
      <c r="BH569" s="56">
        <f>G569*AO569</f>
        <v>0</v>
      </c>
      <c r="BI569" s="56">
        <f>G569*H569</f>
        <v>0</v>
      </c>
      <c r="BJ569" s="56"/>
      <c r="BK569" s="56">
        <v>17</v>
      </c>
      <c r="BV569" s="56">
        <v>21</v>
      </c>
    </row>
    <row r="570" spans="1:74" ht="15" customHeight="1" x14ac:dyDescent="0.25">
      <c r="A570" s="53"/>
      <c r="D570" s="52" t="s">
        <v>932</v>
      </c>
      <c r="E570" s="37" t="s">
        <v>715</v>
      </c>
      <c r="G570" s="21">
        <v>0.91600000000000004</v>
      </c>
      <c r="J570" s="48"/>
    </row>
    <row r="571" spans="1:74" ht="15" customHeight="1" x14ac:dyDescent="0.25">
      <c r="A571" s="53"/>
      <c r="D571" s="52" t="s">
        <v>358</v>
      </c>
      <c r="E571" s="37" t="s">
        <v>425</v>
      </c>
      <c r="G571" s="21">
        <v>5.9300000000000006</v>
      </c>
      <c r="J571" s="48"/>
    </row>
    <row r="572" spans="1:74" ht="15" customHeight="1" x14ac:dyDescent="0.25">
      <c r="A572" s="53"/>
      <c r="D572" s="52" t="s">
        <v>1189</v>
      </c>
      <c r="E572" s="37" t="s">
        <v>159</v>
      </c>
      <c r="G572" s="21">
        <v>6.6170000000000009</v>
      </c>
      <c r="J572" s="48"/>
    </row>
    <row r="573" spans="1:74" ht="15" customHeight="1" x14ac:dyDescent="0.25">
      <c r="A573" s="53"/>
      <c r="D573" s="52" t="s">
        <v>11</v>
      </c>
      <c r="E573" s="37" t="s">
        <v>80</v>
      </c>
      <c r="G573" s="21">
        <v>8.0370000000000008</v>
      </c>
      <c r="J573" s="48"/>
    </row>
    <row r="574" spans="1:74" ht="13.5" customHeight="1" x14ac:dyDescent="0.25">
      <c r="A574" s="57" t="s">
        <v>504</v>
      </c>
      <c r="B574" s="50" t="s">
        <v>1212</v>
      </c>
      <c r="C574" s="50" t="s">
        <v>98</v>
      </c>
      <c r="D574" s="135" t="s">
        <v>615</v>
      </c>
      <c r="E574" s="136"/>
      <c r="F574" s="50" t="s">
        <v>517</v>
      </c>
      <c r="G574" s="31">
        <v>24.12</v>
      </c>
      <c r="H574" s="31">
        <v>0</v>
      </c>
      <c r="I574" s="31">
        <f>G574*H574</f>
        <v>0</v>
      </c>
      <c r="J574" s="47" t="s">
        <v>422</v>
      </c>
      <c r="Y574" s="56">
        <f>IF(AP574="5",BI574,0)</f>
        <v>0</v>
      </c>
      <c r="AA574" s="56">
        <f>IF(AP574="1",BG574,0)</f>
        <v>0</v>
      </c>
      <c r="AB574" s="56">
        <f>IF(AP574="1",BH574,0)</f>
        <v>0</v>
      </c>
      <c r="AC574" s="56">
        <f>IF(AP574="7",BG574,0)</f>
        <v>0</v>
      </c>
      <c r="AD574" s="56">
        <f>IF(AP574="7",BH574,0)</f>
        <v>0</v>
      </c>
      <c r="AE574" s="56">
        <f>IF(AP574="2",BG574,0)</f>
        <v>0</v>
      </c>
      <c r="AF574" s="56">
        <f>IF(AP574="2",BH574,0)</f>
        <v>0</v>
      </c>
      <c r="AG574" s="56">
        <f>IF(AP574="0",BI574,0)</f>
        <v>0</v>
      </c>
      <c r="AH574" s="30" t="s">
        <v>1212</v>
      </c>
      <c r="AI574" s="31">
        <f>IF(AM574=0,I574,0)</f>
        <v>0</v>
      </c>
      <c r="AJ574" s="31">
        <f>IF(AM574=15,I574,0)</f>
        <v>0</v>
      </c>
      <c r="AK574" s="31">
        <f>IF(AM574=21,I574,0)</f>
        <v>0</v>
      </c>
      <c r="AM574" s="56">
        <v>21</v>
      </c>
      <c r="AN574" s="56">
        <f>H574*1</f>
        <v>0</v>
      </c>
      <c r="AO574" s="56">
        <f>H574*(1-1)</f>
        <v>0</v>
      </c>
      <c r="AP574" s="58" t="s">
        <v>1109</v>
      </c>
      <c r="AU574" s="56">
        <f>AV574+AW574</f>
        <v>0</v>
      </c>
      <c r="AV574" s="56">
        <f>G574*AN574</f>
        <v>0</v>
      </c>
      <c r="AW574" s="56">
        <f>G574*AO574</f>
        <v>0</v>
      </c>
      <c r="AX574" s="41" t="s">
        <v>223</v>
      </c>
      <c r="AY574" s="41" t="s">
        <v>404</v>
      </c>
      <c r="AZ574" s="30" t="s">
        <v>1193</v>
      </c>
      <c r="BB574" s="56">
        <f>AV574+AW574</f>
        <v>0</v>
      </c>
      <c r="BC574" s="56">
        <f>H574/(100-BD574)*100</f>
        <v>0</v>
      </c>
      <c r="BD574" s="56">
        <v>0</v>
      </c>
      <c r="BE574" s="56" t="e">
        <f>#REF!</f>
        <v>#REF!</v>
      </c>
      <c r="BG574" s="31">
        <f>G574*AN574</f>
        <v>0</v>
      </c>
      <c r="BH574" s="31">
        <f>G574*AO574</f>
        <v>0</v>
      </c>
      <c r="BI574" s="31">
        <f>G574*H574</f>
        <v>0</v>
      </c>
      <c r="BJ574" s="31"/>
      <c r="BK574" s="56">
        <v>17</v>
      </c>
      <c r="BV574" s="56">
        <v>21</v>
      </c>
    </row>
    <row r="575" spans="1:74" ht="15" customHeight="1" x14ac:dyDescent="0.25">
      <c r="A575" s="53"/>
      <c r="D575" s="52" t="s">
        <v>994</v>
      </c>
      <c r="E575" s="37" t="s">
        <v>769</v>
      </c>
      <c r="G575" s="21">
        <v>24.12</v>
      </c>
      <c r="J575" s="48"/>
    </row>
    <row r="576" spans="1:74" ht="13.5" customHeight="1" x14ac:dyDescent="0.25">
      <c r="A576" s="10" t="s">
        <v>235</v>
      </c>
      <c r="B576" s="9" t="s">
        <v>1212</v>
      </c>
      <c r="C576" s="9" t="s">
        <v>969</v>
      </c>
      <c r="D576" s="76" t="s">
        <v>39</v>
      </c>
      <c r="E576" s="77"/>
      <c r="F576" s="9" t="s">
        <v>1079</v>
      </c>
      <c r="G576" s="56">
        <v>5.2460000000000004</v>
      </c>
      <c r="H576" s="56">
        <v>0</v>
      </c>
      <c r="I576" s="56">
        <f>G576*H576</f>
        <v>0</v>
      </c>
      <c r="J576" s="54" t="s">
        <v>501</v>
      </c>
      <c r="Y576" s="56">
        <f>IF(AP576="5",BI576,0)</f>
        <v>0</v>
      </c>
      <c r="AA576" s="56">
        <f>IF(AP576="1",BG576,0)</f>
        <v>0</v>
      </c>
      <c r="AB576" s="56">
        <f>IF(AP576="1",BH576,0)</f>
        <v>0</v>
      </c>
      <c r="AC576" s="56">
        <f>IF(AP576="7",BG576,0)</f>
        <v>0</v>
      </c>
      <c r="AD576" s="56">
        <f>IF(AP576="7",BH576,0)</f>
        <v>0</v>
      </c>
      <c r="AE576" s="56">
        <f>IF(AP576="2",BG576,0)</f>
        <v>0</v>
      </c>
      <c r="AF576" s="56">
        <f>IF(AP576="2",BH576,0)</f>
        <v>0</v>
      </c>
      <c r="AG576" s="56">
        <f>IF(AP576="0",BI576,0)</f>
        <v>0</v>
      </c>
      <c r="AH576" s="30" t="s">
        <v>1212</v>
      </c>
      <c r="AI576" s="56">
        <f>IF(AM576=0,I576,0)</f>
        <v>0</v>
      </c>
      <c r="AJ576" s="56">
        <f>IF(AM576=15,I576,0)</f>
        <v>0</v>
      </c>
      <c r="AK576" s="56">
        <f>IF(AM576=21,I576,0)</f>
        <v>0</v>
      </c>
      <c r="AM576" s="56">
        <v>21</v>
      </c>
      <c r="AN576" s="56">
        <f>H576*0.517504991595982</f>
        <v>0</v>
      </c>
      <c r="AO576" s="56">
        <f>H576*(1-0.517504991595982)</f>
        <v>0</v>
      </c>
      <c r="AP576" s="41" t="s">
        <v>1109</v>
      </c>
      <c r="AU576" s="56">
        <f>AV576+AW576</f>
        <v>0</v>
      </c>
      <c r="AV576" s="56">
        <f>G576*AN576</f>
        <v>0</v>
      </c>
      <c r="AW576" s="56">
        <f>G576*AO576</f>
        <v>0</v>
      </c>
      <c r="AX576" s="41" t="s">
        <v>223</v>
      </c>
      <c r="AY576" s="41" t="s">
        <v>404</v>
      </c>
      <c r="AZ576" s="30" t="s">
        <v>1193</v>
      </c>
      <c r="BB576" s="56">
        <f>AV576+AW576</f>
        <v>0</v>
      </c>
      <c r="BC576" s="56">
        <f>H576/(100-BD576)*100</f>
        <v>0</v>
      </c>
      <c r="BD576" s="56">
        <v>0</v>
      </c>
      <c r="BE576" s="56" t="e">
        <f>#REF!</f>
        <v>#REF!</v>
      </c>
      <c r="BG576" s="56">
        <f>G576*AN576</f>
        <v>0</v>
      </c>
      <c r="BH576" s="56">
        <f>G576*AO576</f>
        <v>0</v>
      </c>
      <c r="BI576" s="56">
        <f>G576*H576</f>
        <v>0</v>
      </c>
      <c r="BJ576" s="56"/>
      <c r="BK576" s="56">
        <v>17</v>
      </c>
      <c r="BV576" s="56">
        <v>21</v>
      </c>
    </row>
    <row r="577" spans="1:74" ht="13.5" customHeight="1" x14ac:dyDescent="0.25">
      <c r="A577" s="53"/>
      <c r="C577" s="66" t="s">
        <v>578</v>
      </c>
      <c r="D577" s="137" t="s">
        <v>0</v>
      </c>
      <c r="E577" s="138"/>
      <c r="F577" s="138"/>
      <c r="G577" s="138"/>
      <c r="H577" s="138"/>
      <c r="I577" s="138"/>
      <c r="J577" s="139"/>
    </row>
    <row r="578" spans="1:74" ht="15" customHeight="1" x14ac:dyDescent="0.25">
      <c r="A578" s="53"/>
      <c r="D578" s="52" t="s">
        <v>303</v>
      </c>
      <c r="E578" s="37" t="s">
        <v>715</v>
      </c>
      <c r="G578" s="21">
        <v>0.29900000000000004</v>
      </c>
      <c r="J578" s="48"/>
    </row>
    <row r="579" spans="1:74" ht="15" customHeight="1" x14ac:dyDescent="0.25">
      <c r="A579" s="53"/>
      <c r="D579" s="52" t="s">
        <v>119</v>
      </c>
      <c r="E579" s="37" t="s">
        <v>425</v>
      </c>
      <c r="G579" s="21">
        <v>1.6600000000000001</v>
      </c>
      <c r="J579" s="48"/>
    </row>
    <row r="580" spans="1:74" ht="15" customHeight="1" x14ac:dyDescent="0.25">
      <c r="A580" s="53"/>
      <c r="D580" s="52" t="s">
        <v>279</v>
      </c>
      <c r="E580" s="37" t="s">
        <v>159</v>
      </c>
      <c r="G580" s="21">
        <v>2.1580000000000004</v>
      </c>
      <c r="J580" s="48"/>
    </row>
    <row r="581" spans="1:74" ht="15" customHeight="1" x14ac:dyDescent="0.25">
      <c r="A581" s="53"/>
      <c r="D581" s="52" t="s">
        <v>290</v>
      </c>
      <c r="E581" s="37" t="s">
        <v>80</v>
      </c>
      <c r="G581" s="21">
        <v>1.129</v>
      </c>
      <c r="J581" s="48"/>
    </row>
    <row r="582" spans="1:74" ht="13.5" customHeight="1" x14ac:dyDescent="0.25">
      <c r="A582" s="10" t="s">
        <v>609</v>
      </c>
      <c r="B582" s="9" t="s">
        <v>1212</v>
      </c>
      <c r="C582" s="9" t="s">
        <v>810</v>
      </c>
      <c r="D582" s="76" t="s">
        <v>587</v>
      </c>
      <c r="E582" s="77"/>
      <c r="F582" s="9" t="s">
        <v>1079</v>
      </c>
      <c r="G582" s="56">
        <v>11.911</v>
      </c>
      <c r="H582" s="56">
        <v>0</v>
      </c>
      <c r="I582" s="56">
        <f>G582*H582</f>
        <v>0</v>
      </c>
      <c r="J582" s="54" t="s">
        <v>501</v>
      </c>
      <c r="Y582" s="56">
        <f>IF(AP582="5",BI582,0)</f>
        <v>0</v>
      </c>
      <c r="AA582" s="56">
        <f>IF(AP582="1",BG582,0)</f>
        <v>0</v>
      </c>
      <c r="AB582" s="56">
        <f>IF(AP582="1",BH582,0)</f>
        <v>0</v>
      </c>
      <c r="AC582" s="56">
        <f>IF(AP582="7",BG582,0)</f>
        <v>0</v>
      </c>
      <c r="AD582" s="56">
        <f>IF(AP582="7",BH582,0)</f>
        <v>0</v>
      </c>
      <c r="AE582" s="56">
        <f>IF(AP582="2",BG582,0)</f>
        <v>0</v>
      </c>
      <c r="AF582" s="56">
        <f>IF(AP582="2",BH582,0)</f>
        <v>0</v>
      </c>
      <c r="AG582" s="56">
        <f>IF(AP582="0",BI582,0)</f>
        <v>0</v>
      </c>
      <c r="AH582" s="30" t="s">
        <v>1212</v>
      </c>
      <c r="AI582" s="56">
        <f>IF(AM582=0,I582,0)</f>
        <v>0</v>
      </c>
      <c r="AJ582" s="56">
        <f>IF(AM582=15,I582,0)</f>
        <v>0</v>
      </c>
      <c r="AK582" s="56">
        <f>IF(AM582=21,I582,0)</f>
        <v>0</v>
      </c>
      <c r="AM582" s="56">
        <v>21</v>
      </c>
      <c r="AN582" s="56">
        <f>H582*0</f>
        <v>0</v>
      </c>
      <c r="AO582" s="56">
        <f>H582*(1-0)</f>
        <v>0</v>
      </c>
      <c r="AP582" s="41" t="s">
        <v>1109</v>
      </c>
      <c r="AU582" s="56">
        <f>AV582+AW582</f>
        <v>0</v>
      </c>
      <c r="AV582" s="56">
        <f>G582*AN582</f>
        <v>0</v>
      </c>
      <c r="AW582" s="56">
        <f>G582*AO582</f>
        <v>0</v>
      </c>
      <c r="AX582" s="41" t="s">
        <v>223</v>
      </c>
      <c r="AY582" s="41" t="s">
        <v>404</v>
      </c>
      <c r="AZ582" s="30" t="s">
        <v>1193</v>
      </c>
      <c r="BB582" s="56">
        <f>AV582+AW582</f>
        <v>0</v>
      </c>
      <c r="BC582" s="56">
        <f>H582/(100-BD582)*100</f>
        <v>0</v>
      </c>
      <c r="BD582" s="56">
        <v>0</v>
      </c>
      <c r="BE582" s="56" t="e">
        <f>#REF!</f>
        <v>#REF!</v>
      </c>
      <c r="BG582" s="56">
        <f>G582*AN582</f>
        <v>0</v>
      </c>
      <c r="BH582" s="56">
        <f>G582*AO582</f>
        <v>0</v>
      </c>
      <c r="BI582" s="56">
        <f>G582*H582</f>
        <v>0</v>
      </c>
      <c r="BJ582" s="56"/>
      <c r="BK582" s="56">
        <v>17</v>
      </c>
      <c r="BV582" s="56">
        <v>21</v>
      </c>
    </row>
    <row r="583" spans="1:74" ht="15" customHeight="1" x14ac:dyDescent="0.25">
      <c r="A583" s="53"/>
      <c r="D583" s="52" t="s">
        <v>932</v>
      </c>
      <c r="E583" s="37" t="s">
        <v>715</v>
      </c>
      <c r="G583" s="21">
        <v>0.91600000000000004</v>
      </c>
      <c r="J583" s="48"/>
    </row>
    <row r="584" spans="1:74" ht="15" customHeight="1" x14ac:dyDescent="0.25">
      <c r="A584" s="53"/>
      <c r="D584" s="52" t="s">
        <v>983</v>
      </c>
      <c r="E584" s="37" t="s">
        <v>425</v>
      </c>
      <c r="G584" s="21">
        <v>2.6470000000000002</v>
      </c>
      <c r="J584" s="48"/>
    </row>
    <row r="585" spans="1:74" ht="15" customHeight="1" x14ac:dyDescent="0.25">
      <c r="A585" s="53"/>
      <c r="D585" s="52" t="s">
        <v>1189</v>
      </c>
      <c r="E585" s="37" t="s">
        <v>159</v>
      </c>
      <c r="G585" s="21">
        <v>6.6170000000000009</v>
      </c>
      <c r="J585" s="48"/>
    </row>
    <row r="586" spans="1:74" ht="15" customHeight="1" x14ac:dyDescent="0.25">
      <c r="A586" s="53"/>
      <c r="D586" s="52" t="s">
        <v>364</v>
      </c>
      <c r="E586" s="37" t="s">
        <v>80</v>
      </c>
      <c r="G586" s="21">
        <v>1.7310000000000001</v>
      </c>
      <c r="J586" s="48"/>
    </row>
    <row r="587" spans="1:74" ht="15" customHeight="1" x14ac:dyDescent="0.25">
      <c r="A587" s="27" t="s">
        <v>769</v>
      </c>
      <c r="B587" s="28" t="s">
        <v>1212</v>
      </c>
      <c r="C587" s="28" t="s">
        <v>882</v>
      </c>
      <c r="D587" s="132" t="s">
        <v>1127</v>
      </c>
      <c r="E587" s="133"/>
      <c r="F587" s="23" t="s">
        <v>1027</v>
      </c>
      <c r="G587" s="23" t="s">
        <v>1027</v>
      </c>
      <c r="H587" s="23" t="s">
        <v>1027</v>
      </c>
      <c r="I587" s="14">
        <f>SUM(I588:I589)</f>
        <v>0</v>
      </c>
      <c r="J587" s="44" t="s">
        <v>769</v>
      </c>
      <c r="AH587" s="30" t="s">
        <v>1212</v>
      </c>
      <c r="AR587" s="14">
        <f>SUM(AI588:AI589)</f>
        <v>0</v>
      </c>
      <c r="AS587" s="14">
        <f>SUM(AJ588:AJ589)</f>
        <v>0</v>
      </c>
      <c r="AT587" s="14">
        <f>SUM(AK588:AK589)</f>
        <v>0</v>
      </c>
    </row>
    <row r="588" spans="1:74" ht="13.5" customHeight="1" x14ac:dyDescent="0.25">
      <c r="A588" s="10" t="s">
        <v>1081</v>
      </c>
      <c r="B588" s="9" t="s">
        <v>1212</v>
      </c>
      <c r="C588" s="9" t="s">
        <v>573</v>
      </c>
      <c r="D588" s="76" t="s">
        <v>904</v>
      </c>
      <c r="E588" s="77"/>
      <c r="F588" s="9" t="s">
        <v>1095</v>
      </c>
      <c r="G588" s="56">
        <v>16</v>
      </c>
      <c r="H588" s="56">
        <v>0</v>
      </c>
      <c r="I588" s="56">
        <f>G588*H588</f>
        <v>0</v>
      </c>
      <c r="J588" s="54" t="s">
        <v>501</v>
      </c>
      <c r="Y588" s="56">
        <f>IF(AP588="5",BI588,0)</f>
        <v>0</v>
      </c>
      <c r="AA588" s="56">
        <f>IF(AP588="1",BG588,0)</f>
        <v>0</v>
      </c>
      <c r="AB588" s="56">
        <f>IF(AP588="1",BH588,0)</f>
        <v>0</v>
      </c>
      <c r="AC588" s="56">
        <f>IF(AP588="7",BG588,0)</f>
        <v>0</v>
      </c>
      <c r="AD588" s="56">
        <f>IF(AP588="7",BH588,0)</f>
        <v>0</v>
      </c>
      <c r="AE588" s="56">
        <f>IF(AP588="2",BG588,0)</f>
        <v>0</v>
      </c>
      <c r="AF588" s="56">
        <f>IF(AP588="2",BH588,0)</f>
        <v>0</v>
      </c>
      <c r="AG588" s="56">
        <f>IF(AP588="0",BI588,0)</f>
        <v>0</v>
      </c>
      <c r="AH588" s="30" t="s">
        <v>1212</v>
      </c>
      <c r="AI588" s="56">
        <f>IF(AM588=0,I588,0)</f>
        <v>0</v>
      </c>
      <c r="AJ588" s="56">
        <f>IF(AM588=15,I588,0)</f>
        <v>0</v>
      </c>
      <c r="AK588" s="56">
        <f>IF(AM588=21,I588,0)</f>
        <v>0</v>
      </c>
      <c r="AM588" s="56">
        <v>21</v>
      </c>
      <c r="AN588" s="56">
        <f>H588*0</f>
        <v>0</v>
      </c>
      <c r="AO588" s="56">
        <f>H588*(1-0)</f>
        <v>0</v>
      </c>
      <c r="AP588" s="41" t="s">
        <v>1109</v>
      </c>
      <c r="AU588" s="56">
        <f>AV588+AW588</f>
        <v>0</v>
      </c>
      <c r="AV588" s="56">
        <f>G588*AN588</f>
        <v>0</v>
      </c>
      <c r="AW588" s="56">
        <f>G588*AO588</f>
        <v>0</v>
      </c>
      <c r="AX588" s="41" t="s">
        <v>557</v>
      </c>
      <c r="AY588" s="41" t="s">
        <v>404</v>
      </c>
      <c r="AZ588" s="30" t="s">
        <v>1193</v>
      </c>
      <c r="BB588" s="56">
        <f>AV588+AW588</f>
        <v>0</v>
      </c>
      <c r="BC588" s="56">
        <f>H588/(100-BD588)*100</f>
        <v>0</v>
      </c>
      <c r="BD588" s="56">
        <v>0</v>
      </c>
      <c r="BE588" s="56" t="e">
        <f>#REF!</f>
        <v>#REF!</v>
      </c>
      <c r="BG588" s="56">
        <f>G588*AN588</f>
        <v>0</v>
      </c>
      <c r="BH588" s="56">
        <f>G588*AO588</f>
        <v>0</v>
      </c>
      <c r="BI588" s="56">
        <f>G588*H588</f>
        <v>0</v>
      </c>
      <c r="BJ588" s="56"/>
      <c r="BK588" s="56">
        <v>18</v>
      </c>
      <c r="BV588" s="56">
        <v>21</v>
      </c>
    </row>
    <row r="589" spans="1:74" ht="13.5" customHeight="1" x14ac:dyDescent="0.25">
      <c r="A589" s="10" t="s">
        <v>880</v>
      </c>
      <c r="B589" s="9" t="s">
        <v>1212</v>
      </c>
      <c r="C589" s="9" t="s">
        <v>1102</v>
      </c>
      <c r="D589" s="76" t="s">
        <v>4</v>
      </c>
      <c r="E589" s="77"/>
      <c r="F589" s="9" t="s">
        <v>1095</v>
      </c>
      <c r="G589" s="56">
        <v>16</v>
      </c>
      <c r="H589" s="56">
        <v>0</v>
      </c>
      <c r="I589" s="56">
        <f>G589*H589</f>
        <v>0</v>
      </c>
      <c r="J589" s="54" t="s">
        <v>501</v>
      </c>
      <c r="Y589" s="56">
        <f>IF(AP589="5",BI589,0)</f>
        <v>0</v>
      </c>
      <c r="AA589" s="56">
        <f>IF(AP589="1",BG589,0)</f>
        <v>0</v>
      </c>
      <c r="AB589" s="56">
        <f>IF(AP589="1",BH589,0)</f>
        <v>0</v>
      </c>
      <c r="AC589" s="56">
        <f>IF(AP589="7",BG589,0)</f>
        <v>0</v>
      </c>
      <c r="AD589" s="56">
        <f>IF(AP589="7",BH589,0)</f>
        <v>0</v>
      </c>
      <c r="AE589" s="56">
        <f>IF(AP589="2",BG589,0)</f>
        <v>0</v>
      </c>
      <c r="AF589" s="56">
        <f>IF(AP589="2",BH589,0)</f>
        <v>0</v>
      </c>
      <c r="AG589" s="56">
        <f>IF(AP589="0",BI589,0)</f>
        <v>0</v>
      </c>
      <c r="AH589" s="30" t="s">
        <v>1212</v>
      </c>
      <c r="AI589" s="56">
        <f>IF(AM589=0,I589,0)</f>
        <v>0</v>
      </c>
      <c r="AJ589" s="56">
        <f>IF(AM589=15,I589,0)</f>
        <v>0</v>
      </c>
      <c r="AK589" s="56">
        <f>IF(AM589=21,I589,0)</f>
        <v>0</v>
      </c>
      <c r="AM589" s="56">
        <v>21</v>
      </c>
      <c r="AN589" s="56">
        <f>H589*0.211652620007329</f>
        <v>0</v>
      </c>
      <c r="AO589" s="56">
        <f>H589*(1-0.211652620007329)</f>
        <v>0</v>
      </c>
      <c r="AP589" s="41" t="s">
        <v>1109</v>
      </c>
      <c r="AU589" s="56">
        <f>AV589+AW589</f>
        <v>0</v>
      </c>
      <c r="AV589" s="56">
        <f>G589*AN589</f>
        <v>0</v>
      </c>
      <c r="AW589" s="56">
        <f>G589*AO589</f>
        <v>0</v>
      </c>
      <c r="AX589" s="41" t="s">
        <v>557</v>
      </c>
      <c r="AY589" s="41" t="s">
        <v>404</v>
      </c>
      <c r="AZ589" s="30" t="s">
        <v>1193</v>
      </c>
      <c r="BB589" s="56">
        <f>AV589+AW589</f>
        <v>0</v>
      </c>
      <c r="BC589" s="56">
        <f>H589/(100-BD589)*100</f>
        <v>0</v>
      </c>
      <c r="BD589" s="56">
        <v>0</v>
      </c>
      <c r="BE589" s="56" t="e">
        <f>#REF!</f>
        <v>#REF!</v>
      </c>
      <c r="BG589" s="56">
        <f>G589*AN589</f>
        <v>0</v>
      </c>
      <c r="BH589" s="56">
        <f>G589*AO589</f>
        <v>0</v>
      </c>
      <c r="BI589" s="56">
        <f>G589*H589</f>
        <v>0</v>
      </c>
      <c r="BJ589" s="56"/>
      <c r="BK589" s="56">
        <v>18</v>
      </c>
      <c r="BV589" s="56">
        <v>21</v>
      </c>
    </row>
    <row r="590" spans="1:74" ht="15" customHeight="1" x14ac:dyDescent="0.25">
      <c r="A590" s="27" t="s">
        <v>769</v>
      </c>
      <c r="B590" s="28" t="s">
        <v>1212</v>
      </c>
      <c r="C590" s="28" t="s">
        <v>393</v>
      </c>
      <c r="D590" s="132" t="s">
        <v>860</v>
      </c>
      <c r="E590" s="133"/>
      <c r="F590" s="23" t="s">
        <v>1027</v>
      </c>
      <c r="G590" s="23" t="s">
        <v>1027</v>
      </c>
      <c r="H590" s="23" t="s">
        <v>1027</v>
      </c>
      <c r="I590" s="14">
        <f>SUM(I591:I591)</f>
        <v>0</v>
      </c>
      <c r="J590" s="44" t="s">
        <v>769</v>
      </c>
      <c r="AH590" s="30" t="s">
        <v>1212</v>
      </c>
      <c r="AR590" s="14">
        <f>SUM(AI591:AI591)</f>
        <v>0</v>
      </c>
      <c r="AS590" s="14">
        <f>SUM(AJ591:AJ591)</f>
        <v>0</v>
      </c>
      <c r="AT590" s="14">
        <f>SUM(AK591:AK591)</f>
        <v>0</v>
      </c>
    </row>
    <row r="591" spans="1:74" ht="13.5" customHeight="1" x14ac:dyDescent="0.25">
      <c r="A591" s="10" t="s">
        <v>869</v>
      </c>
      <c r="B591" s="9" t="s">
        <v>1212</v>
      </c>
      <c r="C591" s="9" t="s">
        <v>1039</v>
      </c>
      <c r="D591" s="76" t="s">
        <v>335</v>
      </c>
      <c r="E591" s="77"/>
      <c r="F591" s="9" t="s">
        <v>1079</v>
      </c>
      <c r="G591" s="56">
        <v>1.58</v>
      </c>
      <c r="H591" s="56">
        <v>0</v>
      </c>
      <c r="I591" s="56">
        <f>G591*H591</f>
        <v>0</v>
      </c>
      <c r="J591" s="54" t="s">
        <v>501</v>
      </c>
      <c r="Y591" s="56">
        <f>IF(AP591="5",BI591,0)</f>
        <v>0</v>
      </c>
      <c r="AA591" s="56">
        <f>IF(AP591="1",BG591,0)</f>
        <v>0</v>
      </c>
      <c r="AB591" s="56">
        <f>IF(AP591="1",BH591,0)</f>
        <v>0</v>
      </c>
      <c r="AC591" s="56">
        <f>IF(AP591="7",BG591,0)</f>
        <v>0</v>
      </c>
      <c r="AD591" s="56">
        <f>IF(AP591="7",BH591,0)</f>
        <v>0</v>
      </c>
      <c r="AE591" s="56">
        <f>IF(AP591="2",BG591,0)</f>
        <v>0</v>
      </c>
      <c r="AF591" s="56">
        <f>IF(AP591="2",BH591,0)</f>
        <v>0</v>
      </c>
      <c r="AG591" s="56">
        <f>IF(AP591="0",BI591,0)</f>
        <v>0</v>
      </c>
      <c r="AH591" s="30" t="s">
        <v>1212</v>
      </c>
      <c r="AI591" s="56">
        <f>IF(AM591=0,I591,0)</f>
        <v>0</v>
      </c>
      <c r="AJ591" s="56">
        <f>IF(AM591=15,I591,0)</f>
        <v>0</v>
      </c>
      <c r="AK591" s="56">
        <f>IF(AM591=21,I591,0)</f>
        <v>0</v>
      </c>
      <c r="AM591" s="56">
        <v>21</v>
      </c>
      <c r="AN591" s="56">
        <f>H591*0.464149430974765</f>
        <v>0</v>
      </c>
      <c r="AO591" s="56">
        <f>H591*(1-0.464149430974765)</f>
        <v>0</v>
      </c>
      <c r="AP591" s="41" t="s">
        <v>1109</v>
      </c>
      <c r="AU591" s="56">
        <f>AV591+AW591</f>
        <v>0</v>
      </c>
      <c r="AV591" s="56">
        <f>G591*AN591</f>
        <v>0</v>
      </c>
      <c r="AW591" s="56">
        <f>G591*AO591</f>
        <v>0</v>
      </c>
      <c r="AX591" s="41" t="s">
        <v>547</v>
      </c>
      <c r="AY591" s="41" t="s">
        <v>220</v>
      </c>
      <c r="AZ591" s="30" t="s">
        <v>1193</v>
      </c>
      <c r="BB591" s="56">
        <f>AV591+AW591</f>
        <v>0</v>
      </c>
      <c r="BC591" s="56">
        <f>H591/(100-BD591)*100</f>
        <v>0</v>
      </c>
      <c r="BD591" s="56">
        <v>0</v>
      </c>
      <c r="BE591" s="56" t="e">
        <f>#REF!</f>
        <v>#REF!</v>
      </c>
      <c r="BG591" s="56">
        <f>G591*AN591</f>
        <v>0</v>
      </c>
      <c r="BH591" s="56">
        <f>G591*AO591</f>
        <v>0</v>
      </c>
      <c r="BI591" s="56">
        <f>G591*H591</f>
        <v>0</v>
      </c>
      <c r="BJ591" s="56"/>
      <c r="BK591" s="56">
        <v>45</v>
      </c>
      <c r="BV591" s="56">
        <v>21</v>
      </c>
    </row>
    <row r="592" spans="1:74" ht="13.5" customHeight="1" x14ac:dyDescent="0.25">
      <c r="A592" s="53"/>
      <c r="C592" s="66" t="s">
        <v>578</v>
      </c>
      <c r="D592" s="137" t="s">
        <v>304</v>
      </c>
      <c r="E592" s="138"/>
      <c r="F592" s="138"/>
      <c r="G592" s="138"/>
      <c r="H592" s="138"/>
      <c r="I592" s="138"/>
      <c r="J592" s="139"/>
    </row>
    <row r="593" spans="1:74" ht="15" customHeight="1" x14ac:dyDescent="0.25">
      <c r="A593" s="53"/>
      <c r="D593" s="52" t="s">
        <v>775</v>
      </c>
      <c r="E593" s="37" t="s">
        <v>715</v>
      </c>
      <c r="G593" s="21">
        <v>9.0000000000000011E-2</v>
      </c>
      <c r="J593" s="48"/>
    </row>
    <row r="594" spans="1:74" ht="15" customHeight="1" x14ac:dyDescent="0.25">
      <c r="A594" s="53"/>
      <c r="D594" s="52" t="s">
        <v>402</v>
      </c>
      <c r="E594" s="37" t="s">
        <v>425</v>
      </c>
      <c r="G594" s="21">
        <v>0.5</v>
      </c>
      <c r="J594" s="48"/>
    </row>
    <row r="595" spans="1:74" ht="15" customHeight="1" x14ac:dyDescent="0.25">
      <c r="A595" s="53"/>
      <c r="D595" s="52" t="s">
        <v>684</v>
      </c>
      <c r="E595" s="37" t="s">
        <v>159</v>
      </c>
      <c r="G595" s="21">
        <v>0.65</v>
      </c>
      <c r="J595" s="48"/>
    </row>
    <row r="596" spans="1:74" ht="15" customHeight="1" x14ac:dyDescent="0.25">
      <c r="A596" s="53"/>
      <c r="D596" s="52" t="s">
        <v>287</v>
      </c>
      <c r="E596" s="37" t="s">
        <v>80</v>
      </c>
      <c r="G596" s="21">
        <v>0.34</v>
      </c>
      <c r="J596" s="48"/>
    </row>
    <row r="597" spans="1:74" ht="15" customHeight="1" x14ac:dyDescent="0.25">
      <c r="A597" s="27" t="s">
        <v>769</v>
      </c>
      <c r="B597" s="28" t="s">
        <v>1212</v>
      </c>
      <c r="C597" s="28" t="s">
        <v>700</v>
      </c>
      <c r="D597" s="132" t="s">
        <v>739</v>
      </c>
      <c r="E597" s="133"/>
      <c r="F597" s="23" t="s">
        <v>1027</v>
      </c>
      <c r="G597" s="23" t="s">
        <v>1027</v>
      </c>
      <c r="H597" s="23" t="s">
        <v>1027</v>
      </c>
      <c r="I597" s="14">
        <f>SUM(I598:I604)</f>
        <v>0</v>
      </c>
      <c r="J597" s="44" t="s">
        <v>769</v>
      </c>
      <c r="AH597" s="30" t="s">
        <v>1212</v>
      </c>
      <c r="AR597" s="14">
        <f>SUM(AI598:AI604)</f>
        <v>0</v>
      </c>
      <c r="AS597" s="14">
        <f>SUM(AJ598:AJ604)</f>
        <v>0</v>
      </c>
      <c r="AT597" s="14">
        <f>SUM(AK598:AK604)</f>
        <v>0</v>
      </c>
    </row>
    <row r="598" spans="1:74" ht="13.5" customHeight="1" x14ac:dyDescent="0.25">
      <c r="A598" s="10" t="s">
        <v>162</v>
      </c>
      <c r="B598" s="9" t="s">
        <v>1212</v>
      </c>
      <c r="C598" s="9" t="s">
        <v>555</v>
      </c>
      <c r="D598" s="76" t="s">
        <v>1063</v>
      </c>
      <c r="E598" s="77"/>
      <c r="F598" s="9" t="s">
        <v>1095</v>
      </c>
      <c r="G598" s="56">
        <v>11.7</v>
      </c>
      <c r="H598" s="56">
        <v>0</v>
      </c>
      <c r="I598" s="56">
        <f>G598*H598</f>
        <v>0</v>
      </c>
      <c r="J598" s="54" t="s">
        <v>501</v>
      </c>
      <c r="Y598" s="56">
        <f>IF(AP598="5",BI598,0)</f>
        <v>0</v>
      </c>
      <c r="AA598" s="56">
        <f>IF(AP598="1",BG598,0)</f>
        <v>0</v>
      </c>
      <c r="AB598" s="56">
        <f>IF(AP598="1",BH598,0)</f>
        <v>0</v>
      </c>
      <c r="AC598" s="56">
        <f>IF(AP598="7",BG598,0)</f>
        <v>0</v>
      </c>
      <c r="AD598" s="56">
        <f>IF(AP598="7",BH598,0)</f>
        <v>0</v>
      </c>
      <c r="AE598" s="56">
        <f>IF(AP598="2",BG598,0)</f>
        <v>0</v>
      </c>
      <c r="AF598" s="56">
        <f>IF(AP598="2",BH598,0)</f>
        <v>0</v>
      </c>
      <c r="AG598" s="56">
        <f>IF(AP598="0",BI598,0)</f>
        <v>0</v>
      </c>
      <c r="AH598" s="30" t="s">
        <v>1212</v>
      </c>
      <c r="AI598" s="56">
        <f>IF(AM598=0,I598,0)</f>
        <v>0</v>
      </c>
      <c r="AJ598" s="56">
        <f>IF(AM598=15,I598,0)</f>
        <v>0</v>
      </c>
      <c r="AK598" s="56">
        <f>IF(AM598=21,I598,0)</f>
        <v>0</v>
      </c>
      <c r="AM598" s="56">
        <v>21</v>
      </c>
      <c r="AN598" s="56">
        <f>H598*0.825254917504831</f>
        <v>0</v>
      </c>
      <c r="AO598" s="56">
        <f>H598*(1-0.825254917504831)</f>
        <v>0</v>
      </c>
      <c r="AP598" s="41" t="s">
        <v>1109</v>
      </c>
      <c r="AU598" s="56">
        <f>AV598+AW598</f>
        <v>0</v>
      </c>
      <c r="AV598" s="56">
        <f>G598*AN598</f>
        <v>0</v>
      </c>
      <c r="AW598" s="56">
        <f>G598*AO598</f>
        <v>0</v>
      </c>
      <c r="AX598" s="41" t="s">
        <v>1152</v>
      </c>
      <c r="AY598" s="41" t="s">
        <v>1097</v>
      </c>
      <c r="AZ598" s="30" t="s">
        <v>1193</v>
      </c>
      <c r="BB598" s="56">
        <f>AV598+AW598</f>
        <v>0</v>
      </c>
      <c r="BC598" s="56">
        <f>H598/(100-BD598)*100</f>
        <v>0</v>
      </c>
      <c r="BD598" s="56">
        <v>0</v>
      </c>
      <c r="BE598" s="56" t="e">
        <f>#REF!</f>
        <v>#REF!</v>
      </c>
      <c r="BG598" s="56">
        <f>G598*AN598</f>
        <v>0</v>
      </c>
      <c r="BH598" s="56">
        <f>G598*AO598</f>
        <v>0</v>
      </c>
      <c r="BI598" s="56">
        <f>G598*H598</f>
        <v>0</v>
      </c>
      <c r="BJ598" s="56"/>
      <c r="BK598" s="56">
        <v>56</v>
      </c>
      <c r="BV598" s="56">
        <v>21</v>
      </c>
    </row>
    <row r="599" spans="1:74" ht="13.5" customHeight="1" x14ac:dyDescent="0.25">
      <c r="A599" s="53"/>
      <c r="C599" s="66" t="s">
        <v>578</v>
      </c>
      <c r="D599" s="137" t="s">
        <v>216</v>
      </c>
      <c r="E599" s="138"/>
      <c r="F599" s="138"/>
      <c r="G599" s="138"/>
      <c r="H599" s="138"/>
      <c r="I599" s="138"/>
      <c r="J599" s="139"/>
    </row>
    <row r="600" spans="1:74" ht="15" customHeight="1" x14ac:dyDescent="0.25">
      <c r="A600" s="53"/>
      <c r="D600" s="52" t="s">
        <v>787</v>
      </c>
      <c r="E600" s="37" t="s">
        <v>715</v>
      </c>
      <c r="G600" s="21">
        <v>0.9</v>
      </c>
      <c r="J600" s="48"/>
    </row>
    <row r="601" spans="1:74" ht="15" customHeight="1" x14ac:dyDescent="0.25">
      <c r="A601" s="53"/>
      <c r="D601" s="52" t="s">
        <v>314</v>
      </c>
      <c r="E601" s="37" t="s">
        <v>425</v>
      </c>
      <c r="G601" s="21">
        <v>2.6</v>
      </c>
      <c r="J601" s="48"/>
    </row>
    <row r="602" spans="1:74" ht="15" customHeight="1" x14ac:dyDescent="0.25">
      <c r="A602" s="53"/>
      <c r="D602" s="52" t="s">
        <v>1069</v>
      </c>
      <c r="E602" s="37" t="s">
        <v>159</v>
      </c>
      <c r="G602" s="21">
        <v>6.5000000000000009</v>
      </c>
      <c r="J602" s="48"/>
    </row>
    <row r="603" spans="1:74" ht="15" customHeight="1" x14ac:dyDescent="0.25">
      <c r="A603" s="53"/>
      <c r="D603" s="52" t="s">
        <v>893</v>
      </c>
      <c r="E603" s="37" t="s">
        <v>80</v>
      </c>
      <c r="G603" s="21">
        <v>1.7000000000000002</v>
      </c>
      <c r="J603" s="48"/>
    </row>
    <row r="604" spans="1:74" ht="13.5" customHeight="1" x14ac:dyDescent="0.25">
      <c r="A604" s="10" t="s">
        <v>486</v>
      </c>
      <c r="B604" s="9" t="s">
        <v>1212</v>
      </c>
      <c r="C604" s="9" t="s">
        <v>842</v>
      </c>
      <c r="D604" s="76" t="s">
        <v>301</v>
      </c>
      <c r="E604" s="77"/>
      <c r="F604" s="9" t="s">
        <v>1095</v>
      </c>
      <c r="G604" s="56">
        <v>11.7</v>
      </c>
      <c r="H604" s="56">
        <v>0</v>
      </c>
      <c r="I604" s="56">
        <f>G604*H604</f>
        <v>0</v>
      </c>
      <c r="J604" s="54" t="s">
        <v>501</v>
      </c>
      <c r="Y604" s="56">
        <f>IF(AP604="5",BI604,0)</f>
        <v>0</v>
      </c>
      <c r="AA604" s="56">
        <f>IF(AP604="1",BG604,0)</f>
        <v>0</v>
      </c>
      <c r="AB604" s="56">
        <f>IF(AP604="1",BH604,0)</f>
        <v>0</v>
      </c>
      <c r="AC604" s="56">
        <f>IF(AP604="7",BG604,0)</f>
        <v>0</v>
      </c>
      <c r="AD604" s="56">
        <f>IF(AP604="7",BH604,0)</f>
        <v>0</v>
      </c>
      <c r="AE604" s="56">
        <f>IF(AP604="2",BG604,0)</f>
        <v>0</v>
      </c>
      <c r="AF604" s="56">
        <f>IF(AP604="2",BH604,0)</f>
        <v>0</v>
      </c>
      <c r="AG604" s="56">
        <f>IF(AP604="0",BI604,0)</f>
        <v>0</v>
      </c>
      <c r="AH604" s="30" t="s">
        <v>1212</v>
      </c>
      <c r="AI604" s="56">
        <f>IF(AM604=0,I604,0)</f>
        <v>0</v>
      </c>
      <c r="AJ604" s="56">
        <f>IF(AM604=15,I604,0)</f>
        <v>0</v>
      </c>
      <c r="AK604" s="56">
        <f>IF(AM604=21,I604,0)</f>
        <v>0</v>
      </c>
      <c r="AM604" s="56">
        <v>21</v>
      </c>
      <c r="AN604" s="56">
        <f>H604*0.853653467120588</f>
        <v>0</v>
      </c>
      <c r="AO604" s="56">
        <f>H604*(1-0.853653467120588)</f>
        <v>0</v>
      </c>
      <c r="AP604" s="41" t="s">
        <v>1109</v>
      </c>
      <c r="AU604" s="56">
        <f>AV604+AW604</f>
        <v>0</v>
      </c>
      <c r="AV604" s="56">
        <f>G604*AN604</f>
        <v>0</v>
      </c>
      <c r="AW604" s="56">
        <f>G604*AO604</f>
        <v>0</v>
      </c>
      <c r="AX604" s="41" t="s">
        <v>1152</v>
      </c>
      <c r="AY604" s="41" t="s">
        <v>1097</v>
      </c>
      <c r="AZ604" s="30" t="s">
        <v>1193</v>
      </c>
      <c r="BB604" s="56">
        <f>AV604+AW604</f>
        <v>0</v>
      </c>
      <c r="BC604" s="56">
        <f>H604/(100-BD604)*100</f>
        <v>0</v>
      </c>
      <c r="BD604" s="56">
        <v>0</v>
      </c>
      <c r="BE604" s="56" t="e">
        <f>#REF!</f>
        <v>#REF!</v>
      </c>
      <c r="BG604" s="56">
        <f>G604*AN604</f>
        <v>0</v>
      </c>
      <c r="BH604" s="56">
        <f>G604*AO604</f>
        <v>0</v>
      </c>
      <c r="BI604" s="56">
        <f>G604*H604</f>
        <v>0</v>
      </c>
      <c r="BJ604" s="56"/>
      <c r="BK604" s="56">
        <v>56</v>
      </c>
      <c r="BV604" s="56">
        <v>21</v>
      </c>
    </row>
    <row r="605" spans="1:74" ht="13.5" customHeight="1" x14ac:dyDescent="0.25">
      <c r="A605" s="53"/>
      <c r="C605" s="66" t="s">
        <v>578</v>
      </c>
      <c r="D605" s="137" t="s">
        <v>868</v>
      </c>
      <c r="E605" s="138"/>
      <c r="F605" s="138"/>
      <c r="G605" s="138"/>
      <c r="H605" s="138"/>
      <c r="I605" s="138"/>
      <c r="J605" s="139"/>
    </row>
    <row r="606" spans="1:74" ht="15" customHeight="1" x14ac:dyDescent="0.25">
      <c r="A606" s="53"/>
      <c r="D606" s="52" t="s">
        <v>787</v>
      </c>
      <c r="E606" s="37" t="s">
        <v>715</v>
      </c>
      <c r="G606" s="21">
        <v>0.9</v>
      </c>
      <c r="J606" s="48"/>
    </row>
    <row r="607" spans="1:74" ht="15" customHeight="1" x14ac:dyDescent="0.25">
      <c r="A607" s="53"/>
      <c r="D607" s="52" t="s">
        <v>314</v>
      </c>
      <c r="E607" s="37" t="s">
        <v>425</v>
      </c>
      <c r="G607" s="21">
        <v>2.6</v>
      </c>
      <c r="J607" s="48"/>
    </row>
    <row r="608" spans="1:74" ht="15" customHeight="1" x14ac:dyDescent="0.25">
      <c r="A608" s="53"/>
      <c r="D608" s="52" t="s">
        <v>1069</v>
      </c>
      <c r="E608" s="37" t="s">
        <v>159</v>
      </c>
      <c r="G608" s="21">
        <v>6.5000000000000009</v>
      </c>
      <c r="J608" s="48"/>
    </row>
    <row r="609" spans="1:74" ht="15" customHeight="1" x14ac:dyDescent="0.25">
      <c r="A609" s="53"/>
      <c r="D609" s="52" t="s">
        <v>893</v>
      </c>
      <c r="E609" s="37" t="s">
        <v>80</v>
      </c>
      <c r="G609" s="21">
        <v>1.7000000000000002</v>
      </c>
      <c r="J609" s="48"/>
    </row>
    <row r="610" spans="1:74" ht="15" customHeight="1" x14ac:dyDescent="0.25">
      <c r="A610" s="27" t="s">
        <v>769</v>
      </c>
      <c r="B610" s="28" t="s">
        <v>1212</v>
      </c>
      <c r="C610" s="28" t="s">
        <v>512</v>
      </c>
      <c r="D610" s="132" t="s">
        <v>1047</v>
      </c>
      <c r="E610" s="133"/>
      <c r="F610" s="23" t="s">
        <v>1027</v>
      </c>
      <c r="G610" s="23" t="s">
        <v>1027</v>
      </c>
      <c r="H610" s="23" t="s">
        <v>1027</v>
      </c>
      <c r="I610" s="14">
        <f>SUM(I611:I616)</f>
        <v>0</v>
      </c>
      <c r="J610" s="44" t="s">
        <v>769</v>
      </c>
      <c r="AH610" s="30" t="s">
        <v>1212</v>
      </c>
      <c r="AR610" s="14">
        <f>SUM(AI611:AI616)</f>
        <v>0</v>
      </c>
      <c r="AS610" s="14">
        <f>SUM(AJ611:AJ616)</f>
        <v>0</v>
      </c>
      <c r="AT610" s="14">
        <f>SUM(AK611:AK616)</f>
        <v>0</v>
      </c>
    </row>
    <row r="611" spans="1:74" ht="13.5" customHeight="1" x14ac:dyDescent="0.25">
      <c r="A611" s="10" t="s">
        <v>233</v>
      </c>
      <c r="B611" s="9" t="s">
        <v>1212</v>
      </c>
      <c r="C611" s="9" t="s">
        <v>848</v>
      </c>
      <c r="D611" s="76" t="s">
        <v>750</v>
      </c>
      <c r="E611" s="77"/>
      <c r="F611" s="9" t="s">
        <v>1095</v>
      </c>
      <c r="G611" s="56">
        <v>16</v>
      </c>
      <c r="H611" s="56">
        <v>0</v>
      </c>
      <c r="I611" s="56">
        <f>G611*H611</f>
        <v>0</v>
      </c>
      <c r="J611" s="54" t="s">
        <v>501</v>
      </c>
      <c r="Y611" s="56">
        <f>IF(AP611="5",BI611,0)</f>
        <v>0</v>
      </c>
      <c r="AA611" s="56">
        <f>IF(AP611="1",BG611,0)</f>
        <v>0</v>
      </c>
      <c r="AB611" s="56">
        <f>IF(AP611="1",BH611,0)</f>
        <v>0</v>
      </c>
      <c r="AC611" s="56">
        <f>IF(AP611="7",BG611,0)</f>
        <v>0</v>
      </c>
      <c r="AD611" s="56">
        <f>IF(AP611="7",BH611,0)</f>
        <v>0</v>
      </c>
      <c r="AE611" s="56">
        <f>IF(AP611="2",BG611,0)</f>
        <v>0</v>
      </c>
      <c r="AF611" s="56">
        <f>IF(AP611="2",BH611,0)</f>
        <v>0</v>
      </c>
      <c r="AG611" s="56">
        <f>IF(AP611="0",BI611,0)</f>
        <v>0</v>
      </c>
      <c r="AH611" s="30" t="s">
        <v>1212</v>
      </c>
      <c r="AI611" s="56">
        <f>IF(AM611=0,I611,0)</f>
        <v>0</v>
      </c>
      <c r="AJ611" s="56">
        <f>IF(AM611=15,I611,0)</f>
        <v>0</v>
      </c>
      <c r="AK611" s="56">
        <f>IF(AM611=21,I611,0)</f>
        <v>0</v>
      </c>
      <c r="AM611" s="56">
        <v>21</v>
      </c>
      <c r="AN611" s="56">
        <f>H611*0.0616990291262136</f>
        <v>0</v>
      </c>
      <c r="AO611" s="56">
        <f>H611*(1-0.0616990291262136)</f>
        <v>0</v>
      </c>
      <c r="AP611" s="41" t="s">
        <v>1109</v>
      </c>
      <c r="AU611" s="56">
        <f>AV611+AW611</f>
        <v>0</v>
      </c>
      <c r="AV611" s="56">
        <f>G611*AN611</f>
        <v>0</v>
      </c>
      <c r="AW611" s="56">
        <f>G611*AO611</f>
        <v>0</v>
      </c>
      <c r="AX611" s="41" t="s">
        <v>1100</v>
      </c>
      <c r="AY611" s="41" t="s">
        <v>1097</v>
      </c>
      <c r="AZ611" s="30" t="s">
        <v>1193</v>
      </c>
      <c r="BB611" s="56">
        <f>AV611+AW611</f>
        <v>0</v>
      </c>
      <c r="BC611" s="56">
        <f>H611/(100-BD611)*100</f>
        <v>0</v>
      </c>
      <c r="BD611" s="56">
        <v>0</v>
      </c>
      <c r="BE611" s="56" t="e">
        <f>#REF!</f>
        <v>#REF!</v>
      </c>
      <c r="BG611" s="56">
        <f>G611*AN611</f>
        <v>0</v>
      </c>
      <c r="BH611" s="56">
        <f>G611*AO611</f>
        <v>0</v>
      </c>
      <c r="BI611" s="56">
        <f>G611*H611</f>
        <v>0</v>
      </c>
      <c r="BJ611" s="56"/>
      <c r="BK611" s="56">
        <v>59</v>
      </c>
      <c r="BV611" s="56">
        <v>21</v>
      </c>
    </row>
    <row r="612" spans="1:74" ht="13.5" customHeight="1" x14ac:dyDescent="0.25">
      <c r="A612" s="10" t="s">
        <v>475</v>
      </c>
      <c r="B612" s="9" t="s">
        <v>1212</v>
      </c>
      <c r="C612" s="9" t="s">
        <v>447</v>
      </c>
      <c r="D612" s="76" t="s">
        <v>728</v>
      </c>
      <c r="E612" s="77"/>
      <c r="F612" s="9" t="s">
        <v>1095</v>
      </c>
      <c r="G612" s="56">
        <v>3.5</v>
      </c>
      <c r="H612" s="56">
        <v>0</v>
      </c>
      <c r="I612" s="56">
        <f>G612*H612</f>
        <v>0</v>
      </c>
      <c r="J612" s="54" t="s">
        <v>501</v>
      </c>
      <c r="Y612" s="56">
        <f>IF(AP612="5",BI612,0)</f>
        <v>0</v>
      </c>
      <c r="AA612" s="56">
        <f>IF(AP612="1",BG612,0)</f>
        <v>0</v>
      </c>
      <c r="AB612" s="56">
        <f>IF(AP612="1",BH612,0)</f>
        <v>0</v>
      </c>
      <c r="AC612" s="56">
        <f>IF(AP612="7",BG612,0)</f>
        <v>0</v>
      </c>
      <c r="AD612" s="56">
        <f>IF(AP612="7",BH612,0)</f>
        <v>0</v>
      </c>
      <c r="AE612" s="56">
        <f>IF(AP612="2",BG612,0)</f>
        <v>0</v>
      </c>
      <c r="AF612" s="56">
        <f>IF(AP612="2",BH612,0)</f>
        <v>0</v>
      </c>
      <c r="AG612" s="56">
        <f>IF(AP612="0",BI612,0)</f>
        <v>0</v>
      </c>
      <c r="AH612" s="30" t="s">
        <v>1212</v>
      </c>
      <c r="AI612" s="56">
        <f>IF(AM612=0,I612,0)</f>
        <v>0</v>
      </c>
      <c r="AJ612" s="56">
        <f>IF(AM612=15,I612,0)</f>
        <v>0</v>
      </c>
      <c r="AK612" s="56">
        <f>IF(AM612=21,I612,0)</f>
        <v>0</v>
      </c>
      <c r="AM612" s="56">
        <v>21</v>
      </c>
      <c r="AN612" s="56">
        <f>H612*0.17168284789644</f>
        <v>0</v>
      </c>
      <c r="AO612" s="56">
        <f>H612*(1-0.17168284789644)</f>
        <v>0</v>
      </c>
      <c r="AP612" s="41" t="s">
        <v>1109</v>
      </c>
      <c r="AU612" s="56">
        <f>AV612+AW612</f>
        <v>0</v>
      </c>
      <c r="AV612" s="56">
        <f>G612*AN612</f>
        <v>0</v>
      </c>
      <c r="AW612" s="56">
        <f>G612*AO612</f>
        <v>0</v>
      </c>
      <c r="AX612" s="41" t="s">
        <v>1100</v>
      </c>
      <c r="AY612" s="41" t="s">
        <v>1097</v>
      </c>
      <c r="AZ612" s="30" t="s">
        <v>1193</v>
      </c>
      <c r="BB612" s="56">
        <f>AV612+AW612</f>
        <v>0</v>
      </c>
      <c r="BC612" s="56">
        <f>H612/(100-BD612)*100</f>
        <v>0</v>
      </c>
      <c r="BD612" s="56">
        <v>0</v>
      </c>
      <c r="BE612" s="56" t="e">
        <f>#REF!</f>
        <v>#REF!</v>
      </c>
      <c r="BG612" s="56">
        <f>G612*AN612</f>
        <v>0</v>
      </c>
      <c r="BH612" s="56">
        <f>G612*AO612</f>
        <v>0</v>
      </c>
      <c r="BI612" s="56">
        <f>G612*H612</f>
        <v>0</v>
      </c>
      <c r="BJ612" s="56"/>
      <c r="BK612" s="56">
        <v>59</v>
      </c>
      <c r="BV612" s="56">
        <v>21</v>
      </c>
    </row>
    <row r="613" spans="1:74" ht="13.5" customHeight="1" x14ac:dyDescent="0.25">
      <c r="A613" s="57" t="s">
        <v>24</v>
      </c>
      <c r="B613" s="50" t="s">
        <v>1212</v>
      </c>
      <c r="C613" s="50" t="s">
        <v>742</v>
      </c>
      <c r="D613" s="135" t="s">
        <v>144</v>
      </c>
      <c r="E613" s="136"/>
      <c r="F613" s="50" t="s">
        <v>1095</v>
      </c>
      <c r="G613" s="31">
        <v>0.35</v>
      </c>
      <c r="H613" s="31">
        <v>0</v>
      </c>
      <c r="I613" s="31">
        <f>G613*H613</f>
        <v>0</v>
      </c>
      <c r="J613" s="47" t="s">
        <v>501</v>
      </c>
      <c r="Y613" s="56">
        <f>IF(AP613="5",BI613,0)</f>
        <v>0</v>
      </c>
      <c r="AA613" s="56">
        <f>IF(AP613="1",BG613,0)</f>
        <v>0</v>
      </c>
      <c r="AB613" s="56">
        <f>IF(AP613="1",BH613,0)</f>
        <v>0</v>
      </c>
      <c r="AC613" s="56">
        <f>IF(AP613="7",BG613,0)</f>
        <v>0</v>
      </c>
      <c r="AD613" s="56">
        <f>IF(AP613="7",BH613,0)</f>
        <v>0</v>
      </c>
      <c r="AE613" s="56">
        <f>IF(AP613="2",BG613,0)</f>
        <v>0</v>
      </c>
      <c r="AF613" s="56">
        <f>IF(AP613="2",BH613,0)</f>
        <v>0</v>
      </c>
      <c r="AG613" s="56">
        <f>IF(AP613="0",BI613,0)</f>
        <v>0</v>
      </c>
      <c r="AH613" s="30" t="s">
        <v>1212</v>
      </c>
      <c r="AI613" s="31">
        <f>IF(AM613=0,I613,0)</f>
        <v>0</v>
      </c>
      <c r="AJ613" s="31">
        <f>IF(AM613=15,I613,0)</f>
        <v>0</v>
      </c>
      <c r="AK613" s="31">
        <f>IF(AM613=21,I613,0)</f>
        <v>0</v>
      </c>
      <c r="AM613" s="56">
        <v>21</v>
      </c>
      <c r="AN613" s="56">
        <f>H613*1</f>
        <v>0</v>
      </c>
      <c r="AO613" s="56">
        <f>H613*(1-1)</f>
        <v>0</v>
      </c>
      <c r="AP613" s="58" t="s">
        <v>1109</v>
      </c>
      <c r="AU613" s="56">
        <f>AV613+AW613</f>
        <v>0</v>
      </c>
      <c r="AV613" s="56">
        <f>G613*AN613</f>
        <v>0</v>
      </c>
      <c r="AW613" s="56">
        <f>G613*AO613</f>
        <v>0</v>
      </c>
      <c r="AX613" s="41" t="s">
        <v>1100</v>
      </c>
      <c r="AY613" s="41" t="s">
        <v>1097</v>
      </c>
      <c r="AZ613" s="30" t="s">
        <v>1193</v>
      </c>
      <c r="BB613" s="56">
        <f>AV613+AW613</f>
        <v>0</v>
      </c>
      <c r="BC613" s="56">
        <f>H613/(100-BD613)*100</f>
        <v>0</v>
      </c>
      <c r="BD613" s="56">
        <v>0</v>
      </c>
      <c r="BE613" s="56" t="e">
        <f>#REF!</f>
        <v>#REF!</v>
      </c>
      <c r="BG613" s="31">
        <f>G613*AN613</f>
        <v>0</v>
      </c>
      <c r="BH613" s="31">
        <f>G613*AO613</f>
        <v>0</v>
      </c>
      <c r="BI613" s="31">
        <f>G613*H613</f>
        <v>0</v>
      </c>
      <c r="BJ613" s="31"/>
      <c r="BK613" s="56">
        <v>59</v>
      </c>
      <c r="BV613" s="56">
        <v>21</v>
      </c>
    </row>
    <row r="614" spans="1:74" ht="15" customHeight="1" x14ac:dyDescent="0.25">
      <c r="A614" s="53"/>
      <c r="D614" s="52" t="s">
        <v>618</v>
      </c>
      <c r="E614" s="37" t="s">
        <v>412</v>
      </c>
      <c r="G614" s="21">
        <v>0.35000000000000003</v>
      </c>
      <c r="J614" s="48"/>
    </row>
    <row r="615" spans="1:74" ht="13.5" customHeight="1" x14ac:dyDescent="0.25">
      <c r="A615" s="10" t="s">
        <v>947</v>
      </c>
      <c r="B615" s="9" t="s">
        <v>1212</v>
      </c>
      <c r="C615" s="9" t="s">
        <v>761</v>
      </c>
      <c r="D615" s="76" t="s">
        <v>299</v>
      </c>
      <c r="E615" s="77"/>
      <c r="F615" s="9" t="s">
        <v>1095</v>
      </c>
      <c r="G615" s="56">
        <v>3</v>
      </c>
      <c r="H615" s="56">
        <v>0</v>
      </c>
      <c r="I615" s="56">
        <f>G615*H615</f>
        <v>0</v>
      </c>
      <c r="J615" s="54" t="s">
        <v>501</v>
      </c>
      <c r="Y615" s="56">
        <f>IF(AP615="5",BI615,0)</f>
        <v>0</v>
      </c>
      <c r="AA615" s="56">
        <f>IF(AP615="1",BG615,0)</f>
        <v>0</v>
      </c>
      <c r="AB615" s="56">
        <f>IF(AP615="1",BH615,0)</f>
        <v>0</v>
      </c>
      <c r="AC615" s="56">
        <f>IF(AP615="7",BG615,0)</f>
        <v>0</v>
      </c>
      <c r="AD615" s="56">
        <f>IF(AP615="7",BH615,0)</f>
        <v>0</v>
      </c>
      <c r="AE615" s="56">
        <f>IF(AP615="2",BG615,0)</f>
        <v>0</v>
      </c>
      <c r="AF615" s="56">
        <f>IF(AP615="2",BH615,0)</f>
        <v>0</v>
      </c>
      <c r="AG615" s="56">
        <f>IF(AP615="0",BI615,0)</f>
        <v>0</v>
      </c>
      <c r="AH615" s="30" t="s">
        <v>1212</v>
      </c>
      <c r="AI615" s="56">
        <f>IF(AM615=0,I615,0)</f>
        <v>0</v>
      </c>
      <c r="AJ615" s="56">
        <f>IF(AM615=15,I615,0)</f>
        <v>0</v>
      </c>
      <c r="AK615" s="56">
        <f>IF(AM615=21,I615,0)</f>
        <v>0</v>
      </c>
      <c r="AM615" s="56">
        <v>21</v>
      </c>
      <c r="AN615" s="56">
        <f>H615*0.113940774487472</f>
        <v>0</v>
      </c>
      <c r="AO615" s="56">
        <f>H615*(1-0.113940774487472)</f>
        <v>0</v>
      </c>
      <c r="AP615" s="41" t="s">
        <v>1109</v>
      </c>
      <c r="AU615" s="56">
        <f>AV615+AW615</f>
        <v>0</v>
      </c>
      <c r="AV615" s="56">
        <f>G615*AN615</f>
        <v>0</v>
      </c>
      <c r="AW615" s="56">
        <f>G615*AO615</f>
        <v>0</v>
      </c>
      <c r="AX615" s="41" t="s">
        <v>1100</v>
      </c>
      <c r="AY615" s="41" t="s">
        <v>1097</v>
      </c>
      <c r="AZ615" s="30" t="s">
        <v>1193</v>
      </c>
      <c r="BB615" s="56">
        <f>AV615+AW615</f>
        <v>0</v>
      </c>
      <c r="BC615" s="56">
        <f>H615/(100-BD615)*100</f>
        <v>0</v>
      </c>
      <c r="BD615" s="56">
        <v>0</v>
      </c>
      <c r="BE615" s="56" t="e">
        <f>#REF!</f>
        <v>#REF!</v>
      </c>
      <c r="BG615" s="56">
        <f>G615*AN615</f>
        <v>0</v>
      </c>
      <c r="BH615" s="56">
        <f>G615*AO615</f>
        <v>0</v>
      </c>
      <c r="BI615" s="56">
        <f>G615*H615</f>
        <v>0</v>
      </c>
      <c r="BJ615" s="56"/>
      <c r="BK615" s="56">
        <v>59</v>
      </c>
      <c r="BV615" s="56">
        <v>21</v>
      </c>
    </row>
    <row r="616" spans="1:74" ht="13.5" customHeight="1" x14ac:dyDescent="0.25">
      <c r="A616" s="57" t="s">
        <v>1006</v>
      </c>
      <c r="B616" s="50" t="s">
        <v>1212</v>
      </c>
      <c r="C616" s="50" t="s">
        <v>696</v>
      </c>
      <c r="D616" s="135" t="s">
        <v>231</v>
      </c>
      <c r="E616" s="136"/>
      <c r="F616" s="50" t="s">
        <v>1095</v>
      </c>
      <c r="G616" s="31">
        <v>0.3</v>
      </c>
      <c r="H616" s="31">
        <v>0</v>
      </c>
      <c r="I616" s="31">
        <f>G616*H616</f>
        <v>0</v>
      </c>
      <c r="J616" s="47" t="s">
        <v>501</v>
      </c>
      <c r="Y616" s="56">
        <f>IF(AP616="5",BI616,0)</f>
        <v>0</v>
      </c>
      <c r="AA616" s="56">
        <f>IF(AP616="1",BG616,0)</f>
        <v>0</v>
      </c>
      <c r="AB616" s="56">
        <f>IF(AP616="1",BH616,0)</f>
        <v>0</v>
      </c>
      <c r="AC616" s="56">
        <f>IF(AP616="7",BG616,0)</f>
        <v>0</v>
      </c>
      <c r="AD616" s="56">
        <f>IF(AP616="7",BH616,0)</f>
        <v>0</v>
      </c>
      <c r="AE616" s="56">
        <f>IF(AP616="2",BG616,0)</f>
        <v>0</v>
      </c>
      <c r="AF616" s="56">
        <f>IF(AP616="2",BH616,0)</f>
        <v>0</v>
      </c>
      <c r="AG616" s="56">
        <f>IF(AP616="0",BI616,0)</f>
        <v>0</v>
      </c>
      <c r="AH616" s="30" t="s">
        <v>1212</v>
      </c>
      <c r="AI616" s="31">
        <f>IF(AM616=0,I616,0)</f>
        <v>0</v>
      </c>
      <c r="AJ616" s="31">
        <f>IF(AM616=15,I616,0)</f>
        <v>0</v>
      </c>
      <c r="AK616" s="31">
        <f>IF(AM616=21,I616,0)</f>
        <v>0</v>
      </c>
      <c r="AM616" s="56">
        <v>21</v>
      </c>
      <c r="AN616" s="56">
        <f>H616*1</f>
        <v>0</v>
      </c>
      <c r="AO616" s="56">
        <f>H616*(1-1)</f>
        <v>0</v>
      </c>
      <c r="AP616" s="58" t="s">
        <v>1109</v>
      </c>
      <c r="AU616" s="56">
        <f>AV616+AW616</f>
        <v>0</v>
      </c>
      <c r="AV616" s="56">
        <f>G616*AN616</f>
        <v>0</v>
      </c>
      <c r="AW616" s="56">
        <f>G616*AO616</f>
        <v>0</v>
      </c>
      <c r="AX616" s="41" t="s">
        <v>1100</v>
      </c>
      <c r="AY616" s="41" t="s">
        <v>1097</v>
      </c>
      <c r="AZ616" s="30" t="s">
        <v>1193</v>
      </c>
      <c r="BB616" s="56">
        <f>AV616+AW616</f>
        <v>0</v>
      </c>
      <c r="BC616" s="56">
        <f>H616/(100-BD616)*100</f>
        <v>0</v>
      </c>
      <c r="BD616" s="56">
        <v>0</v>
      </c>
      <c r="BE616" s="56" t="e">
        <f>#REF!</f>
        <v>#REF!</v>
      </c>
      <c r="BG616" s="31">
        <f>G616*AN616</f>
        <v>0</v>
      </c>
      <c r="BH616" s="31">
        <f>G616*AO616</f>
        <v>0</v>
      </c>
      <c r="BI616" s="31">
        <f>G616*H616</f>
        <v>0</v>
      </c>
      <c r="BJ616" s="31"/>
      <c r="BK616" s="56">
        <v>59</v>
      </c>
      <c r="BV616" s="56">
        <v>21</v>
      </c>
    </row>
    <row r="617" spans="1:74" ht="15" customHeight="1" x14ac:dyDescent="0.25">
      <c r="A617" s="53"/>
      <c r="D617" s="52" t="s">
        <v>1032</v>
      </c>
      <c r="E617" s="37" t="s">
        <v>412</v>
      </c>
      <c r="G617" s="21">
        <v>0.30000000000000004</v>
      </c>
      <c r="J617" s="48"/>
    </row>
    <row r="618" spans="1:74" ht="15" customHeight="1" x14ac:dyDescent="0.25">
      <c r="A618" s="27" t="s">
        <v>769</v>
      </c>
      <c r="B618" s="28" t="s">
        <v>1212</v>
      </c>
      <c r="C618" s="28" t="s">
        <v>55</v>
      </c>
      <c r="D618" s="132" t="s">
        <v>90</v>
      </c>
      <c r="E618" s="133"/>
      <c r="F618" s="23" t="s">
        <v>1027</v>
      </c>
      <c r="G618" s="23" t="s">
        <v>1027</v>
      </c>
      <c r="H618" s="23" t="s">
        <v>1027</v>
      </c>
      <c r="I618" s="14">
        <f>SUM(I619:I626)</f>
        <v>0</v>
      </c>
      <c r="J618" s="44" t="s">
        <v>769</v>
      </c>
      <c r="AH618" s="30" t="s">
        <v>1212</v>
      </c>
      <c r="AR618" s="14">
        <f>SUM(AI619:AI626)</f>
        <v>0</v>
      </c>
      <c r="AS618" s="14">
        <f>SUM(AJ619:AJ626)</f>
        <v>0</v>
      </c>
      <c r="AT618" s="14">
        <f>SUM(AK619:AK626)</f>
        <v>0</v>
      </c>
    </row>
    <row r="619" spans="1:74" ht="13.5" customHeight="1" x14ac:dyDescent="0.25">
      <c r="A619" s="10" t="s">
        <v>865</v>
      </c>
      <c r="B619" s="9" t="s">
        <v>1212</v>
      </c>
      <c r="C619" s="9" t="s">
        <v>1013</v>
      </c>
      <c r="D619" s="76" t="s">
        <v>795</v>
      </c>
      <c r="E619" s="77"/>
      <c r="F619" s="9" t="s">
        <v>909</v>
      </c>
      <c r="G619" s="56">
        <v>21</v>
      </c>
      <c r="H619" s="56">
        <v>0</v>
      </c>
      <c r="I619" s="56">
        <f>G619*H619</f>
        <v>0</v>
      </c>
      <c r="J619" s="54" t="s">
        <v>501</v>
      </c>
      <c r="Y619" s="56">
        <f>IF(AP619="5",BI619,0)</f>
        <v>0</v>
      </c>
      <c r="AA619" s="56">
        <f>IF(AP619="1",BG619,0)</f>
        <v>0</v>
      </c>
      <c r="AB619" s="56">
        <f>IF(AP619="1",BH619,0)</f>
        <v>0</v>
      </c>
      <c r="AC619" s="56">
        <f>IF(AP619="7",BG619,0)</f>
        <v>0</v>
      </c>
      <c r="AD619" s="56">
        <f>IF(AP619="7",BH619,0)</f>
        <v>0</v>
      </c>
      <c r="AE619" s="56">
        <f>IF(AP619="2",BG619,0)</f>
        <v>0</v>
      </c>
      <c r="AF619" s="56">
        <f>IF(AP619="2",BH619,0)</f>
        <v>0</v>
      </c>
      <c r="AG619" s="56">
        <f>IF(AP619="0",BI619,0)</f>
        <v>0</v>
      </c>
      <c r="AH619" s="30" t="s">
        <v>1212</v>
      </c>
      <c r="AI619" s="56">
        <f>IF(AM619=0,I619,0)</f>
        <v>0</v>
      </c>
      <c r="AJ619" s="56">
        <f>IF(AM619=15,I619,0)</f>
        <v>0</v>
      </c>
      <c r="AK619" s="56">
        <f>IF(AM619=21,I619,0)</f>
        <v>0</v>
      </c>
      <c r="AM619" s="56">
        <v>21</v>
      </c>
      <c r="AN619" s="56">
        <f>H619*0</f>
        <v>0</v>
      </c>
      <c r="AO619" s="56">
        <f>H619*(1-0)</f>
        <v>0</v>
      </c>
      <c r="AP619" s="41" t="s">
        <v>1109</v>
      </c>
      <c r="AU619" s="56">
        <f>AV619+AW619</f>
        <v>0</v>
      </c>
      <c r="AV619" s="56">
        <f>G619*AN619</f>
        <v>0</v>
      </c>
      <c r="AW619" s="56">
        <f>G619*AO619</f>
        <v>0</v>
      </c>
      <c r="AX619" s="41" t="s">
        <v>77</v>
      </c>
      <c r="AY619" s="41" t="s">
        <v>395</v>
      </c>
      <c r="AZ619" s="30" t="s">
        <v>1193</v>
      </c>
      <c r="BB619" s="56">
        <f>AV619+AW619</f>
        <v>0</v>
      </c>
      <c r="BC619" s="56">
        <f>H619/(100-BD619)*100</f>
        <v>0</v>
      </c>
      <c r="BD619" s="56">
        <v>0</v>
      </c>
      <c r="BE619" s="56" t="e">
        <f>#REF!</f>
        <v>#REF!</v>
      </c>
      <c r="BG619" s="56">
        <f>G619*AN619</f>
        <v>0</v>
      </c>
      <c r="BH619" s="56">
        <f>G619*AO619</f>
        <v>0</v>
      </c>
      <c r="BI619" s="56">
        <f>G619*H619</f>
        <v>0</v>
      </c>
      <c r="BJ619" s="56"/>
      <c r="BK619" s="56">
        <v>87</v>
      </c>
      <c r="BV619" s="56">
        <v>21</v>
      </c>
    </row>
    <row r="620" spans="1:74" ht="13.5" customHeight="1" x14ac:dyDescent="0.25">
      <c r="A620" s="57" t="s">
        <v>381</v>
      </c>
      <c r="B620" s="50" t="s">
        <v>1212</v>
      </c>
      <c r="C620" s="50" t="s">
        <v>360</v>
      </c>
      <c r="D620" s="135" t="s">
        <v>1174</v>
      </c>
      <c r="E620" s="136"/>
      <c r="F620" s="50" t="s">
        <v>909</v>
      </c>
      <c r="G620" s="31">
        <v>21</v>
      </c>
      <c r="H620" s="31">
        <v>0</v>
      </c>
      <c r="I620" s="31">
        <f>G620*H620</f>
        <v>0</v>
      </c>
      <c r="J620" s="47" t="s">
        <v>769</v>
      </c>
      <c r="Y620" s="56">
        <f>IF(AP620="5",BI620,0)</f>
        <v>0</v>
      </c>
      <c r="AA620" s="56">
        <f>IF(AP620="1",BG620,0)</f>
        <v>0</v>
      </c>
      <c r="AB620" s="56">
        <f>IF(AP620="1",BH620,0)</f>
        <v>0</v>
      </c>
      <c r="AC620" s="56">
        <f>IF(AP620="7",BG620,0)</f>
        <v>0</v>
      </c>
      <c r="AD620" s="56">
        <f>IF(AP620="7",BH620,0)</f>
        <v>0</v>
      </c>
      <c r="AE620" s="56">
        <f>IF(AP620="2",BG620,0)</f>
        <v>0</v>
      </c>
      <c r="AF620" s="56">
        <f>IF(AP620="2",BH620,0)</f>
        <v>0</v>
      </c>
      <c r="AG620" s="56">
        <f>IF(AP620="0",BI620,0)</f>
        <v>0</v>
      </c>
      <c r="AH620" s="30" t="s">
        <v>1212</v>
      </c>
      <c r="AI620" s="31">
        <f>IF(AM620=0,I620,0)</f>
        <v>0</v>
      </c>
      <c r="AJ620" s="31">
        <f>IF(AM620=15,I620,0)</f>
        <v>0</v>
      </c>
      <c r="AK620" s="31">
        <f>IF(AM620=21,I620,0)</f>
        <v>0</v>
      </c>
      <c r="AM620" s="56">
        <v>21</v>
      </c>
      <c r="AN620" s="56">
        <f>H620*1</f>
        <v>0</v>
      </c>
      <c r="AO620" s="56">
        <f>H620*(1-1)</f>
        <v>0</v>
      </c>
      <c r="AP620" s="58" t="s">
        <v>1109</v>
      </c>
      <c r="AU620" s="56">
        <f>AV620+AW620</f>
        <v>0</v>
      </c>
      <c r="AV620" s="56">
        <f>G620*AN620</f>
        <v>0</v>
      </c>
      <c r="AW620" s="56">
        <f>G620*AO620</f>
        <v>0</v>
      </c>
      <c r="AX620" s="41" t="s">
        <v>77</v>
      </c>
      <c r="AY620" s="41" t="s">
        <v>395</v>
      </c>
      <c r="AZ620" s="30" t="s">
        <v>1193</v>
      </c>
      <c r="BB620" s="56">
        <f>AV620+AW620</f>
        <v>0</v>
      </c>
      <c r="BC620" s="56">
        <f>H620/(100-BD620)*100</f>
        <v>0</v>
      </c>
      <c r="BD620" s="56">
        <v>0</v>
      </c>
      <c r="BE620" s="56" t="e">
        <f>#REF!</f>
        <v>#REF!</v>
      </c>
      <c r="BG620" s="31">
        <f>G620*AN620</f>
        <v>0</v>
      </c>
      <c r="BH620" s="31">
        <f>G620*AO620</f>
        <v>0</v>
      </c>
      <c r="BI620" s="31">
        <f>G620*H620</f>
        <v>0</v>
      </c>
      <c r="BJ620" s="31"/>
      <c r="BK620" s="56">
        <v>87</v>
      </c>
      <c r="BV620" s="56">
        <v>21</v>
      </c>
    </row>
    <row r="621" spans="1:74" ht="15" customHeight="1" x14ac:dyDescent="0.25">
      <c r="A621" s="53"/>
      <c r="D621" s="52" t="s">
        <v>786</v>
      </c>
      <c r="E621" s="37" t="s">
        <v>825</v>
      </c>
      <c r="G621" s="21">
        <v>21</v>
      </c>
      <c r="J621" s="48"/>
    </row>
    <row r="622" spans="1:74" ht="13.5" customHeight="1" x14ac:dyDescent="0.25">
      <c r="A622" s="10" t="s">
        <v>873</v>
      </c>
      <c r="B622" s="9" t="s">
        <v>1212</v>
      </c>
      <c r="C622" s="9" t="s">
        <v>943</v>
      </c>
      <c r="D622" s="76" t="s">
        <v>551</v>
      </c>
      <c r="E622" s="77"/>
      <c r="F622" s="9" t="s">
        <v>275</v>
      </c>
      <c r="G622" s="56">
        <v>4</v>
      </c>
      <c r="H622" s="56">
        <v>0</v>
      </c>
      <c r="I622" s="56">
        <f>G622*H622</f>
        <v>0</v>
      </c>
      <c r="J622" s="54" t="s">
        <v>501</v>
      </c>
      <c r="Y622" s="56">
        <f>IF(AP622="5",BI622,0)</f>
        <v>0</v>
      </c>
      <c r="AA622" s="56">
        <f>IF(AP622="1",BG622,0)</f>
        <v>0</v>
      </c>
      <c r="AB622" s="56">
        <f>IF(AP622="1",BH622,0)</f>
        <v>0</v>
      </c>
      <c r="AC622" s="56">
        <f>IF(AP622="7",BG622,0)</f>
        <v>0</v>
      </c>
      <c r="AD622" s="56">
        <f>IF(AP622="7",BH622,0)</f>
        <v>0</v>
      </c>
      <c r="AE622" s="56">
        <f>IF(AP622="2",BG622,0)</f>
        <v>0</v>
      </c>
      <c r="AF622" s="56">
        <f>IF(AP622="2",BH622,0)</f>
        <v>0</v>
      </c>
      <c r="AG622" s="56">
        <f>IF(AP622="0",BI622,0)</f>
        <v>0</v>
      </c>
      <c r="AH622" s="30" t="s">
        <v>1212</v>
      </c>
      <c r="AI622" s="56">
        <f>IF(AM622=0,I622,0)</f>
        <v>0</v>
      </c>
      <c r="AJ622" s="56">
        <f>IF(AM622=15,I622,0)</f>
        <v>0</v>
      </c>
      <c r="AK622" s="56">
        <f>IF(AM622=21,I622,0)</f>
        <v>0</v>
      </c>
      <c r="AM622" s="56">
        <v>21</v>
      </c>
      <c r="AN622" s="56">
        <f>H622*0</f>
        <v>0</v>
      </c>
      <c r="AO622" s="56">
        <f>H622*(1-0)</f>
        <v>0</v>
      </c>
      <c r="AP622" s="41" t="s">
        <v>1109</v>
      </c>
      <c r="AU622" s="56">
        <f>AV622+AW622</f>
        <v>0</v>
      </c>
      <c r="AV622" s="56">
        <f>G622*AN622</f>
        <v>0</v>
      </c>
      <c r="AW622" s="56">
        <f>G622*AO622</f>
        <v>0</v>
      </c>
      <c r="AX622" s="41" t="s">
        <v>77</v>
      </c>
      <c r="AY622" s="41" t="s">
        <v>395</v>
      </c>
      <c r="AZ622" s="30" t="s">
        <v>1193</v>
      </c>
      <c r="BB622" s="56">
        <f>AV622+AW622</f>
        <v>0</v>
      </c>
      <c r="BC622" s="56">
        <f>H622/(100-BD622)*100</f>
        <v>0</v>
      </c>
      <c r="BD622" s="56">
        <v>0</v>
      </c>
      <c r="BE622" s="56" t="e">
        <f>#REF!</f>
        <v>#REF!</v>
      </c>
      <c r="BG622" s="56">
        <f>G622*AN622</f>
        <v>0</v>
      </c>
      <c r="BH622" s="56">
        <f>G622*AO622</f>
        <v>0</v>
      </c>
      <c r="BI622" s="56">
        <f>G622*H622</f>
        <v>0</v>
      </c>
      <c r="BJ622" s="56"/>
      <c r="BK622" s="56">
        <v>87</v>
      </c>
      <c r="BV622" s="56">
        <v>21</v>
      </c>
    </row>
    <row r="623" spans="1:74" ht="13.5" customHeight="1" x14ac:dyDescent="0.25">
      <c r="A623" s="57" t="s">
        <v>725</v>
      </c>
      <c r="B623" s="50" t="s">
        <v>1212</v>
      </c>
      <c r="C623" s="50" t="s">
        <v>20</v>
      </c>
      <c r="D623" s="135" t="s">
        <v>1148</v>
      </c>
      <c r="E623" s="136"/>
      <c r="F623" s="50" t="s">
        <v>275</v>
      </c>
      <c r="G623" s="31">
        <v>4</v>
      </c>
      <c r="H623" s="31">
        <v>0</v>
      </c>
      <c r="I623" s="31">
        <f>G623*H623</f>
        <v>0</v>
      </c>
      <c r="J623" s="47" t="s">
        <v>422</v>
      </c>
      <c r="Y623" s="56">
        <f>IF(AP623="5",BI623,0)</f>
        <v>0</v>
      </c>
      <c r="AA623" s="56">
        <f>IF(AP623="1",BG623,0)</f>
        <v>0</v>
      </c>
      <c r="AB623" s="56">
        <f>IF(AP623="1",BH623,0)</f>
        <v>0</v>
      </c>
      <c r="AC623" s="56">
        <f>IF(AP623="7",BG623,0)</f>
        <v>0</v>
      </c>
      <c r="AD623" s="56">
        <f>IF(AP623="7",BH623,0)</f>
        <v>0</v>
      </c>
      <c r="AE623" s="56">
        <f>IF(AP623="2",BG623,0)</f>
        <v>0</v>
      </c>
      <c r="AF623" s="56">
        <f>IF(AP623="2",BH623,0)</f>
        <v>0</v>
      </c>
      <c r="AG623" s="56">
        <f>IF(AP623="0",BI623,0)</f>
        <v>0</v>
      </c>
      <c r="AH623" s="30" t="s">
        <v>1212</v>
      </c>
      <c r="AI623" s="31">
        <f>IF(AM623=0,I623,0)</f>
        <v>0</v>
      </c>
      <c r="AJ623" s="31">
        <f>IF(AM623=15,I623,0)</f>
        <v>0</v>
      </c>
      <c r="AK623" s="31">
        <f>IF(AM623=21,I623,0)</f>
        <v>0</v>
      </c>
      <c r="AM623" s="56">
        <v>21</v>
      </c>
      <c r="AN623" s="56">
        <f>H623*1</f>
        <v>0</v>
      </c>
      <c r="AO623" s="56">
        <f>H623*(1-1)</f>
        <v>0</v>
      </c>
      <c r="AP623" s="58" t="s">
        <v>1109</v>
      </c>
      <c r="AU623" s="56">
        <f>AV623+AW623</f>
        <v>0</v>
      </c>
      <c r="AV623" s="56">
        <f>G623*AN623</f>
        <v>0</v>
      </c>
      <c r="AW623" s="56">
        <f>G623*AO623</f>
        <v>0</v>
      </c>
      <c r="AX623" s="41" t="s">
        <v>77</v>
      </c>
      <c r="AY623" s="41" t="s">
        <v>395</v>
      </c>
      <c r="AZ623" s="30" t="s">
        <v>1193</v>
      </c>
      <c r="BB623" s="56">
        <f>AV623+AW623</f>
        <v>0</v>
      </c>
      <c r="BC623" s="56">
        <f>H623/(100-BD623)*100</f>
        <v>0</v>
      </c>
      <c r="BD623" s="56">
        <v>0</v>
      </c>
      <c r="BE623" s="56" t="e">
        <f>#REF!</f>
        <v>#REF!</v>
      </c>
      <c r="BG623" s="31">
        <f>G623*AN623</f>
        <v>0</v>
      </c>
      <c r="BH623" s="31">
        <f>G623*AO623</f>
        <v>0</v>
      </c>
      <c r="BI623" s="31">
        <f>G623*H623</f>
        <v>0</v>
      </c>
      <c r="BJ623" s="31"/>
      <c r="BK623" s="56">
        <v>87</v>
      </c>
      <c r="BV623" s="56">
        <v>21</v>
      </c>
    </row>
    <row r="624" spans="1:74" ht="15" customHeight="1" x14ac:dyDescent="0.25">
      <c r="A624" s="53"/>
      <c r="D624" s="52" t="s">
        <v>127</v>
      </c>
      <c r="E624" s="37" t="s">
        <v>285</v>
      </c>
      <c r="G624" s="21">
        <v>4</v>
      </c>
      <c r="J624" s="48"/>
    </row>
    <row r="625" spans="1:74" ht="13.5" customHeight="1" x14ac:dyDescent="0.25">
      <c r="A625" s="10" t="s">
        <v>1012</v>
      </c>
      <c r="B625" s="9" t="s">
        <v>1212</v>
      </c>
      <c r="C625" s="9" t="s">
        <v>189</v>
      </c>
      <c r="D625" s="76" t="s">
        <v>1050</v>
      </c>
      <c r="E625" s="77"/>
      <c r="F625" s="9" t="s">
        <v>275</v>
      </c>
      <c r="G625" s="56">
        <v>8</v>
      </c>
      <c r="H625" s="56">
        <v>0</v>
      </c>
      <c r="I625" s="56">
        <f>G625*H625</f>
        <v>0</v>
      </c>
      <c r="J625" s="54" t="s">
        <v>501</v>
      </c>
      <c r="Y625" s="56">
        <f>IF(AP625="5",BI625,0)</f>
        <v>0</v>
      </c>
      <c r="AA625" s="56">
        <f>IF(AP625="1",BG625,0)</f>
        <v>0</v>
      </c>
      <c r="AB625" s="56">
        <f>IF(AP625="1",BH625,0)</f>
        <v>0</v>
      </c>
      <c r="AC625" s="56">
        <f>IF(AP625="7",BG625,0)</f>
        <v>0</v>
      </c>
      <c r="AD625" s="56">
        <f>IF(AP625="7",BH625,0)</f>
        <v>0</v>
      </c>
      <c r="AE625" s="56">
        <f>IF(AP625="2",BG625,0)</f>
        <v>0</v>
      </c>
      <c r="AF625" s="56">
        <f>IF(AP625="2",BH625,0)</f>
        <v>0</v>
      </c>
      <c r="AG625" s="56">
        <f>IF(AP625="0",BI625,0)</f>
        <v>0</v>
      </c>
      <c r="AH625" s="30" t="s">
        <v>1212</v>
      </c>
      <c r="AI625" s="56">
        <f>IF(AM625=0,I625,0)</f>
        <v>0</v>
      </c>
      <c r="AJ625" s="56">
        <f>IF(AM625=15,I625,0)</f>
        <v>0</v>
      </c>
      <c r="AK625" s="56">
        <f>IF(AM625=21,I625,0)</f>
        <v>0</v>
      </c>
      <c r="AM625" s="56">
        <v>21</v>
      </c>
      <c r="AN625" s="56">
        <f>H625*0</f>
        <v>0</v>
      </c>
      <c r="AO625" s="56">
        <f>H625*(1-0)</f>
        <v>0</v>
      </c>
      <c r="AP625" s="41" t="s">
        <v>1109</v>
      </c>
      <c r="AU625" s="56">
        <f>AV625+AW625</f>
        <v>0</v>
      </c>
      <c r="AV625" s="56">
        <f>G625*AN625</f>
        <v>0</v>
      </c>
      <c r="AW625" s="56">
        <f>G625*AO625</f>
        <v>0</v>
      </c>
      <c r="AX625" s="41" t="s">
        <v>77</v>
      </c>
      <c r="AY625" s="41" t="s">
        <v>395</v>
      </c>
      <c r="AZ625" s="30" t="s">
        <v>1193</v>
      </c>
      <c r="BB625" s="56">
        <f>AV625+AW625</f>
        <v>0</v>
      </c>
      <c r="BC625" s="56">
        <f>H625/(100-BD625)*100</f>
        <v>0</v>
      </c>
      <c r="BD625" s="56">
        <v>0</v>
      </c>
      <c r="BE625" s="56" t="e">
        <f>#REF!</f>
        <v>#REF!</v>
      </c>
      <c r="BG625" s="56">
        <f>G625*AN625</f>
        <v>0</v>
      </c>
      <c r="BH625" s="56">
        <f>G625*AO625</f>
        <v>0</v>
      </c>
      <c r="BI625" s="56">
        <f>G625*H625</f>
        <v>0</v>
      </c>
      <c r="BJ625" s="56"/>
      <c r="BK625" s="56">
        <v>87</v>
      </c>
      <c r="BV625" s="56">
        <v>21</v>
      </c>
    </row>
    <row r="626" spans="1:74" ht="13.5" customHeight="1" x14ac:dyDescent="0.25">
      <c r="A626" s="57" t="s">
        <v>942</v>
      </c>
      <c r="B626" s="50" t="s">
        <v>1212</v>
      </c>
      <c r="C626" s="50" t="s">
        <v>123</v>
      </c>
      <c r="D626" s="135" t="s">
        <v>648</v>
      </c>
      <c r="E626" s="136"/>
      <c r="F626" s="50" t="s">
        <v>275</v>
      </c>
      <c r="G626" s="31">
        <v>8</v>
      </c>
      <c r="H626" s="31">
        <v>0</v>
      </c>
      <c r="I626" s="31">
        <f>G626*H626</f>
        <v>0</v>
      </c>
      <c r="J626" s="47" t="s">
        <v>501</v>
      </c>
      <c r="Y626" s="56">
        <f>IF(AP626="5",BI626,0)</f>
        <v>0</v>
      </c>
      <c r="AA626" s="56">
        <f>IF(AP626="1",BG626,0)</f>
        <v>0</v>
      </c>
      <c r="AB626" s="56">
        <f>IF(AP626="1",BH626,0)</f>
        <v>0</v>
      </c>
      <c r="AC626" s="56">
        <f>IF(AP626="7",BG626,0)</f>
        <v>0</v>
      </c>
      <c r="AD626" s="56">
        <f>IF(AP626="7",BH626,0)</f>
        <v>0</v>
      </c>
      <c r="AE626" s="56">
        <f>IF(AP626="2",BG626,0)</f>
        <v>0</v>
      </c>
      <c r="AF626" s="56">
        <f>IF(AP626="2",BH626,0)</f>
        <v>0</v>
      </c>
      <c r="AG626" s="56">
        <f>IF(AP626="0",BI626,0)</f>
        <v>0</v>
      </c>
      <c r="AH626" s="30" t="s">
        <v>1212</v>
      </c>
      <c r="AI626" s="31">
        <f>IF(AM626=0,I626,0)</f>
        <v>0</v>
      </c>
      <c r="AJ626" s="31">
        <f>IF(AM626=15,I626,0)</f>
        <v>0</v>
      </c>
      <c r="AK626" s="31">
        <f>IF(AM626=21,I626,0)</f>
        <v>0</v>
      </c>
      <c r="AM626" s="56">
        <v>21</v>
      </c>
      <c r="AN626" s="56">
        <f>H626*1</f>
        <v>0</v>
      </c>
      <c r="AO626" s="56">
        <f>H626*(1-1)</f>
        <v>0</v>
      </c>
      <c r="AP626" s="58" t="s">
        <v>1109</v>
      </c>
      <c r="AU626" s="56">
        <f>AV626+AW626</f>
        <v>0</v>
      </c>
      <c r="AV626" s="56">
        <f>G626*AN626</f>
        <v>0</v>
      </c>
      <c r="AW626" s="56">
        <f>G626*AO626</f>
        <v>0</v>
      </c>
      <c r="AX626" s="41" t="s">
        <v>77</v>
      </c>
      <c r="AY626" s="41" t="s">
        <v>395</v>
      </c>
      <c r="AZ626" s="30" t="s">
        <v>1193</v>
      </c>
      <c r="BB626" s="56">
        <f>AV626+AW626</f>
        <v>0</v>
      </c>
      <c r="BC626" s="56">
        <f>H626/(100-BD626)*100</f>
        <v>0</v>
      </c>
      <c r="BD626" s="56">
        <v>0</v>
      </c>
      <c r="BE626" s="56" t="e">
        <f>#REF!</f>
        <v>#REF!</v>
      </c>
      <c r="BG626" s="31">
        <f>G626*AN626</f>
        <v>0</v>
      </c>
      <c r="BH626" s="31">
        <f>G626*AO626</f>
        <v>0</v>
      </c>
      <c r="BI626" s="31">
        <f>G626*H626</f>
        <v>0</v>
      </c>
      <c r="BJ626" s="31"/>
      <c r="BK626" s="56">
        <v>87</v>
      </c>
      <c r="BV626" s="56">
        <v>21</v>
      </c>
    </row>
    <row r="627" spans="1:74" ht="15" customHeight="1" x14ac:dyDescent="0.25">
      <c r="A627" s="53"/>
      <c r="D627" s="52" t="s">
        <v>874</v>
      </c>
      <c r="E627" s="37" t="s">
        <v>56</v>
      </c>
      <c r="G627" s="21">
        <v>8</v>
      </c>
      <c r="J627" s="48"/>
    </row>
    <row r="628" spans="1:74" ht="15" customHeight="1" x14ac:dyDescent="0.25">
      <c r="A628" s="27" t="s">
        <v>769</v>
      </c>
      <c r="B628" s="28" t="s">
        <v>1212</v>
      </c>
      <c r="C628" s="28" t="s">
        <v>1171</v>
      </c>
      <c r="D628" s="132" t="s">
        <v>719</v>
      </c>
      <c r="E628" s="133"/>
      <c r="F628" s="23" t="s">
        <v>1027</v>
      </c>
      <c r="G628" s="23" t="s">
        <v>1027</v>
      </c>
      <c r="H628" s="23" t="s">
        <v>1027</v>
      </c>
      <c r="I628" s="14">
        <f>SUM(I629:I631)</f>
        <v>0</v>
      </c>
      <c r="J628" s="44" t="s">
        <v>769</v>
      </c>
      <c r="AH628" s="30" t="s">
        <v>1212</v>
      </c>
      <c r="AR628" s="14">
        <f>SUM(AI629:AI631)</f>
        <v>0</v>
      </c>
      <c r="AS628" s="14">
        <f>SUM(AJ629:AJ631)</f>
        <v>0</v>
      </c>
      <c r="AT628" s="14">
        <f>SUM(AK629:AK631)</f>
        <v>0</v>
      </c>
    </row>
    <row r="629" spans="1:74" ht="13.5" customHeight="1" x14ac:dyDescent="0.25">
      <c r="A629" s="10" t="s">
        <v>306</v>
      </c>
      <c r="B629" s="9" t="s">
        <v>1212</v>
      </c>
      <c r="C629" s="9" t="s">
        <v>202</v>
      </c>
      <c r="D629" s="76" t="s">
        <v>1178</v>
      </c>
      <c r="E629" s="77"/>
      <c r="F629" s="9" t="s">
        <v>909</v>
      </c>
      <c r="G629" s="56">
        <v>23</v>
      </c>
      <c r="H629" s="56">
        <v>0</v>
      </c>
      <c r="I629" s="56">
        <f>G629*H629</f>
        <v>0</v>
      </c>
      <c r="J629" s="54" t="s">
        <v>501</v>
      </c>
      <c r="Y629" s="56">
        <f>IF(AP629="5",BI629,0)</f>
        <v>0</v>
      </c>
      <c r="AA629" s="56">
        <f>IF(AP629="1",BG629,0)</f>
        <v>0</v>
      </c>
      <c r="AB629" s="56">
        <f>IF(AP629="1",BH629,0)</f>
        <v>0</v>
      </c>
      <c r="AC629" s="56">
        <f>IF(AP629="7",BG629,0)</f>
        <v>0</v>
      </c>
      <c r="AD629" s="56">
        <f>IF(AP629="7",BH629,0)</f>
        <v>0</v>
      </c>
      <c r="AE629" s="56">
        <f>IF(AP629="2",BG629,0)</f>
        <v>0</v>
      </c>
      <c r="AF629" s="56">
        <f>IF(AP629="2",BH629,0)</f>
        <v>0</v>
      </c>
      <c r="AG629" s="56">
        <f>IF(AP629="0",BI629,0)</f>
        <v>0</v>
      </c>
      <c r="AH629" s="30" t="s">
        <v>1212</v>
      </c>
      <c r="AI629" s="56">
        <f>IF(AM629=0,I629,0)</f>
        <v>0</v>
      </c>
      <c r="AJ629" s="56">
        <f>IF(AM629=15,I629,0)</f>
        <v>0</v>
      </c>
      <c r="AK629" s="56">
        <f>IF(AM629=21,I629,0)</f>
        <v>0</v>
      </c>
      <c r="AM629" s="56">
        <v>21</v>
      </c>
      <c r="AN629" s="56">
        <f>H629*0.354017965525613</f>
        <v>0</v>
      </c>
      <c r="AO629" s="56">
        <f>H629*(1-0.354017965525613)</f>
        <v>0</v>
      </c>
      <c r="AP629" s="41" t="s">
        <v>1109</v>
      </c>
      <c r="AU629" s="56">
        <f>AV629+AW629</f>
        <v>0</v>
      </c>
      <c r="AV629" s="56">
        <f>G629*AN629</f>
        <v>0</v>
      </c>
      <c r="AW629" s="56">
        <f>G629*AO629</f>
        <v>0</v>
      </c>
      <c r="AX629" s="41" t="s">
        <v>95</v>
      </c>
      <c r="AY629" s="41" t="s">
        <v>395</v>
      </c>
      <c r="AZ629" s="30" t="s">
        <v>1193</v>
      </c>
      <c r="BB629" s="56">
        <f>AV629+AW629</f>
        <v>0</v>
      </c>
      <c r="BC629" s="56">
        <f>H629/(100-BD629)*100</f>
        <v>0</v>
      </c>
      <c r="BD629" s="56">
        <v>0</v>
      </c>
      <c r="BE629" s="56" t="e">
        <f>#REF!</f>
        <v>#REF!</v>
      </c>
      <c r="BG629" s="56">
        <f>G629*AN629</f>
        <v>0</v>
      </c>
      <c r="BH629" s="56">
        <f>G629*AO629</f>
        <v>0</v>
      </c>
      <c r="BI629" s="56">
        <f>G629*H629</f>
        <v>0</v>
      </c>
      <c r="BJ629" s="56"/>
      <c r="BK629" s="56">
        <v>89</v>
      </c>
      <c r="BV629" s="56">
        <v>21</v>
      </c>
    </row>
    <row r="630" spans="1:74" ht="15" customHeight="1" x14ac:dyDescent="0.25">
      <c r="A630" s="53"/>
      <c r="D630" s="52" t="s">
        <v>500</v>
      </c>
      <c r="E630" s="37" t="s">
        <v>100</v>
      </c>
      <c r="G630" s="21">
        <v>23.000000000000004</v>
      </c>
      <c r="J630" s="48"/>
    </row>
    <row r="631" spans="1:74" ht="13.5" customHeight="1" x14ac:dyDescent="0.25">
      <c r="A631" s="10" t="s">
        <v>515</v>
      </c>
      <c r="B631" s="9" t="s">
        <v>1212</v>
      </c>
      <c r="C631" s="9" t="s">
        <v>3</v>
      </c>
      <c r="D631" s="76" t="s">
        <v>1222</v>
      </c>
      <c r="E631" s="77"/>
      <c r="F631" s="9" t="s">
        <v>909</v>
      </c>
      <c r="G631" s="56">
        <v>31</v>
      </c>
      <c r="H631" s="56">
        <v>0</v>
      </c>
      <c r="I631" s="56">
        <f>G631*H631</f>
        <v>0</v>
      </c>
      <c r="J631" s="54" t="s">
        <v>501</v>
      </c>
      <c r="Y631" s="56">
        <f>IF(AP631="5",BI631,0)</f>
        <v>0</v>
      </c>
      <c r="AA631" s="56">
        <f>IF(AP631="1",BG631,0)</f>
        <v>0</v>
      </c>
      <c r="AB631" s="56">
        <f>IF(AP631="1",BH631,0)</f>
        <v>0</v>
      </c>
      <c r="AC631" s="56">
        <f>IF(AP631="7",BG631,0)</f>
        <v>0</v>
      </c>
      <c r="AD631" s="56">
        <f>IF(AP631="7",BH631,0)</f>
        <v>0</v>
      </c>
      <c r="AE631" s="56">
        <f>IF(AP631="2",BG631,0)</f>
        <v>0</v>
      </c>
      <c r="AF631" s="56">
        <f>IF(AP631="2",BH631,0)</f>
        <v>0</v>
      </c>
      <c r="AG631" s="56">
        <f>IF(AP631="0",BI631,0)</f>
        <v>0</v>
      </c>
      <c r="AH631" s="30" t="s">
        <v>1212</v>
      </c>
      <c r="AI631" s="56">
        <f>IF(AM631=0,I631,0)</f>
        <v>0</v>
      </c>
      <c r="AJ631" s="56">
        <f>IF(AM631=15,I631,0)</f>
        <v>0</v>
      </c>
      <c r="AK631" s="56">
        <f>IF(AM631=21,I631,0)</f>
        <v>0</v>
      </c>
      <c r="AM631" s="56">
        <v>21</v>
      </c>
      <c r="AN631" s="56">
        <f>H631*0.568157094127408</f>
        <v>0</v>
      </c>
      <c r="AO631" s="56">
        <f>H631*(1-0.568157094127408)</f>
        <v>0</v>
      </c>
      <c r="AP631" s="41" t="s">
        <v>1109</v>
      </c>
      <c r="AU631" s="56">
        <f>AV631+AW631</f>
        <v>0</v>
      </c>
      <c r="AV631" s="56">
        <f>G631*AN631</f>
        <v>0</v>
      </c>
      <c r="AW631" s="56">
        <f>G631*AO631</f>
        <v>0</v>
      </c>
      <c r="AX631" s="41" t="s">
        <v>95</v>
      </c>
      <c r="AY631" s="41" t="s">
        <v>395</v>
      </c>
      <c r="AZ631" s="30" t="s">
        <v>1193</v>
      </c>
      <c r="BB631" s="56">
        <f>AV631+AW631</f>
        <v>0</v>
      </c>
      <c r="BC631" s="56">
        <f>H631/(100-BD631)*100</f>
        <v>0</v>
      </c>
      <c r="BD631" s="56">
        <v>0</v>
      </c>
      <c r="BE631" s="56" t="e">
        <f>#REF!</f>
        <v>#REF!</v>
      </c>
      <c r="BG631" s="56">
        <f>G631*AN631</f>
        <v>0</v>
      </c>
      <c r="BH631" s="56">
        <f>G631*AO631</f>
        <v>0</v>
      </c>
      <c r="BI631" s="56">
        <f>G631*H631</f>
        <v>0</v>
      </c>
      <c r="BJ631" s="56"/>
      <c r="BK631" s="56">
        <v>89</v>
      </c>
      <c r="BV631" s="56">
        <v>21</v>
      </c>
    </row>
    <row r="632" spans="1:74" ht="15" customHeight="1" x14ac:dyDescent="0.25">
      <c r="A632" s="53"/>
      <c r="D632" s="52" t="s">
        <v>657</v>
      </c>
      <c r="E632" s="37" t="s">
        <v>757</v>
      </c>
      <c r="G632" s="21">
        <v>31.000000000000004</v>
      </c>
      <c r="J632" s="48"/>
    </row>
    <row r="633" spans="1:74" ht="15" customHeight="1" x14ac:dyDescent="0.25">
      <c r="A633" s="27" t="s">
        <v>769</v>
      </c>
      <c r="B633" s="28" t="s">
        <v>1212</v>
      </c>
      <c r="C633" s="28" t="s">
        <v>54</v>
      </c>
      <c r="D633" s="132" t="s">
        <v>403</v>
      </c>
      <c r="E633" s="133"/>
      <c r="F633" s="23" t="s">
        <v>1027</v>
      </c>
      <c r="G633" s="23" t="s">
        <v>1027</v>
      </c>
      <c r="H633" s="23" t="s">
        <v>1027</v>
      </c>
      <c r="I633" s="14">
        <f>SUM(I634:I635)</f>
        <v>0</v>
      </c>
      <c r="J633" s="44" t="s">
        <v>769</v>
      </c>
      <c r="AH633" s="30" t="s">
        <v>1212</v>
      </c>
      <c r="AR633" s="14">
        <f>SUM(AI634:AI635)</f>
        <v>0</v>
      </c>
      <c r="AS633" s="14">
        <f>SUM(AJ634:AJ635)</f>
        <v>0</v>
      </c>
      <c r="AT633" s="14">
        <f>SUM(AK634:AK635)</f>
        <v>0</v>
      </c>
    </row>
    <row r="634" spans="1:74" ht="13.5" customHeight="1" x14ac:dyDescent="0.25">
      <c r="A634" s="10" t="s">
        <v>28</v>
      </c>
      <c r="B634" s="9" t="s">
        <v>1212</v>
      </c>
      <c r="C634" s="9" t="s">
        <v>673</v>
      </c>
      <c r="D634" s="76" t="s">
        <v>151</v>
      </c>
      <c r="E634" s="77"/>
      <c r="F634" s="9" t="s">
        <v>909</v>
      </c>
      <c r="G634" s="56">
        <v>8</v>
      </c>
      <c r="H634" s="56">
        <v>0</v>
      </c>
      <c r="I634" s="56">
        <f>G634*H634</f>
        <v>0</v>
      </c>
      <c r="J634" s="54" t="s">
        <v>501</v>
      </c>
      <c r="Y634" s="56">
        <f>IF(AP634="5",BI634,0)</f>
        <v>0</v>
      </c>
      <c r="AA634" s="56">
        <f>IF(AP634="1",BG634,0)</f>
        <v>0</v>
      </c>
      <c r="AB634" s="56">
        <f>IF(AP634="1",BH634,0)</f>
        <v>0</v>
      </c>
      <c r="AC634" s="56">
        <f>IF(AP634="7",BG634,0)</f>
        <v>0</v>
      </c>
      <c r="AD634" s="56">
        <f>IF(AP634="7",BH634,0)</f>
        <v>0</v>
      </c>
      <c r="AE634" s="56">
        <f>IF(AP634="2",BG634,0)</f>
        <v>0</v>
      </c>
      <c r="AF634" s="56">
        <f>IF(AP634="2",BH634,0)</f>
        <v>0</v>
      </c>
      <c r="AG634" s="56">
        <f>IF(AP634="0",BI634,0)</f>
        <v>0</v>
      </c>
      <c r="AH634" s="30" t="s">
        <v>1212</v>
      </c>
      <c r="AI634" s="56">
        <f>IF(AM634=0,I634,0)</f>
        <v>0</v>
      </c>
      <c r="AJ634" s="56">
        <f>IF(AM634=15,I634,0)</f>
        <v>0</v>
      </c>
      <c r="AK634" s="56">
        <f>IF(AM634=21,I634,0)</f>
        <v>0</v>
      </c>
      <c r="AM634" s="56">
        <v>21</v>
      </c>
      <c r="AN634" s="56">
        <f>H634*0.648824940047962</f>
        <v>0</v>
      </c>
      <c r="AO634" s="56">
        <f>H634*(1-0.648824940047962)</f>
        <v>0</v>
      </c>
      <c r="AP634" s="41" t="s">
        <v>1109</v>
      </c>
      <c r="AU634" s="56">
        <f>AV634+AW634</f>
        <v>0</v>
      </c>
      <c r="AV634" s="56">
        <f>G634*AN634</f>
        <v>0</v>
      </c>
      <c r="AW634" s="56">
        <f>G634*AO634</f>
        <v>0</v>
      </c>
      <c r="AX634" s="41" t="s">
        <v>1085</v>
      </c>
      <c r="AY634" s="41" t="s">
        <v>495</v>
      </c>
      <c r="AZ634" s="30" t="s">
        <v>1193</v>
      </c>
      <c r="BB634" s="56">
        <f>AV634+AW634</f>
        <v>0</v>
      </c>
      <c r="BC634" s="56">
        <f>H634/(100-BD634)*100</f>
        <v>0</v>
      </c>
      <c r="BD634" s="56">
        <v>0</v>
      </c>
      <c r="BE634" s="56" t="e">
        <f>#REF!</f>
        <v>#REF!</v>
      </c>
      <c r="BG634" s="56">
        <f>G634*AN634</f>
        <v>0</v>
      </c>
      <c r="BH634" s="56">
        <f>G634*AO634</f>
        <v>0</v>
      </c>
      <c r="BI634" s="56">
        <f>G634*H634</f>
        <v>0</v>
      </c>
      <c r="BJ634" s="56"/>
      <c r="BK634" s="56">
        <v>91</v>
      </c>
      <c r="BV634" s="56">
        <v>21</v>
      </c>
    </row>
    <row r="635" spans="1:74" ht="13.5" customHeight="1" x14ac:dyDescent="0.25">
      <c r="A635" s="57" t="s">
        <v>646</v>
      </c>
      <c r="B635" s="50" t="s">
        <v>1212</v>
      </c>
      <c r="C635" s="50" t="s">
        <v>1133</v>
      </c>
      <c r="D635" s="135" t="s">
        <v>1086</v>
      </c>
      <c r="E635" s="136"/>
      <c r="F635" s="50" t="s">
        <v>275</v>
      </c>
      <c r="G635" s="31">
        <v>1</v>
      </c>
      <c r="H635" s="31">
        <v>0</v>
      </c>
      <c r="I635" s="31">
        <f>G635*H635</f>
        <v>0</v>
      </c>
      <c r="J635" s="47" t="s">
        <v>501</v>
      </c>
      <c r="Y635" s="56">
        <f>IF(AP635="5",BI635,0)</f>
        <v>0</v>
      </c>
      <c r="AA635" s="56">
        <f>IF(AP635="1",BG635,0)</f>
        <v>0</v>
      </c>
      <c r="AB635" s="56">
        <f>IF(AP635="1",BH635,0)</f>
        <v>0</v>
      </c>
      <c r="AC635" s="56">
        <f>IF(AP635="7",BG635,0)</f>
        <v>0</v>
      </c>
      <c r="AD635" s="56">
        <f>IF(AP635="7",BH635,0)</f>
        <v>0</v>
      </c>
      <c r="AE635" s="56">
        <f>IF(AP635="2",BG635,0)</f>
        <v>0</v>
      </c>
      <c r="AF635" s="56">
        <f>IF(AP635="2",BH635,0)</f>
        <v>0</v>
      </c>
      <c r="AG635" s="56">
        <f>IF(AP635="0",BI635,0)</f>
        <v>0</v>
      </c>
      <c r="AH635" s="30" t="s">
        <v>1212</v>
      </c>
      <c r="AI635" s="31">
        <f>IF(AM635=0,I635,0)</f>
        <v>0</v>
      </c>
      <c r="AJ635" s="31">
        <f>IF(AM635=15,I635,0)</f>
        <v>0</v>
      </c>
      <c r="AK635" s="31">
        <f>IF(AM635=21,I635,0)</f>
        <v>0</v>
      </c>
      <c r="AM635" s="56">
        <v>21</v>
      </c>
      <c r="AN635" s="56">
        <f>H635*1</f>
        <v>0</v>
      </c>
      <c r="AO635" s="56">
        <f>H635*(1-1)</f>
        <v>0</v>
      </c>
      <c r="AP635" s="58" t="s">
        <v>1109</v>
      </c>
      <c r="AU635" s="56">
        <f>AV635+AW635</f>
        <v>0</v>
      </c>
      <c r="AV635" s="56">
        <f>G635*AN635</f>
        <v>0</v>
      </c>
      <c r="AW635" s="56">
        <f>G635*AO635</f>
        <v>0</v>
      </c>
      <c r="AX635" s="41" t="s">
        <v>1085</v>
      </c>
      <c r="AY635" s="41" t="s">
        <v>495</v>
      </c>
      <c r="AZ635" s="30" t="s">
        <v>1193</v>
      </c>
      <c r="BB635" s="56">
        <f>AV635+AW635</f>
        <v>0</v>
      </c>
      <c r="BC635" s="56">
        <f>H635/(100-BD635)*100</f>
        <v>0</v>
      </c>
      <c r="BD635" s="56">
        <v>0</v>
      </c>
      <c r="BE635" s="56" t="e">
        <f>#REF!</f>
        <v>#REF!</v>
      </c>
      <c r="BG635" s="31">
        <f>G635*AN635</f>
        <v>0</v>
      </c>
      <c r="BH635" s="31">
        <f>G635*AO635</f>
        <v>0</v>
      </c>
      <c r="BI635" s="31">
        <f>G635*H635</f>
        <v>0</v>
      </c>
      <c r="BJ635" s="31"/>
      <c r="BK635" s="56">
        <v>91</v>
      </c>
      <c r="BV635" s="56">
        <v>21</v>
      </c>
    </row>
    <row r="636" spans="1:74" ht="15" customHeight="1" x14ac:dyDescent="0.25">
      <c r="A636" s="53"/>
      <c r="D636" s="52" t="s">
        <v>1109</v>
      </c>
      <c r="E636" s="37" t="s">
        <v>412</v>
      </c>
      <c r="G636" s="21">
        <v>1</v>
      </c>
      <c r="J636" s="48"/>
    </row>
    <row r="637" spans="1:74" ht="15" customHeight="1" x14ac:dyDescent="0.25">
      <c r="A637" s="27" t="s">
        <v>769</v>
      </c>
      <c r="B637" s="28" t="s">
        <v>1212</v>
      </c>
      <c r="C637" s="28" t="s">
        <v>128</v>
      </c>
      <c r="D637" s="132" t="s">
        <v>1225</v>
      </c>
      <c r="E637" s="133"/>
      <c r="F637" s="23" t="s">
        <v>1027</v>
      </c>
      <c r="G637" s="23" t="s">
        <v>1027</v>
      </c>
      <c r="H637" s="23" t="s">
        <v>1027</v>
      </c>
      <c r="I637" s="14">
        <f>SUM(I638:I642)</f>
        <v>0</v>
      </c>
      <c r="J637" s="44" t="s">
        <v>769</v>
      </c>
      <c r="AH637" s="30" t="s">
        <v>1212</v>
      </c>
      <c r="AR637" s="14">
        <f>SUM(AI638:AI642)</f>
        <v>0</v>
      </c>
      <c r="AS637" s="14">
        <f>SUM(AJ638:AJ642)</f>
        <v>0</v>
      </c>
      <c r="AT637" s="14">
        <f>SUM(AK638:AK642)</f>
        <v>0</v>
      </c>
    </row>
    <row r="638" spans="1:74" ht="13.5" customHeight="1" x14ac:dyDescent="0.25">
      <c r="A638" s="10" t="s">
        <v>1011</v>
      </c>
      <c r="B638" s="9" t="s">
        <v>1212</v>
      </c>
      <c r="C638" s="9" t="s">
        <v>138</v>
      </c>
      <c r="D638" s="76" t="s">
        <v>372</v>
      </c>
      <c r="E638" s="77"/>
      <c r="F638" s="9" t="s">
        <v>1095</v>
      </c>
      <c r="G638" s="56">
        <v>6.5</v>
      </c>
      <c r="H638" s="56">
        <v>0</v>
      </c>
      <c r="I638" s="56">
        <f>G638*H638</f>
        <v>0</v>
      </c>
      <c r="J638" s="54" t="s">
        <v>501</v>
      </c>
      <c r="Y638" s="56">
        <f>IF(AP638="5",BI638,0)</f>
        <v>0</v>
      </c>
      <c r="AA638" s="56">
        <f>IF(AP638="1",BG638,0)</f>
        <v>0</v>
      </c>
      <c r="AB638" s="56">
        <f>IF(AP638="1",BH638,0)</f>
        <v>0</v>
      </c>
      <c r="AC638" s="56">
        <f>IF(AP638="7",BG638,0)</f>
        <v>0</v>
      </c>
      <c r="AD638" s="56">
        <f>IF(AP638="7",BH638,0)</f>
        <v>0</v>
      </c>
      <c r="AE638" s="56">
        <f>IF(AP638="2",BG638,0)</f>
        <v>0</v>
      </c>
      <c r="AF638" s="56">
        <f>IF(AP638="2",BH638,0)</f>
        <v>0</v>
      </c>
      <c r="AG638" s="56">
        <f>IF(AP638="0",BI638,0)</f>
        <v>0</v>
      </c>
      <c r="AH638" s="30" t="s">
        <v>1212</v>
      </c>
      <c r="AI638" s="56">
        <f>IF(AM638=0,I638,0)</f>
        <v>0</v>
      </c>
      <c r="AJ638" s="56">
        <f>IF(AM638=15,I638,0)</f>
        <v>0</v>
      </c>
      <c r="AK638" s="56">
        <f>IF(AM638=21,I638,0)</f>
        <v>0</v>
      </c>
      <c r="AM638" s="56">
        <v>21</v>
      </c>
      <c r="AN638" s="56">
        <f>H638*0</f>
        <v>0</v>
      </c>
      <c r="AO638" s="56">
        <f>H638*(1-0)</f>
        <v>0</v>
      </c>
      <c r="AP638" s="41" t="s">
        <v>1109</v>
      </c>
      <c r="AU638" s="56">
        <f>AV638+AW638</f>
        <v>0</v>
      </c>
      <c r="AV638" s="56">
        <f>G638*AN638</f>
        <v>0</v>
      </c>
      <c r="AW638" s="56">
        <f>G638*AO638</f>
        <v>0</v>
      </c>
      <c r="AX638" s="41" t="s">
        <v>348</v>
      </c>
      <c r="AY638" s="41" t="s">
        <v>495</v>
      </c>
      <c r="AZ638" s="30" t="s">
        <v>1193</v>
      </c>
      <c r="BB638" s="56">
        <f>AV638+AW638</f>
        <v>0</v>
      </c>
      <c r="BC638" s="56">
        <f>H638/(100-BD638)*100</f>
        <v>0</v>
      </c>
      <c r="BD638" s="56">
        <v>0</v>
      </c>
      <c r="BE638" s="56" t="e">
        <f>#REF!</f>
        <v>#REF!</v>
      </c>
      <c r="BG638" s="56">
        <f>G638*AN638</f>
        <v>0</v>
      </c>
      <c r="BH638" s="56">
        <f>G638*AO638</f>
        <v>0</v>
      </c>
      <c r="BI638" s="56">
        <f>G638*H638</f>
        <v>0</v>
      </c>
      <c r="BJ638" s="56"/>
      <c r="BK638" s="56">
        <v>97</v>
      </c>
      <c r="BV638" s="56">
        <v>21</v>
      </c>
    </row>
    <row r="639" spans="1:74" ht="15" customHeight="1" x14ac:dyDescent="0.25">
      <c r="A639" s="53"/>
      <c r="D639" s="52" t="s">
        <v>952</v>
      </c>
      <c r="E639" s="37" t="s">
        <v>1253</v>
      </c>
      <c r="G639" s="21">
        <v>3.0000000000000004</v>
      </c>
      <c r="J639" s="48"/>
    </row>
    <row r="640" spans="1:74" ht="15" customHeight="1" x14ac:dyDescent="0.25">
      <c r="A640" s="53"/>
      <c r="D640" s="52" t="s">
        <v>689</v>
      </c>
      <c r="E640" s="37" t="s">
        <v>116</v>
      </c>
      <c r="G640" s="21">
        <v>3.5000000000000004</v>
      </c>
      <c r="J640" s="48"/>
    </row>
    <row r="641" spans="1:74" ht="13.5" customHeight="1" x14ac:dyDescent="0.25">
      <c r="A641" s="10" t="s">
        <v>584</v>
      </c>
      <c r="B641" s="9" t="s">
        <v>1212</v>
      </c>
      <c r="C641" s="9" t="s">
        <v>565</v>
      </c>
      <c r="D641" s="76" t="s">
        <v>1036</v>
      </c>
      <c r="E641" s="77"/>
      <c r="F641" s="9" t="s">
        <v>1095</v>
      </c>
      <c r="G641" s="56">
        <v>16</v>
      </c>
      <c r="H641" s="56">
        <v>0</v>
      </c>
      <c r="I641" s="56">
        <f>G641*H641</f>
        <v>0</v>
      </c>
      <c r="J641" s="54" t="s">
        <v>501</v>
      </c>
      <c r="Y641" s="56">
        <f>IF(AP641="5",BI641,0)</f>
        <v>0</v>
      </c>
      <c r="AA641" s="56">
        <f>IF(AP641="1",BG641,0)</f>
        <v>0</v>
      </c>
      <c r="AB641" s="56">
        <f>IF(AP641="1",BH641,0)</f>
        <v>0</v>
      </c>
      <c r="AC641" s="56">
        <f>IF(AP641="7",BG641,0)</f>
        <v>0</v>
      </c>
      <c r="AD641" s="56">
        <f>IF(AP641="7",BH641,0)</f>
        <v>0</v>
      </c>
      <c r="AE641" s="56">
        <f>IF(AP641="2",BG641,0)</f>
        <v>0</v>
      </c>
      <c r="AF641" s="56">
        <f>IF(AP641="2",BH641,0)</f>
        <v>0</v>
      </c>
      <c r="AG641" s="56">
        <f>IF(AP641="0",BI641,0)</f>
        <v>0</v>
      </c>
      <c r="AH641" s="30" t="s">
        <v>1212</v>
      </c>
      <c r="AI641" s="56">
        <f>IF(AM641=0,I641,0)</f>
        <v>0</v>
      </c>
      <c r="AJ641" s="56">
        <f>IF(AM641=15,I641,0)</f>
        <v>0</v>
      </c>
      <c r="AK641" s="56">
        <f>IF(AM641=21,I641,0)</f>
        <v>0</v>
      </c>
      <c r="AM641" s="56">
        <v>21</v>
      </c>
      <c r="AN641" s="56">
        <f>H641*0</f>
        <v>0</v>
      </c>
      <c r="AO641" s="56">
        <f>H641*(1-0)</f>
        <v>0</v>
      </c>
      <c r="AP641" s="41" t="s">
        <v>1109</v>
      </c>
      <c r="AU641" s="56">
        <f>AV641+AW641</f>
        <v>0</v>
      </c>
      <c r="AV641" s="56">
        <f>G641*AN641</f>
        <v>0</v>
      </c>
      <c r="AW641" s="56">
        <f>G641*AO641</f>
        <v>0</v>
      </c>
      <c r="AX641" s="41" t="s">
        <v>348</v>
      </c>
      <c r="AY641" s="41" t="s">
        <v>495</v>
      </c>
      <c r="AZ641" s="30" t="s">
        <v>1193</v>
      </c>
      <c r="BB641" s="56">
        <f>AV641+AW641</f>
        <v>0</v>
      </c>
      <c r="BC641" s="56">
        <f>H641/(100-BD641)*100</f>
        <v>0</v>
      </c>
      <c r="BD641" s="56">
        <v>0</v>
      </c>
      <c r="BE641" s="56" t="e">
        <f>#REF!</f>
        <v>#REF!</v>
      </c>
      <c r="BG641" s="56">
        <f>G641*AN641</f>
        <v>0</v>
      </c>
      <c r="BH641" s="56">
        <f>G641*AO641</f>
        <v>0</v>
      </c>
      <c r="BI641" s="56">
        <f>G641*H641</f>
        <v>0</v>
      </c>
      <c r="BJ641" s="56"/>
      <c r="BK641" s="56">
        <v>97</v>
      </c>
      <c r="BV641" s="56">
        <v>21</v>
      </c>
    </row>
    <row r="642" spans="1:74" ht="13.5" customHeight="1" x14ac:dyDescent="0.25">
      <c r="A642" s="10" t="s">
        <v>996</v>
      </c>
      <c r="B642" s="9" t="s">
        <v>1212</v>
      </c>
      <c r="C642" s="9" t="s">
        <v>387</v>
      </c>
      <c r="D642" s="76" t="s">
        <v>1161</v>
      </c>
      <c r="E642" s="77"/>
      <c r="F642" s="9" t="s">
        <v>909</v>
      </c>
      <c r="G642" s="56">
        <v>7</v>
      </c>
      <c r="H642" s="56">
        <v>0</v>
      </c>
      <c r="I642" s="56">
        <f>G642*H642</f>
        <v>0</v>
      </c>
      <c r="J642" s="54" t="s">
        <v>501</v>
      </c>
      <c r="Y642" s="56">
        <f>IF(AP642="5",BI642,0)</f>
        <v>0</v>
      </c>
      <c r="AA642" s="56">
        <f>IF(AP642="1",BG642,0)</f>
        <v>0</v>
      </c>
      <c r="AB642" s="56">
        <f>IF(AP642="1",BH642,0)</f>
        <v>0</v>
      </c>
      <c r="AC642" s="56">
        <f>IF(AP642="7",BG642,0)</f>
        <v>0</v>
      </c>
      <c r="AD642" s="56">
        <f>IF(AP642="7",BH642,0)</f>
        <v>0</v>
      </c>
      <c r="AE642" s="56">
        <f>IF(AP642="2",BG642,0)</f>
        <v>0</v>
      </c>
      <c r="AF642" s="56">
        <f>IF(AP642="2",BH642,0)</f>
        <v>0</v>
      </c>
      <c r="AG642" s="56">
        <f>IF(AP642="0",BI642,0)</f>
        <v>0</v>
      </c>
      <c r="AH642" s="30" t="s">
        <v>1212</v>
      </c>
      <c r="AI642" s="56">
        <f>IF(AM642=0,I642,0)</f>
        <v>0</v>
      </c>
      <c r="AJ642" s="56">
        <f>IF(AM642=15,I642,0)</f>
        <v>0</v>
      </c>
      <c r="AK642" s="56">
        <f>IF(AM642=21,I642,0)</f>
        <v>0</v>
      </c>
      <c r="AM642" s="56">
        <v>21</v>
      </c>
      <c r="AN642" s="56">
        <f>H642*0</f>
        <v>0</v>
      </c>
      <c r="AO642" s="56">
        <f>H642*(1-0)</f>
        <v>0</v>
      </c>
      <c r="AP642" s="41" t="s">
        <v>1109</v>
      </c>
      <c r="AU642" s="56">
        <f>AV642+AW642</f>
        <v>0</v>
      </c>
      <c r="AV642" s="56">
        <f>G642*AN642</f>
        <v>0</v>
      </c>
      <c r="AW642" s="56">
        <f>G642*AO642</f>
        <v>0</v>
      </c>
      <c r="AX642" s="41" t="s">
        <v>348</v>
      </c>
      <c r="AY642" s="41" t="s">
        <v>495</v>
      </c>
      <c r="AZ642" s="30" t="s">
        <v>1193</v>
      </c>
      <c r="BB642" s="56">
        <f>AV642+AW642</f>
        <v>0</v>
      </c>
      <c r="BC642" s="56">
        <f>H642/(100-BD642)*100</f>
        <v>0</v>
      </c>
      <c r="BD642" s="56">
        <v>0</v>
      </c>
      <c r="BE642" s="56" t="e">
        <f>#REF!</f>
        <v>#REF!</v>
      </c>
      <c r="BG642" s="56">
        <f>G642*AN642</f>
        <v>0</v>
      </c>
      <c r="BH642" s="56">
        <f>G642*AO642</f>
        <v>0</v>
      </c>
      <c r="BI642" s="56">
        <f>G642*H642</f>
        <v>0</v>
      </c>
      <c r="BJ642" s="56"/>
      <c r="BK642" s="56">
        <v>97</v>
      </c>
      <c r="BV642" s="56">
        <v>21</v>
      </c>
    </row>
    <row r="643" spans="1:74" ht="15" customHeight="1" x14ac:dyDescent="0.25">
      <c r="A643" s="27" t="s">
        <v>769</v>
      </c>
      <c r="B643" s="28" t="s">
        <v>1212</v>
      </c>
      <c r="C643" s="28" t="s">
        <v>628</v>
      </c>
      <c r="D643" s="132" t="s">
        <v>606</v>
      </c>
      <c r="E643" s="133"/>
      <c r="F643" s="23" t="s">
        <v>1027</v>
      </c>
      <c r="G643" s="23" t="s">
        <v>1027</v>
      </c>
      <c r="H643" s="23" t="s">
        <v>1027</v>
      </c>
      <c r="I643" s="14">
        <f>SUM(I644:I644)</f>
        <v>0</v>
      </c>
      <c r="J643" s="44" t="s">
        <v>769</v>
      </c>
      <c r="AH643" s="30" t="s">
        <v>1212</v>
      </c>
      <c r="AR643" s="14">
        <f>SUM(AI644:AI644)</f>
        <v>0</v>
      </c>
      <c r="AS643" s="14">
        <f>SUM(AJ644:AJ644)</f>
        <v>0</v>
      </c>
      <c r="AT643" s="14">
        <f>SUM(AK644:AK644)</f>
        <v>0</v>
      </c>
    </row>
    <row r="644" spans="1:74" ht="13.5" customHeight="1" x14ac:dyDescent="0.25">
      <c r="A644" s="10" t="s">
        <v>1159</v>
      </c>
      <c r="B644" s="9" t="s">
        <v>1212</v>
      </c>
      <c r="C644" s="9" t="s">
        <v>962</v>
      </c>
      <c r="D644" s="76" t="s">
        <v>754</v>
      </c>
      <c r="E644" s="77"/>
      <c r="F644" s="9" t="s">
        <v>517</v>
      </c>
      <c r="G644" s="56">
        <v>49.463000000000001</v>
      </c>
      <c r="H644" s="56">
        <v>0</v>
      </c>
      <c r="I644" s="56">
        <f>G644*H644</f>
        <v>0</v>
      </c>
      <c r="J644" s="54" t="s">
        <v>501</v>
      </c>
      <c r="Y644" s="56">
        <f>IF(AP644="5",BI644,0)</f>
        <v>0</v>
      </c>
      <c r="AA644" s="56">
        <f>IF(AP644="1",BG644,0)</f>
        <v>0</v>
      </c>
      <c r="AB644" s="56">
        <f>IF(AP644="1",BH644,0)</f>
        <v>0</v>
      </c>
      <c r="AC644" s="56">
        <f>IF(AP644="7",BG644,0)</f>
        <v>0</v>
      </c>
      <c r="AD644" s="56">
        <f>IF(AP644="7",BH644,0)</f>
        <v>0</v>
      </c>
      <c r="AE644" s="56">
        <f>IF(AP644="2",BG644,0)</f>
        <v>0</v>
      </c>
      <c r="AF644" s="56">
        <f>IF(AP644="2",BH644,0)</f>
        <v>0</v>
      </c>
      <c r="AG644" s="56">
        <f>IF(AP644="0",BI644,0)</f>
        <v>0</v>
      </c>
      <c r="AH644" s="30" t="s">
        <v>1212</v>
      </c>
      <c r="AI644" s="56">
        <f>IF(AM644=0,I644,0)</f>
        <v>0</v>
      </c>
      <c r="AJ644" s="56">
        <f>IF(AM644=15,I644,0)</f>
        <v>0</v>
      </c>
      <c r="AK644" s="56">
        <f>IF(AM644=21,I644,0)</f>
        <v>0</v>
      </c>
      <c r="AM644" s="56">
        <v>21</v>
      </c>
      <c r="AN644" s="56">
        <f>H644*0</f>
        <v>0</v>
      </c>
      <c r="AO644" s="56">
        <f>H644*(1-0)</f>
        <v>0</v>
      </c>
      <c r="AP644" s="41" t="s">
        <v>596</v>
      </c>
      <c r="AU644" s="56">
        <f>AV644+AW644</f>
        <v>0</v>
      </c>
      <c r="AV644" s="56">
        <f>G644*AN644</f>
        <v>0</v>
      </c>
      <c r="AW644" s="56">
        <f>G644*AO644</f>
        <v>0</v>
      </c>
      <c r="AX644" s="41" t="s">
        <v>345</v>
      </c>
      <c r="AY644" s="41" t="s">
        <v>495</v>
      </c>
      <c r="AZ644" s="30" t="s">
        <v>1193</v>
      </c>
      <c r="BB644" s="56">
        <f>AV644+AW644</f>
        <v>0</v>
      </c>
      <c r="BC644" s="56">
        <f>H644/(100-BD644)*100</f>
        <v>0</v>
      </c>
      <c r="BD644" s="56">
        <v>0</v>
      </c>
      <c r="BE644" s="56" t="e">
        <f>#REF!</f>
        <v>#REF!</v>
      </c>
      <c r="BG644" s="56">
        <f>G644*AN644</f>
        <v>0</v>
      </c>
      <c r="BH644" s="56">
        <f>G644*AO644</f>
        <v>0</v>
      </c>
      <c r="BI644" s="56">
        <f>G644*H644</f>
        <v>0</v>
      </c>
      <c r="BJ644" s="56"/>
      <c r="BK644" s="56"/>
      <c r="BV644" s="56">
        <v>21</v>
      </c>
    </row>
    <row r="645" spans="1:74" ht="15" customHeight="1" x14ac:dyDescent="0.25">
      <c r="A645" s="27" t="s">
        <v>769</v>
      </c>
      <c r="B645" s="28" t="s">
        <v>1212</v>
      </c>
      <c r="C645" s="28" t="s">
        <v>369</v>
      </c>
      <c r="D645" s="132" t="s">
        <v>485</v>
      </c>
      <c r="E645" s="133"/>
      <c r="F645" s="23" t="s">
        <v>1027</v>
      </c>
      <c r="G645" s="23" t="s">
        <v>1027</v>
      </c>
      <c r="H645" s="23" t="s">
        <v>1027</v>
      </c>
      <c r="I645" s="14">
        <f>SUM(I646:I652)</f>
        <v>0</v>
      </c>
      <c r="J645" s="44" t="s">
        <v>769</v>
      </c>
      <c r="AH645" s="30" t="s">
        <v>1212</v>
      </c>
      <c r="AR645" s="14">
        <f>SUM(AI646:AI652)</f>
        <v>0</v>
      </c>
      <c r="AS645" s="14">
        <f>SUM(AJ646:AJ652)</f>
        <v>0</v>
      </c>
      <c r="AT645" s="14">
        <f>SUM(AK646:AK652)</f>
        <v>0</v>
      </c>
    </row>
    <row r="646" spans="1:74" ht="13.5" customHeight="1" x14ac:dyDescent="0.25">
      <c r="A646" s="10" t="s">
        <v>336</v>
      </c>
      <c r="B646" s="9" t="s">
        <v>1212</v>
      </c>
      <c r="C646" s="9" t="s">
        <v>477</v>
      </c>
      <c r="D646" s="76" t="s">
        <v>1164</v>
      </c>
      <c r="E646" s="77"/>
      <c r="F646" s="9" t="s">
        <v>517</v>
      </c>
      <c r="G646" s="56">
        <v>9.1690000000000005</v>
      </c>
      <c r="H646" s="56">
        <v>0</v>
      </c>
      <c r="I646" s="56">
        <f>G646*H646</f>
        <v>0</v>
      </c>
      <c r="J646" s="54" t="s">
        <v>501</v>
      </c>
      <c r="Y646" s="56">
        <f>IF(AP646="5",BI646,0)</f>
        <v>0</v>
      </c>
      <c r="AA646" s="56">
        <f>IF(AP646="1",BG646,0)</f>
        <v>0</v>
      </c>
      <c r="AB646" s="56">
        <f>IF(AP646="1",BH646,0)</f>
        <v>0</v>
      </c>
      <c r="AC646" s="56">
        <f>IF(AP646="7",BG646,0)</f>
        <v>0</v>
      </c>
      <c r="AD646" s="56">
        <f>IF(AP646="7",BH646,0)</f>
        <v>0</v>
      </c>
      <c r="AE646" s="56">
        <f>IF(AP646="2",BG646,0)</f>
        <v>0</v>
      </c>
      <c r="AF646" s="56">
        <f>IF(AP646="2",BH646,0)</f>
        <v>0</v>
      </c>
      <c r="AG646" s="56">
        <f>IF(AP646="0",BI646,0)</f>
        <v>0</v>
      </c>
      <c r="AH646" s="30" t="s">
        <v>1212</v>
      </c>
      <c r="AI646" s="56">
        <f>IF(AM646=0,I646,0)</f>
        <v>0</v>
      </c>
      <c r="AJ646" s="56">
        <f>IF(AM646=15,I646,0)</f>
        <v>0</v>
      </c>
      <c r="AK646" s="56">
        <f>IF(AM646=21,I646,0)</f>
        <v>0</v>
      </c>
      <c r="AM646" s="56">
        <v>21</v>
      </c>
      <c r="AN646" s="56">
        <f>H646*0</f>
        <v>0</v>
      </c>
      <c r="AO646" s="56">
        <f>H646*(1-0)</f>
        <v>0</v>
      </c>
      <c r="AP646" s="41" t="s">
        <v>596</v>
      </c>
      <c r="AU646" s="56">
        <f>AV646+AW646</f>
        <v>0</v>
      </c>
      <c r="AV646" s="56">
        <f>G646*AN646</f>
        <v>0</v>
      </c>
      <c r="AW646" s="56">
        <f>G646*AO646</f>
        <v>0</v>
      </c>
      <c r="AX646" s="41" t="s">
        <v>465</v>
      </c>
      <c r="AY646" s="41" t="s">
        <v>495</v>
      </c>
      <c r="AZ646" s="30" t="s">
        <v>1193</v>
      </c>
      <c r="BB646" s="56">
        <f>AV646+AW646</f>
        <v>0</v>
      </c>
      <c r="BC646" s="56">
        <f>H646/(100-BD646)*100</f>
        <v>0</v>
      </c>
      <c r="BD646" s="56">
        <v>0</v>
      </c>
      <c r="BE646" s="56" t="e">
        <f>#REF!</f>
        <v>#REF!</v>
      </c>
      <c r="BG646" s="56">
        <f>G646*AN646</f>
        <v>0</v>
      </c>
      <c r="BH646" s="56">
        <f>G646*AO646</f>
        <v>0</v>
      </c>
      <c r="BI646" s="56">
        <f>G646*H646</f>
        <v>0</v>
      </c>
      <c r="BJ646" s="56"/>
      <c r="BK646" s="56"/>
      <c r="BV646" s="56">
        <v>21</v>
      </c>
    </row>
    <row r="647" spans="1:74" ht="15" customHeight="1" x14ac:dyDescent="0.25">
      <c r="A647" s="53"/>
      <c r="D647" s="52" t="s">
        <v>94</v>
      </c>
      <c r="E647" s="37" t="s">
        <v>769</v>
      </c>
      <c r="G647" s="21">
        <v>9.1690000000000005</v>
      </c>
      <c r="J647" s="48"/>
    </row>
    <row r="648" spans="1:74" ht="13.5" customHeight="1" x14ac:dyDescent="0.25">
      <c r="A648" s="10" t="s">
        <v>740</v>
      </c>
      <c r="B648" s="9" t="s">
        <v>1212</v>
      </c>
      <c r="C648" s="9" t="s">
        <v>544</v>
      </c>
      <c r="D648" s="76" t="s">
        <v>1052</v>
      </c>
      <c r="E648" s="77"/>
      <c r="F648" s="9" t="s">
        <v>517</v>
      </c>
      <c r="G648" s="56">
        <v>174.21100000000001</v>
      </c>
      <c r="H648" s="56">
        <v>0</v>
      </c>
      <c r="I648" s="56">
        <f>G648*H648</f>
        <v>0</v>
      </c>
      <c r="J648" s="54" t="s">
        <v>501</v>
      </c>
      <c r="Y648" s="56">
        <f>IF(AP648="5",BI648,0)</f>
        <v>0</v>
      </c>
      <c r="AA648" s="56">
        <f>IF(AP648="1",BG648,0)</f>
        <v>0</v>
      </c>
      <c r="AB648" s="56">
        <f>IF(AP648="1",BH648,0)</f>
        <v>0</v>
      </c>
      <c r="AC648" s="56">
        <f>IF(AP648="7",BG648,0)</f>
        <v>0</v>
      </c>
      <c r="AD648" s="56">
        <f>IF(AP648="7",BH648,0)</f>
        <v>0</v>
      </c>
      <c r="AE648" s="56">
        <f>IF(AP648="2",BG648,0)</f>
        <v>0</v>
      </c>
      <c r="AF648" s="56">
        <f>IF(AP648="2",BH648,0)</f>
        <v>0</v>
      </c>
      <c r="AG648" s="56">
        <f>IF(AP648="0",BI648,0)</f>
        <v>0</v>
      </c>
      <c r="AH648" s="30" t="s">
        <v>1212</v>
      </c>
      <c r="AI648" s="56">
        <f>IF(AM648=0,I648,0)</f>
        <v>0</v>
      </c>
      <c r="AJ648" s="56">
        <f>IF(AM648=15,I648,0)</f>
        <v>0</v>
      </c>
      <c r="AK648" s="56">
        <f>IF(AM648=21,I648,0)</f>
        <v>0</v>
      </c>
      <c r="AM648" s="56">
        <v>21</v>
      </c>
      <c r="AN648" s="56">
        <f>H648*0</f>
        <v>0</v>
      </c>
      <c r="AO648" s="56">
        <f>H648*(1-0)</f>
        <v>0</v>
      </c>
      <c r="AP648" s="41" t="s">
        <v>596</v>
      </c>
      <c r="AU648" s="56">
        <f>AV648+AW648</f>
        <v>0</v>
      </c>
      <c r="AV648" s="56">
        <f>G648*AN648</f>
        <v>0</v>
      </c>
      <c r="AW648" s="56">
        <f>G648*AO648</f>
        <v>0</v>
      </c>
      <c r="AX648" s="41" t="s">
        <v>465</v>
      </c>
      <c r="AY648" s="41" t="s">
        <v>495</v>
      </c>
      <c r="AZ648" s="30" t="s">
        <v>1193</v>
      </c>
      <c r="BB648" s="56">
        <f>AV648+AW648</f>
        <v>0</v>
      </c>
      <c r="BC648" s="56">
        <f>H648/(100-BD648)*100</f>
        <v>0</v>
      </c>
      <c r="BD648" s="56">
        <v>0</v>
      </c>
      <c r="BE648" s="56" t="e">
        <f>#REF!</f>
        <v>#REF!</v>
      </c>
      <c r="BG648" s="56">
        <f>G648*AN648</f>
        <v>0</v>
      </c>
      <c r="BH648" s="56">
        <f>G648*AO648</f>
        <v>0</v>
      </c>
      <c r="BI648" s="56">
        <f>G648*H648</f>
        <v>0</v>
      </c>
      <c r="BJ648" s="56"/>
      <c r="BK648" s="56"/>
      <c r="BV648" s="56">
        <v>21</v>
      </c>
    </row>
    <row r="649" spans="1:74" ht="15" customHeight="1" x14ac:dyDescent="0.25">
      <c r="A649" s="53"/>
      <c r="D649" s="52" t="s">
        <v>330</v>
      </c>
      <c r="E649" s="37" t="s">
        <v>446</v>
      </c>
      <c r="G649" s="21">
        <v>174.21100000000001</v>
      </c>
      <c r="J649" s="48"/>
    </row>
    <row r="650" spans="1:74" ht="13.5" customHeight="1" x14ac:dyDescent="0.25">
      <c r="A650" s="10" t="s">
        <v>163</v>
      </c>
      <c r="B650" s="9" t="s">
        <v>1212</v>
      </c>
      <c r="C650" s="9" t="s">
        <v>212</v>
      </c>
      <c r="D650" s="76" t="s">
        <v>675</v>
      </c>
      <c r="E650" s="77"/>
      <c r="F650" s="9" t="s">
        <v>517</v>
      </c>
      <c r="G650" s="56">
        <v>9.1690000000000005</v>
      </c>
      <c r="H650" s="56">
        <v>0</v>
      </c>
      <c r="I650" s="56">
        <f>G650*H650</f>
        <v>0</v>
      </c>
      <c r="J650" s="54" t="s">
        <v>501</v>
      </c>
      <c r="Y650" s="56">
        <f>IF(AP650="5",BI650,0)</f>
        <v>0</v>
      </c>
      <c r="AA650" s="56">
        <f>IF(AP650="1",BG650,0)</f>
        <v>0</v>
      </c>
      <c r="AB650" s="56">
        <f>IF(AP650="1",BH650,0)</f>
        <v>0</v>
      </c>
      <c r="AC650" s="56">
        <f>IF(AP650="7",BG650,0)</f>
        <v>0</v>
      </c>
      <c r="AD650" s="56">
        <f>IF(AP650="7",BH650,0)</f>
        <v>0</v>
      </c>
      <c r="AE650" s="56">
        <f>IF(AP650="2",BG650,0)</f>
        <v>0</v>
      </c>
      <c r="AF650" s="56">
        <f>IF(AP650="2",BH650,0)</f>
        <v>0</v>
      </c>
      <c r="AG650" s="56">
        <f>IF(AP650="0",BI650,0)</f>
        <v>0</v>
      </c>
      <c r="AH650" s="30" t="s">
        <v>1212</v>
      </c>
      <c r="AI650" s="56">
        <f>IF(AM650=0,I650,0)</f>
        <v>0</v>
      </c>
      <c r="AJ650" s="56">
        <f>IF(AM650=15,I650,0)</f>
        <v>0</v>
      </c>
      <c r="AK650" s="56">
        <f>IF(AM650=21,I650,0)</f>
        <v>0</v>
      </c>
      <c r="AM650" s="56">
        <v>21</v>
      </c>
      <c r="AN650" s="56">
        <f>H650*0</f>
        <v>0</v>
      </c>
      <c r="AO650" s="56">
        <f>H650*(1-0)</f>
        <v>0</v>
      </c>
      <c r="AP650" s="41" t="s">
        <v>596</v>
      </c>
      <c r="AU650" s="56">
        <f>AV650+AW650</f>
        <v>0</v>
      </c>
      <c r="AV650" s="56">
        <f>G650*AN650</f>
        <v>0</v>
      </c>
      <c r="AW650" s="56">
        <f>G650*AO650</f>
        <v>0</v>
      </c>
      <c r="AX650" s="41" t="s">
        <v>465</v>
      </c>
      <c r="AY650" s="41" t="s">
        <v>495</v>
      </c>
      <c r="AZ650" s="30" t="s">
        <v>1193</v>
      </c>
      <c r="BB650" s="56">
        <f>AV650+AW650</f>
        <v>0</v>
      </c>
      <c r="BC650" s="56">
        <f>H650/(100-BD650)*100</f>
        <v>0</v>
      </c>
      <c r="BD650" s="56">
        <v>0</v>
      </c>
      <c r="BE650" s="56" t="e">
        <f>#REF!</f>
        <v>#REF!</v>
      </c>
      <c r="BG650" s="56">
        <f>G650*AN650</f>
        <v>0</v>
      </c>
      <c r="BH650" s="56">
        <f>G650*AO650</f>
        <v>0</v>
      </c>
      <c r="BI650" s="56">
        <f>G650*H650</f>
        <v>0</v>
      </c>
      <c r="BJ650" s="56"/>
      <c r="BK650" s="56"/>
      <c r="BV650" s="56">
        <v>21</v>
      </c>
    </row>
    <row r="651" spans="1:74" ht="13.5" customHeight="1" x14ac:dyDescent="0.25">
      <c r="A651" s="10" t="s">
        <v>289</v>
      </c>
      <c r="B651" s="9" t="s">
        <v>1212</v>
      </c>
      <c r="C651" s="9" t="s">
        <v>1115</v>
      </c>
      <c r="D651" s="76" t="s">
        <v>945</v>
      </c>
      <c r="E651" s="77"/>
      <c r="F651" s="9" t="s">
        <v>517</v>
      </c>
      <c r="G651" s="56">
        <v>9.0090000000000003</v>
      </c>
      <c r="H651" s="56">
        <v>0</v>
      </c>
      <c r="I651" s="56">
        <f>G651*H651</f>
        <v>0</v>
      </c>
      <c r="J651" s="54" t="s">
        <v>501</v>
      </c>
      <c r="Y651" s="56">
        <f>IF(AP651="5",BI651,0)</f>
        <v>0</v>
      </c>
      <c r="AA651" s="56">
        <f>IF(AP651="1",BG651,0)</f>
        <v>0</v>
      </c>
      <c r="AB651" s="56">
        <f>IF(AP651="1",BH651,0)</f>
        <v>0</v>
      </c>
      <c r="AC651" s="56">
        <f>IF(AP651="7",BG651,0)</f>
        <v>0</v>
      </c>
      <c r="AD651" s="56">
        <f>IF(AP651="7",BH651,0)</f>
        <v>0</v>
      </c>
      <c r="AE651" s="56">
        <f>IF(AP651="2",BG651,0)</f>
        <v>0</v>
      </c>
      <c r="AF651" s="56">
        <f>IF(AP651="2",BH651,0)</f>
        <v>0</v>
      </c>
      <c r="AG651" s="56">
        <f>IF(AP651="0",BI651,0)</f>
        <v>0</v>
      </c>
      <c r="AH651" s="30" t="s">
        <v>1212</v>
      </c>
      <c r="AI651" s="56">
        <f>IF(AM651=0,I651,0)</f>
        <v>0</v>
      </c>
      <c r="AJ651" s="56">
        <f>IF(AM651=15,I651,0)</f>
        <v>0</v>
      </c>
      <c r="AK651" s="56">
        <f>IF(AM651=21,I651,0)</f>
        <v>0</v>
      </c>
      <c r="AM651" s="56">
        <v>21</v>
      </c>
      <c r="AN651" s="56">
        <f>H651*0</f>
        <v>0</v>
      </c>
      <c r="AO651" s="56">
        <f>H651*(1-0)</f>
        <v>0</v>
      </c>
      <c r="AP651" s="41" t="s">
        <v>596</v>
      </c>
      <c r="AU651" s="56">
        <f>AV651+AW651</f>
        <v>0</v>
      </c>
      <c r="AV651" s="56">
        <f>G651*AN651</f>
        <v>0</v>
      </c>
      <c r="AW651" s="56">
        <f>G651*AO651</f>
        <v>0</v>
      </c>
      <c r="AX651" s="41" t="s">
        <v>465</v>
      </c>
      <c r="AY651" s="41" t="s">
        <v>495</v>
      </c>
      <c r="AZ651" s="30" t="s">
        <v>1193</v>
      </c>
      <c r="BB651" s="56">
        <f>AV651+AW651</f>
        <v>0</v>
      </c>
      <c r="BC651" s="56">
        <f>H651/(100-BD651)*100</f>
        <v>0</v>
      </c>
      <c r="BD651" s="56">
        <v>0</v>
      </c>
      <c r="BE651" s="56" t="e">
        <f>#REF!</f>
        <v>#REF!</v>
      </c>
      <c r="BG651" s="56">
        <f>G651*AN651</f>
        <v>0</v>
      </c>
      <c r="BH651" s="56">
        <f>G651*AO651</f>
        <v>0</v>
      </c>
      <c r="BI651" s="56">
        <f>G651*H651</f>
        <v>0</v>
      </c>
      <c r="BJ651" s="56"/>
      <c r="BK651" s="56"/>
      <c r="BV651" s="56">
        <v>21</v>
      </c>
    </row>
    <row r="652" spans="1:74" ht="13.5" customHeight="1" x14ac:dyDescent="0.25">
      <c r="A652" s="10" t="s">
        <v>1255</v>
      </c>
      <c r="B652" s="9" t="s">
        <v>1212</v>
      </c>
      <c r="C652" s="9" t="s">
        <v>226</v>
      </c>
      <c r="D652" s="76" t="s">
        <v>53</v>
      </c>
      <c r="E652" s="77"/>
      <c r="F652" s="9" t="s">
        <v>517</v>
      </c>
      <c r="G652" s="56">
        <v>0.16</v>
      </c>
      <c r="H652" s="56">
        <v>0</v>
      </c>
      <c r="I652" s="56">
        <f>G652*H652</f>
        <v>0</v>
      </c>
      <c r="J652" s="54" t="s">
        <v>501</v>
      </c>
      <c r="Y652" s="56">
        <f>IF(AP652="5",BI652,0)</f>
        <v>0</v>
      </c>
      <c r="AA652" s="56">
        <f>IF(AP652="1",BG652,0)</f>
        <v>0</v>
      </c>
      <c r="AB652" s="56">
        <f>IF(AP652="1",BH652,0)</f>
        <v>0</v>
      </c>
      <c r="AC652" s="56">
        <f>IF(AP652="7",BG652,0)</f>
        <v>0</v>
      </c>
      <c r="AD652" s="56">
        <f>IF(AP652="7",BH652,0)</f>
        <v>0</v>
      </c>
      <c r="AE652" s="56">
        <f>IF(AP652="2",BG652,0)</f>
        <v>0</v>
      </c>
      <c r="AF652" s="56">
        <f>IF(AP652="2",BH652,0)</f>
        <v>0</v>
      </c>
      <c r="AG652" s="56">
        <f>IF(AP652="0",BI652,0)</f>
        <v>0</v>
      </c>
      <c r="AH652" s="30" t="s">
        <v>1212</v>
      </c>
      <c r="AI652" s="56">
        <f>IF(AM652=0,I652,0)</f>
        <v>0</v>
      </c>
      <c r="AJ652" s="56">
        <f>IF(AM652=15,I652,0)</f>
        <v>0</v>
      </c>
      <c r="AK652" s="56">
        <f>IF(AM652=21,I652,0)</f>
        <v>0</v>
      </c>
      <c r="AM652" s="56">
        <v>21</v>
      </c>
      <c r="AN652" s="56">
        <f>H652*0</f>
        <v>0</v>
      </c>
      <c r="AO652" s="56">
        <f>H652*(1-0)</f>
        <v>0</v>
      </c>
      <c r="AP652" s="41" t="s">
        <v>596</v>
      </c>
      <c r="AU652" s="56">
        <f>AV652+AW652</f>
        <v>0</v>
      </c>
      <c r="AV652" s="56">
        <f>G652*AN652</f>
        <v>0</v>
      </c>
      <c r="AW652" s="56">
        <f>G652*AO652</f>
        <v>0</v>
      </c>
      <c r="AX652" s="41" t="s">
        <v>465</v>
      </c>
      <c r="AY652" s="41" t="s">
        <v>495</v>
      </c>
      <c r="AZ652" s="30" t="s">
        <v>1193</v>
      </c>
      <c r="BB652" s="56">
        <f>AV652+AW652</f>
        <v>0</v>
      </c>
      <c r="BC652" s="56">
        <f>H652/(100-BD652)*100</f>
        <v>0</v>
      </c>
      <c r="BD652" s="56">
        <v>0</v>
      </c>
      <c r="BE652" s="56" t="e">
        <f>#REF!</f>
        <v>#REF!</v>
      </c>
      <c r="BG652" s="56">
        <f>G652*AN652</f>
        <v>0</v>
      </c>
      <c r="BH652" s="56">
        <f>G652*AO652</f>
        <v>0</v>
      </c>
      <c r="BI652" s="56">
        <f>G652*H652</f>
        <v>0</v>
      </c>
      <c r="BJ652" s="56"/>
      <c r="BK652" s="56"/>
      <c r="BV652" s="56">
        <v>21</v>
      </c>
    </row>
    <row r="653" spans="1:74" ht="15" customHeight="1" x14ac:dyDescent="0.25">
      <c r="A653" s="27" t="s">
        <v>769</v>
      </c>
      <c r="B653" s="28" t="s">
        <v>439</v>
      </c>
      <c r="C653" s="28" t="s">
        <v>769</v>
      </c>
      <c r="D653" s="132" t="s">
        <v>574</v>
      </c>
      <c r="E653" s="133"/>
      <c r="F653" s="23" t="s">
        <v>1027</v>
      </c>
      <c r="G653" s="23" t="s">
        <v>1027</v>
      </c>
      <c r="H653" s="23" t="s">
        <v>1027</v>
      </c>
      <c r="I653" s="14">
        <f>I654+I657+I662+I667+I673+I678+I683+I686+I690+I693+I697+I705+I707</f>
        <v>0</v>
      </c>
      <c r="J653" s="44" t="s">
        <v>769</v>
      </c>
    </row>
    <row r="654" spans="1:74" ht="15" customHeight="1" x14ac:dyDescent="0.25">
      <c r="A654" s="27" t="s">
        <v>769</v>
      </c>
      <c r="B654" s="28" t="s">
        <v>439</v>
      </c>
      <c r="C654" s="28" t="s">
        <v>815</v>
      </c>
      <c r="D654" s="132" t="s">
        <v>276</v>
      </c>
      <c r="E654" s="133"/>
      <c r="F654" s="23" t="s">
        <v>1027</v>
      </c>
      <c r="G654" s="23" t="s">
        <v>1027</v>
      </c>
      <c r="H654" s="23" t="s">
        <v>1027</v>
      </c>
      <c r="I654" s="14">
        <f>SUM(I655:I655)</f>
        <v>0</v>
      </c>
      <c r="J654" s="44" t="s">
        <v>769</v>
      </c>
      <c r="AH654" s="30" t="s">
        <v>439</v>
      </c>
      <c r="AR654" s="14">
        <f>SUM(AI655:AI655)</f>
        <v>0</v>
      </c>
      <c r="AS654" s="14">
        <f>SUM(AJ655:AJ655)</f>
        <v>0</v>
      </c>
      <c r="AT654" s="14">
        <f>SUM(AK655:AK655)</f>
        <v>0</v>
      </c>
    </row>
    <row r="655" spans="1:74" ht="13.5" customHeight="1" x14ac:dyDescent="0.25">
      <c r="A655" s="10" t="s">
        <v>1145</v>
      </c>
      <c r="B655" s="9" t="s">
        <v>439</v>
      </c>
      <c r="C655" s="9" t="s">
        <v>1004</v>
      </c>
      <c r="D655" s="76" t="s">
        <v>284</v>
      </c>
      <c r="E655" s="77"/>
      <c r="F655" s="9" t="s">
        <v>1079</v>
      </c>
      <c r="G655" s="56">
        <v>2</v>
      </c>
      <c r="H655" s="56">
        <v>0</v>
      </c>
      <c r="I655" s="56">
        <f>G655*H655</f>
        <v>0</v>
      </c>
      <c r="J655" s="54" t="s">
        <v>501</v>
      </c>
      <c r="Y655" s="56">
        <f>IF(AP655="5",BI655,0)</f>
        <v>0</v>
      </c>
      <c r="AA655" s="56">
        <f>IF(AP655="1",BG655,0)</f>
        <v>0</v>
      </c>
      <c r="AB655" s="56">
        <f>IF(AP655="1",BH655,0)</f>
        <v>0</v>
      </c>
      <c r="AC655" s="56">
        <f>IF(AP655="7",BG655,0)</f>
        <v>0</v>
      </c>
      <c r="AD655" s="56">
        <f>IF(AP655="7",BH655,0)</f>
        <v>0</v>
      </c>
      <c r="AE655" s="56">
        <f>IF(AP655="2",BG655,0)</f>
        <v>0</v>
      </c>
      <c r="AF655" s="56">
        <f>IF(AP655="2",BH655,0)</f>
        <v>0</v>
      </c>
      <c r="AG655" s="56">
        <f>IF(AP655="0",BI655,0)</f>
        <v>0</v>
      </c>
      <c r="AH655" s="30" t="s">
        <v>439</v>
      </c>
      <c r="AI655" s="56">
        <f>IF(AM655=0,I655,0)</f>
        <v>0</v>
      </c>
      <c r="AJ655" s="56">
        <f>IF(AM655=15,I655,0)</f>
        <v>0</v>
      </c>
      <c r="AK655" s="56">
        <f>IF(AM655=21,I655,0)</f>
        <v>0</v>
      </c>
      <c r="AM655" s="56">
        <v>21</v>
      </c>
      <c r="AN655" s="56">
        <f>H655*0</f>
        <v>0</v>
      </c>
      <c r="AO655" s="56">
        <f>H655*(1-0)</f>
        <v>0</v>
      </c>
      <c r="AP655" s="41" t="s">
        <v>1109</v>
      </c>
      <c r="AU655" s="56">
        <f>AV655+AW655</f>
        <v>0</v>
      </c>
      <c r="AV655" s="56">
        <f>G655*AN655</f>
        <v>0</v>
      </c>
      <c r="AW655" s="56">
        <f>G655*AO655</f>
        <v>0</v>
      </c>
      <c r="AX655" s="41" t="s">
        <v>569</v>
      </c>
      <c r="AY655" s="41" t="s">
        <v>164</v>
      </c>
      <c r="AZ655" s="30" t="s">
        <v>1236</v>
      </c>
      <c r="BB655" s="56">
        <f>AV655+AW655</f>
        <v>0</v>
      </c>
      <c r="BC655" s="56">
        <f>H655/(100-BD655)*100</f>
        <v>0</v>
      </c>
      <c r="BD655" s="56">
        <v>0</v>
      </c>
      <c r="BE655" s="56" t="e">
        <f>#REF!</f>
        <v>#REF!</v>
      </c>
      <c r="BG655" s="56">
        <f>G655*AN655</f>
        <v>0</v>
      </c>
      <c r="BH655" s="56">
        <f>G655*AO655</f>
        <v>0</v>
      </c>
      <c r="BI655" s="56">
        <f>G655*H655</f>
        <v>0</v>
      </c>
      <c r="BJ655" s="56"/>
      <c r="BK655" s="56">
        <v>12</v>
      </c>
      <c r="BV655" s="56">
        <v>21</v>
      </c>
    </row>
    <row r="656" spans="1:74" ht="15" customHeight="1" x14ac:dyDescent="0.25">
      <c r="A656" s="53"/>
      <c r="D656" s="52" t="s">
        <v>157</v>
      </c>
      <c r="E656" s="37" t="s">
        <v>769</v>
      </c>
      <c r="G656" s="21">
        <v>2</v>
      </c>
      <c r="J656" s="48"/>
    </row>
    <row r="657" spans="1:74" ht="15" customHeight="1" x14ac:dyDescent="0.25">
      <c r="A657" s="27" t="s">
        <v>769</v>
      </c>
      <c r="B657" s="28" t="s">
        <v>439</v>
      </c>
      <c r="C657" s="28" t="s">
        <v>333</v>
      </c>
      <c r="D657" s="132" t="s">
        <v>7</v>
      </c>
      <c r="E657" s="133"/>
      <c r="F657" s="23" t="s">
        <v>1027</v>
      </c>
      <c r="G657" s="23" t="s">
        <v>1027</v>
      </c>
      <c r="H657" s="23" t="s">
        <v>1027</v>
      </c>
      <c r="I657" s="14">
        <f>SUM(I658:I660)</f>
        <v>0</v>
      </c>
      <c r="J657" s="44" t="s">
        <v>769</v>
      </c>
      <c r="AH657" s="30" t="s">
        <v>439</v>
      </c>
      <c r="AR657" s="14">
        <f>SUM(AI658:AI660)</f>
        <v>0</v>
      </c>
      <c r="AS657" s="14">
        <f>SUM(AJ658:AJ660)</f>
        <v>0</v>
      </c>
      <c r="AT657" s="14">
        <f>SUM(AK658:AK660)</f>
        <v>0</v>
      </c>
    </row>
    <row r="658" spans="1:74" ht="13.5" customHeight="1" x14ac:dyDescent="0.25">
      <c r="A658" s="10" t="s">
        <v>525</v>
      </c>
      <c r="B658" s="9" t="s">
        <v>439</v>
      </c>
      <c r="C658" s="9" t="s">
        <v>914</v>
      </c>
      <c r="D658" s="76" t="s">
        <v>981</v>
      </c>
      <c r="E658" s="77"/>
      <c r="F658" s="9" t="s">
        <v>1079</v>
      </c>
      <c r="G658" s="56">
        <v>5.7</v>
      </c>
      <c r="H658" s="56">
        <v>0</v>
      </c>
      <c r="I658" s="56">
        <f>G658*H658</f>
        <v>0</v>
      </c>
      <c r="J658" s="54" t="s">
        <v>501</v>
      </c>
      <c r="Y658" s="56">
        <f>IF(AP658="5",BI658,0)</f>
        <v>0</v>
      </c>
      <c r="AA658" s="56">
        <f>IF(AP658="1",BG658,0)</f>
        <v>0</v>
      </c>
      <c r="AB658" s="56">
        <f>IF(AP658="1",BH658,0)</f>
        <v>0</v>
      </c>
      <c r="AC658" s="56">
        <f>IF(AP658="7",BG658,0)</f>
        <v>0</v>
      </c>
      <c r="AD658" s="56">
        <f>IF(AP658="7",BH658,0)</f>
        <v>0</v>
      </c>
      <c r="AE658" s="56">
        <f>IF(AP658="2",BG658,0)</f>
        <v>0</v>
      </c>
      <c r="AF658" s="56">
        <f>IF(AP658="2",BH658,0)</f>
        <v>0</v>
      </c>
      <c r="AG658" s="56">
        <f>IF(AP658="0",BI658,0)</f>
        <v>0</v>
      </c>
      <c r="AH658" s="30" t="s">
        <v>439</v>
      </c>
      <c r="AI658" s="56">
        <f>IF(AM658=0,I658,0)</f>
        <v>0</v>
      </c>
      <c r="AJ658" s="56">
        <f>IF(AM658=15,I658,0)</f>
        <v>0</v>
      </c>
      <c r="AK658" s="56">
        <f>IF(AM658=21,I658,0)</f>
        <v>0</v>
      </c>
      <c r="AM658" s="56">
        <v>21</v>
      </c>
      <c r="AN658" s="56">
        <f>H658*0</f>
        <v>0</v>
      </c>
      <c r="AO658" s="56">
        <f>H658*(1-0)</f>
        <v>0</v>
      </c>
      <c r="AP658" s="41" t="s">
        <v>1109</v>
      </c>
      <c r="AU658" s="56">
        <f>AV658+AW658</f>
        <v>0</v>
      </c>
      <c r="AV658" s="56">
        <f>G658*AN658</f>
        <v>0</v>
      </c>
      <c r="AW658" s="56">
        <f>G658*AO658</f>
        <v>0</v>
      </c>
      <c r="AX658" s="41" t="s">
        <v>1001</v>
      </c>
      <c r="AY658" s="41" t="s">
        <v>164</v>
      </c>
      <c r="AZ658" s="30" t="s">
        <v>1236</v>
      </c>
      <c r="BB658" s="56">
        <f>AV658+AW658</f>
        <v>0</v>
      </c>
      <c r="BC658" s="56">
        <f>H658/(100-BD658)*100</f>
        <v>0</v>
      </c>
      <c r="BD658" s="56">
        <v>0</v>
      </c>
      <c r="BE658" s="56" t="e">
        <f>#REF!</f>
        <v>#REF!</v>
      </c>
      <c r="BG658" s="56">
        <f>G658*AN658</f>
        <v>0</v>
      </c>
      <c r="BH658" s="56">
        <f>G658*AO658</f>
        <v>0</v>
      </c>
      <c r="BI658" s="56">
        <f>G658*H658</f>
        <v>0</v>
      </c>
      <c r="BJ658" s="56"/>
      <c r="BK658" s="56">
        <v>13</v>
      </c>
      <c r="BV658" s="56">
        <v>21</v>
      </c>
    </row>
    <row r="659" spans="1:74" ht="15" customHeight="1" x14ac:dyDescent="0.25">
      <c r="A659" s="53"/>
      <c r="D659" s="52" t="s">
        <v>191</v>
      </c>
      <c r="E659" s="37" t="s">
        <v>572</v>
      </c>
      <c r="G659" s="21">
        <v>5.7</v>
      </c>
      <c r="J659" s="48"/>
    </row>
    <row r="660" spans="1:74" ht="13.5" customHeight="1" x14ac:dyDescent="0.25">
      <c r="A660" s="10" t="s">
        <v>979</v>
      </c>
      <c r="B660" s="9" t="s">
        <v>439</v>
      </c>
      <c r="C660" s="9" t="s">
        <v>1235</v>
      </c>
      <c r="D660" s="76" t="s">
        <v>872</v>
      </c>
      <c r="E660" s="77"/>
      <c r="F660" s="9" t="s">
        <v>1079</v>
      </c>
      <c r="G660" s="56">
        <v>2.85</v>
      </c>
      <c r="H660" s="56">
        <v>0</v>
      </c>
      <c r="I660" s="56">
        <f>G660*H660</f>
        <v>0</v>
      </c>
      <c r="J660" s="54" t="s">
        <v>501</v>
      </c>
      <c r="Y660" s="56">
        <f>IF(AP660="5",BI660,0)</f>
        <v>0</v>
      </c>
      <c r="AA660" s="56">
        <f>IF(AP660="1",BG660,0)</f>
        <v>0</v>
      </c>
      <c r="AB660" s="56">
        <f>IF(AP660="1",BH660,0)</f>
        <v>0</v>
      </c>
      <c r="AC660" s="56">
        <f>IF(AP660="7",BG660,0)</f>
        <v>0</v>
      </c>
      <c r="AD660" s="56">
        <f>IF(AP660="7",BH660,0)</f>
        <v>0</v>
      </c>
      <c r="AE660" s="56">
        <f>IF(AP660="2",BG660,0)</f>
        <v>0</v>
      </c>
      <c r="AF660" s="56">
        <f>IF(AP660="2",BH660,0)</f>
        <v>0</v>
      </c>
      <c r="AG660" s="56">
        <f>IF(AP660="0",BI660,0)</f>
        <v>0</v>
      </c>
      <c r="AH660" s="30" t="s">
        <v>439</v>
      </c>
      <c r="AI660" s="56">
        <f>IF(AM660=0,I660,0)</f>
        <v>0</v>
      </c>
      <c r="AJ660" s="56">
        <f>IF(AM660=15,I660,0)</f>
        <v>0</v>
      </c>
      <c r="AK660" s="56">
        <f>IF(AM660=21,I660,0)</f>
        <v>0</v>
      </c>
      <c r="AM660" s="56">
        <v>21</v>
      </c>
      <c r="AN660" s="56">
        <f>H660*0</f>
        <v>0</v>
      </c>
      <c r="AO660" s="56">
        <f>H660*(1-0)</f>
        <v>0</v>
      </c>
      <c r="AP660" s="41" t="s">
        <v>1109</v>
      </c>
      <c r="AU660" s="56">
        <f>AV660+AW660</f>
        <v>0</v>
      </c>
      <c r="AV660" s="56">
        <f>G660*AN660</f>
        <v>0</v>
      </c>
      <c r="AW660" s="56">
        <f>G660*AO660</f>
        <v>0</v>
      </c>
      <c r="AX660" s="41" t="s">
        <v>1001</v>
      </c>
      <c r="AY660" s="41" t="s">
        <v>164</v>
      </c>
      <c r="AZ660" s="30" t="s">
        <v>1236</v>
      </c>
      <c r="BB660" s="56">
        <f>AV660+AW660</f>
        <v>0</v>
      </c>
      <c r="BC660" s="56">
        <f>H660/(100-BD660)*100</f>
        <v>0</v>
      </c>
      <c r="BD660" s="56">
        <v>0</v>
      </c>
      <c r="BE660" s="56" t="e">
        <f>#REF!</f>
        <v>#REF!</v>
      </c>
      <c r="BG660" s="56">
        <f>G660*AN660</f>
        <v>0</v>
      </c>
      <c r="BH660" s="56">
        <f>G660*AO660</f>
        <v>0</v>
      </c>
      <c r="BI660" s="56">
        <f>G660*H660</f>
        <v>0</v>
      </c>
      <c r="BJ660" s="56"/>
      <c r="BK660" s="56">
        <v>13</v>
      </c>
      <c r="BV660" s="56">
        <v>21</v>
      </c>
    </row>
    <row r="661" spans="1:74" ht="15" customHeight="1" x14ac:dyDescent="0.25">
      <c r="A661" s="53"/>
      <c r="D661" s="52" t="s">
        <v>205</v>
      </c>
      <c r="E661" s="37" t="s">
        <v>769</v>
      </c>
      <c r="G661" s="21">
        <v>2.85</v>
      </c>
      <c r="J661" s="48"/>
    </row>
    <row r="662" spans="1:74" ht="15" customHeight="1" x14ac:dyDescent="0.25">
      <c r="A662" s="27" t="s">
        <v>769</v>
      </c>
      <c r="B662" s="28" t="s">
        <v>439</v>
      </c>
      <c r="C662" s="28" t="s">
        <v>654</v>
      </c>
      <c r="D662" s="132" t="s">
        <v>637</v>
      </c>
      <c r="E662" s="133"/>
      <c r="F662" s="23" t="s">
        <v>1027</v>
      </c>
      <c r="G662" s="23" t="s">
        <v>1027</v>
      </c>
      <c r="H662" s="23" t="s">
        <v>1027</v>
      </c>
      <c r="I662" s="14">
        <f>SUM(I663:I665)</f>
        <v>0</v>
      </c>
      <c r="J662" s="44" t="s">
        <v>769</v>
      </c>
      <c r="AH662" s="30" t="s">
        <v>439</v>
      </c>
      <c r="AR662" s="14">
        <f>SUM(AI663:AI665)</f>
        <v>0</v>
      </c>
      <c r="AS662" s="14">
        <f>SUM(AJ663:AJ665)</f>
        <v>0</v>
      </c>
      <c r="AT662" s="14">
        <f>SUM(AK663:AK665)</f>
        <v>0</v>
      </c>
    </row>
    <row r="663" spans="1:74" ht="13.5" customHeight="1" x14ac:dyDescent="0.25">
      <c r="A663" s="10" t="s">
        <v>9</v>
      </c>
      <c r="B663" s="9" t="s">
        <v>439</v>
      </c>
      <c r="C663" s="9" t="s">
        <v>396</v>
      </c>
      <c r="D663" s="76" t="s">
        <v>806</v>
      </c>
      <c r="E663" s="77"/>
      <c r="F663" s="9" t="s">
        <v>909</v>
      </c>
      <c r="G663" s="56">
        <v>12.2</v>
      </c>
      <c r="H663" s="56">
        <v>0</v>
      </c>
      <c r="I663" s="56">
        <f>G663*H663</f>
        <v>0</v>
      </c>
      <c r="J663" s="54" t="s">
        <v>501</v>
      </c>
      <c r="Y663" s="56">
        <f>IF(AP663="5",BI663,0)</f>
        <v>0</v>
      </c>
      <c r="AA663" s="56">
        <f>IF(AP663="1",BG663,0)</f>
        <v>0</v>
      </c>
      <c r="AB663" s="56">
        <f>IF(AP663="1",BH663,0)</f>
        <v>0</v>
      </c>
      <c r="AC663" s="56">
        <f>IF(AP663="7",BG663,0)</f>
        <v>0</v>
      </c>
      <c r="AD663" s="56">
        <f>IF(AP663="7",BH663,0)</f>
        <v>0</v>
      </c>
      <c r="AE663" s="56">
        <f>IF(AP663="2",BG663,0)</f>
        <v>0</v>
      </c>
      <c r="AF663" s="56">
        <f>IF(AP663="2",BH663,0)</f>
        <v>0</v>
      </c>
      <c r="AG663" s="56">
        <f>IF(AP663="0",BI663,0)</f>
        <v>0</v>
      </c>
      <c r="AH663" s="30" t="s">
        <v>439</v>
      </c>
      <c r="AI663" s="56">
        <f>IF(AM663=0,I663,0)</f>
        <v>0</v>
      </c>
      <c r="AJ663" s="56">
        <f>IF(AM663=15,I663,0)</f>
        <v>0</v>
      </c>
      <c r="AK663" s="56">
        <f>IF(AM663=21,I663,0)</f>
        <v>0</v>
      </c>
      <c r="AM663" s="56">
        <v>21</v>
      </c>
      <c r="AN663" s="56">
        <f>H663*0.0582222222222222</f>
        <v>0</v>
      </c>
      <c r="AO663" s="56">
        <f>H663*(1-0.0582222222222222)</f>
        <v>0</v>
      </c>
      <c r="AP663" s="41" t="s">
        <v>1109</v>
      </c>
      <c r="AU663" s="56">
        <f>AV663+AW663</f>
        <v>0</v>
      </c>
      <c r="AV663" s="56">
        <f>G663*AN663</f>
        <v>0</v>
      </c>
      <c r="AW663" s="56">
        <f>G663*AO663</f>
        <v>0</v>
      </c>
      <c r="AX663" s="41" t="s">
        <v>1162</v>
      </c>
      <c r="AY663" s="41" t="s">
        <v>164</v>
      </c>
      <c r="AZ663" s="30" t="s">
        <v>1236</v>
      </c>
      <c r="BB663" s="56">
        <f>AV663+AW663</f>
        <v>0</v>
      </c>
      <c r="BC663" s="56">
        <f>H663/(100-BD663)*100</f>
        <v>0</v>
      </c>
      <c r="BD663" s="56">
        <v>0</v>
      </c>
      <c r="BE663" s="56" t="e">
        <f>#REF!</f>
        <v>#REF!</v>
      </c>
      <c r="BG663" s="56">
        <f>G663*AN663</f>
        <v>0</v>
      </c>
      <c r="BH663" s="56">
        <f>G663*AO663</f>
        <v>0</v>
      </c>
      <c r="BI663" s="56">
        <f>G663*H663</f>
        <v>0</v>
      </c>
      <c r="BJ663" s="56"/>
      <c r="BK663" s="56">
        <v>14</v>
      </c>
      <c r="BV663" s="56">
        <v>21</v>
      </c>
    </row>
    <row r="664" spans="1:74" ht="13.5" customHeight="1" x14ac:dyDescent="0.25">
      <c r="A664" s="53"/>
      <c r="C664" s="66" t="s">
        <v>578</v>
      </c>
      <c r="D664" s="137" t="s">
        <v>188</v>
      </c>
      <c r="E664" s="138"/>
      <c r="F664" s="138"/>
      <c r="G664" s="138"/>
      <c r="H664" s="138"/>
      <c r="I664" s="138"/>
      <c r="J664" s="139"/>
    </row>
    <row r="665" spans="1:74" ht="13.5" customHeight="1" x14ac:dyDescent="0.25">
      <c r="A665" s="57" t="s">
        <v>827</v>
      </c>
      <c r="B665" s="50" t="s">
        <v>439</v>
      </c>
      <c r="C665" s="50" t="s">
        <v>456</v>
      </c>
      <c r="D665" s="135" t="s">
        <v>851</v>
      </c>
      <c r="E665" s="136"/>
      <c r="F665" s="50" t="s">
        <v>909</v>
      </c>
      <c r="G665" s="31">
        <v>13</v>
      </c>
      <c r="H665" s="31">
        <v>0</v>
      </c>
      <c r="I665" s="31">
        <f>G665*H665</f>
        <v>0</v>
      </c>
      <c r="J665" s="47" t="s">
        <v>501</v>
      </c>
      <c r="Y665" s="56">
        <f>IF(AP665="5",BI665,0)</f>
        <v>0</v>
      </c>
      <c r="AA665" s="56">
        <f>IF(AP665="1",BG665,0)</f>
        <v>0</v>
      </c>
      <c r="AB665" s="56">
        <f>IF(AP665="1",BH665,0)</f>
        <v>0</v>
      </c>
      <c r="AC665" s="56">
        <f>IF(AP665="7",BG665,0)</f>
        <v>0</v>
      </c>
      <c r="AD665" s="56">
        <f>IF(AP665="7",BH665,0)</f>
        <v>0</v>
      </c>
      <c r="AE665" s="56">
        <f>IF(AP665="2",BG665,0)</f>
        <v>0</v>
      </c>
      <c r="AF665" s="56">
        <f>IF(AP665="2",BH665,0)</f>
        <v>0</v>
      </c>
      <c r="AG665" s="56">
        <f>IF(AP665="0",BI665,0)</f>
        <v>0</v>
      </c>
      <c r="AH665" s="30" t="s">
        <v>439</v>
      </c>
      <c r="AI665" s="31">
        <f>IF(AM665=0,I665,0)</f>
        <v>0</v>
      </c>
      <c r="AJ665" s="31">
        <f>IF(AM665=15,I665,0)</f>
        <v>0</v>
      </c>
      <c r="AK665" s="31">
        <f>IF(AM665=21,I665,0)</f>
        <v>0</v>
      </c>
      <c r="AM665" s="56">
        <v>21</v>
      </c>
      <c r="AN665" s="56">
        <f>H665*1</f>
        <v>0</v>
      </c>
      <c r="AO665" s="56">
        <f>H665*(1-1)</f>
        <v>0</v>
      </c>
      <c r="AP665" s="58" t="s">
        <v>1109</v>
      </c>
      <c r="AU665" s="56">
        <f>AV665+AW665</f>
        <v>0</v>
      </c>
      <c r="AV665" s="56">
        <f>G665*AN665</f>
        <v>0</v>
      </c>
      <c r="AW665" s="56">
        <f>G665*AO665</f>
        <v>0</v>
      </c>
      <c r="AX665" s="41" t="s">
        <v>1162</v>
      </c>
      <c r="AY665" s="41" t="s">
        <v>164</v>
      </c>
      <c r="AZ665" s="30" t="s">
        <v>1236</v>
      </c>
      <c r="BB665" s="56">
        <f>AV665+AW665</f>
        <v>0</v>
      </c>
      <c r="BC665" s="56">
        <f>H665/(100-BD665)*100</f>
        <v>0</v>
      </c>
      <c r="BD665" s="56">
        <v>0</v>
      </c>
      <c r="BE665" s="56" t="e">
        <f>#REF!</f>
        <v>#REF!</v>
      </c>
      <c r="BG665" s="31">
        <f>G665*AN665</f>
        <v>0</v>
      </c>
      <c r="BH665" s="31">
        <f>G665*AO665</f>
        <v>0</v>
      </c>
      <c r="BI665" s="31">
        <f>G665*H665</f>
        <v>0</v>
      </c>
      <c r="BJ665" s="31"/>
      <c r="BK665" s="56">
        <v>14</v>
      </c>
      <c r="BV665" s="56">
        <v>21</v>
      </c>
    </row>
    <row r="666" spans="1:74" ht="15" customHeight="1" x14ac:dyDescent="0.25">
      <c r="A666" s="53"/>
      <c r="D666" s="52" t="s">
        <v>333</v>
      </c>
      <c r="E666" s="37" t="s">
        <v>895</v>
      </c>
      <c r="G666" s="21">
        <v>13.000000000000002</v>
      </c>
      <c r="J666" s="48"/>
    </row>
    <row r="667" spans="1:74" ht="15" customHeight="1" x14ac:dyDescent="0.25">
      <c r="A667" s="27" t="s">
        <v>769</v>
      </c>
      <c r="B667" s="28" t="s">
        <v>439</v>
      </c>
      <c r="C667" s="28" t="s">
        <v>442</v>
      </c>
      <c r="D667" s="132" t="s">
        <v>957</v>
      </c>
      <c r="E667" s="133"/>
      <c r="F667" s="23" t="s">
        <v>1027</v>
      </c>
      <c r="G667" s="23" t="s">
        <v>1027</v>
      </c>
      <c r="H667" s="23" t="s">
        <v>1027</v>
      </c>
      <c r="I667" s="14">
        <f>SUM(I668:I672)</f>
        <v>0</v>
      </c>
      <c r="J667" s="44" t="s">
        <v>769</v>
      </c>
      <c r="AH667" s="30" t="s">
        <v>439</v>
      </c>
      <c r="AR667" s="14">
        <f>SUM(AI668:AI672)</f>
        <v>0</v>
      </c>
      <c r="AS667" s="14">
        <f>SUM(AJ668:AJ672)</f>
        <v>0</v>
      </c>
      <c r="AT667" s="14">
        <f>SUM(AK668:AK672)</f>
        <v>0</v>
      </c>
    </row>
    <row r="668" spans="1:74" ht="13.5" customHeight="1" x14ac:dyDescent="0.25">
      <c r="A668" s="10" t="s">
        <v>627</v>
      </c>
      <c r="B668" s="9" t="s">
        <v>439</v>
      </c>
      <c r="C668" s="9" t="s">
        <v>746</v>
      </c>
      <c r="D668" s="76" t="s">
        <v>658</v>
      </c>
      <c r="E668" s="77"/>
      <c r="F668" s="9" t="s">
        <v>1095</v>
      </c>
      <c r="G668" s="56">
        <v>10.45</v>
      </c>
      <c r="H668" s="56">
        <v>0</v>
      </c>
      <c r="I668" s="56">
        <f>G668*H668</f>
        <v>0</v>
      </c>
      <c r="J668" s="54" t="s">
        <v>501</v>
      </c>
      <c r="Y668" s="56">
        <f>IF(AP668="5",BI668,0)</f>
        <v>0</v>
      </c>
      <c r="AA668" s="56">
        <f>IF(AP668="1",BG668,0)</f>
        <v>0</v>
      </c>
      <c r="AB668" s="56">
        <f>IF(AP668="1",BH668,0)</f>
        <v>0</v>
      </c>
      <c r="AC668" s="56">
        <f>IF(AP668="7",BG668,0)</f>
        <v>0</v>
      </c>
      <c r="AD668" s="56">
        <f>IF(AP668="7",BH668,0)</f>
        <v>0</v>
      </c>
      <c r="AE668" s="56">
        <f>IF(AP668="2",BG668,0)</f>
        <v>0</v>
      </c>
      <c r="AF668" s="56">
        <f>IF(AP668="2",BH668,0)</f>
        <v>0</v>
      </c>
      <c r="AG668" s="56">
        <f>IF(AP668="0",BI668,0)</f>
        <v>0</v>
      </c>
      <c r="AH668" s="30" t="s">
        <v>439</v>
      </c>
      <c r="AI668" s="56">
        <f>IF(AM668=0,I668,0)</f>
        <v>0</v>
      </c>
      <c r="AJ668" s="56">
        <f>IF(AM668=15,I668,0)</f>
        <v>0</v>
      </c>
      <c r="AK668" s="56">
        <f>IF(AM668=21,I668,0)</f>
        <v>0</v>
      </c>
      <c r="AM668" s="56">
        <v>21</v>
      </c>
      <c r="AN668" s="56">
        <f>H668*0.170249447943077</f>
        <v>0</v>
      </c>
      <c r="AO668" s="56">
        <f>H668*(1-0.170249447943077)</f>
        <v>0</v>
      </c>
      <c r="AP668" s="41" t="s">
        <v>1109</v>
      </c>
      <c r="AU668" s="56">
        <f>AV668+AW668</f>
        <v>0</v>
      </c>
      <c r="AV668" s="56">
        <f>G668*AN668</f>
        <v>0</v>
      </c>
      <c r="AW668" s="56">
        <f>G668*AO668</f>
        <v>0</v>
      </c>
      <c r="AX668" s="41" t="s">
        <v>784</v>
      </c>
      <c r="AY668" s="41" t="s">
        <v>164</v>
      </c>
      <c r="AZ668" s="30" t="s">
        <v>1236</v>
      </c>
      <c r="BB668" s="56">
        <f>AV668+AW668</f>
        <v>0</v>
      </c>
      <c r="BC668" s="56">
        <f>H668/(100-BD668)*100</f>
        <v>0</v>
      </c>
      <c r="BD668" s="56">
        <v>0</v>
      </c>
      <c r="BE668" s="56" t="e">
        <f>#REF!</f>
        <v>#REF!</v>
      </c>
      <c r="BG668" s="56">
        <f>G668*AN668</f>
        <v>0</v>
      </c>
      <c r="BH668" s="56">
        <f>G668*AO668</f>
        <v>0</v>
      </c>
      <c r="BI668" s="56">
        <f>G668*H668</f>
        <v>0</v>
      </c>
      <c r="BJ668" s="56"/>
      <c r="BK668" s="56">
        <v>15</v>
      </c>
      <c r="BV668" s="56">
        <v>21</v>
      </c>
    </row>
    <row r="669" spans="1:74" ht="15" customHeight="1" x14ac:dyDescent="0.25">
      <c r="A669" s="53"/>
      <c r="D669" s="52" t="s">
        <v>929</v>
      </c>
      <c r="E669" s="37" t="s">
        <v>33</v>
      </c>
      <c r="G669" s="21">
        <v>10.450000000000001</v>
      </c>
      <c r="J669" s="48"/>
    </row>
    <row r="670" spans="1:74" ht="13.5" customHeight="1" x14ac:dyDescent="0.25">
      <c r="A670" s="10" t="s">
        <v>940</v>
      </c>
      <c r="B670" s="9" t="s">
        <v>439</v>
      </c>
      <c r="C670" s="9" t="s">
        <v>686</v>
      </c>
      <c r="D670" s="76" t="s">
        <v>432</v>
      </c>
      <c r="E670" s="77"/>
      <c r="F670" s="9" t="s">
        <v>1095</v>
      </c>
      <c r="G670" s="56">
        <v>10.45</v>
      </c>
      <c r="H670" s="56">
        <v>0</v>
      </c>
      <c r="I670" s="56">
        <f>G670*H670</f>
        <v>0</v>
      </c>
      <c r="J670" s="54" t="s">
        <v>501</v>
      </c>
      <c r="Y670" s="56">
        <f>IF(AP670="5",BI670,0)</f>
        <v>0</v>
      </c>
      <c r="AA670" s="56">
        <f>IF(AP670="1",BG670,0)</f>
        <v>0</v>
      </c>
      <c r="AB670" s="56">
        <f>IF(AP670="1",BH670,0)</f>
        <v>0</v>
      </c>
      <c r="AC670" s="56">
        <f>IF(AP670="7",BG670,0)</f>
        <v>0</v>
      </c>
      <c r="AD670" s="56">
        <f>IF(AP670="7",BH670,0)</f>
        <v>0</v>
      </c>
      <c r="AE670" s="56">
        <f>IF(AP670="2",BG670,0)</f>
        <v>0</v>
      </c>
      <c r="AF670" s="56">
        <f>IF(AP670="2",BH670,0)</f>
        <v>0</v>
      </c>
      <c r="AG670" s="56">
        <f>IF(AP670="0",BI670,0)</f>
        <v>0</v>
      </c>
      <c r="AH670" s="30" t="s">
        <v>439</v>
      </c>
      <c r="AI670" s="56">
        <f>IF(AM670=0,I670,0)</f>
        <v>0</v>
      </c>
      <c r="AJ670" s="56">
        <f>IF(AM670=15,I670,0)</f>
        <v>0</v>
      </c>
      <c r="AK670" s="56">
        <f>IF(AM670=21,I670,0)</f>
        <v>0</v>
      </c>
      <c r="AM670" s="56">
        <v>21</v>
      </c>
      <c r="AN670" s="56">
        <f>H670*0</f>
        <v>0</v>
      </c>
      <c r="AO670" s="56">
        <f>H670*(1-0)</f>
        <v>0</v>
      </c>
      <c r="AP670" s="41" t="s">
        <v>1109</v>
      </c>
      <c r="AU670" s="56">
        <f>AV670+AW670</f>
        <v>0</v>
      </c>
      <c r="AV670" s="56">
        <f>G670*AN670</f>
        <v>0</v>
      </c>
      <c r="AW670" s="56">
        <f>G670*AO670</f>
        <v>0</v>
      </c>
      <c r="AX670" s="41" t="s">
        <v>784</v>
      </c>
      <c r="AY670" s="41" t="s">
        <v>164</v>
      </c>
      <c r="AZ670" s="30" t="s">
        <v>1236</v>
      </c>
      <c r="BB670" s="56">
        <f>AV670+AW670</f>
        <v>0</v>
      </c>
      <c r="BC670" s="56">
        <f>H670/(100-BD670)*100</f>
        <v>0</v>
      </c>
      <c r="BD670" s="56">
        <v>0</v>
      </c>
      <c r="BE670" s="56" t="e">
        <f>#REF!</f>
        <v>#REF!</v>
      </c>
      <c r="BG670" s="56">
        <f>G670*AN670</f>
        <v>0</v>
      </c>
      <c r="BH670" s="56">
        <f>G670*AO670</f>
        <v>0</v>
      </c>
      <c r="BI670" s="56">
        <f>G670*H670</f>
        <v>0</v>
      </c>
      <c r="BJ670" s="56"/>
      <c r="BK670" s="56">
        <v>15</v>
      </c>
      <c r="BV670" s="56">
        <v>21</v>
      </c>
    </row>
    <row r="671" spans="1:74" ht="13.5" customHeight="1" x14ac:dyDescent="0.25">
      <c r="A671" s="10" t="s">
        <v>1227</v>
      </c>
      <c r="B671" s="9" t="s">
        <v>439</v>
      </c>
      <c r="C671" s="9" t="s">
        <v>352</v>
      </c>
      <c r="D671" s="76" t="s">
        <v>48</v>
      </c>
      <c r="E671" s="77"/>
      <c r="F671" s="9" t="s">
        <v>1079</v>
      </c>
      <c r="G671" s="56">
        <v>5.7</v>
      </c>
      <c r="H671" s="56">
        <v>0</v>
      </c>
      <c r="I671" s="56">
        <f>G671*H671</f>
        <v>0</v>
      </c>
      <c r="J671" s="54" t="s">
        <v>501</v>
      </c>
      <c r="Y671" s="56">
        <f>IF(AP671="5",BI671,0)</f>
        <v>0</v>
      </c>
      <c r="AA671" s="56">
        <f>IF(AP671="1",BG671,0)</f>
        <v>0</v>
      </c>
      <c r="AB671" s="56">
        <f>IF(AP671="1",BH671,0)</f>
        <v>0</v>
      </c>
      <c r="AC671" s="56">
        <f>IF(AP671="7",BG671,0)</f>
        <v>0</v>
      </c>
      <c r="AD671" s="56">
        <f>IF(AP671="7",BH671,0)</f>
        <v>0</v>
      </c>
      <c r="AE671" s="56">
        <f>IF(AP671="2",BG671,0)</f>
        <v>0</v>
      </c>
      <c r="AF671" s="56">
        <f>IF(AP671="2",BH671,0)</f>
        <v>0</v>
      </c>
      <c r="AG671" s="56">
        <f>IF(AP671="0",BI671,0)</f>
        <v>0</v>
      </c>
      <c r="AH671" s="30" t="s">
        <v>439</v>
      </c>
      <c r="AI671" s="56">
        <f>IF(AM671=0,I671,0)</f>
        <v>0</v>
      </c>
      <c r="AJ671" s="56">
        <f>IF(AM671=15,I671,0)</f>
        <v>0</v>
      </c>
      <c r="AK671" s="56">
        <f>IF(AM671=21,I671,0)</f>
        <v>0</v>
      </c>
      <c r="AM671" s="56">
        <v>21</v>
      </c>
      <c r="AN671" s="56">
        <f>H671*0.0389215917117966</f>
        <v>0</v>
      </c>
      <c r="AO671" s="56">
        <f>H671*(1-0.0389215917117966)</f>
        <v>0</v>
      </c>
      <c r="AP671" s="41" t="s">
        <v>1109</v>
      </c>
      <c r="AU671" s="56">
        <f>AV671+AW671</f>
        <v>0</v>
      </c>
      <c r="AV671" s="56">
        <f>G671*AN671</f>
        <v>0</v>
      </c>
      <c r="AW671" s="56">
        <f>G671*AO671</f>
        <v>0</v>
      </c>
      <c r="AX671" s="41" t="s">
        <v>784</v>
      </c>
      <c r="AY671" s="41" t="s">
        <v>164</v>
      </c>
      <c r="AZ671" s="30" t="s">
        <v>1236</v>
      </c>
      <c r="BB671" s="56">
        <f>AV671+AW671</f>
        <v>0</v>
      </c>
      <c r="BC671" s="56">
        <f>H671/(100-BD671)*100</f>
        <v>0</v>
      </c>
      <c r="BD671" s="56">
        <v>0</v>
      </c>
      <c r="BE671" s="56" t="e">
        <f>#REF!</f>
        <v>#REF!</v>
      </c>
      <c r="BG671" s="56">
        <f>G671*AN671</f>
        <v>0</v>
      </c>
      <c r="BH671" s="56">
        <f>G671*AO671</f>
        <v>0</v>
      </c>
      <c r="BI671" s="56">
        <f>G671*H671</f>
        <v>0</v>
      </c>
      <c r="BJ671" s="56"/>
      <c r="BK671" s="56">
        <v>15</v>
      </c>
      <c r="BV671" s="56">
        <v>21</v>
      </c>
    </row>
    <row r="672" spans="1:74" ht="13.5" customHeight="1" x14ac:dyDescent="0.25">
      <c r="A672" s="10" t="s">
        <v>625</v>
      </c>
      <c r="B672" s="9" t="s">
        <v>439</v>
      </c>
      <c r="C672" s="9" t="s">
        <v>720</v>
      </c>
      <c r="D672" s="76" t="s">
        <v>171</v>
      </c>
      <c r="E672" s="77"/>
      <c r="F672" s="9" t="s">
        <v>1079</v>
      </c>
      <c r="G672" s="56">
        <v>5.7</v>
      </c>
      <c r="H672" s="56">
        <v>0</v>
      </c>
      <c r="I672" s="56">
        <f>G672*H672</f>
        <v>0</v>
      </c>
      <c r="J672" s="54" t="s">
        <v>501</v>
      </c>
      <c r="Y672" s="56">
        <f>IF(AP672="5",BI672,0)</f>
        <v>0</v>
      </c>
      <c r="AA672" s="56">
        <f>IF(AP672="1",BG672,0)</f>
        <v>0</v>
      </c>
      <c r="AB672" s="56">
        <f>IF(AP672="1",BH672,0)</f>
        <v>0</v>
      </c>
      <c r="AC672" s="56">
        <f>IF(AP672="7",BG672,0)</f>
        <v>0</v>
      </c>
      <c r="AD672" s="56">
        <f>IF(AP672="7",BH672,0)</f>
        <v>0</v>
      </c>
      <c r="AE672" s="56">
        <f>IF(AP672="2",BG672,0)</f>
        <v>0</v>
      </c>
      <c r="AF672" s="56">
        <f>IF(AP672="2",BH672,0)</f>
        <v>0</v>
      </c>
      <c r="AG672" s="56">
        <f>IF(AP672="0",BI672,0)</f>
        <v>0</v>
      </c>
      <c r="AH672" s="30" t="s">
        <v>439</v>
      </c>
      <c r="AI672" s="56">
        <f>IF(AM672=0,I672,0)</f>
        <v>0</v>
      </c>
      <c r="AJ672" s="56">
        <f>IF(AM672=15,I672,0)</f>
        <v>0</v>
      </c>
      <c r="AK672" s="56">
        <f>IF(AM672=21,I672,0)</f>
        <v>0</v>
      </c>
      <c r="AM672" s="56">
        <v>21</v>
      </c>
      <c r="AN672" s="56">
        <f>H672*0</f>
        <v>0</v>
      </c>
      <c r="AO672" s="56">
        <f>H672*(1-0)</f>
        <v>0</v>
      </c>
      <c r="AP672" s="41" t="s">
        <v>1109</v>
      </c>
      <c r="AU672" s="56">
        <f>AV672+AW672</f>
        <v>0</v>
      </c>
      <c r="AV672" s="56">
        <f>G672*AN672</f>
        <v>0</v>
      </c>
      <c r="AW672" s="56">
        <f>G672*AO672</f>
        <v>0</v>
      </c>
      <c r="AX672" s="41" t="s">
        <v>784</v>
      </c>
      <c r="AY672" s="41" t="s">
        <v>164</v>
      </c>
      <c r="AZ672" s="30" t="s">
        <v>1236</v>
      </c>
      <c r="BB672" s="56">
        <f>AV672+AW672</f>
        <v>0</v>
      </c>
      <c r="BC672" s="56">
        <f>H672/(100-BD672)*100</f>
        <v>0</v>
      </c>
      <c r="BD672" s="56">
        <v>0</v>
      </c>
      <c r="BE672" s="56" t="e">
        <f>#REF!</f>
        <v>#REF!</v>
      </c>
      <c r="BG672" s="56">
        <f>G672*AN672</f>
        <v>0</v>
      </c>
      <c r="BH672" s="56">
        <f>G672*AO672</f>
        <v>0</v>
      </c>
      <c r="BI672" s="56">
        <f>G672*H672</f>
        <v>0</v>
      </c>
      <c r="BJ672" s="56"/>
      <c r="BK672" s="56">
        <v>15</v>
      </c>
      <c r="BV672" s="56">
        <v>21</v>
      </c>
    </row>
    <row r="673" spans="1:74" ht="15" customHeight="1" x14ac:dyDescent="0.25">
      <c r="A673" s="27" t="s">
        <v>769</v>
      </c>
      <c r="B673" s="28" t="s">
        <v>439</v>
      </c>
      <c r="C673" s="28" t="s">
        <v>107</v>
      </c>
      <c r="D673" s="132" t="s">
        <v>916</v>
      </c>
      <c r="E673" s="133"/>
      <c r="F673" s="23" t="s">
        <v>1027</v>
      </c>
      <c r="G673" s="23" t="s">
        <v>1027</v>
      </c>
      <c r="H673" s="23" t="s">
        <v>1027</v>
      </c>
      <c r="I673" s="14">
        <f>SUM(I674:I676)</f>
        <v>0</v>
      </c>
      <c r="J673" s="44" t="s">
        <v>769</v>
      </c>
      <c r="AH673" s="30" t="s">
        <v>439</v>
      </c>
      <c r="AR673" s="14">
        <f>SUM(AI674:AI676)</f>
        <v>0</v>
      </c>
      <c r="AS673" s="14">
        <f>SUM(AJ674:AJ676)</f>
        <v>0</v>
      </c>
      <c r="AT673" s="14">
        <f>SUM(AK674:AK676)</f>
        <v>0</v>
      </c>
    </row>
    <row r="674" spans="1:74" ht="13.5" customHeight="1" x14ac:dyDescent="0.25">
      <c r="A674" s="10" t="s">
        <v>1198</v>
      </c>
      <c r="B674" s="9" t="s">
        <v>439</v>
      </c>
      <c r="C674" s="9" t="s">
        <v>12</v>
      </c>
      <c r="D674" s="76" t="s">
        <v>919</v>
      </c>
      <c r="E674" s="77"/>
      <c r="F674" s="9" t="s">
        <v>1079</v>
      </c>
      <c r="G674" s="56">
        <v>2.052</v>
      </c>
      <c r="H674" s="56">
        <v>0</v>
      </c>
      <c r="I674" s="56">
        <f>G674*H674</f>
        <v>0</v>
      </c>
      <c r="J674" s="54" t="s">
        <v>501</v>
      </c>
      <c r="Y674" s="56">
        <f>IF(AP674="5",BI674,0)</f>
        <v>0</v>
      </c>
      <c r="AA674" s="56">
        <f>IF(AP674="1",BG674,0)</f>
        <v>0</v>
      </c>
      <c r="AB674" s="56">
        <f>IF(AP674="1",BH674,0)</f>
        <v>0</v>
      </c>
      <c r="AC674" s="56">
        <f>IF(AP674="7",BG674,0)</f>
        <v>0</v>
      </c>
      <c r="AD674" s="56">
        <f>IF(AP674="7",BH674,0)</f>
        <v>0</v>
      </c>
      <c r="AE674" s="56">
        <f>IF(AP674="2",BG674,0)</f>
        <v>0</v>
      </c>
      <c r="AF674" s="56">
        <f>IF(AP674="2",BH674,0)</f>
        <v>0</v>
      </c>
      <c r="AG674" s="56">
        <f>IF(AP674="0",BI674,0)</f>
        <v>0</v>
      </c>
      <c r="AH674" s="30" t="s">
        <v>439</v>
      </c>
      <c r="AI674" s="56">
        <f>IF(AM674=0,I674,0)</f>
        <v>0</v>
      </c>
      <c r="AJ674" s="56">
        <f>IF(AM674=15,I674,0)</f>
        <v>0</v>
      </c>
      <c r="AK674" s="56">
        <f>IF(AM674=21,I674,0)</f>
        <v>0</v>
      </c>
      <c r="AM674" s="56">
        <v>21</v>
      </c>
      <c r="AN674" s="56">
        <f>H674*0</f>
        <v>0</v>
      </c>
      <c r="AO674" s="56">
        <f>H674*(1-0)</f>
        <v>0</v>
      </c>
      <c r="AP674" s="41" t="s">
        <v>1109</v>
      </c>
      <c r="AU674" s="56">
        <f>AV674+AW674</f>
        <v>0</v>
      </c>
      <c r="AV674" s="56">
        <f>G674*AN674</f>
        <v>0</v>
      </c>
      <c r="AW674" s="56">
        <f>G674*AO674</f>
        <v>0</v>
      </c>
      <c r="AX674" s="41" t="s">
        <v>1028</v>
      </c>
      <c r="AY674" s="41" t="s">
        <v>164</v>
      </c>
      <c r="AZ674" s="30" t="s">
        <v>1236</v>
      </c>
      <c r="BB674" s="56">
        <f>AV674+AW674</f>
        <v>0</v>
      </c>
      <c r="BC674" s="56">
        <f>H674/(100-BD674)*100</f>
        <v>0</v>
      </c>
      <c r="BD674" s="56">
        <v>0</v>
      </c>
      <c r="BE674" s="56" t="e">
        <f>#REF!</f>
        <v>#REF!</v>
      </c>
      <c r="BG674" s="56">
        <f>G674*AN674</f>
        <v>0</v>
      </c>
      <c r="BH674" s="56">
        <f>G674*AO674</f>
        <v>0</v>
      </c>
      <c r="BI674" s="56">
        <f>G674*H674</f>
        <v>0</v>
      </c>
      <c r="BJ674" s="56"/>
      <c r="BK674" s="56">
        <v>16</v>
      </c>
      <c r="BV674" s="56">
        <v>21</v>
      </c>
    </row>
    <row r="675" spans="1:74" ht="15" customHeight="1" x14ac:dyDescent="0.25">
      <c r="A675" s="53"/>
      <c r="D675" s="52" t="s">
        <v>923</v>
      </c>
      <c r="E675" s="37" t="s">
        <v>711</v>
      </c>
      <c r="G675" s="21">
        <v>2.052</v>
      </c>
      <c r="J675" s="48"/>
    </row>
    <row r="676" spans="1:74" ht="13.5" customHeight="1" x14ac:dyDescent="0.25">
      <c r="A676" s="10" t="s">
        <v>228</v>
      </c>
      <c r="B676" s="9" t="s">
        <v>439</v>
      </c>
      <c r="C676" s="9" t="s">
        <v>521</v>
      </c>
      <c r="D676" s="76" t="s">
        <v>602</v>
      </c>
      <c r="E676" s="77"/>
      <c r="F676" s="9" t="s">
        <v>1079</v>
      </c>
      <c r="G676" s="56">
        <v>20.52</v>
      </c>
      <c r="H676" s="56">
        <v>0</v>
      </c>
      <c r="I676" s="56">
        <f>G676*H676</f>
        <v>0</v>
      </c>
      <c r="J676" s="54" t="s">
        <v>501</v>
      </c>
      <c r="Y676" s="56">
        <f>IF(AP676="5",BI676,0)</f>
        <v>0</v>
      </c>
      <c r="AA676" s="56">
        <f>IF(AP676="1",BG676,0)</f>
        <v>0</v>
      </c>
      <c r="AB676" s="56">
        <f>IF(AP676="1",BH676,0)</f>
        <v>0</v>
      </c>
      <c r="AC676" s="56">
        <f>IF(AP676="7",BG676,0)</f>
        <v>0</v>
      </c>
      <c r="AD676" s="56">
        <f>IF(AP676="7",BH676,0)</f>
        <v>0</v>
      </c>
      <c r="AE676" s="56">
        <f>IF(AP676="2",BG676,0)</f>
        <v>0</v>
      </c>
      <c r="AF676" s="56">
        <f>IF(AP676="2",BH676,0)</f>
        <v>0</v>
      </c>
      <c r="AG676" s="56">
        <f>IF(AP676="0",BI676,0)</f>
        <v>0</v>
      </c>
      <c r="AH676" s="30" t="s">
        <v>439</v>
      </c>
      <c r="AI676" s="56">
        <f>IF(AM676=0,I676,0)</f>
        <v>0</v>
      </c>
      <c r="AJ676" s="56">
        <f>IF(AM676=15,I676,0)</f>
        <v>0</v>
      </c>
      <c r="AK676" s="56">
        <f>IF(AM676=21,I676,0)</f>
        <v>0</v>
      </c>
      <c r="AM676" s="56">
        <v>21</v>
      </c>
      <c r="AN676" s="56">
        <f>H676*0</f>
        <v>0</v>
      </c>
      <c r="AO676" s="56">
        <f>H676*(1-0)</f>
        <v>0</v>
      </c>
      <c r="AP676" s="41" t="s">
        <v>1109</v>
      </c>
      <c r="AU676" s="56">
        <f>AV676+AW676</f>
        <v>0</v>
      </c>
      <c r="AV676" s="56">
        <f>G676*AN676</f>
        <v>0</v>
      </c>
      <c r="AW676" s="56">
        <f>G676*AO676</f>
        <v>0</v>
      </c>
      <c r="AX676" s="41" t="s">
        <v>1028</v>
      </c>
      <c r="AY676" s="41" t="s">
        <v>164</v>
      </c>
      <c r="AZ676" s="30" t="s">
        <v>1236</v>
      </c>
      <c r="BB676" s="56">
        <f>AV676+AW676</f>
        <v>0</v>
      </c>
      <c r="BC676" s="56">
        <f>H676/(100-BD676)*100</f>
        <v>0</v>
      </c>
      <c r="BD676" s="56">
        <v>0</v>
      </c>
      <c r="BE676" s="56" t="e">
        <f>#REF!</f>
        <v>#REF!</v>
      </c>
      <c r="BG676" s="56">
        <f>G676*AN676</f>
        <v>0</v>
      </c>
      <c r="BH676" s="56">
        <f>G676*AO676</f>
        <v>0</v>
      </c>
      <c r="BI676" s="56">
        <f>G676*H676</f>
        <v>0</v>
      </c>
      <c r="BJ676" s="56"/>
      <c r="BK676" s="56">
        <v>16</v>
      </c>
      <c r="BV676" s="56">
        <v>21</v>
      </c>
    </row>
    <row r="677" spans="1:74" ht="15" customHeight="1" x14ac:dyDescent="0.25">
      <c r="A677" s="53"/>
      <c r="D677" s="52" t="s">
        <v>907</v>
      </c>
      <c r="E677" s="37" t="s">
        <v>446</v>
      </c>
      <c r="G677" s="21">
        <v>20.520000000000003</v>
      </c>
      <c r="J677" s="48"/>
    </row>
    <row r="678" spans="1:74" ht="15" customHeight="1" x14ac:dyDescent="0.25">
      <c r="A678" s="27" t="s">
        <v>769</v>
      </c>
      <c r="B678" s="28" t="s">
        <v>439</v>
      </c>
      <c r="C678" s="28" t="s">
        <v>774</v>
      </c>
      <c r="D678" s="132" t="s">
        <v>150</v>
      </c>
      <c r="E678" s="133"/>
      <c r="F678" s="23" t="s">
        <v>1027</v>
      </c>
      <c r="G678" s="23" t="s">
        <v>1027</v>
      </c>
      <c r="H678" s="23" t="s">
        <v>1027</v>
      </c>
      <c r="I678" s="14">
        <f>SUM(I679:I681)</f>
        <v>0</v>
      </c>
      <c r="J678" s="44" t="s">
        <v>769</v>
      </c>
      <c r="AH678" s="30" t="s">
        <v>439</v>
      </c>
      <c r="AR678" s="14">
        <f>SUM(AI679:AI681)</f>
        <v>0</v>
      </c>
      <c r="AS678" s="14">
        <f>SUM(AJ679:AJ681)</f>
        <v>0</v>
      </c>
      <c r="AT678" s="14">
        <f>SUM(AK679:AK681)</f>
        <v>0</v>
      </c>
    </row>
    <row r="679" spans="1:74" ht="13.5" customHeight="1" x14ac:dyDescent="0.25">
      <c r="A679" s="10" t="s">
        <v>661</v>
      </c>
      <c r="B679" s="9" t="s">
        <v>439</v>
      </c>
      <c r="C679" s="9" t="s">
        <v>356</v>
      </c>
      <c r="D679" s="76" t="s">
        <v>1089</v>
      </c>
      <c r="E679" s="77"/>
      <c r="F679" s="9" t="s">
        <v>1079</v>
      </c>
      <c r="G679" s="56">
        <v>2.052</v>
      </c>
      <c r="H679" s="56">
        <v>0</v>
      </c>
      <c r="I679" s="56">
        <f>G679*H679</f>
        <v>0</v>
      </c>
      <c r="J679" s="54" t="s">
        <v>501</v>
      </c>
      <c r="Y679" s="56">
        <f>IF(AP679="5",BI679,0)</f>
        <v>0</v>
      </c>
      <c r="AA679" s="56">
        <f>IF(AP679="1",BG679,0)</f>
        <v>0</v>
      </c>
      <c r="AB679" s="56">
        <f>IF(AP679="1",BH679,0)</f>
        <v>0</v>
      </c>
      <c r="AC679" s="56">
        <f>IF(AP679="7",BG679,0)</f>
        <v>0</v>
      </c>
      <c r="AD679" s="56">
        <f>IF(AP679="7",BH679,0)</f>
        <v>0</v>
      </c>
      <c r="AE679" s="56">
        <f>IF(AP679="2",BG679,0)</f>
        <v>0</v>
      </c>
      <c r="AF679" s="56">
        <f>IF(AP679="2",BH679,0)</f>
        <v>0</v>
      </c>
      <c r="AG679" s="56">
        <f>IF(AP679="0",BI679,0)</f>
        <v>0</v>
      </c>
      <c r="AH679" s="30" t="s">
        <v>439</v>
      </c>
      <c r="AI679" s="56">
        <f>IF(AM679=0,I679,0)</f>
        <v>0</v>
      </c>
      <c r="AJ679" s="56">
        <f>IF(AM679=15,I679,0)</f>
        <v>0</v>
      </c>
      <c r="AK679" s="56">
        <f>IF(AM679=21,I679,0)</f>
        <v>0</v>
      </c>
      <c r="AM679" s="56">
        <v>21</v>
      </c>
      <c r="AN679" s="56">
        <f>H679*0</f>
        <v>0</v>
      </c>
      <c r="AO679" s="56">
        <f>H679*(1-0)</f>
        <v>0</v>
      </c>
      <c r="AP679" s="41" t="s">
        <v>1109</v>
      </c>
      <c r="AU679" s="56">
        <f>AV679+AW679</f>
        <v>0</v>
      </c>
      <c r="AV679" s="56">
        <f>G679*AN679</f>
        <v>0</v>
      </c>
      <c r="AW679" s="56">
        <f>G679*AO679</f>
        <v>0</v>
      </c>
      <c r="AX679" s="41" t="s">
        <v>223</v>
      </c>
      <c r="AY679" s="41" t="s">
        <v>164</v>
      </c>
      <c r="AZ679" s="30" t="s">
        <v>1236</v>
      </c>
      <c r="BB679" s="56">
        <f>AV679+AW679</f>
        <v>0</v>
      </c>
      <c r="BC679" s="56">
        <f>H679/(100-BD679)*100</f>
        <v>0</v>
      </c>
      <c r="BD679" s="56">
        <v>0</v>
      </c>
      <c r="BE679" s="56" t="e">
        <f>#REF!</f>
        <v>#REF!</v>
      </c>
      <c r="BG679" s="56">
        <f>G679*AN679</f>
        <v>0</v>
      </c>
      <c r="BH679" s="56">
        <f>G679*AO679</f>
        <v>0</v>
      </c>
      <c r="BI679" s="56">
        <f>G679*H679</f>
        <v>0</v>
      </c>
      <c r="BJ679" s="56"/>
      <c r="BK679" s="56">
        <v>17</v>
      </c>
      <c r="BV679" s="56">
        <v>21</v>
      </c>
    </row>
    <row r="680" spans="1:74" ht="13.5" customHeight="1" x14ac:dyDescent="0.25">
      <c r="A680" s="10" t="s">
        <v>824</v>
      </c>
      <c r="B680" s="9" t="s">
        <v>439</v>
      </c>
      <c r="C680" s="9" t="s">
        <v>756</v>
      </c>
      <c r="D680" s="76" t="s">
        <v>1192</v>
      </c>
      <c r="E680" s="77"/>
      <c r="F680" s="9" t="s">
        <v>1079</v>
      </c>
      <c r="G680" s="56">
        <v>2.052</v>
      </c>
      <c r="H680" s="56">
        <v>0</v>
      </c>
      <c r="I680" s="56">
        <f>G680*H680</f>
        <v>0</v>
      </c>
      <c r="J680" s="54" t="s">
        <v>501</v>
      </c>
      <c r="Y680" s="56">
        <f>IF(AP680="5",BI680,0)</f>
        <v>0</v>
      </c>
      <c r="AA680" s="56">
        <f>IF(AP680="1",BG680,0)</f>
        <v>0</v>
      </c>
      <c r="AB680" s="56">
        <f>IF(AP680="1",BH680,0)</f>
        <v>0</v>
      </c>
      <c r="AC680" s="56">
        <f>IF(AP680="7",BG680,0)</f>
        <v>0</v>
      </c>
      <c r="AD680" s="56">
        <f>IF(AP680="7",BH680,0)</f>
        <v>0</v>
      </c>
      <c r="AE680" s="56">
        <f>IF(AP680="2",BG680,0)</f>
        <v>0</v>
      </c>
      <c r="AF680" s="56">
        <f>IF(AP680="2",BH680,0)</f>
        <v>0</v>
      </c>
      <c r="AG680" s="56">
        <f>IF(AP680="0",BI680,0)</f>
        <v>0</v>
      </c>
      <c r="AH680" s="30" t="s">
        <v>439</v>
      </c>
      <c r="AI680" s="56">
        <f>IF(AM680=0,I680,0)</f>
        <v>0</v>
      </c>
      <c r="AJ680" s="56">
        <f>IF(AM680=15,I680,0)</f>
        <v>0</v>
      </c>
      <c r="AK680" s="56">
        <f>IF(AM680=21,I680,0)</f>
        <v>0</v>
      </c>
      <c r="AM680" s="56">
        <v>21</v>
      </c>
      <c r="AN680" s="56">
        <f>H680*0</f>
        <v>0</v>
      </c>
      <c r="AO680" s="56">
        <f>H680*(1-0)</f>
        <v>0</v>
      </c>
      <c r="AP680" s="41" t="s">
        <v>1109</v>
      </c>
      <c r="AU680" s="56">
        <f>AV680+AW680</f>
        <v>0</v>
      </c>
      <c r="AV680" s="56">
        <f>G680*AN680</f>
        <v>0</v>
      </c>
      <c r="AW680" s="56">
        <f>G680*AO680</f>
        <v>0</v>
      </c>
      <c r="AX680" s="41" t="s">
        <v>223</v>
      </c>
      <c r="AY680" s="41" t="s">
        <v>164</v>
      </c>
      <c r="AZ680" s="30" t="s">
        <v>1236</v>
      </c>
      <c r="BB680" s="56">
        <f>AV680+AW680</f>
        <v>0</v>
      </c>
      <c r="BC680" s="56">
        <f>H680/(100-BD680)*100</f>
        <v>0</v>
      </c>
      <c r="BD680" s="56">
        <v>0</v>
      </c>
      <c r="BE680" s="56" t="e">
        <f>#REF!</f>
        <v>#REF!</v>
      </c>
      <c r="BG680" s="56">
        <f>G680*AN680</f>
        <v>0</v>
      </c>
      <c r="BH680" s="56">
        <f>G680*AO680</f>
        <v>0</v>
      </c>
      <c r="BI680" s="56">
        <f>G680*H680</f>
        <v>0</v>
      </c>
      <c r="BJ680" s="56"/>
      <c r="BK680" s="56">
        <v>17</v>
      </c>
      <c r="BV680" s="56">
        <v>21</v>
      </c>
    </row>
    <row r="681" spans="1:74" ht="13.5" customHeight="1" x14ac:dyDescent="0.25">
      <c r="A681" s="10" t="s">
        <v>182</v>
      </c>
      <c r="B681" s="9" t="s">
        <v>439</v>
      </c>
      <c r="C681" s="9" t="s">
        <v>969</v>
      </c>
      <c r="D681" s="76" t="s">
        <v>39</v>
      </c>
      <c r="E681" s="77"/>
      <c r="F681" s="9" t="s">
        <v>1079</v>
      </c>
      <c r="G681" s="56">
        <v>3.6480000000000001</v>
      </c>
      <c r="H681" s="56">
        <v>0</v>
      </c>
      <c r="I681" s="56">
        <f>G681*H681</f>
        <v>0</v>
      </c>
      <c r="J681" s="54" t="s">
        <v>501</v>
      </c>
      <c r="Y681" s="56">
        <f>IF(AP681="5",BI681,0)</f>
        <v>0</v>
      </c>
      <c r="AA681" s="56">
        <f>IF(AP681="1",BG681,0)</f>
        <v>0</v>
      </c>
      <c r="AB681" s="56">
        <f>IF(AP681="1",BH681,0)</f>
        <v>0</v>
      </c>
      <c r="AC681" s="56">
        <f>IF(AP681="7",BG681,0)</f>
        <v>0</v>
      </c>
      <c r="AD681" s="56">
        <f>IF(AP681="7",BH681,0)</f>
        <v>0</v>
      </c>
      <c r="AE681" s="56">
        <f>IF(AP681="2",BG681,0)</f>
        <v>0</v>
      </c>
      <c r="AF681" s="56">
        <f>IF(AP681="2",BH681,0)</f>
        <v>0</v>
      </c>
      <c r="AG681" s="56">
        <f>IF(AP681="0",BI681,0)</f>
        <v>0</v>
      </c>
      <c r="AH681" s="30" t="s">
        <v>439</v>
      </c>
      <c r="AI681" s="56">
        <f>IF(AM681=0,I681,0)</f>
        <v>0</v>
      </c>
      <c r="AJ681" s="56">
        <f>IF(AM681=15,I681,0)</f>
        <v>0</v>
      </c>
      <c r="AK681" s="56">
        <f>IF(AM681=21,I681,0)</f>
        <v>0</v>
      </c>
      <c r="AM681" s="56">
        <v>21</v>
      </c>
      <c r="AN681" s="56">
        <f>H681*0.517507453625632</f>
        <v>0</v>
      </c>
      <c r="AO681" s="56">
        <f>H681*(1-0.517507453625632)</f>
        <v>0</v>
      </c>
      <c r="AP681" s="41" t="s">
        <v>1109</v>
      </c>
      <c r="AU681" s="56">
        <f>AV681+AW681</f>
        <v>0</v>
      </c>
      <c r="AV681" s="56">
        <f>G681*AN681</f>
        <v>0</v>
      </c>
      <c r="AW681" s="56">
        <f>G681*AO681</f>
        <v>0</v>
      </c>
      <c r="AX681" s="41" t="s">
        <v>223</v>
      </c>
      <c r="AY681" s="41" t="s">
        <v>164</v>
      </c>
      <c r="AZ681" s="30" t="s">
        <v>1236</v>
      </c>
      <c r="BB681" s="56">
        <f>AV681+AW681</f>
        <v>0</v>
      </c>
      <c r="BC681" s="56">
        <f>H681/(100-BD681)*100</f>
        <v>0</v>
      </c>
      <c r="BD681" s="56">
        <v>0</v>
      </c>
      <c r="BE681" s="56" t="e">
        <f>#REF!</f>
        <v>#REF!</v>
      </c>
      <c r="BG681" s="56">
        <f>G681*AN681</f>
        <v>0</v>
      </c>
      <c r="BH681" s="56">
        <f>G681*AO681</f>
        <v>0</v>
      </c>
      <c r="BI681" s="56">
        <f>G681*H681</f>
        <v>0</v>
      </c>
      <c r="BJ681" s="56"/>
      <c r="BK681" s="56">
        <v>17</v>
      </c>
      <c r="BV681" s="56">
        <v>21</v>
      </c>
    </row>
    <row r="682" spans="1:74" ht="13.5" customHeight="1" x14ac:dyDescent="0.25">
      <c r="A682" s="53"/>
      <c r="C682" s="66" t="s">
        <v>578</v>
      </c>
      <c r="D682" s="137" t="s">
        <v>0</v>
      </c>
      <c r="E682" s="138"/>
      <c r="F682" s="138"/>
      <c r="G682" s="138"/>
      <c r="H682" s="138"/>
      <c r="I682" s="138"/>
      <c r="J682" s="139"/>
    </row>
    <row r="683" spans="1:74" ht="15" customHeight="1" x14ac:dyDescent="0.25">
      <c r="A683" s="27" t="s">
        <v>769</v>
      </c>
      <c r="B683" s="28" t="s">
        <v>439</v>
      </c>
      <c r="C683" s="28" t="s">
        <v>882</v>
      </c>
      <c r="D683" s="132" t="s">
        <v>1127</v>
      </c>
      <c r="E683" s="133"/>
      <c r="F683" s="23" t="s">
        <v>1027</v>
      </c>
      <c r="G683" s="23" t="s">
        <v>1027</v>
      </c>
      <c r="H683" s="23" t="s">
        <v>1027</v>
      </c>
      <c r="I683" s="14">
        <f>SUM(I684:I685)</f>
        <v>0</v>
      </c>
      <c r="J683" s="44" t="s">
        <v>769</v>
      </c>
      <c r="AH683" s="30" t="s">
        <v>439</v>
      </c>
      <c r="AR683" s="14">
        <f>SUM(AI684:AI685)</f>
        <v>0</v>
      </c>
      <c r="AS683" s="14">
        <f>SUM(AJ684:AJ685)</f>
        <v>0</v>
      </c>
      <c r="AT683" s="14">
        <f>SUM(AK684:AK685)</f>
        <v>0</v>
      </c>
    </row>
    <row r="684" spans="1:74" ht="13.5" customHeight="1" x14ac:dyDescent="0.25">
      <c r="A684" s="10" t="s">
        <v>961</v>
      </c>
      <c r="B684" s="9" t="s">
        <v>439</v>
      </c>
      <c r="C684" s="9" t="s">
        <v>803</v>
      </c>
      <c r="D684" s="76" t="s">
        <v>134</v>
      </c>
      <c r="E684" s="77"/>
      <c r="F684" s="9" t="s">
        <v>1095</v>
      </c>
      <c r="G684" s="56">
        <v>20</v>
      </c>
      <c r="H684" s="56">
        <v>0</v>
      </c>
      <c r="I684" s="56">
        <f>G684*H684</f>
        <v>0</v>
      </c>
      <c r="J684" s="54" t="s">
        <v>501</v>
      </c>
      <c r="Y684" s="56">
        <f>IF(AP684="5",BI684,0)</f>
        <v>0</v>
      </c>
      <c r="AA684" s="56">
        <f>IF(AP684="1",BG684,0)</f>
        <v>0</v>
      </c>
      <c r="AB684" s="56">
        <f>IF(AP684="1",BH684,0)</f>
        <v>0</v>
      </c>
      <c r="AC684" s="56">
        <f>IF(AP684="7",BG684,0)</f>
        <v>0</v>
      </c>
      <c r="AD684" s="56">
        <f>IF(AP684="7",BH684,0)</f>
        <v>0</v>
      </c>
      <c r="AE684" s="56">
        <f>IF(AP684="2",BG684,0)</f>
        <v>0</v>
      </c>
      <c r="AF684" s="56">
        <f>IF(AP684="2",BH684,0)</f>
        <v>0</v>
      </c>
      <c r="AG684" s="56">
        <f>IF(AP684="0",BI684,0)</f>
        <v>0</v>
      </c>
      <c r="AH684" s="30" t="s">
        <v>439</v>
      </c>
      <c r="AI684" s="56">
        <f>IF(AM684=0,I684,0)</f>
        <v>0</v>
      </c>
      <c r="AJ684" s="56">
        <f>IF(AM684=15,I684,0)</f>
        <v>0</v>
      </c>
      <c r="AK684" s="56">
        <f>IF(AM684=21,I684,0)</f>
        <v>0</v>
      </c>
      <c r="AM684" s="56">
        <v>21</v>
      </c>
      <c r="AN684" s="56">
        <f>H684*0</f>
        <v>0</v>
      </c>
      <c r="AO684" s="56">
        <f>H684*(1-0)</f>
        <v>0</v>
      </c>
      <c r="AP684" s="41" t="s">
        <v>1109</v>
      </c>
      <c r="AU684" s="56">
        <f>AV684+AW684</f>
        <v>0</v>
      </c>
      <c r="AV684" s="56">
        <f>G684*AN684</f>
        <v>0</v>
      </c>
      <c r="AW684" s="56">
        <f>G684*AO684</f>
        <v>0</v>
      </c>
      <c r="AX684" s="41" t="s">
        <v>557</v>
      </c>
      <c r="AY684" s="41" t="s">
        <v>164</v>
      </c>
      <c r="AZ684" s="30" t="s">
        <v>1236</v>
      </c>
      <c r="BB684" s="56">
        <f>AV684+AW684</f>
        <v>0</v>
      </c>
      <c r="BC684" s="56">
        <f>H684/(100-BD684)*100</f>
        <v>0</v>
      </c>
      <c r="BD684" s="56">
        <v>0</v>
      </c>
      <c r="BE684" s="56" t="e">
        <f>#REF!</f>
        <v>#REF!</v>
      </c>
      <c r="BG684" s="56">
        <f>G684*AN684</f>
        <v>0</v>
      </c>
      <c r="BH684" s="56">
        <f>G684*AO684</f>
        <v>0</v>
      </c>
      <c r="BI684" s="56">
        <f>G684*H684</f>
        <v>0</v>
      </c>
      <c r="BJ684" s="56"/>
      <c r="BK684" s="56">
        <v>18</v>
      </c>
      <c r="BV684" s="56">
        <v>21</v>
      </c>
    </row>
    <row r="685" spans="1:74" ht="13.5" customHeight="1" x14ac:dyDescent="0.25">
      <c r="A685" s="10" t="s">
        <v>770</v>
      </c>
      <c r="B685" s="9" t="s">
        <v>439</v>
      </c>
      <c r="C685" s="9" t="s">
        <v>1102</v>
      </c>
      <c r="D685" s="76" t="s">
        <v>4</v>
      </c>
      <c r="E685" s="77"/>
      <c r="F685" s="9" t="s">
        <v>1095</v>
      </c>
      <c r="G685" s="56">
        <v>20</v>
      </c>
      <c r="H685" s="56">
        <v>0</v>
      </c>
      <c r="I685" s="56">
        <f>G685*H685</f>
        <v>0</v>
      </c>
      <c r="J685" s="54" t="s">
        <v>501</v>
      </c>
      <c r="Y685" s="56">
        <f>IF(AP685="5",BI685,0)</f>
        <v>0</v>
      </c>
      <c r="AA685" s="56">
        <f>IF(AP685="1",BG685,0)</f>
        <v>0</v>
      </c>
      <c r="AB685" s="56">
        <f>IF(AP685="1",BH685,0)</f>
        <v>0</v>
      </c>
      <c r="AC685" s="56">
        <f>IF(AP685="7",BG685,0)</f>
        <v>0</v>
      </c>
      <c r="AD685" s="56">
        <f>IF(AP685="7",BH685,0)</f>
        <v>0</v>
      </c>
      <c r="AE685" s="56">
        <f>IF(AP685="2",BG685,0)</f>
        <v>0</v>
      </c>
      <c r="AF685" s="56">
        <f>IF(AP685="2",BH685,0)</f>
        <v>0</v>
      </c>
      <c r="AG685" s="56">
        <f>IF(AP685="0",BI685,0)</f>
        <v>0</v>
      </c>
      <c r="AH685" s="30" t="s">
        <v>439</v>
      </c>
      <c r="AI685" s="56">
        <f>IF(AM685=0,I685,0)</f>
        <v>0</v>
      </c>
      <c r="AJ685" s="56">
        <f>IF(AM685=15,I685,0)</f>
        <v>0</v>
      </c>
      <c r="AK685" s="56">
        <f>IF(AM685=21,I685,0)</f>
        <v>0</v>
      </c>
      <c r="AM685" s="56">
        <v>21</v>
      </c>
      <c r="AN685" s="56">
        <f>H685*0.21166813251246</f>
        <v>0</v>
      </c>
      <c r="AO685" s="56">
        <f>H685*(1-0.21166813251246)</f>
        <v>0</v>
      </c>
      <c r="AP685" s="41" t="s">
        <v>1109</v>
      </c>
      <c r="AU685" s="56">
        <f>AV685+AW685</f>
        <v>0</v>
      </c>
      <c r="AV685" s="56">
        <f>G685*AN685</f>
        <v>0</v>
      </c>
      <c r="AW685" s="56">
        <f>G685*AO685</f>
        <v>0</v>
      </c>
      <c r="AX685" s="41" t="s">
        <v>557</v>
      </c>
      <c r="AY685" s="41" t="s">
        <v>164</v>
      </c>
      <c r="AZ685" s="30" t="s">
        <v>1236</v>
      </c>
      <c r="BB685" s="56">
        <f>AV685+AW685</f>
        <v>0</v>
      </c>
      <c r="BC685" s="56">
        <f>H685/(100-BD685)*100</f>
        <v>0</v>
      </c>
      <c r="BD685" s="56">
        <v>0</v>
      </c>
      <c r="BE685" s="56" t="e">
        <f>#REF!</f>
        <v>#REF!</v>
      </c>
      <c r="BG685" s="56">
        <f>G685*AN685</f>
        <v>0</v>
      </c>
      <c r="BH685" s="56">
        <f>G685*AO685</f>
        <v>0</v>
      </c>
      <c r="BI685" s="56">
        <f>G685*H685</f>
        <v>0</v>
      </c>
      <c r="BJ685" s="56"/>
      <c r="BK685" s="56">
        <v>18</v>
      </c>
      <c r="BV685" s="56">
        <v>21</v>
      </c>
    </row>
    <row r="686" spans="1:74" ht="15" customHeight="1" x14ac:dyDescent="0.25">
      <c r="A686" s="27" t="s">
        <v>769</v>
      </c>
      <c r="B686" s="28" t="s">
        <v>439</v>
      </c>
      <c r="C686" s="28" t="s">
        <v>393</v>
      </c>
      <c r="D686" s="132" t="s">
        <v>860</v>
      </c>
      <c r="E686" s="133"/>
      <c r="F686" s="23" t="s">
        <v>1027</v>
      </c>
      <c r="G686" s="23" t="s">
        <v>1027</v>
      </c>
      <c r="H686" s="23" t="s">
        <v>1027</v>
      </c>
      <c r="I686" s="14">
        <f>SUM(I687:I687)</f>
        <v>0</v>
      </c>
      <c r="J686" s="44" t="s">
        <v>769</v>
      </c>
      <c r="AH686" s="30" t="s">
        <v>439</v>
      </c>
      <c r="AR686" s="14">
        <f>SUM(AI687:AI687)</f>
        <v>0</v>
      </c>
      <c r="AS686" s="14">
        <f>SUM(AJ687:AJ687)</f>
        <v>0</v>
      </c>
      <c r="AT686" s="14">
        <f>SUM(AK687:AK687)</f>
        <v>0</v>
      </c>
    </row>
    <row r="687" spans="1:74" ht="13.5" customHeight="1" x14ac:dyDescent="0.25">
      <c r="A687" s="10" t="s">
        <v>309</v>
      </c>
      <c r="B687" s="9" t="s">
        <v>439</v>
      </c>
      <c r="C687" s="9" t="s">
        <v>1039</v>
      </c>
      <c r="D687" s="76" t="s">
        <v>335</v>
      </c>
      <c r="E687" s="77"/>
      <c r="F687" s="9" t="s">
        <v>1079</v>
      </c>
      <c r="G687" s="56">
        <v>0.15</v>
      </c>
      <c r="H687" s="56">
        <v>0</v>
      </c>
      <c r="I687" s="56">
        <f>G687*H687</f>
        <v>0</v>
      </c>
      <c r="J687" s="54" t="s">
        <v>501</v>
      </c>
      <c r="Y687" s="56">
        <f>IF(AP687="5",BI687,0)</f>
        <v>0</v>
      </c>
      <c r="AA687" s="56">
        <f>IF(AP687="1",BG687,0)</f>
        <v>0</v>
      </c>
      <c r="AB687" s="56">
        <f>IF(AP687="1",BH687,0)</f>
        <v>0</v>
      </c>
      <c r="AC687" s="56">
        <f>IF(AP687="7",BG687,0)</f>
        <v>0</v>
      </c>
      <c r="AD687" s="56">
        <f>IF(AP687="7",BH687,0)</f>
        <v>0</v>
      </c>
      <c r="AE687" s="56">
        <f>IF(AP687="2",BG687,0)</f>
        <v>0</v>
      </c>
      <c r="AF687" s="56">
        <f>IF(AP687="2",BH687,0)</f>
        <v>0</v>
      </c>
      <c r="AG687" s="56">
        <f>IF(AP687="0",BI687,0)</f>
        <v>0</v>
      </c>
      <c r="AH687" s="30" t="s">
        <v>439</v>
      </c>
      <c r="AI687" s="56">
        <f>IF(AM687=0,I687,0)</f>
        <v>0</v>
      </c>
      <c r="AJ687" s="56">
        <f>IF(AM687=15,I687,0)</f>
        <v>0</v>
      </c>
      <c r="AK687" s="56">
        <f>IF(AM687=21,I687,0)</f>
        <v>0</v>
      </c>
      <c r="AM687" s="56">
        <v>21</v>
      </c>
      <c r="AN687" s="56">
        <f>H687*0.464047844623401</f>
        <v>0</v>
      </c>
      <c r="AO687" s="56">
        <f>H687*(1-0.464047844623401)</f>
        <v>0</v>
      </c>
      <c r="AP687" s="41" t="s">
        <v>1109</v>
      </c>
      <c r="AU687" s="56">
        <f>AV687+AW687</f>
        <v>0</v>
      </c>
      <c r="AV687" s="56">
        <f>G687*AN687</f>
        <v>0</v>
      </c>
      <c r="AW687" s="56">
        <f>G687*AO687</f>
        <v>0</v>
      </c>
      <c r="AX687" s="41" t="s">
        <v>547</v>
      </c>
      <c r="AY687" s="41" t="s">
        <v>278</v>
      </c>
      <c r="AZ687" s="30" t="s">
        <v>1236</v>
      </c>
      <c r="BB687" s="56">
        <f>AV687+AW687</f>
        <v>0</v>
      </c>
      <c r="BC687" s="56">
        <f>H687/(100-BD687)*100</f>
        <v>0</v>
      </c>
      <c r="BD687" s="56">
        <v>0</v>
      </c>
      <c r="BE687" s="56" t="e">
        <f>#REF!</f>
        <v>#REF!</v>
      </c>
      <c r="BG687" s="56">
        <f>G687*AN687</f>
        <v>0</v>
      </c>
      <c r="BH687" s="56">
        <f>G687*AO687</f>
        <v>0</v>
      </c>
      <c r="BI687" s="56">
        <f>G687*H687</f>
        <v>0</v>
      </c>
      <c r="BJ687" s="56"/>
      <c r="BK687" s="56">
        <v>45</v>
      </c>
      <c r="BV687" s="56">
        <v>21</v>
      </c>
    </row>
    <row r="688" spans="1:74" ht="13.5" customHeight="1" x14ac:dyDescent="0.25">
      <c r="A688" s="53"/>
      <c r="C688" s="66" t="s">
        <v>578</v>
      </c>
      <c r="D688" s="137" t="s">
        <v>304</v>
      </c>
      <c r="E688" s="138"/>
      <c r="F688" s="138"/>
      <c r="G688" s="138"/>
      <c r="H688" s="138"/>
      <c r="I688" s="138"/>
      <c r="J688" s="139"/>
    </row>
    <row r="689" spans="1:74" ht="15" customHeight="1" x14ac:dyDescent="0.25">
      <c r="A689" s="53"/>
      <c r="D689" s="52" t="s">
        <v>102</v>
      </c>
      <c r="E689" s="37" t="s">
        <v>769</v>
      </c>
      <c r="G689" s="21">
        <v>0.15000000000000002</v>
      </c>
      <c r="J689" s="48"/>
    </row>
    <row r="690" spans="1:74" ht="15" customHeight="1" x14ac:dyDescent="0.25">
      <c r="A690" s="27" t="s">
        <v>769</v>
      </c>
      <c r="B690" s="28" t="s">
        <v>439</v>
      </c>
      <c r="C690" s="28" t="s">
        <v>1003</v>
      </c>
      <c r="D690" s="132" t="s">
        <v>682</v>
      </c>
      <c r="E690" s="133"/>
      <c r="F690" s="23" t="s">
        <v>1027</v>
      </c>
      <c r="G690" s="23" t="s">
        <v>1027</v>
      </c>
      <c r="H690" s="23" t="s">
        <v>1027</v>
      </c>
      <c r="I690" s="14">
        <f>SUM(I691:I691)</f>
        <v>0</v>
      </c>
      <c r="J690" s="44" t="s">
        <v>769</v>
      </c>
      <c r="AH690" s="30" t="s">
        <v>439</v>
      </c>
      <c r="AR690" s="14">
        <f>SUM(AI691:AI691)</f>
        <v>0</v>
      </c>
      <c r="AS690" s="14">
        <f>SUM(AJ691:AJ691)</f>
        <v>0</v>
      </c>
      <c r="AT690" s="14">
        <f>SUM(AK691:AK691)</f>
        <v>0</v>
      </c>
    </row>
    <row r="691" spans="1:74" ht="13.5" customHeight="1" x14ac:dyDescent="0.25">
      <c r="A691" s="10" t="s">
        <v>1018</v>
      </c>
      <c r="B691" s="9" t="s">
        <v>439</v>
      </c>
      <c r="C691" s="9" t="s">
        <v>498</v>
      </c>
      <c r="D691" s="76" t="s">
        <v>562</v>
      </c>
      <c r="E691" s="77"/>
      <c r="F691" s="9" t="s">
        <v>275</v>
      </c>
      <c r="G691" s="56">
        <v>1</v>
      </c>
      <c r="H691" s="56">
        <v>0</v>
      </c>
      <c r="I691" s="56">
        <f>G691*H691</f>
        <v>0</v>
      </c>
      <c r="J691" s="54" t="s">
        <v>501</v>
      </c>
      <c r="Y691" s="56">
        <f>IF(AP691="5",BI691,0)</f>
        <v>0</v>
      </c>
      <c r="AA691" s="56">
        <f>IF(AP691="1",BG691,0)</f>
        <v>0</v>
      </c>
      <c r="AB691" s="56">
        <f>IF(AP691="1",BH691,0)</f>
        <v>0</v>
      </c>
      <c r="AC691" s="56">
        <f>IF(AP691="7",BG691,0)</f>
        <v>0</v>
      </c>
      <c r="AD691" s="56">
        <f>IF(AP691="7",BH691,0)</f>
        <v>0</v>
      </c>
      <c r="AE691" s="56">
        <f>IF(AP691="2",BG691,0)</f>
        <v>0</v>
      </c>
      <c r="AF691" s="56">
        <f>IF(AP691="2",BH691,0)</f>
        <v>0</v>
      </c>
      <c r="AG691" s="56">
        <f>IF(AP691="0",BI691,0)</f>
        <v>0</v>
      </c>
      <c r="AH691" s="30" t="s">
        <v>439</v>
      </c>
      <c r="AI691" s="56">
        <f>IF(AM691=0,I691,0)</f>
        <v>0</v>
      </c>
      <c r="AJ691" s="56">
        <f>IF(AM691=15,I691,0)</f>
        <v>0</v>
      </c>
      <c r="AK691" s="56">
        <f>IF(AM691=21,I691,0)</f>
        <v>0</v>
      </c>
      <c r="AM691" s="56">
        <v>21</v>
      </c>
      <c r="AN691" s="56">
        <f>H691*0.976790134141064</f>
        <v>0</v>
      </c>
      <c r="AO691" s="56">
        <f>H691*(1-0.976790134141064)</f>
        <v>0</v>
      </c>
      <c r="AP691" s="41" t="s">
        <v>1114</v>
      </c>
      <c r="AU691" s="56">
        <f>AV691+AW691</f>
        <v>0</v>
      </c>
      <c r="AV691" s="56">
        <f>G691*AN691</f>
        <v>0</v>
      </c>
      <c r="AW691" s="56">
        <f>G691*AO691</f>
        <v>0</v>
      </c>
      <c r="AX691" s="41" t="s">
        <v>702</v>
      </c>
      <c r="AY691" s="41" t="s">
        <v>241</v>
      </c>
      <c r="AZ691" s="30" t="s">
        <v>1236</v>
      </c>
      <c r="BB691" s="56">
        <f>AV691+AW691</f>
        <v>0</v>
      </c>
      <c r="BC691" s="56">
        <f>H691/(100-BD691)*100</f>
        <v>0</v>
      </c>
      <c r="BD691" s="56">
        <v>0</v>
      </c>
      <c r="BE691" s="56" t="e">
        <f>#REF!</f>
        <v>#REF!</v>
      </c>
      <c r="BG691" s="56">
        <f>G691*AN691</f>
        <v>0</v>
      </c>
      <c r="BH691" s="56">
        <f>G691*AO691</f>
        <v>0</v>
      </c>
      <c r="BI691" s="56">
        <f>G691*H691</f>
        <v>0</v>
      </c>
      <c r="BJ691" s="56"/>
      <c r="BK691" s="56">
        <v>722</v>
      </c>
      <c r="BV691" s="56">
        <v>21</v>
      </c>
    </row>
    <row r="692" spans="1:74" ht="15" customHeight="1" x14ac:dyDescent="0.25">
      <c r="A692" s="53"/>
      <c r="D692" s="52" t="s">
        <v>1109</v>
      </c>
      <c r="E692" s="37" t="s">
        <v>1160</v>
      </c>
      <c r="G692" s="21">
        <v>1</v>
      </c>
      <c r="J692" s="48"/>
    </row>
    <row r="693" spans="1:74" ht="15" customHeight="1" x14ac:dyDescent="0.25">
      <c r="A693" s="27" t="s">
        <v>769</v>
      </c>
      <c r="B693" s="28" t="s">
        <v>439</v>
      </c>
      <c r="C693" s="28" t="s">
        <v>55</v>
      </c>
      <c r="D693" s="132" t="s">
        <v>90</v>
      </c>
      <c r="E693" s="133"/>
      <c r="F693" s="23" t="s">
        <v>1027</v>
      </c>
      <c r="G693" s="23" t="s">
        <v>1027</v>
      </c>
      <c r="H693" s="23" t="s">
        <v>1027</v>
      </c>
      <c r="I693" s="14">
        <f>SUM(I694:I695)</f>
        <v>0</v>
      </c>
      <c r="J693" s="44" t="s">
        <v>769</v>
      </c>
      <c r="AH693" s="30" t="s">
        <v>439</v>
      </c>
      <c r="AR693" s="14">
        <f>SUM(AI694:AI695)</f>
        <v>0</v>
      </c>
      <c r="AS693" s="14">
        <f>SUM(AJ694:AJ695)</f>
        <v>0</v>
      </c>
      <c r="AT693" s="14">
        <f>SUM(AK694:AK695)</f>
        <v>0</v>
      </c>
    </row>
    <row r="694" spans="1:74" ht="13.5" customHeight="1" x14ac:dyDescent="0.25">
      <c r="A694" s="10" t="s">
        <v>1206</v>
      </c>
      <c r="B694" s="9" t="s">
        <v>439</v>
      </c>
      <c r="C694" s="9" t="s">
        <v>189</v>
      </c>
      <c r="D694" s="76" t="s">
        <v>1050</v>
      </c>
      <c r="E694" s="77"/>
      <c r="F694" s="9" t="s">
        <v>275</v>
      </c>
      <c r="G694" s="56">
        <v>8</v>
      </c>
      <c r="H694" s="56">
        <v>0</v>
      </c>
      <c r="I694" s="56">
        <f>G694*H694</f>
        <v>0</v>
      </c>
      <c r="J694" s="54" t="s">
        <v>501</v>
      </c>
      <c r="Y694" s="56">
        <f>IF(AP694="5",BI694,0)</f>
        <v>0</v>
      </c>
      <c r="AA694" s="56">
        <f>IF(AP694="1",BG694,0)</f>
        <v>0</v>
      </c>
      <c r="AB694" s="56">
        <f>IF(AP694="1",BH694,0)</f>
        <v>0</v>
      </c>
      <c r="AC694" s="56">
        <f>IF(AP694="7",BG694,0)</f>
        <v>0</v>
      </c>
      <c r="AD694" s="56">
        <f>IF(AP694="7",BH694,0)</f>
        <v>0</v>
      </c>
      <c r="AE694" s="56">
        <f>IF(AP694="2",BG694,0)</f>
        <v>0</v>
      </c>
      <c r="AF694" s="56">
        <f>IF(AP694="2",BH694,0)</f>
        <v>0</v>
      </c>
      <c r="AG694" s="56">
        <f>IF(AP694="0",BI694,0)</f>
        <v>0</v>
      </c>
      <c r="AH694" s="30" t="s">
        <v>439</v>
      </c>
      <c r="AI694" s="56">
        <f>IF(AM694=0,I694,0)</f>
        <v>0</v>
      </c>
      <c r="AJ694" s="56">
        <f>IF(AM694=15,I694,0)</f>
        <v>0</v>
      </c>
      <c r="AK694" s="56">
        <f>IF(AM694=21,I694,0)</f>
        <v>0</v>
      </c>
      <c r="AM694" s="56">
        <v>21</v>
      </c>
      <c r="AN694" s="56">
        <f>H694*0</f>
        <v>0</v>
      </c>
      <c r="AO694" s="56">
        <f>H694*(1-0)</f>
        <v>0</v>
      </c>
      <c r="AP694" s="41" t="s">
        <v>1109</v>
      </c>
      <c r="AU694" s="56">
        <f>AV694+AW694</f>
        <v>0</v>
      </c>
      <c r="AV694" s="56">
        <f>G694*AN694</f>
        <v>0</v>
      </c>
      <c r="AW694" s="56">
        <f>G694*AO694</f>
        <v>0</v>
      </c>
      <c r="AX694" s="41" t="s">
        <v>77</v>
      </c>
      <c r="AY694" s="41" t="s">
        <v>1146</v>
      </c>
      <c r="AZ694" s="30" t="s">
        <v>1236</v>
      </c>
      <c r="BB694" s="56">
        <f>AV694+AW694</f>
        <v>0</v>
      </c>
      <c r="BC694" s="56">
        <f>H694/(100-BD694)*100</f>
        <v>0</v>
      </c>
      <c r="BD694" s="56">
        <v>0</v>
      </c>
      <c r="BE694" s="56" t="e">
        <f>#REF!</f>
        <v>#REF!</v>
      </c>
      <c r="BG694" s="56">
        <f>G694*AN694</f>
        <v>0</v>
      </c>
      <c r="BH694" s="56">
        <f>G694*AO694</f>
        <v>0</v>
      </c>
      <c r="BI694" s="56">
        <f>G694*H694</f>
        <v>0</v>
      </c>
      <c r="BJ694" s="56"/>
      <c r="BK694" s="56">
        <v>87</v>
      </c>
      <c r="BV694" s="56">
        <v>21</v>
      </c>
    </row>
    <row r="695" spans="1:74" ht="13.5" customHeight="1" x14ac:dyDescent="0.25">
      <c r="A695" s="57" t="s">
        <v>801</v>
      </c>
      <c r="B695" s="50" t="s">
        <v>439</v>
      </c>
      <c r="C695" s="50" t="s">
        <v>123</v>
      </c>
      <c r="D695" s="135" t="s">
        <v>648</v>
      </c>
      <c r="E695" s="136"/>
      <c r="F695" s="50" t="s">
        <v>275</v>
      </c>
      <c r="G695" s="31">
        <v>2</v>
      </c>
      <c r="H695" s="31">
        <v>0</v>
      </c>
      <c r="I695" s="31">
        <f>G695*H695</f>
        <v>0</v>
      </c>
      <c r="J695" s="47" t="s">
        <v>501</v>
      </c>
      <c r="Y695" s="56">
        <f>IF(AP695="5",BI695,0)</f>
        <v>0</v>
      </c>
      <c r="AA695" s="56">
        <f>IF(AP695="1",BG695,0)</f>
        <v>0</v>
      </c>
      <c r="AB695" s="56">
        <f>IF(AP695="1",BH695,0)</f>
        <v>0</v>
      </c>
      <c r="AC695" s="56">
        <f>IF(AP695="7",BG695,0)</f>
        <v>0</v>
      </c>
      <c r="AD695" s="56">
        <f>IF(AP695="7",BH695,0)</f>
        <v>0</v>
      </c>
      <c r="AE695" s="56">
        <f>IF(AP695="2",BG695,0)</f>
        <v>0</v>
      </c>
      <c r="AF695" s="56">
        <f>IF(AP695="2",BH695,0)</f>
        <v>0</v>
      </c>
      <c r="AG695" s="56">
        <f>IF(AP695="0",BI695,0)</f>
        <v>0</v>
      </c>
      <c r="AH695" s="30" t="s">
        <v>439</v>
      </c>
      <c r="AI695" s="31">
        <f>IF(AM695=0,I695,0)</f>
        <v>0</v>
      </c>
      <c r="AJ695" s="31">
        <f>IF(AM695=15,I695,0)</f>
        <v>0</v>
      </c>
      <c r="AK695" s="31">
        <f>IF(AM695=21,I695,0)</f>
        <v>0</v>
      </c>
      <c r="AM695" s="56">
        <v>21</v>
      </c>
      <c r="AN695" s="56">
        <f>H695*1</f>
        <v>0</v>
      </c>
      <c r="AO695" s="56">
        <f>H695*(1-1)</f>
        <v>0</v>
      </c>
      <c r="AP695" s="58" t="s">
        <v>1109</v>
      </c>
      <c r="AU695" s="56">
        <f>AV695+AW695</f>
        <v>0</v>
      </c>
      <c r="AV695" s="56">
        <f>G695*AN695</f>
        <v>0</v>
      </c>
      <c r="AW695" s="56">
        <f>G695*AO695</f>
        <v>0</v>
      </c>
      <c r="AX695" s="41" t="s">
        <v>77</v>
      </c>
      <c r="AY695" s="41" t="s">
        <v>1146</v>
      </c>
      <c r="AZ695" s="30" t="s">
        <v>1236</v>
      </c>
      <c r="BB695" s="56">
        <f>AV695+AW695</f>
        <v>0</v>
      </c>
      <c r="BC695" s="56">
        <f>H695/(100-BD695)*100</f>
        <v>0</v>
      </c>
      <c r="BD695" s="56">
        <v>0</v>
      </c>
      <c r="BE695" s="56" t="e">
        <f>#REF!</f>
        <v>#REF!</v>
      </c>
      <c r="BG695" s="31">
        <f>G695*AN695</f>
        <v>0</v>
      </c>
      <c r="BH695" s="31">
        <f>G695*AO695</f>
        <v>0</v>
      </c>
      <c r="BI695" s="31">
        <f>G695*H695</f>
        <v>0</v>
      </c>
      <c r="BJ695" s="31"/>
      <c r="BK695" s="56">
        <v>87</v>
      </c>
      <c r="BV695" s="56">
        <v>21</v>
      </c>
    </row>
    <row r="696" spans="1:74" ht="15" customHeight="1" x14ac:dyDescent="0.25">
      <c r="A696" s="53"/>
      <c r="D696" s="52" t="s">
        <v>766</v>
      </c>
      <c r="E696" s="37" t="s">
        <v>707</v>
      </c>
      <c r="G696" s="21">
        <v>2</v>
      </c>
      <c r="J696" s="48"/>
    </row>
    <row r="697" spans="1:74" ht="15" customHeight="1" x14ac:dyDescent="0.25">
      <c r="A697" s="27" t="s">
        <v>769</v>
      </c>
      <c r="B697" s="28" t="s">
        <v>439</v>
      </c>
      <c r="C697" s="28" t="s">
        <v>1171</v>
      </c>
      <c r="D697" s="132" t="s">
        <v>719</v>
      </c>
      <c r="E697" s="133"/>
      <c r="F697" s="23" t="s">
        <v>1027</v>
      </c>
      <c r="G697" s="23" t="s">
        <v>1027</v>
      </c>
      <c r="H697" s="23" t="s">
        <v>1027</v>
      </c>
      <c r="I697" s="14">
        <f>SUM(I698:I703)</f>
        <v>0</v>
      </c>
      <c r="J697" s="44" t="s">
        <v>769</v>
      </c>
      <c r="AH697" s="30" t="s">
        <v>439</v>
      </c>
      <c r="AR697" s="14">
        <f>SUM(AI698:AI703)</f>
        <v>0</v>
      </c>
      <c r="AS697" s="14">
        <f>SUM(AJ698:AJ703)</f>
        <v>0</v>
      </c>
      <c r="AT697" s="14">
        <f>SUM(AK698:AK703)</f>
        <v>0</v>
      </c>
    </row>
    <row r="698" spans="1:74" ht="13.5" customHeight="1" x14ac:dyDescent="0.25">
      <c r="A698" s="10" t="s">
        <v>908</v>
      </c>
      <c r="B698" s="9" t="s">
        <v>439</v>
      </c>
      <c r="C698" s="9" t="s">
        <v>1157</v>
      </c>
      <c r="D698" s="76" t="s">
        <v>60</v>
      </c>
      <c r="E698" s="77"/>
      <c r="F698" s="9" t="s">
        <v>778</v>
      </c>
      <c r="G698" s="56">
        <v>1</v>
      </c>
      <c r="H698" s="56">
        <v>0</v>
      </c>
      <c r="I698" s="56">
        <f>G698*H698</f>
        <v>0</v>
      </c>
      <c r="J698" s="54" t="s">
        <v>501</v>
      </c>
      <c r="Y698" s="56">
        <f>IF(AP698="5",BI698,0)</f>
        <v>0</v>
      </c>
      <c r="AA698" s="56">
        <f>IF(AP698="1",BG698,0)</f>
        <v>0</v>
      </c>
      <c r="AB698" s="56">
        <f>IF(AP698="1",BH698,0)</f>
        <v>0</v>
      </c>
      <c r="AC698" s="56">
        <f>IF(AP698="7",BG698,0)</f>
        <v>0</v>
      </c>
      <c r="AD698" s="56">
        <f>IF(AP698="7",BH698,0)</f>
        <v>0</v>
      </c>
      <c r="AE698" s="56">
        <f>IF(AP698="2",BG698,0)</f>
        <v>0</v>
      </c>
      <c r="AF698" s="56">
        <f>IF(AP698="2",BH698,0)</f>
        <v>0</v>
      </c>
      <c r="AG698" s="56">
        <f>IF(AP698="0",BI698,0)</f>
        <v>0</v>
      </c>
      <c r="AH698" s="30" t="s">
        <v>439</v>
      </c>
      <c r="AI698" s="56">
        <f>IF(AM698=0,I698,0)</f>
        <v>0</v>
      </c>
      <c r="AJ698" s="56">
        <f>IF(AM698=15,I698,0)</f>
        <v>0</v>
      </c>
      <c r="AK698" s="56">
        <f>IF(AM698=21,I698,0)</f>
        <v>0</v>
      </c>
      <c r="AM698" s="56">
        <v>21</v>
      </c>
      <c r="AN698" s="56">
        <f>H698*0</f>
        <v>0</v>
      </c>
      <c r="AO698" s="56">
        <f>H698*(1-0)</f>
        <v>0</v>
      </c>
      <c r="AP698" s="41" t="s">
        <v>1109</v>
      </c>
      <c r="AU698" s="56">
        <f>AV698+AW698</f>
        <v>0</v>
      </c>
      <c r="AV698" s="56">
        <f>G698*AN698</f>
        <v>0</v>
      </c>
      <c r="AW698" s="56">
        <f>G698*AO698</f>
        <v>0</v>
      </c>
      <c r="AX698" s="41" t="s">
        <v>95</v>
      </c>
      <c r="AY698" s="41" t="s">
        <v>1146</v>
      </c>
      <c r="AZ698" s="30" t="s">
        <v>1236</v>
      </c>
      <c r="BB698" s="56">
        <f>AV698+AW698</f>
        <v>0</v>
      </c>
      <c r="BC698" s="56">
        <f>H698/(100-BD698)*100</f>
        <v>0</v>
      </c>
      <c r="BD698" s="56">
        <v>0</v>
      </c>
      <c r="BE698" s="56" t="e">
        <f>#REF!</f>
        <v>#REF!</v>
      </c>
      <c r="BG698" s="56">
        <f>G698*AN698</f>
        <v>0</v>
      </c>
      <c r="BH698" s="56">
        <f>G698*AO698</f>
        <v>0</v>
      </c>
      <c r="BI698" s="56">
        <f>G698*H698</f>
        <v>0</v>
      </c>
      <c r="BJ698" s="56"/>
      <c r="BK698" s="56">
        <v>89</v>
      </c>
      <c r="BV698" s="56">
        <v>21</v>
      </c>
    </row>
    <row r="699" spans="1:74" ht="13.5" customHeight="1" x14ac:dyDescent="0.25">
      <c r="A699" s="53"/>
      <c r="C699" s="66" t="s">
        <v>578</v>
      </c>
      <c r="D699" s="137" t="s">
        <v>353</v>
      </c>
      <c r="E699" s="138"/>
      <c r="F699" s="138"/>
      <c r="G699" s="138"/>
      <c r="H699" s="138"/>
      <c r="I699" s="138"/>
      <c r="J699" s="139"/>
    </row>
    <row r="700" spans="1:74" ht="15" customHeight="1" x14ac:dyDescent="0.25">
      <c r="A700" s="53"/>
      <c r="D700" s="52" t="s">
        <v>1109</v>
      </c>
      <c r="E700" s="37" t="s">
        <v>258</v>
      </c>
      <c r="G700" s="21">
        <v>1</v>
      </c>
      <c r="J700" s="48"/>
    </row>
    <row r="701" spans="1:74" ht="13.5" customHeight="1" x14ac:dyDescent="0.25">
      <c r="A701" s="10" t="s">
        <v>743</v>
      </c>
      <c r="B701" s="9" t="s">
        <v>439</v>
      </c>
      <c r="C701" s="9" t="s">
        <v>202</v>
      </c>
      <c r="D701" s="76" t="s">
        <v>1178</v>
      </c>
      <c r="E701" s="77"/>
      <c r="F701" s="9" t="s">
        <v>909</v>
      </c>
      <c r="G701" s="56">
        <v>14</v>
      </c>
      <c r="H701" s="56">
        <v>0</v>
      </c>
      <c r="I701" s="56">
        <f>G701*H701</f>
        <v>0</v>
      </c>
      <c r="J701" s="54" t="s">
        <v>501</v>
      </c>
      <c r="Y701" s="56">
        <f>IF(AP701="5",BI701,0)</f>
        <v>0</v>
      </c>
      <c r="AA701" s="56">
        <f>IF(AP701="1",BG701,0)</f>
        <v>0</v>
      </c>
      <c r="AB701" s="56">
        <f>IF(AP701="1",BH701,0)</f>
        <v>0</v>
      </c>
      <c r="AC701" s="56">
        <f>IF(AP701="7",BG701,0)</f>
        <v>0</v>
      </c>
      <c r="AD701" s="56">
        <f>IF(AP701="7",BH701,0)</f>
        <v>0</v>
      </c>
      <c r="AE701" s="56">
        <f>IF(AP701="2",BG701,0)</f>
        <v>0</v>
      </c>
      <c r="AF701" s="56">
        <f>IF(AP701="2",BH701,0)</f>
        <v>0</v>
      </c>
      <c r="AG701" s="56">
        <f>IF(AP701="0",BI701,0)</f>
        <v>0</v>
      </c>
      <c r="AH701" s="30" t="s">
        <v>439</v>
      </c>
      <c r="AI701" s="56">
        <f>IF(AM701=0,I701,0)</f>
        <v>0</v>
      </c>
      <c r="AJ701" s="56">
        <f>IF(AM701=15,I701,0)</f>
        <v>0</v>
      </c>
      <c r="AK701" s="56">
        <f>IF(AM701=21,I701,0)</f>
        <v>0</v>
      </c>
      <c r="AM701" s="56">
        <v>21</v>
      </c>
      <c r="AN701" s="56">
        <f>H701*0.354048663741524</f>
        <v>0</v>
      </c>
      <c r="AO701" s="56">
        <f>H701*(1-0.354048663741524)</f>
        <v>0</v>
      </c>
      <c r="AP701" s="41" t="s">
        <v>1109</v>
      </c>
      <c r="AU701" s="56">
        <f>AV701+AW701</f>
        <v>0</v>
      </c>
      <c r="AV701" s="56">
        <f>G701*AN701</f>
        <v>0</v>
      </c>
      <c r="AW701" s="56">
        <f>G701*AO701</f>
        <v>0</v>
      </c>
      <c r="AX701" s="41" t="s">
        <v>95</v>
      </c>
      <c r="AY701" s="41" t="s">
        <v>1146</v>
      </c>
      <c r="AZ701" s="30" t="s">
        <v>1236</v>
      </c>
      <c r="BB701" s="56">
        <f>AV701+AW701</f>
        <v>0</v>
      </c>
      <c r="BC701" s="56">
        <f>H701/(100-BD701)*100</f>
        <v>0</v>
      </c>
      <c r="BD701" s="56">
        <v>0</v>
      </c>
      <c r="BE701" s="56" t="e">
        <f>#REF!</f>
        <v>#REF!</v>
      </c>
      <c r="BG701" s="56">
        <f>G701*AN701</f>
        <v>0</v>
      </c>
      <c r="BH701" s="56">
        <f>G701*AO701</f>
        <v>0</v>
      </c>
      <c r="BI701" s="56">
        <f>G701*H701</f>
        <v>0</v>
      </c>
      <c r="BJ701" s="56"/>
      <c r="BK701" s="56">
        <v>89</v>
      </c>
      <c r="BV701" s="56">
        <v>21</v>
      </c>
    </row>
    <row r="702" spans="1:74" ht="15" customHeight="1" x14ac:dyDescent="0.25">
      <c r="A702" s="53"/>
      <c r="D702" s="52" t="s">
        <v>654</v>
      </c>
      <c r="E702" s="37" t="s">
        <v>735</v>
      </c>
      <c r="G702" s="21">
        <v>14.000000000000002</v>
      </c>
      <c r="J702" s="48"/>
    </row>
    <row r="703" spans="1:74" ht="13.5" customHeight="1" x14ac:dyDescent="0.25">
      <c r="A703" s="10" t="s">
        <v>622</v>
      </c>
      <c r="B703" s="9" t="s">
        <v>439</v>
      </c>
      <c r="C703" s="9" t="s">
        <v>3</v>
      </c>
      <c r="D703" s="76" t="s">
        <v>1222</v>
      </c>
      <c r="E703" s="77"/>
      <c r="F703" s="9" t="s">
        <v>909</v>
      </c>
      <c r="G703" s="56">
        <v>20</v>
      </c>
      <c r="H703" s="56">
        <v>0</v>
      </c>
      <c r="I703" s="56">
        <f>G703*H703</f>
        <v>0</v>
      </c>
      <c r="J703" s="54" t="s">
        <v>501</v>
      </c>
      <c r="Y703" s="56">
        <f>IF(AP703="5",BI703,0)</f>
        <v>0</v>
      </c>
      <c r="AA703" s="56">
        <f>IF(AP703="1",BG703,0)</f>
        <v>0</v>
      </c>
      <c r="AB703" s="56">
        <f>IF(AP703="1",BH703,0)</f>
        <v>0</v>
      </c>
      <c r="AC703" s="56">
        <f>IF(AP703="7",BG703,0)</f>
        <v>0</v>
      </c>
      <c r="AD703" s="56">
        <f>IF(AP703="7",BH703,0)</f>
        <v>0</v>
      </c>
      <c r="AE703" s="56">
        <f>IF(AP703="2",BG703,0)</f>
        <v>0</v>
      </c>
      <c r="AF703" s="56">
        <f>IF(AP703="2",BH703,0)</f>
        <v>0</v>
      </c>
      <c r="AG703" s="56">
        <f>IF(AP703="0",BI703,0)</f>
        <v>0</v>
      </c>
      <c r="AH703" s="30" t="s">
        <v>439</v>
      </c>
      <c r="AI703" s="56">
        <f>IF(AM703=0,I703,0)</f>
        <v>0</v>
      </c>
      <c r="AJ703" s="56">
        <f>IF(AM703=15,I703,0)</f>
        <v>0</v>
      </c>
      <c r="AK703" s="56">
        <f>IF(AM703=21,I703,0)</f>
        <v>0</v>
      </c>
      <c r="AM703" s="56">
        <v>21</v>
      </c>
      <c r="AN703" s="56">
        <f>H703*0.568162332094884</f>
        <v>0</v>
      </c>
      <c r="AO703" s="56">
        <f>H703*(1-0.568162332094884)</f>
        <v>0</v>
      </c>
      <c r="AP703" s="41" t="s">
        <v>1109</v>
      </c>
      <c r="AU703" s="56">
        <f>AV703+AW703</f>
        <v>0</v>
      </c>
      <c r="AV703" s="56">
        <f>G703*AN703</f>
        <v>0</v>
      </c>
      <c r="AW703" s="56">
        <f>G703*AO703</f>
        <v>0</v>
      </c>
      <c r="AX703" s="41" t="s">
        <v>95</v>
      </c>
      <c r="AY703" s="41" t="s">
        <v>1146</v>
      </c>
      <c r="AZ703" s="30" t="s">
        <v>1236</v>
      </c>
      <c r="BB703" s="56">
        <f>AV703+AW703</f>
        <v>0</v>
      </c>
      <c r="BC703" s="56">
        <f>H703/(100-BD703)*100</f>
        <v>0</v>
      </c>
      <c r="BD703" s="56">
        <v>0</v>
      </c>
      <c r="BE703" s="56" t="e">
        <f>#REF!</f>
        <v>#REF!</v>
      </c>
      <c r="BG703" s="56">
        <f>G703*AN703</f>
        <v>0</v>
      </c>
      <c r="BH703" s="56">
        <f>G703*AO703</f>
        <v>0</v>
      </c>
      <c r="BI703" s="56">
        <f>G703*H703</f>
        <v>0</v>
      </c>
      <c r="BJ703" s="56"/>
      <c r="BK703" s="56">
        <v>89</v>
      </c>
      <c r="BV703" s="56">
        <v>21</v>
      </c>
    </row>
    <row r="704" spans="1:74" ht="15" customHeight="1" x14ac:dyDescent="0.25">
      <c r="A704" s="53"/>
      <c r="D704" s="52" t="s">
        <v>61</v>
      </c>
      <c r="E704" s="37" t="s">
        <v>650</v>
      </c>
      <c r="G704" s="21">
        <v>20</v>
      </c>
      <c r="J704" s="48"/>
    </row>
    <row r="705" spans="1:74" ht="15" customHeight="1" x14ac:dyDescent="0.25">
      <c r="A705" s="27" t="s">
        <v>769</v>
      </c>
      <c r="B705" s="28" t="s">
        <v>439</v>
      </c>
      <c r="C705" s="28" t="s">
        <v>785</v>
      </c>
      <c r="D705" s="132" t="s">
        <v>877</v>
      </c>
      <c r="E705" s="133"/>
      <c r="F705" s="23" t="s">
        <v>1027</v>
      </c>
      <c r="G705" s="23" t="s">
        <v>1027</v>
      </c>
      <c r="H705" s="23" t="s">
        <v>1027</v>
      </c>
      <c r="I705" s="14">
        <f>SUM(I706:I706)</f>
        <v>0</v>
      </c>
      <c r="J705" s="44" t="s">
        <v>769</v>
      </c>
      <c r="AH705" s="30" t="s">
        <v>439</v>
      </c>
      <c r="AR705" s="14">
        <f>SUM(AI706:AI706)</f>
        <v>0</v>
      </c>
      <c r="AS705" s="14">
        <f>SUM(AJ706:AJ706)</f>
        <v>0</v>
      </c>
      <c r="AT705" s="14">
        <f>SUM(AK706:AK706)</f>
        <v>0</v>
      </c>
    </row>
    <row r="706" spans="1:74" ht="13.5" customHeight="1" x14ac:dyDescent="0.25">
      <c r="A706" s="10" t="s">
        <v>855</v>
      </c>
      <c r="B706" s="9" t="s">
        <v>439</v>
      </c>
      <c r="C706" s="9" t="s">
        <v>121</v>
      </c>
      <c r="D706" s="76" t="s">
        <v>664</v>
      </c>
      <c r="E706" s="77"/>
      <c r="F706" s="9" t="s">
        <v>909</v>
      </c>
      <c r="G706" s="56">
        <v>20</v>
      </c>
      <c r="H706" s="56">
        <v>0</v>
      </c>
      <c r="I706" s="56">
        <f>G706*H706</f>
        <v>0</v>
      </c>
      <c r="J706" s="54" t="s">
        <v>501</v>
      </c>
      <c r="Y706" s="56">
        <f>IF(AP706="5",BI706,0)</f>
        <v>0</v>
      </c>
      <c r="AA706" s="56">
        <f>IF(AP706="1",BG706,0)</f>
        <v>0</v>
      </c>
      <c r="AB706" s="56">
        <f>IF(AP706="1",BH706,0)</f>
        <v>0</v>
      </c>
      <c r="AC706" s="56">
        <f>IF(AP706="7",BG706,0)</f>
        <v>0</v>
      </c>
      <c r="AD706" s="56">
        <f>IF(AP706="7",BH706,0)</f>
        <v>0</v>
      </c>
      <c r="AE706" s="56">
        <f>IF(AP706="2",BG706,0)</f>
        <v>0</v>
      </c>
      <c r="AF706" s="56">
        <f>IF(AP706="2",BH706,0)</f>
        <v>0</v>
      </c>
      <c r="AG706" s="56">
        <f>IF(AP706="0",BI706,0)</f>
        <v>0</v>
      </c>
      <c r="AH706" s="30" t="s">
        <v>439</v>
      </c>
      <c r="AI706" s="56">
        <f>IF(AM706=0,I706,0)</f>
        <v>0</v>
      </c>
      <c r="AJ706" s="56">
        <f>IF(AM706=15,I706,0)</f>
        <v>0</v>
      </c>
      <c r="AK706" s="56">
        <f>IF(AM706=21,I706,0)</f>
        <v>0</v>
      </c>
      <c r="AM706" s="56">
        <v>21</v>
      </c>
      <c r="AN706" s="56">
        <f>H706*0</f>
        <v>0</v>
      </c>
      <c r="AO706" s="56">
        <f>H706*(1-0)</f>
        <v>0</v>
      </c>
      <c r="AP706" s="41" t="s">
        <v>1109</v>
      </c>
      <c r="AU706" s="56">
        <f>AV706+AW706</f>
        <v>0</v>
      </c>
      <c r="AV706" s="56">
        <f>G706*AN706</f>
        <v>0</v>
      </c>
      <c r="AW706" s="56">
        <f>G706*AO706</f>
        <v>0</v>
      </c>
      <c r="AX706" s="41" t="s">
        <v>1038</v>
      </c>
      <c r="AY706" s="41" t="s">
        <v>1146</v>
      </c>
      <c r="AZ706" s="30" t="s">
        <v>1236</v>
      </c>
      <c r="BB706" s="56">
        <f>AV706+AW706</f>
        <v>0</v>
      </c>
      <c r="BC706" s="56">
        <f>H706/(100-BD706)*100</f>
        <v>0</v>
      </c>
      <c r="BD706" s="56">
        <v>0</v>
      </c>
      <c r="BE706" s="56" t="e">
        <f>#REF!</f>
        <v>#REF!</v>
      </c>
      <c r="BG706" s="56">
        <f>G706*AN706</f>
        <v>0</v>
      </c>
      <c r="BH706" s="56">
        <f>G706*AO706</f>
        <v>0</v>
      </c>
      <c r="BI706" s="56">
        <f>G706*H706</f>
        <v>0</v>
      </c>
      <c r="BJ706" s="56"/>
      <c r="BK706" s="56"/>
      <c r="BV706" s="56">
        <v>21</v>
      </c>
    </row>
    <row r="707" spans="1:74" ht="15" customHeight="1" x14ac:dyDescent="0.25">
      <c r="A707" s="27" t="s">
        <v>769</v>
      </c>
      <c r="B707" s="28" t="s">
        <v>439</v>
      </c>
      <c r="C707" s="28" t="s">
        <v>628</v>
      </c>
      <c r="D707" s="132" t="s">
        <v>606</v>
      </c>
      <c r="E707" s="133"/>
      <c r="F707" s="23" t="s">
        <v>1027</v>
      </c>
      <c r="G707" s="23" t="s">
        <v>1027</v>
      </c>
      <c r="H707" s="23" t="s">
        <v>1027</v>
      </c>
      <c r="I707" s="14">
        <f>SUM(I708:I708)</f>
        <v>0</v>
      </c>
      <c r="J707" s="44" t="s">
        <v>769</v>
      </c>
      <c r="AH707" s="30" t="s">
        <v>439</v>
      </c>
      <c r="AR707" s="14">
        <f>SUM(AI708:AI708)</f>
        <v>0</v>
      </c>
      <c r="AS707" s="14">
        <f>SUM(AJ708:AJ708)</f>
        <v>0</v>
      </c>
      <c r="AT707" s="14">
        <f>SUM(AK708:AK708)</f>
        <v>0</v>
      </c>
    </row>
    <row r="708" spans="1:74" ht="13.5" customHeight="1" x14ac:dyDescent="0.25">
      <c r="A708" s="10" t="s">
        <v>845</v>
      </c>
      <c r="B708" s="9" t="s">
        <v>439</v>
      </c>
      <c r="C708" s="9" t="s">
        <v>962</v>
      </c>
      <c r="D708" s="76" t="s">
        <v>754</v>
      </c>
      <c r="E708" s="77"/>
      <c r="F708" s="9" t="s">
        <v>517</v>
      </c>
      <c r="G708" s="56">
        <v>6.5979999999999999</v>
      </c>
      <c r="H708" s="56">
        <v>0</v>
      </c>
      <c r="I708" s="56">
        <f>G708*H708</f>
        <v>0</v>
      </c>
      <c r="J708" s="54" t="s">
        <v>501</v>
      </c>
      <c r="Y708" s="56">
        <f>IF(AP708="5",BI708,0)</f>
        <v>0</v>
      </c>
      <c r="AA708" s="56">
        <f>IF(AP708="1",BG708,0)</f>
        <v>0</v>
      </c>
      <c r="AB708" s="56">
        <f>IF(AP708="1",BH708,0)</f>
        <v>0</v>
      </c>
      <c r="AC708" s="56">
        <f>IF(AP708="7",BG708,0)</f>
        <v>0</v>
      </c>
      <c r="AD708" s="56">
        <f>IF(AP708="7",BH708,0)</f>
        <v>0</v>
      </c>
      <c r="AE708" s="56">
        <f>IF(AP708="2",BG708,0)</f>
        <v>0</v>
      </c>
      <c r="AF708" s="56">
        <f>IF(AP708="2",BH708,0)</f>
        <v>0</v>
      </c>
      <c r="AG708" s="56">
        <f>IF(AP708="0",BI708,0)</f>
        <v>0</v>
      </c>
      <c r="AH708" s="30" t="s">
        <v>439</v>
      </c>
      <c r="AI708" s="56">
        <f>IF(AM708=0,I708,0)</f>
        <v>0</v>
      </c>
      <c r="AJ708" s="56">
        <f>IF(AM708=15,I708,0)</f>
        <v>0</v>
      </c>
      <c r="AK708" s="56">
        <f>IF(AM708=21,I708,0)</f>
        <v>0</v>
      </c>
      <c r="AM708" s="56">
        <v>21</v>
      </c>
      <c r="AN708" s="56">
        <f>H708*0</f>
        <v>0</v>
      </c>
      <c r="AO708" s="56">
        <f>H708*(1-0)</f>
        <v>0</v>
      </c>
      <c r="AP708" s="41" t="s">
        <v>596</v>
      </c>
      <c r="AU708" s="56">
        <f>AV708+AW708</f>
        <v>0</v>
      </c>
      <c r="AV708" s="56">
        <f>G708*AN708</f>
        <v>0</v>
      </c>
      <c r="AW708" s="56">
        <f>G708*AO708</f>
        <v>0</v>
      </c>
      <c r="AX708" s="41" t="s">
        <v>345</v>
      </c>
      <c r="AY708" s="41" t="s">
        <v>579</v>
      </c>
      <c r="AZ708" s="30" t="s">
        <v>1236</v>
      </c>
      <c r="BB708" s="56">
        <f>AV708+AW708</f>
        <v>0</v>
      </c>
      <c r="BC708" s="56">
        <f>H708/(100-BD708)*100</f>
        <v>0</v>
      </c>
      <c r="BD708" s="56">
        <v>0</v>
      </c>
      <c r="BE708" s="56" t="e">
        <f>#REF!</f>
        <v>#REF!</v>
      </c>
      <c r="BG708" s="56">
        <f>G708*AN708</f>
        <v>0</v>
      </c>
      <c r="BH708" s="56">
        <f>G708*AO708</f>
        <v>0</v>
      </c>
      <c r="BI708" s="56">
        <f>G708*H708</f>
        <v>0</v>
      </c>
      <c r="BJ708" s="56"/>
      <c r="BK708" s="56"/>
      <c r="BV708" s="56">
        <v>21</v>
      </c>
    </row>
    <row r="709" spans="1:74" ht="15" customHeight="1" x14ac:dyDescent="0.25">
      <c r="A709" s="27" t="s">
        <v>769</v>
      </c>
      <c r="B709" s="28" t="s">
        <v>438</v>
      </c>
      <c r="C709" s="28" t="s">
        <v>769</v>
      </c>
      <c r="D709" s="132" t="s">
        <v>468</v>
      </c>
      <c r="E709" s="133"/>
      <c r="F709" s="23" t="s">
        <v>1027</v>
      </c>
      <c r="G709" s="23" t="s">
        <v>1027</v>
      </c>
      <c r="H709" s="23" t="s">
        <v>1027</v>
      </c>
      <c r="I709" s="14">
        <f>I710+I718</f>
        <v>0</v>
      </c>
      <c r="J709" s="44" t="s">
        <v>769</v>
      </c>
    </row>
    <row r="710" spans="1:74" ht="15" customHeight="1" x14ac:dyDescent="0.25">
      <c r="A710" s="27" t="s">
        <v>769</v>
      </c>
      <c r="B710" s="28" t="s">
        <v>438</v>
      </c>
      <c r="C710" s="28" t="s">
        <v>592</v>
      </c>
      <c r="D710" s="132" t="s">
        <v>670</v>
      </c>
      <c r="E710" s="133"/>
      <c r="F710" s="23" t="s">
        <v>1027</v>
      </c>
      <c r="G710" s="23" t="s">
        <v>1027</v>
      </c>
      <c r="H710" s="23" t="s">
        <v>1027</v>
      </c>
      <c r="I710" s="14">
        <f>SUM(I711:I716)</f>
        <v>0</v>
      </c>
      <c r="J710" s="44" t="s">
        <v>769</v>
      </c>
      <c r="AH710" s="30" t="s">
        <v>438</v>
      </c>
      <c r="AR710" s="14">
        <f>SUM(AI711:AI716)</f>
        <v>0</v>
      </c>
      <c r="AS710" s="14">
        <f>SUM(AJ711:AJ716)</f>
        <v>0</v>
      </c>
      <c r="AT710" s="14">
        <f>SUM(AK711:AK716)</f>
        <v>0</v>
      </c>
    </row>
    <row r="711" spans="1:74" ht="13.5" customHeight="1" x14ac:dyDescent="0.25">
      <c r="A711" s="10" t="s">
        <v>399</v>
      </c>
      <c r="B711" s="9" t="s">
        <v>438</v>
      </c>
      <c r="C711" s="9" t="s">
        <v>40</v>
      </c>
      <c r="D711" s="76" t="s">
        <v>236</v>
      </c>
      <c r="E711" s="77"/>
      <c r="F711" s="9" t="s">
        <v>853</v>
      </c>
      <c r="G711" s="56">
        <v>1</v>
      </c>
      <c r="H711" s="56">
        <v>0</v>
      </c>
      <c r="I711" s="56">
        <f t="shared" ref="I711:I716" si="0">G711*H711</f>
        <v>0</v>
      </c>
      <c r="J711" s="54" t="s">
        <v>769</v>
      </c>
      <c r="Y711" s="56">
        <f t="shared" ref="Y711:Y716" si="1">IF(AP711="5",BI711,0)</f>
        <v>0</v>
      </c>
      <c r="AA711" s="56">
        <f t="shared" ref="AA711:AA716" si="2">IF(AP711="1",BG711,0)</f>
        <v>0</v>
      </c>
      <c r="AB711" s="56">
        <f t="shared" ref="AB711:AB716" si="3">IF(AP711="1",BH711,0)</f>
        <v>0</v>
      </c>
      <c r="AC711" s="56">
        <f t="shared" ref="AC711:AC716" si="4">IF(AP711="7",BG711,0)</f>
        <v>0</v>
      </c>
      <c r="AD711" s="56">
        <f t="shared" ref="AD711:AD716" si="5">IF(AP711="7",BH711,0)</f>
        <v>0</v>
      </c>
      <c r="AE711" s="56">
        <f t="shared" ref="AE711:AE716" si="6">IF(AP711="2",BG711,0)</f>
        <v>0</v>
      </c>
      <c r="AF711" s="56">
        <f t="shared" ref="AF711:AF716" si="7">IF(AP711="2",BH711,0)</f>
        <v>0</v>
      </c>
      <c r="AG711" s="56">
        <f t="shared" ref="AG711:AG716" si="8">IF(AP711="0",BI711,0)</f>
        <v>0</v>
      </c>
      <c r="AH711" s="30" t="s">
        <v>438</v>
      </c>
      <c r="AI711" s="56">
        <f t="shared" ref="AI711:AI716" si="9">IF(AM711=0,I711,0)</f>
        <v>0</v>
      </c>
      <c r="AJ711" s="56">
        <f t="shared" ref="AJ711:AJ716" si="10">IF(AM711=15,I711,0)</f>
        <v>0</v>
      </c>
      <c r="AK711" s="56">
        <f t="shared" ref="AK711:AK716" si="11">IF(AM711=21,I711,0)</f>
        <v>0</v>
      </c>
      <c r="AM711" s="56">
        <v>21</v>
      </c>
      <c r="AN711" s="56">
        <f t="shared" ref="AN711:AN716" si="12">H711*0</f>
        <v>0</v>
      </c>
      <c r="AO711" s="56">
        <f t="shared" ref="AO711:AO716" si="13">H711*(1-0)</f>
        <v>0</v>
      </c>
      <c r="AP711" s="41" t="s">
        <v>1109</v>
      </c>
      <c r="AU711" s="56">
        <f t="shared" ref="AU711:AU716" si="14">AV711+AW711</f>
        <v>0</v>
      </c>
      <c r="AV711" s="56">
        <f t="shared" ref="AV711:AV716" si="15">G711*AN711</f>
        <v>0</v>
      </c>
      <c r="AW711" s="56">
        <f t="shared" ref="AW711:AW716" si="16">G711*AO711</f>
        <v>0</v>
      </c>
      <c r="AX711" s="41" t="s">
        <v>975</v>
      </c>
      <c r="AY711" s="41" t="s">
        <v>92</v>
      </c>
      <c r="AZ711" s="30" t="s">
        <v>1088</v>
      </c>
      <c r="BB711" s="56">
        <f t="shared" ref="BB711:BB716" si="17">AV711+AW711</f>
        <v>0</v>
      </c>
      <c r="BC711" s="56">
        <f t="shared" ref="BC711:BC716" si="18">H711/(100-BD711)*100</f>
        <v>0</v>
      </c>
      <c r="BD711" s="56">
        <v>0</v>
      </c>
      <c r="BE711" s="56" t="e">
        <f>#REF!</f>
        <v>#REF!</v>
      </c>
      <c r="BG711" s="56">
        <f t="shared" ref="BG711:BG716" si="19">G711*AN711</f>
        <v>0</v>
      </c>
      <c r="BH711" s="56">
        <f t="shared" ref="BH711:BH716" si="20">G711*AO711</f>
        <v>0</v>
      </c>
      <c r="BI711" s="56">
        <f t="shared" ref="BI711:BI716" si="21">G711*H711</f>
        <v>0</v>
      </c>
      <c r="BJ711" s="56"/>
      <c r="BK711" s="56">
        <v>0</v>
      </c>
      <c r="BV711" s="56">
        <v>21</v>
      </c>
    </row>
    <row r="712" spans="1:74" ht="13.5" customHeight="1" x14ac:dyDescent="0.25">
      <c r="A712" s="10" t="s">
        <v>428</v>
      </c>
      <c r="B712" s="9" t="s">
        <v>438</v>
      </c>
      <c r="C712" s="9" t="s">
        <v>870</v>
      </c>
      <c r="D712" s="76" t="s">
        <v>265</v>
      </c>
      <c r="E712" s="77"/>
      <c r="F712" s="9" t="s">
        <v>853</v>
      </c>
      <c r="G712" s="56">
        <v>1</v>
      </c>
      <c r="H712" s="56">
        <v>0</v>
      </c>
      <c r="I712" s="56">
        <f t="shared" si="0"/>
        <v>0</v>
      </c>
      <c r="J712" s="54" t="s">
        <v>769</v>
      </c>
      <c r="Y712" s="56">
        <f t="shared" si="1"/>
        <v>0</v>
      </c>
      <c r="AA712" s="56">
        <f t="shared" si="2"/>
        <v>0</v>
      </c>
      <c r="AB712" s="56">
        <f t="shared" si="3"/>
        <v>0</v>
      </c>
      <c r="AC712" s="56">
        <f t="shared" si="4"/>
        <v>0</v>
      </c>
      <c r="AD712" s="56">
        <f t="shared" si="5"/>
        <v>0</v>
      </c>
      <c r="AE712" s="56">
        <f t="shared" si="6"/>
        <v>0</v>
      </c>
      <c r="AF712" s="56">
        <f t="shared" si="7"/>
        <v>0</v>
      </c>
      <c r="AG712" s="56">
        <f t="shared" si="8"/>
        <v>0</v>
      </c>
      <c r="AH712" s="30" t="s">
        <v>438</v>
      </c>
      <c r="AI712" s="56">
        <f t="shared" si="9"/>
        <v>0</v>
      </c>
      <c r="AJ712" s="56">
        <f t="shared" si="10"/>
        <v>0</v>
      </c>
      <c r="AK712" s="56">
        <f t="shared" si="11"/>
        <v>0</v>
      </c>
      <c r="AM712" s="56">
        <v>21</v>
      </c>
      <c r="AN712" s="56">
        <f t="shared" si="12"/>
        <v>0</v>
      </c>
      <c r="AO712" s="56">
        <f t="shared" si="13"/>
        <v>0</v>
      </c>
      <c r="AP712" s="41" t="s">
        <v>1109</v>
      </c>
      <c r="AU712" s="56">
        <f t="shared" si="14"/>
        <v>0</v>
      </c>
      <c r="AV712" s="56">
        <f t="shared" si="15"/>
        <v>0</v>
      </c>
      <c r="AW712" s="56">
        <f t="shared" si="16"/>
        <v>0</v>
      </c>
      <c r="AX712" s="41" t="s">
        <v>975</v>
      </c>
      <c r="AY712" s="41" t="s">
        <v>92</v>
      </c>
      <c r="AZ712" s="30" t="s">
        <v>1088</v>
      </c>
      <c r="BB712" s="56">
        <f t="shared" si="17"/>
        <v>0</v>
      </c>
      <c r="BC712" s="56">
        <f t="shared" si="18"/>
        <v>0</v>
      </c>
      <c r="BD712" s="56">
        <v>0</v>
      </c>
      <c r="BE712" s="56" t="e">
        <f>#REF!</f>
        <v>#REF!</v>
      </c>
      <c r="BG712" s="56">
        <f t="shared" si="19"/>
        <v>0</v>
      </c>
      <c r="BH712" s="56">
        <f t="shared" si="20"/>
        <v>0</v>
      </c>
      <c r="BI712" s="56">
        <f t="shared" si="21"/>
        <v>0</v>
      </c>
      <c r="BJ712" s="56"/>
      <c r="BK712" s="56">
        <v>0</v>
      </c>
      <c r="BV712" s="56">
        <v>21</v>
      </c>
    </row>
    <row r="713" spans="1:74" ht="13.5" customHeight="1" x14ac:dyDescent="0.25">
      <c r="A713" s="10" t="s">
        <v>1119</v>
      </c>
      <c r="B713" s="9" t="s">
        <v>438</v>
      </c>
      <c r="C713" s="9" t="s">
        <v>1191</v>
      </c>
      <c r="D713" s="76" t="s">
        <v>354</v>
      </c>
      <c r="E713" s="77"/>
      <c r="F713" s="9" t="s">
        <v>853</v>
      </c>
      <c r="G713" s="56">
        <v>1</v>
      </c>
      <c r="H713" s="56">
        <v>0</v>
      </c>
      <c r="I713" s="56">
        <f t="shared" si="0"/>
        <v>0</v>
      </c>
      <c r="J713" s="54" t="s">
        <v>769</v>
      </c>
      <c r="Y713" s="56">
        <f t="shared" si="1"/>
        <v>0</v>
      </c>
      <c r="AA713" s="56">
        <f t="shared" si="2"/>
        <v>0</v>
      </c>
      <c r="AB713" s="56">
        <f t="shared" si="3"/>
        <v>0</v>
      </c>
      <c r="AC713" s="56">
        <f t="shared" si="4"/>
        <v>0</v>
      </c>
      <c r="AD713" s="56">
        <f t="shared" si="5"/>
        <v>0</v>
      </c>
      <c r="AE713" s="56">
        <f t="shared" si="6"/>
        <v>0</v>
      </c>
      <c r="AF713" s="56">
        <f t="shared" si="7"/>
        <v>0</v>
      </c>
      <c r="AG713" s="56">
        <f t="shared" si="8"/>
        <v>0</v>
      </c>
      <c r="AH713" s="30" t="s">
        <v>438</v>
      </c>
      <c r="AI713" s="56">
        <f t="shared" si="9"/>
        <v>0</v>
      </c>
      <c r="AJ713" s="56">
        <f t="shared" si="10"/>
        <v>0</v>
      </c>
      <c r="AK713" s="56">
        <f t="shared" si="11"/>
        <v>0</v>
      </c>
      <c r="AM713" s="56">
        <v>21</v>
      </c>
      <c r="AN713" s="56">
        <f t="shared" si="12"/>
        <v>0</v>
      </c>
      <c r="AO713" s="56">
        <f t="shared" si="13"/>
        <v>0</v>
      </c>
      <c r="AP713" s="41" t="s">
        <v>1109</v>
      </c>
      <c r="AU713" s="56">
        <f t="shared" si="14"/>
        <v>0</v>
      </c>
      <c r="AV713" s="56">
        <f t="shared" si="15"/>
        <v>0</v>
      </c>
      <c r="AW713" s="56">
        <f t="shared" si="16"/>
        <v>0</v>
      </c>
      <c r="AX713" s="41" t="s">
        <v>975</v>
      </c>
      <c r="AY713" s="41" t="s">
        <v>92</v>
      </c>
      <c r="AZ713" s="30" t="s">
        <v>1088</v>
      </c>
      <c r="BB713" s="56">
        <f t="shared" si="17"/>
        <v>0</v>
      </c>
      <c r="BC713" s="56">
        <f t="shared" si="18"/>
        <v>0</v>
      </c>
      <c r="BD713" s="56">
        <v>0</v>
      </c>
      <c r="BE713" s="56" t="e">
        <f>#REF!</f>
        <v>#REF!</v>
      </c>
      <c r="BG713" s="56">
        <f t="shared" si="19"/>
        <v>0</v>
      </c>
      <c r="BH713" s="56">
        <f t="shared" si="20"/>
        <v>0</v>
      </c>
      <c r="BI713" s="56">
        <f t="shared" si="21"/>
        <v>0</v>
      </c>
      <c r="BJ713" s="56"/>
      <c r="BK713" s="56">
        <v>0</v>
      </c>
      <c r="BV713" s="56">
        <v>21</v>
      </c>
    </row>
    <row r="714" spans="1:74" ht="13.5" customHeight="1" x14ac:dyDescent="0.25">
      <c r="A714" s="10" t="s">
        <v>260</v>
      </c>
      <c r="B714" s="9" t="s">
        <v>438</v>
      </c>
      <c r="C714" s="9" t="s">
        <v>331</v>
      </c>
      <c r="D714" s="76" t="s">
        <v>499</v>
      </c>
      <c r="E714" s="77"/>
      <c r="F714" s="9" t="s">
        <v>853</v>
      </c>
      <c r="G714" s="56">
        <v>1</v>
      </c>
      <c r="H714" s="56">
        <v>0</v>
      </c>
      <c r="I714" s="56">
        <f t="shared" si="0"/>
        <v>0</v>
      </c>
      <c r="J714" s="54" t="s">
        <v>422</v>
      </c>
      <c r="Y714" s="56">
        <f t="shared" si="1"/>
        <v>0</v>
      </c>
      <c r="AA714" s="56">
        <f t="shared" si="2"/>
        <v>0</v>
      </c>
      <c r="AB714" s="56">
        <f t="shared" si="3"/>
        <v>0</v>
      </c>
      <c r="AC714" s="56">
        <f t="shared" si="4"/>
        <v>0</v>
      </c>
      <c r="AD714" s="56">
        <f t="shared" si="5"/>
        <v>0</v>
      </c>
      <c r="AE714" s="56">
        <f t="shared" si="6"/>
        <v>0</v>
      </c>
      <c r="AF714" s="56">
        <f t="shared" si="7"/>
        <v>0</v>
      </c>
      <c r="AG714" s="56">
        <f t="shared" si="8"/>
        <v>0</v>
      </c>
      <c r="AH714" s="30" t="s">
        <v>438</v>
      </c>
      <c r="AI714" s="56">
        <f t="shared" si="9"/>
        <v>0</v>
      </c>
      <c r="AJ714" s="56">
        <f t="shared" si="10"/>
        <v>0</v>
      </c>
      <c r="AK714" s="56">
        <f t="shared" si="11"/>
        <v>0</v>
      </c>
      <c r="AM714" s="56">
        <v>21</v>
      </c>
      <c r="AN714" s="56">
        <f t="shared" si="12"/>
        <v>0</v>
      </c>
      <c r="AO714" s="56">
        <f t="shared" si="13"/>
        <v>0</v>
      </c>
      <c r="AP714" s="41" t="s">
        <v>1109</v>
      </c>
      <c r="AU714" s="56">
        <f t="shared" si="14"/>
        <v>0</v>
      </c>
      <c r="AV714" s="56">
        <f t="shared" si="15"/>
        <v>0</v>
      </c>
      <c r="AW714" s="56">
        <f t="shared" si="16"/>
        <v>0</v>
      </c>
      <c r="AX714" s="41" t="s">
        <v>975</v>
      </c>
      <c r="AY714" s="41" t="s">
        <v>92</v>
      </c>
      <c r="AZ714" s="30" t="s">
        <v>1088</v>
      </c>
      <c r="BB714" s="56">
        <f t="shared" si="17"/>
        <v>0</v>
      </c>
      <c r="BC714" s="56">
        <f t="shared" si="18"/>
        <v>0</v>
      </c>
      <c r="BD714" s="56">
        <v>0</v>
      </c>
      <c r="BE714" s="56" t="e">
        <f>#REF!</f>
        <v>#REF!</v>
      </c>
      <c r="BG714" s="56">
        <f t="shared" si="19"/>
        <v>0</v>
      </c>
      <c r="BH714" s="56">
        <f t="shared" si="20"/>
        <v>0</v>
      </c>
      <c r="BI714" s="56">
        <f t="shared" si="21"/>
        <v>0</v>
      </c>
      <c r="BJ714" s="56"/>
      <c r="BK714" s="56">
        <v>0</v>
      </c>
      <c r="BV714" s="56">
        <v>21</v>
      </c>
    </row>
    <row r="715" spans="1:74" ht="13.5" customHeight="1" x14ac:dyDescent="0.25">
      <c r="A715" s="10" t="s">
        <v>13</v>
      </c>
      <c r="B715" s="9" t="s">
        <v>438</v>
      </c>
      <c r="C715" s="9" t="s">
        <v>793</v>
      </c>
      <c r="D715" s="76" t="s">
        <v>619</v>
      </c>
      <c r="E715" s="77"/>
      <c r="F715" s="9" t="s">
        <v>853</v>
      </c>
      <c r="G715" s="56">
        <v>1</v>
      </c>
      <c r="H715" s="56">
        <v>0</v>
      </c>
      <c r="I715" s="56">
        <f t="shared" si="0"/>
        <v>0</v>
      </c>
      <c r="J715" s="54" t="s">
        <v>422</v>
      </c>
      <c r="Y715" s="56">
        <f t="shared" si="1"/>
        <v>0</v>
      </c>
      <c r="AA715" s="56">
        <f t="shared" si="2"/>
        <v>0</v>
      </c>
      <c r="AB715" s="56">
        <f t="shared" si="3"/>
        <v>0</v>
      </c>
      <c r="AC715" s="56">
        <f t="shared" si="4"/>
        <v>0</v>
      </c>
      <c r="AD715" s="56">
        <f t="shared" si="5"/>
        <v>0</v>
      </c>
      <c r="AE715" s="56">
        <f t="shared" si="6"/>
        <v>0</v>
      </c>
      <c r="AF715" s="56">
        <f t="shared" si="7"/>
        <v>0</v>
      </c>
      <c r="AG715" s="56">
        <f t="shared" si="8"/>
        <v>0</v>
      </c>
      <c r="AH715" s="30" t="s">
        <v>438</v>
      </c>
      <c r="AI715" s="56">
        <f t="shared" si="9"/>
        <v>0</v>
      </c>
      <c r="AJ715" s="56">
        <f t="shared" si="10"/>
        <v>0</v>
      </c>
      <c r="AK715" s="56">
        <f t="shared" si="11"/>
        <v>0</v>
      </c>
      <c r="AM715" s="56">
        <v>21</v>
      </c>
      <c r="AN715" s="56">
        <f t="shared" si="12"/>
        <v>0</v>
      </c>
      <c r="AO715" s="56">
        <f t="shared" si="13"/>
        <v>0</v>
      </c>
      <c r="AP715" s="41" t="s">
        <v>1109</v>
      </c>
      <c r="AU715" s="56">
        <f t="shared" si="14"/>
        <v>0</v>
      </c>
      <c r="AV715" s="56">
        <f t="shared" si="15"/>
        <v>0</v>
      </c>
      <c r="AW715" s="56">
        <f t="shared" si="16"/>
        <v>0</v>
      </c>
      <c r="AX715" s="41" t="s">
        <v>975</v>
      </c>
      <c r="AY715" s="41" t="s">
        <v>92</v>
      </c>
      <c r="AZ715" s="30" t="s">
        <v>1088</v>
      </c>
      <c r="BB715" s="56">
        <f t="shared" si="17"/>
        <v>0</v>
      </c>
      <c r="BC715" s="56">
        <f t="shared" si="18"/>
        <v>0</v>
      </c>
      <c r="BD715" s="56">
        <v>0</v>
      </c>
      <c r="BE715" s="56" t="e">
        <f>#REF!</f>
        <v>#REF!</v>
      </c>
      <c r="BG715" s="56">
        <f t="shared" si="19"/>
        <v>0</v>
      </c>
      <c r="BH715" s="56">
        <f t="shared" si="20"/>
        <v>0</v>
      </c>
      <c r="BI715" s="56">
        <f t="shared" si="21"/>
        <v>0</v>
      </c>
      <c r="BJ715" s="56"/>
      <c r="BK715" s="56">
        <v>0</v>
      </c>
      <c r="BV715" s="56">
        <v>21</v>
      </c>
    </row>
    <row r="716" spans="1:74" ht="13.5" customHeight="1" x14ac:dyDescent="0.25">
      <c r="A716" s="10" t="s">
        <v>268</v>
      </c>
      <c r="B716" s="9" t="s">
        <v>438</v>
      </c>
      <c r="C716" s="9" t="s">
        <v>210</v>
      </c>
      <c r="D716" s="76" t="s">
        <v>550</v>
      </c>
      <c r="E716" s="77"/>
      <c r="F716" s="9" t="s">
        <v>853</v>
      </c>
      <c r="G716" s="56">
        <v>1</v>
      </c>
      <c r="H716" s="56">
        <v>0</v>
      </c>
      <c r="I716" s="56">
        <f t="shared" si="0"/>
        <v>0</v>
      </c>
      <c r="J716" s="54" t="s">
        <v>422</v>
      </c>
      <c r="Y716" s="56">
        <f t="shared" si="1"/>
        <v>0</v>
      </c>
      <c r="AA716" s="56">
        <f t="shared" si="2"/>
        <v>0</v>
      </c>
      <c r="AB716" s="56">
        <f t="shared" si="3"/>
        <v>0</v>
      </c>
      <c r="AC716" s="56">
        <f t="shared" si="4"/>
        <v>0</v>
      </c>
      <c r="AD716" s="56">
        <f t="shared" si="5"/>
        <v>0</v>
      </c>
      <c r="AE716" s="56">
        <f t="shared" si="6"/>
        <v>0</v>
      </c>
      <c r="AF716" s="56">
        <f t="shared" si="7"/>
        <v>0</v>
      </c>
      <c r="AG716" s="56">
        <f t="shared" si="8"/>
        <v>0</v>
      </c>
      <c r="AH716" s="30" t="s">
        <v>438</v>
      </c>
      <c r="AI716" s="56">
        <f t="shared" si="9"/>
        <v>0</v>
      </c>
      <c r="AJ716" s="56">
        <f t="shared" si="10"/>
        <v>0</v>
      </c>
      <c r="AK716" s="56">
        <f t="shared" si="11"/>
        <v>0</v>
      </c>
      <c r="AM716" s="56">
        <v>21</v>
      </c>
      <c r="AN716" s="56">
        <f t="shared" si="12"/>
        <v>0</v>
      </c>
      <c r="AO716" s="56">
        <f t="shared" si="13"/>
        <v>0</v>
      </c>
      <c r="AP716" s="41" t="s">
        <v>1109</v>
      </c>
      <c r="AU716" s="56">
        <f t="shared" si="14"/>
        <v>0</v>
      </c>
      <c r="AV716" s="56">
        <f t="shared" si="15"/>
        <v>0</v>
      </c>
      <c r="AW716" s="56">
        <f t="shared" si="16"/>
        <v>0</v>
      </c>
      <c r="AX716" s="41" t="s">
        <v>975</v>
      </c>
      <c r="AY716" s="41" t="s">
        <v>92</v>
      </c>
      <c r="AZ716" s="30" t="s">
        <v>1088</v>
      </c>
      <c r="BB716" s="56">
        <f t="shared" si="17"/>
        <v>0</v>
      </c>
      <c r="BC716" s="56">
        <f t="shared" si="18"/>
        <v>0</v>
      </c>
      <c r="BD716" s="56">
        <v>0</v>
      </c>
      <c r="BE716" s="56" t="e">
        <f>#REF!</f>
        <v>#REF!</v>
      </c>
      <c r="BG716" s="56">
        <f t="shared" si="19"/>
        <v>0</v>
      </c>
      <c r="BH716" s="56">
        <f t="shared" si="20"/>
        <v>0</v>
      </c>
      <c r="BI716" s="56">
        <f t="shared" si="21"/>
        <v>0</v>
      </c>
      <c r="BJ716" s="56"/>
      <c r="BK716" s="56">
        <v>0</v>
      </c>
      <c r="BV716" s="56">
        <v>21</v>
      </c>
    </row>
    <row r="717" spans="1:74" ht="15" customHeight="1" x14ac:dyDescent="0.25">
      <c r="A717" s="27" t="s">
        <v>769</v>
      </c>
      <c r="B717" s="28" t="s">
        <v>438</v>
      </c>
      <c r="C717" s="28" t="s">
        <v>769</v>
      </c>
      <c r="D717" s="132" t="s">
        <v>655</v>
      </c>
      <c r="E717" s="133"/>
      <c r="F717" s="23" t="s">
        <v>1027</v>
      </c>
      <c r="G717" s="23" t="s">
        <v>1027</v>
      </c>
      <c r="H717" s="23" t="s">
        <v>1027</v>
      </c>
      <c r="I717" s="14">
        <f>I718</f>
        <v>0</v>
      </c>
      <c r="J717" s="44" t="s">
        <v>769</v>
      </c>
      <c r="AH717" s="30" t="s">
        <v>438</v>
      </c>
    </row>
    <row r="718" spans="1:74" ht="15" customHeight="1" x14ac:dyDescent="0.25">
      <c r="A718" s="27" t="s">
        <v>769</v>
      </c>
      <c r="B718" s="28" t="s">
        <v>438</v>
      </c>
      <c r="C718" s="28" t="s">
        <v>62</v>
      </c>
      <c r="D718" s="132" t="s">
        <v>118</v>
      </c>
      <c r="E718" s="133"/>
      <c r="F718" s="23" t="s">
        <v>1027</v>
      </c>
      <c r="G718" s="23" t="s">
        <v>1027</v>
      </c>
      <c r="H718" s="23" t="s">
        <v>1027</v>
      </c>
      <c r="I718" s="14">
        <f>SUM(I719:I720)</f>
        <v>0</v>
      </c>
      <c r="J718" s="44" t="s">
        <v>769</v>
      </c>
      <c r="AH718" s="30" t="s">
        <v>438</v>
      </c>
      <c r="AR718" s="14">
        <f>SUM(AI719:AI720)</f>
        <v>0</v>
      </c>
      <c r="AS718" s="14">
        <f>SUM(AJ719:AJ720)</f>
        <v>0</v>
      </c>
      <c r="AT718" s="14">
        <f>SUM(AK719:AK720)</f>
        <v>0</v>
      </c>
    </row>
    <row r="719" spans="1:74" ht="13.5" customHeight="1" x14ac:dyDescent="0.25">
      <c r="A719" s="10" t="s">
        <v>337</v>
      </c>
      <c r="B719" s="9" t="s">
        <v>438</v>
      </c>
      <c r="C719" s="9" t="s">
        <v>730</v>
      </c>
      <c r="D719" s="76" t="s">
        <v>118</v>
      </c>
      <c r="E719" s="77"/>
      <c r="F719" s="9" t="s">
        <v>853</v>
      </c>
      <c r="G719" s="56">
        <v>1</v>
      </c>
      <c r="H719" s="56">
        <v>0</v>
      </c>
      <c r="I719" s="56">
        <f>G719*H719</f>
        <v>0</v>
      </c>
      <c r="J719" s="54" t="s">
        <v>501</v>
      </c>
      <c r="Y719" s="56">
        <f>IF(AP719="5",BI719,0)</f>
        <v>0</v>
      </c>
      <c r="AA719" s="56">
        <f>IF(AP719="1",BG719,0)</f>
        <v>0</v>
      </c>
      <c r="AB719" s="56">
        <f>IF(AP719="1",BH719,0)</f>
        <v>0</v>
      </c>
      <c r="AC719" s="56">
        <f>IF(AP719="7",BG719,0)</f>
        <v>0</v>
      </c>
      <c r="AD719" s="56">
        <f>IF(AP719="7",BH719,0)</f>
        <v>0</v>
      </c>
      <c r="AE719" s="56">
        <f>IF(AP719="2",BG719,0)</f>
        <v>0</v>
      </c>
      <c r="AF719" s="56">
        <f>IF(AP719="2",BH719,0)</f>
        <v>0</v>
      </c>
      <c r="AG719" s="56">
        <f>IF(AP719="0",BI719,0)</f>
        <v>0</v>
      </c>
      <c r="AH719" s="30" t="s">
        <v>438</v>
      </c>
      <c r="AI719" s="56">
        <f>IF(AM719=0,I719,0)</f>
        <v>0</v>
      </c>
      <c r="AJ719" s="56">
        <f>IF(AM719=15,I719,0)</f>
        <v>0</v>
      </c>
      <c r="AK719" s="56">
        <f>IF(AM719=21,I719,0)</f>
        <v>0</v>
      </c>
      <c r="AM719" s="56">
        <v>21</v>
      </c>
      <c r="AN719" s="56">
        <f>H719*0</f>
        <v>0</v>
      </c>
      <c r="AO719" s="56">
        <f>H719*(1-0)</f>
        <v>0</v>
      </c>
      <c r="AP719" s="41" t="s">
        <v>528</v>
      </c>
      <c r="AU719" s="56">
        <f>AV719+AW719</f>
        <v>0</v>
      </c>
      <c r="AV719" s="56">
        <f>G719*AN719</f>
        <v>0</v>
      </c>
      <c r="AW719" s="56">
        <f>G719*AO719</f>
        <v>0</v>
      </c>
      <c r="AX719" s="41" t="s">
        <v>255</v>
      </c>
      <c r="AY719" s="41" t="s">
        <v>160</v>
      </c>
      <c r="AZ719" s="30" t="s">
        <v>1088</v>
      </c>
      <c r="BB719" s="56">
        <f>AV719+AW719</f>
        <v>0</v>
      </c>
      <c r="BC719" s="56">
        <f>H719/(100-BD719)*100</f>
        <v>0</v>
      </c>
      <c r="BD719" s="56">
        <v>0</v>
      </c>
      <c r="BE719" s="56" t="e">
        <f>#REF!</f>
        <v>#REF!</v>
      </c>
      <c r="BG719" s="56">
        <f>G719*AN719</f>
        <v>0</v>
      </c>
      <c r="BH719" s="56">
        <f>G719*AO719</f>
        <v>0</v>
      </c>
      <c r="BI719" s="56">
        <f>G719*H719</f>
        <v>0</v>
      </c>
      <c r="BJ719" s="56"/>
      <c r="BK719" s="56"/>
      <c r="BN719" s="56">
        <f>G719*H719</f>
        <v>0</v>
      </c>
      <c r="BV719" s="56">
        <v>21</v>
      </c>
    </row>
    <row r="720" spans="1:74" ht="13.5" customHeight="1" x14ac:dyDescent="0.25">
      <c r="A720" s="45" t="s">
        <v>1197</v>
      </c>
      <c r="B720" s="22" t="s">
        <v>438</v>
      </c>
      <c r="C720" s="22" t="s">
        <v>1051</v>
      </c>
      <c r="D720" s="134" t="s">
        <v>841</v>
      </c>
      <c r="E720" s="106"/>
      <c r="F720" s="22" t="s">
        <v>853</v>
      </c>
      <c r="G720" s="12">
        <v>1</v>
      </c>
      <c r="H720" s="12">
        <v>0</v>
      </c>
      <c r="I720" s="12">
        <f>G720*H720</f>
        <v>0</v>
      </c>
      <c r="J720" s="33" t="s">
        <v>422</v>
      </c>
      <c r="Y720" s="56">
        <f>IF(AP720="5",BI720,0)</f>
        <v>0</v>
      </c>
      <c r="AA720" s="56">
        <f>IF(AP720="1",BG720,0)</f>
        <v>0</v>
      </c>
      <c r="AB720" s="56">
        <f>IF(AP720="1",BH720,0)</f>
        <v>0</v>
      </c>
      <c r="AC720" s="56">
        <f>IF(AP720="7",BG720,0)</f>
        <v>0</v>
      </c>
      <c r="AD720" s="56">
        <f>IF(AP720="7",BH720,0)</f>
        <v>0</v>
      </c>
      <c r="AE720" s="56">
        <f>IF(AP720="2",BG720,0)</f>
        <v>0</v>
      </c>
      <c r="AF720" s="56">
        <f>IF(AP720="2",BH720,0)</f>
        <v>0</v>
      </c>
      <c r="AG720" s="56">
        <f>IF(AP720="0",BI720,0)</f>
        <v>0</v>
      </c>
      <c r="AH720" s="30" t="s">
        <v>438</v>
      </c>
      <c r="AI720" s="56">
        <f>IF(AM720=0,I720,0)</f>
        <v>0</v>
      </c>
      <c r="AJ720" s="56">
        <f>IF(AM720=15,I720,0)</f>
        <v>0</v>
      </c>
      <c r="AK720" s="56">
        <f>IF(AM720=21,I720,0)</f>
        <v>0</v>
      </c>
      <c r="AM720" s="56">
        <v>21</v>
      </c>
      <c r="AN720" s="56">
        <f>H720*0</f>
        <v>0</v>
      </c>
      <c r="AO720" s="56">
        <f>H720*(1-0)</f>
        <v>0</v>
      </c>
      <c r="AP720" s="41" t="s">
        <v>1109</v>
      </c>
      <c r="AU720" s="56">
        <f>AV720+AW720</f>
        <v>0</v>
      </c>
      <c r="AV720" s="56">
        <f>G720*AN720</f>
        <v>0</v>
      </c>
      <c r="AW720" s="56">
        <f>G720*AO720</f>
        <v>0</v>
      </c>
      <c r="AX720" s="41" t="s">
        <v>255</v>
      </c>
      <c r="AY720" s="41" t="s">
        <v>160</v>
      </c>
      <c r="AZ720" s="30" t="s">
        <v>1088</v>
      </c>
      <c r="BB720" s="56">
        <f>AV720+AW720</f>
        <v>0</v>
      </c>
      <c r="BC720" s="56">
        <f>H720/(100-BD720)*100</f>
        <v>0</v>
      </c>
      <c r="BD720" s="56">
        <v>0</v>
      </c>
      <c r="BE720" s="56" t="e">
        <f>#REF!</f>
        <v>#REF!</v>
      </c>
      <c r="BG720" s="56">
        <f>G720*AN720</f>
        <v>0</v>
      </c>
      <c r="BH720" s="56">
        <f>G720*AO720</f>
        <v>0</v>
      </c>
      <c r="BI720" s="56">
        <f>G720*H720</f>
        <v>0</v>
      </c>
      <c r="BJ720" s="56"/>
      <c r="BK720" s="56"/>
      <c r="BN720" s="56">
        <f>G720*H720</f>
        <v>0</v>
      </c>
      <c r="BV720" s="56">
        <v>21</v>
      </c>
    </row>
    <row r="721" spans="1:10" ht="15" customHeight="1" x14ac:dyDescent="0.25">
      <c r="I721" s="34">
        <f>ROUND(I13+I34+I39+I53+I60+I65+I87+I90+I98+I120+I127+I135+I164+I227+I279+I289+I292+I299+I316+I318+I321+I332+I346+I349+I357+I361+I366+I371+I385+I389+I397+I401+I404+I420+I453+I492+I502+I505+I511+I513+I515+I518+I529+I540+I546+I554+I561+I566+I587+I590+I597+I610+I618+I628+I633+I637+I643+I645+I654+I657+I662+I667+I673+I678+I683+I686+I690+I693+I697+I705+I707+I710+I718,1)</f>
        <v>0</v>
      </c>
    </row>
    <row r="722" spans="1:10" ht="15" customHeight="1" x14ac:dyDescent="0.25">
      <c r="A722" s="46" t="s">
        <v>101</v>
      </c>
    </row>
    <row r="723" spans="1:10" ht="12.75" customHeight="1" x14ac:dyDescent="0.25">
      <c r="A723" s="76" t="s">
        <v>769</v>
      </c>
      <c r="B723" s="77"/>
      <c r="C723" s="77"/>
      <c r="D723" s="77"/>
      <c r="E723" s="77"/>
      <c r="F723" s="77"/>
      <c r="G723" s="77"/>
      <c r="H723" s="77"/>
      <c r="I723" s="77"/>
      <c r="J723" s="77"/>
    </row>
  </sheetData>
  <mergeCells count="463">
    <mergeCell ref="A1:J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D11:E11"/>
    <mergeCell ref="D12:E12"/>
    <mergeCell ref="D13:E13"/>
    <mergeCell ref="D14:E14"/>
    <mergeCell ref="D15:E15"/>
    <mergeCell ref="D16:E16"/>
    <mergeCell ref="H8:H9"/>
    <mergeCell ref="J2:J3"/>
    <mergeCell ref="J4:J5"/>
    <mergeCell ref="J6:J7"/>
    <mergeCell ref="J8:J9"/>
    <mergeCell ref="D10:E10"/>
    <mergeCell ref="I4:I5"/>
    <mergeCell ref="I6:I7"/>
    <mergeCell ref="I8:I9"/>
    <mergeCell ref="D2:E3"/>
    <mergeCell ref="D4:E5"/>
    <mergeCell ref="D6:E7"/>
    <mergeCell ref="D8:E9"/>
    <mergeCell ref="H2:H3"/>
    <mergeCell ref="H4:H5"/>
    <mergeCell ref="H6:H7"/>
    <mergeCell ref="D30:E30"/>
    <mergeCell ref="D32:E32"/>
    <mergeCell ref="D33:J33"/>
    <mergeCell ref="D34:E34"/>
    <mergeCell ref="D35:E35"/>
    <mergeCell ref="D37:E37"/>
    <mergeCell ref="D17:E17"/>
    <mergeCell ref="D22:E22"/>
    <mergeCell ref="D24:E24"/>
    <mergeCell ref="D26:E26"/>
    <mergeCell ref="D27:E27"/>
    <mergeCell ref="D28:J28"/>
    <mergeCell ref="D54:E54"/>
    <mergeCell ref="D59:E59"/>
    <mergeCell ref="D60:E60"/>
    <mergeCell ref="D61:E61"/>
    <mergeCell ref="D63:E63"/>
    <mergeCell ref="D65:E65"/>
    <mergeCell ref="D39:E39"/>
    <mergeCell ref="D40:E40"/>
    <mergeCell ref="D46:E46"/>
    <mergeCell ref="D48:E48"/>
    <mergeCell ref="D51:E51"/>
    <mergeCell ref="D53:E53"/>
    <mergeCell ref="D87:E87"/>
    <mergeCell ref="D88:E88"/>
    <mergeCell ref="D89:E89"/>
    <mergeCell ref="D90:E90"/>
    <mergeCell ref="D91:E91"/>
    <mergeCell ref="D98:E98"/>
    <mergeCell ref="D66:E66"/>
    <mergeCell ref="D67:E67"/>
    <mergeCell ref="D68:E68"/>
    <mergeCell ref="D75:E75"/>
    <mergeCell ref="D77:E77"/>
    <mergeCell ref="D78:J78"/>
    <mergeCell ref="D113:E113"/>
    <mergeCell ref="D116:E116"/>
    <mergeCell ref="D117:J117"/>
    <mergeCell ref="D120:E120"/>
    <mergeCell ref="D121:E121"/>
    <mergeCell ref="D124:E124"/>
    <mergeCell ref="D99:E99"/>
    <mergeCell ref="D100:J100"/>
    <mergeCell ref="D105:E105"/>
    <mergeCell ref="D106:J106"/>
    <mergeCell ref="D108:E108"/>
    <mergeCell ref="D109:J109"/>
    <mergeCell ref="D135:E135"/>
    <mergeCell ref="D136:E136"/>
    <mergeCell ref="D137:E137"/>
    <mergeCell ref="D139:E139"/>
    <mergeCell ref="D141:E141"/>
    <mergeCell ref="D143:E143"/>
    <mergeCell ref="D127:E127"/>
    <mergeCell ref="D128:E128"/>
    <mergeCell ref="D129:E129"/>
    <mergeCell ref="D131:E131"/>
    <mergeCell ref="D132:E132"/>
    <mergeCell ref="D134:E134"/>
    <mergeCell ref="D153:E153"/>
    <mergeCell ref="D155:E155"/>
    <mergeCell ref="D156:E156"/>
    <mergeCell ref="D158:E158"/>
    <mergeCell ref="D160:E160"/>
    <mergeCell ref="D162:E162"/>
    <mergeCell ref="D144:E144"/>
    <mergeCell ref="D146:E146"/>
    <mergeCell ref="D147:E147"/>
    <mergeCell ref="D149:E149"/>
    <mergeCell ref="D151:E151"/>
    <mergeCell ref="D152:J152"/>
    <mergeCell ref="D173:E173"/>
    <mergeCell ref="D175:E175"/>
    <mergeCell ref="D176:J176"/>
    <mergeCell ref="D178:E178"/>
    <mergeCell ref="D179:E179"/>
    <mergeCell ref="D181:E181"/>
    <mergeCell ref="D164:E164"/>
    <mergeCell ref="D165:E165"/>
    <mergeCell ref="D166:E166"/>
    <mergeCell ref="D168:E168"/>
    <mergeCell ref="D170:E170"/>
    <mergeCell ref="D171:E171"/>
    <mergeCell ref="D191:E191"/>
    <mergeCell ref="D193:E193"/>
    <mergeCell ref="D194:E194"/>
    <mergeCell ref="D196:E196"/>
    <mergeCell ref="D197:E197"/>
    <mergeCell ref="D199:E199"/>
    <mergeCell ref="D182:E182"/>
    <mergeCell ref="D184:E184"/>
    <mergeCell ref="D185:E185"/>
    <mergeCell ref="D187:E187"/>
    <mergeCell ref="D188:E188"/>
    <mergeCell ref="D190:E190"/>
    <mergeCell ref="D210:E210"/>
    <mergeCell ref="D212:E212"/>
    <mergeCell ref="D214:E214"/>
    <mergeCell ref="D216:E216"/>
    <mergeCell ref="D217:J217"/>
    <mergeCell ref="D219:E219"/>
    <mergeCell ref="D200:E200"/>
    <mergeCell ref="D202:E202"/>
    <mergeCell ref="D204:E204"/>
    <mergeCell ref="D205:E205"/>
    <mergeCell ref="D207:E207"/>
    <mergeCell ref="D209:E209"/>
    <mergeCell ref="D231:E231"/>
    <mergeCell ref="D232:E232"/>
    <mergeCell ref="D234:E234"/>
    <mergeCell ref="D236:E236"/>
    <mergeCell ref="D237:E237"/>
    <mergeCell ref="D239:E239"/>
    <mergeCell ref="D221:E221"/>
    <mergeCell ref="D223:E223"/>
    <mergeCell ref="D225:E225"/>
    <mergeCell ref="D227:E227"/>
    <mergeCell ref="D228:E228"/>
    <mergeCell ref="D229:E229"/>
    <mergeCell ref="D249:J249"/>
    <mergeCell ref="D251:E251"/>
    <mergeCell ref="D253:E253"/>
    <mergeCell ref="D254:E254"/>
    <mergeCell ref="D255:E255"/>
    <mergeCell ref="D256:E256"/>
    <mergeCell ref="D240:E240"/>
    <mergeCell ref="D242:E242"/>
    <mergeCell ref="D243:E243"/>
    <mergeCell ref="D245:E245"/>
    <mergeCell ref="D246:E246"/>
    <mergeCell ref="D248:E248"/>
    <mergeCell ref="D268:E268"/>
    <mergeCell ref="D270:E270"/>
    <mergeCell ref="D272:E272"/>
    <mergeCell ref="D274:E274"/>
    <mergeCell ref="D276:E276"/>
    <mergeCell ref="D277:J277"/>
    <mergeCell ref="D258:E258"/>
    <mergeCell ref="D260:E260"/>
    <mergeCell ref="D261:E261"/>
    <mergeCell ref="D263:E263"/>
    <mergeCell ref="D265:E265"/>
    <mergeCell ref="D266:E266"/>
    <mergeCell ref="D290:E290"/>
    <mergeCell ref="D292:E292"/>
    <mergeCell ref="D293:E293"/>
    <mergeCell ref="D294:E294"/>
    <mergeCell ref="D295:E295"/>
    <mergeCell ref="D297:E297"/>
    <mergeCell ref="D279:E279"/>
    <mergeCell ref="D280:E280"/>
    <mergeCell ref="D282:E282"/>
    <mergeCell ref="D284:E284"/>
    <mergeCell ref="D286:E286"/>
    <mergeCell ref="D289:E289"/>
    <mergeCell ref="D306:J306"/>
    <mergeCell ref="D307:E307"/>
    <mergeCell ref="D308:J308"/>
    <mergeCell ref="D309:E309"/>
    <mergeCell ref="D310:J310"/>
    <mergeCell ref="D311:E311"/>
    <mergeCell ref="D298:E298"/>
    <mergeCell ref="D299:E299"/>
    <mergeCell ref="D300:E300"/>
    <mergeCell ref="D303:E303"/>
    <mergeCell ref="D304:E304"/>
    <mergeCell ref="D305:E305"/>
    <mergeCell ref="D319:E319"/>
    <mergeCell ref="D321:E321"/>
    <mergeCell ref="D322:E322"/>
    <mergeCell ref="D324:E324"/>
    <mergeCell ref="D326:E326"/>
    <mergeCell ref="D327:E327"/>
    <mergeCell ref="D312:J312"/>
    <mergeCell ref="D313:E313"/>
    <mergeCell ref="D314:J314"/>
    <mergeCell ref="D316:E316"/>
    <mergeCell ref="D317:E317"/>
    <mergeCell ref="D318:E318"/>
    <mergeCell ref="D337:E337"/>
    <mergeCell ref="D341:E341"/>
    <mergeCell ref="D343:E343"/>
    <mergeCell ref="D344:E344"/>
    <mergeCell ref="D345:J345"/>
    <mergeCell ref="D346:E346"/>
    <mergeCell ref="D329:E329"/>
    <mergeCell ref="D330:E330"/>
    <mergeCell ref="D331:E331"/>
    <mergeCell ref="D332:E332"/>
    <mergeCell ref="D333:E333"/>
    <mergeCell ref="D336:E336"/>
    <mergeCell ref="D358:E358"/>
    <mergeCell ref="D359:E359"/>
    <mergeCell ref="D361:E361"/>
    <mergeCell ref="D362:E362"/>
    <mergeCell ref="D365:E365"/>
    <mergeCell ref="D366:E366"/>
    <mergeCell ref="D347:E347"/>
    <mergeCell ref="D349:E349"/>
    <mergeCell ref="D350:E350"/>
    <mergeCell ref="D353:E353"/>
    <mergeCell ref="D355:E355"/>
    <mergeCell ref="D357:E357"/>
    <mergeCell ref="D378:E378"/>
    <mergeCell ref="D380:E380"/>
    <mergeCell ref="D381:J381"/>
    <mergeCell ref="D385:E385"/>
    <mergeCell ref="D386:E386"/>
    <mergeCell ref="D389:E389"/>
    <mergeCell ref="D367:E367"/>
    <mergeCell ref="D369:E369"/>
    <mergeCell ref="D371:E371"/>
    <mergeCell ref="D372:E372"/>
    <mergeCell ref="D373:E373"/>
    <mergeCell ref="D374:E374"/>
    <mergeCell ref="D398:E398"/>
    <mergeCell ref="D399:E399"/>
    <mergeCell ref="D400:E400"/>
    <mergeCell ref="D401:E401"/>
    <mergeCell ref="D402:E402"/>
    <mergeCell ref="D403:J403"/>
    <mergeCell ref="D390:E390"/>
    <mergeCell ref="D391:J391"/>
    <mergeCell ref="D394:E394"/>
    <mergeCell ref="D395:J395"/>
    <mergeCell ref="D396:E396"/>
    <mergeCell ref="D397:E397"/>
    <mergeCell ref="D413:E413"/>
    <mergeCell ref="D415:E415"/>
    <mergeCell ref="D417:E417"/>
    <mergeCell ref="D418:E418"/>
    <mergeCell ref="D420:E420"/>
    <mergeCell ref="D421:E421"/>
    <mergeCell ref="D404:E404"/>
    <mergeCell ref="D405:E405"/>
    <mergeCell ref="D406:E406"/>
    <mergeCell ref="D408:E408"/>
    <mergeCell ref="D410:E410"/>
    <mergeCell ref="D412:E412"/>
    <mergeCell ref="D433:E433"/>
    <mergeCell ref="D435:E435"/>
    <mergeCell ref="D437:E437"/>
    <mergeCell ref="D438:E438"/>
    <mergeCell ref="D440:E440"/>
    <mergeCell ref="D441:E441"/>
    <mergeCell ref="D422:E422"/>
    <mergeCell ref="D424:E424"/>
    <mergeCell ref="D426:E426"/>
    <mergeCell ref="D428:E428"/>
    <mergeCell ref="D430:E430"/>
    <mergeCell ref="D432:E432"/>
    <mergeCell ref="D453:E453"/>
    <mergeCell ref="D454:E454"/>
    <mergeCell ref="D455:E455"/>
    <mergeCell ref="D457:E457"/>
    <mergeCell ref="D459:E459"/>
    <mergeCell ref="D460:E460"/>
    <mergeCell ref="D443:E443"/>
    <mergeCell ref="D445:E445"/>
    <mergeCell ref="D447:E447"/>
    <mergeCell ref="D449:E449"/>
    <mergeCell ref="D450:E450"/>
    <mergeCell ref="D452:E452"/>
    <mergeCell ref="D472:E472"/>
    <mergeCell ref="D474:E474"/>
    <mergeCell ref="D476:E476"/>
    <mergeCell ref="D477:E477"/>
    <mergeCell ref="D479:E479"/>
    <mergeCell ref="D481:E481"/>
    <mergeCell ref="D462:E462"/>
    <mergeCell ref="D463:E463"/>
    <mergeCell ref="D465:E465"/>
    <mergeCell ref="D467:E467"/>
    <mergeCell ref="D469:E469"/>
    <mergeCell ref="D471:E471"/>
    <mergeCell ref="D493:E493"/>
    <mergeCell ref="D495:E495"/>
    <mergeCell ref="D497:E497"/>
    <mergeCell ref="D499:E499"/>
    <mergeCell ref="D502:E502"/>
    <mergeCell ref="D503:E503"/>
    <mergeCell ref="D482:E482"/>
    <mergeCell ref="D484:E484"/>
    <mergeCell ref="D486:E486"/>
    <mergeCell ref="D488:E488"/>
    <mergeCell ref="D490:E490"/>
    <mergeCell ref="D492:E492"/>
    <mergeCell ref="D512:E512"/>
    <mergeCell ref="D513:E513"/>
    <mergeCell ref="D514:E514"/>
    <mergeCell ref="D515:E515"/>
    <mergeCell ref="D516:E516"/>
    <mergeCell ref="D518:E518"/>
    <mergeCell ref="D505:E505"/>
    <mergeCell ref="D506:E506"/>
    <mergeCell ref="D507:E507"/>
    <mergeCell ref="D509:E509"/>
    <mergeCell ref="D510:E510"/>
    <mergeCell ref="D511:E511"/>
    <mergeCell ref="D528:E528"/>
    <mergeCell ref="D529:E529"/>
    <mergeCell ref="D530:E530"/>
    <mergeCell ref="D535:E535"/>
    <mergeCell ref="D536:E536"/>
    <mergeCell ref="D537:E537"/>
    <mergeCell ref="D519:E519"/>
    <mergeCell ref="D521:E521"/>
    <mergeCell ref="D523:E523"/>
    <mergeCell ref="D524:E524"/>
    <mergeCell ref="D525:E525"/>
    <mergeCell ref="D527:E527"/>
    <mergeCell ref="D552:E552"/>
    <mergeCell ref="D554:E554"/>
    <mergeCell ref="D555:E555"/>
    <mergeCell ref="D560:E560"/>
    <mergeCell ref="D561:E561"/>
    <mergeCell ref="D562:E562"/>
    <mergeCell ref="D538:E538"/>
    <mergeCell ref="D540:E540"/>
    <mergeCell ref="D541:E541"/>
    <mergeCell ref="D544:E544"/>
    <mergeCell ref="D546:E546"/>
    <mergeCell ref="D547:E547"/>
    <mergeCell ref="D576:E576"/>
    <mergeCell ref="D577:J577"/>
    <mergeCell ref="D582:E582"/>
    <mergeCell ref="D587:E587"/>
    <mergeCell ref="D588:E588"/>
    <mergeCell ref="D589:E589"/>
    <mergeCell ref="D564:E564"/>
    <mergeCell ref="D566:E566"/>
    <mergeCell ref="D567:E567"/>
    <mergeCell ref="D568:E568"/>
    <mergeCell ref="D569:E569"/>
    <mergeCell ref="D574:E574"/>
    <mergeCell ref="D604:E604"/>
    <mergeCell ref="D605:J605"/>
    <mergeCell ref="D610:E610"/>
    <mergeCell ref="D611:E611"/>
    <mergeCell ref="D612:E612"/>
    <mergeCell ref="D613:E613"/>
    <mergeCell ref="D590:E590"/>
    <mergeCell ref="D591:E591"/>
    <mergeCell ref="D592:J592"/>
    <mergeCell ref="D597:E597"/>
    <mergeCell ref="D598:E598"/>
    <mergeCell ref="D599:J599"/>
    <mergeCell ref="D623:E623"/>
    <mergeCell ref="D625:E625"/>
    <mergeCell ref="D626:E626"/>
    <mergeCell ref="D628:E628"/>
    <mergeCell ref="D629:E629"/>
    <mergeCell ref="D631:E631"/>
    <mergeCell ref="D615:E615"/>
    <mergeCell ref="D616:E616"/>
    <mergeCell ref="D618:E618"/>
    <mergeCell ref="D619:E619"/>
    <mergeCell ref="D620:E620"/>
    <mergeCell ref="D622:E622"/>
    <mergeCell ref="D642:E642"/>
    <mergeCell ref="D643:E643"/>
    <mergeCell ref="D644:E644"/>
    <mergeCell ref="D645:E645"/>
    <mergeCell ref="D646:E646"/>
    <mergeCell ref="D648:E648"/>
    <mergeCell ref="D633:E633"/>
    <mergeCell ref="D634:E634"/>
    <mergeCell ref="D635:E635"/>
    <mergeCell ref="D637:E637"/>
    <mergeCell ref="D638:E638"/>
    <mergeCell ref="D641:E641"/>
    <mergeCell ref="D657:E657"/>
    <mergeCell ref="D658:E658"/>
    <mergeCell ref="D660:E660"/>
    <mergeCell ref="D662:E662"/>
    <mergeCell ref="D663:E663"/>
    <mergeCell ref="D664:J664"/>
    <mergeCell ref="D650:E650"/>
    <mergeCell ref="D651:E651"/>
    <mergeCell ref="D652:E652"/>
    <mergeCell ref="D653:E653"/>
    <mergeCell ref="D654:E654"/>
    <mergeCell ref="D655:E655"/>
    <mergeCell ref="D673:E673"/>
    <mergeCell ref="D674:E674"/>
    <mergeCell ref="D676:E676"/>
    <mergeCell ref="D678:E678"/>
    <mergeCell ref="D679:E679"/>
    <mergeCell ref="D680:E680"/>
    <mergeCell ref="D665:E665"/>
    <mergeCell ref="D667:E667"/>
    <mergeCell ref="D668:E668"/>
    <mergeCell ref="D670:E670"/>
    <mergeCell ref="D671:E671"/>
    <mergeCell ref="D672:E672"/>
    <mergeCell ref="D687:E687"/>
    <mergeCell ref="D688:J688"/>
    <mergeCell ref="D690:E690"/>
    <mergeCell ref="D691:E691"/>
    <mergeCell ref="D693:E693"/>
    <mergeCell ref="D694:E694"/>
    <mergeCell ref="D681:E681"/>
    <mergeCell ref="D682:J682"/>
    <mergeCell ref="D683:E683"/>
    <mergeCell ref="D684:E684"/>
    <mergeCell ref="D685:E685"/>
    <mergeCell ref="D686:E686"/>
    <mergeCell ref="D705:E705"/>
    <mergeCell ref="D706:E706"/>
    <mergeCell ref="D707:E707"/>
    <mergeCell ref="D708:E708"/>
    <mergeCell ref="D709:E709"/>
    <mergeCell ref="D710:E710"/>
    <mergeCell ref="D695:E695"/>
    <mergeCell ref="D697:E697"/>
    <mergeCell ref="D698:E698"/>
    <mergeCell ref="D699:J699"/>
    <mergeCell ref="D701:E701"/>
    <mergeCell ref="D703:E703"/>
    <mergeCell ref="D717:E717"/>
    <mergeCell ref="D718:E718"/>
    <mergeCell ref="D719:E719"/>
    <mergeCell ref="D720:E720"/>
    <mergeCell ref="A723:J723"/>
    <mergeCell ref="D711:E711"/>
    <mergeCell ref="D712:E712"/>
    <mergeCell ref="D713:E713"/>
    <mergeCell ref="D714:E714"/>
    <mergeCell ref="D715:E715"/>
    <mergeCell ref="D716:E716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I35"/>
  <sheetViews>
    <sheetView showOutlineSymbols="0" workbookViewId="0">
      <selection activeCell="F8" sqref="F8:G9"/>
    </sheetView>
  </sheetViews>
  <sheetFormatPr defaultColWidth="14.1640625" defaultRowHeight="15" customHeight="1" x14ac:dyDescent="0.25"/>
  <cols>
    <col min="1" max="1" width="10.6640625"/>
    <col min="2" max="2" width="15"/>
    <col min="3" max="3" width="31.6640625"/>
    <col min="4" max="4" width="11.6640625"/>
    <col min="5" max="5" width="16.33203125"/>
    <col min="6" max="6" width="31.6640625"/>
    <col min="7" max="7" width="10.6640625"/>
    <col min="8" max="8" width="15"/>
    <col min="9" max="9" width="31.6640625"/>
  </cols>
  <sheetData>
    <row r="1" spans="1:9" ht="54.75" customHeight="1" x14ac:dyDescent="0.25">
      <c r="A1" s="110" t="s">
        <v>448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/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/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/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/>
      <c r="G8" s="77"/>
      <c r="H8" s="77" t="s">
        <v>1122</v>
      </c>
      <c r="I8" s="100">
        <v>148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/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2" spans="1:9" ht="22.5" customHeight="1" x14ac:dyDescent="0.25">
      <c r="A12" s="103" t="s">
        <v>178</v>
      </c>
      <c r="B12" s="103"/>
      <c r="C12" s="103"/>
      <c r="D12" s="103"/>
      <c r="E12" s="103"/>
      <c r="F12" s="103"/>
      <c r="G12" s="103"/>
      <c r="H12" s="103"/>
      <c r="I12" s="103"/>
    </row>
    <row r="13" spans="1:9" ht="26.25" customHeight="1" x14ac:dyDescent="0.25">
      <c r="A13" s="2" t="s">
        <v>993</v>
      </c>
      <c r="B13" s="93" t="s">
        <v>137</v>
      </c>
      <c r="C13" s="94"/>
      <c r="D13" s="51" t="s">
        <v>192</v>
      </c>
      <c r="E13" s="93" t="s">
        <v>406</v>
      </c>
      <c r="F13" s="94"/>
      <c r="G13" s="51" t="s">
        <v>710</v>
      </c>
      <c r="H13" s="93" t="s">
        <v>195</v>
      </c>
      <c r="I13" s="94"/>
    </row>
    <row r="14" spans="1:9" ht="15" customHeight="1" x14ac:dyDescent="0.25">
      <c r="A14" s="61" t="s">
        <v>417</v>
      </c>
      <c r="B14" s="3" t="s">
        <v>280</v>
      </c>
      <c r="C14" s="60">
        <f>SUM('Stavební rozpočet (SO 01)'!AA12:AA720)</f>
        <v>0</v>
      </c>
      <c r="D14" s="85" t="s">
        <v>791</v>
      </c>
      <c r="E14" s="86"/>
      <c r="F14" s="60">
        <f>'VORN objektu (SO 01)'!I15</f>
        <v>0</v>
      </c>
      <c r="G14" s="85" t="s">
        <v>118</v>
      </c>
      <c r="H14" s="86"/>
      <c r="I14" s="36">
        <f>'VORN objektu (SO 01)'!I21</f>
        <v>0</v>
      </c>
    </row>
    <row r="15" spans="1:9" ht="15" customHeight="1" x14ac:dyDescent="0.25">
      <c r="A15" s="59" t="s">
        <v>769</v>
      </c>
      <c r="B15" s="3" t="s">
        <v>201</v>
      </c>
      <c r="C15" s="60">
        <f>SUM('Stavební rozpočet (SO 01)'!AB12:AB720)</f>
        <v>0</v>
      </c>
      <c r="D15" s="85" t="s">
        <v>113</v>
      </c>
      <c r="E15" s="86"/>
      <c r="F15" s="60">
        <f>'VORN objektu (SO 01)'!I16</f>
        <v>0</v>
      </c>
      <c r="G15" s="85" t="s">
        <v>878</v>
      </c>
      <c r="H15" s="86"/>
      <c r="I15" s="36">
        <f>'VORN objektu (SO 01)'!I22</f>
        <v>0</v>
      </c>
    </row>
    <row r="16" spans="1:9" ht="15" customHeight="1" x14ac:dyDescent="0.25">
      <c r="A16" s="61" t="s">
        <v>110</v>
      </c>
      <c r="B16" s="3" t="s">
        <v>280</v>
      </c>
      <c r="C16" s="60">
        <f>SUM('Stavební rozpočet (SO 01)'!AC12:AC720)</f>
        <v>0</v>
      </c>
      <c r="D16" s="85" t="s">
        <v>819</v>
      </c>
      <c r="E16" s="86"/>
      <c r="F16" s="60">
        <f>'VORN objektu (SO 01)'!I17</f>
        <v>0</v>
      </c>
      <c r="G16" s="85" t="s">
        <v>1076</v>
      </c>
      <c r="H16" s="86"/>
      <c r="I16" s="36">
        <f>'VORN objektu (SO 01)'!I23</f>
        <v>0</v>
      </c>
    </row>
    <row r="17" spans="1:9" ht="15" customHeight="1" x14ac:dyDescent="0.25">
      <c r="A17" s="59" t="s">
        <v>769</v>
      </c>
      <c r="B17" s="3" t="s">
        <v>201</v>
      </c>
      <c r="C17" s="60">
        <f>SUM('Stavební rozpočet (SO 01)'!AD12:AD720)</f>
        <v>0</v>
      </c>
      <c r="D17" s="85" t="s">
        <v>769</v>
      </c>
      <c r="E17" s="86"/>
      <c r="F17" s="36" t="s">
        <v>769</v>
      </c>
      <c r="G17" s="85" t="s">
        <v>595</v>
      </c>
      <c r="H17" s="86"/>
      <c r="I17" s="36">
        <f>'VORN objektu (SO 01)'!I24</f>
        <v>0</v>
      </c>
    </row>
    <row r="18" spans="1:9" ht="15" customHeight="1" x14ac:dyDescent="0.25">
      <c r="A18" s="61" t="s">
        <v>340</v>
      </c>
      <c r="B18" s="3" t="s">
        <v>280</v>
      </c>
      <c r="C18" s="60">
        <f>SUM('Stavební rozpočet (SO 01)'!AE12:AE720)</f>
        <v>0</v>
      </c>
      <c r="D18" s="85" t="s">
        <v>769</v>
      </c>
      <c r="E18" s="86"/>
      <c r="F18" s="36" t="s">
        <v>769</v>
      </c>
      <c r="G18" s="85" t="s">
        <v>722</v>
      </c>
      <c r="H18" s="86"/>
      <c r="I18" s="36">
        <f>'VORN objektu (SO 01)'!I25</f>
        <v>0</v>
      </c>
    </row>
    <row r="19" spans="1:9" ht="15" customHeight="1" x14ac:dyDescent="0.25">
      <c r="A19" s="59" t="s">
        <v>769</v>
      </c>
      <c r="B19" s="3" t="s">
        <v>201</v>
      </c>
      <c r="C19" s="60">
        <f>SUM('Stavební rozpočet (SO 01)'!AF12:AF720)</f>
        <v>0</v>
      </c>
      <c r="D19" s="85" t="s">
        <v>769</v>
      </c>
      <c r="E19" s="86"/>
      <c r="F19" s="36" t="s">
        <v>769</v>
      </c>
      <c r="G19" s="85" t="s">
        <v>1105</v>
      </c>
      <c r="H19" s="86"/>
      <c r="I19" s="36">
        <f>'VORN objektu (SO 01)'!I26</f>
        <v>0</v>
      </c>
    </row>
    <row r="20" spans="1:9" ht="15" customHeight="1" x14ac:dyDescent="0.25">
      <c r="A20" s="92" t="s">
        <v>87</v>
      </c>
      <c r="B20" s="91"/>
      <c r="C20" s="60">
        <f>SUM('Stavební rozpočet (SO 01)'!AG12:AG720)</f>
        <v>0</v>
      </c>
      <c r="D20" s="85" t="s">
        <v>769</v>
      </c>
      <c r="E20" s="86"/>
      <c r="F20" s="36" t="s">
        <v>769</v>
      </c>
      <c r="G20" s="85" t="s">
        <v>769</v>
      </c>
      <c r="H20" s="86"/>
      <c r="I20" s="36" t="s">
        <v>769</v>
      </c>
    </row>
    <row r="21" spans="1:9" ht="15" customHeight="1" x14ac:dyDescent="0.25">
      <c r="A21" s="95" t="s">
        <v>1104</v>
      </c>
      <c r="B21" s="96"/>
      <c r="C21" s="38">
        <f>SUM('Stavební rozpočet (SO 01)'!Y12:Y720)</f>
        <v>0</v>
      </c>
      <c r="D21" s="72" t="s">
        <v>769</v>
      </c>
      <c r="E21" s="87"/>
      <c r="F21" s="29" t="s">
        <v>769</v>
      </c>
      <c r="G21" s="72" t="s">
        <v>769</v>
      </c>
      <c r="H21" s="87"/>
      <c r="I21" s="29" t="s">
        <v>769</v>
      </c>
    </row>
    <row r="22" spans="1:9" ht="16.5" customHeight="1" x14ac:dyDescent="0.25">
      <c r="A22" s="97" t="s">
        <v>208</v>
      </c>
      <c r="B22" s="89"/>
      <c r="C22" s="42">
        <f>ROUND(SUM(C14:C21),1)</f>
        <v>0</v>
      </c>
      <c r="D22" s="88" t="s">
        <v>580</v>
      </c>
      <c r="E22" s="89"/>
      <c r="F22" s="42">
        <f>SUM(F14:F21)</f>
        <v>0</v>
      </c>
      <c r="G22" s="88" t="s">
        <v>1124</v>
      </c>
      <c r="H22" s="89"/>
      <c r="I22" s="42">
        <f>SUM(I14:I21)</f>
        <v>0</v>
      </c>
    </row>
    <row r="23" spans="1:9" ht="15" customHeight="1" x14ac:dyDescent="0.25">
      <c r="G23" s="92" t="s">
        <v>672</v>
      </c>
      <c r="H23" s="91"/>
      <c r="I23" s="60">
        <f>'VORN objektu (SO 01)'!I45</f>
        <v>0</v>
      </c>
    </row>
    <row r="25" spans="1:9" ht="15" customHeight="1" x14ac:dyDescent="0.25">
      <c r="A25" s="81" t="s">
        <v>457</v>
      </c>
      <c r="B25" s="82"/>
      <c r="C25" s="62">
        <f>ROUND(SUM('Stavební rozpočet (SO 01)'!AI12:AI720),1)</f>
        <v>0</v>
      </c>
    </row>
    <row r="26" spans="1:9" ht="15" customHeight="1" x14ac:dyDescent="0.25">
      <c r="A26" s="83" t="s">
        <v>30</v>
      </c>
      <c r="B26" s="84"/>
      <c r="C26" s="6">
        <f>ROUND(SUM('Stavební rozpočet (SO 01)'!AJ12:AJ720),1)</f>
        <v>0</v>
      </c>
      <c r="D26" s="82" t="s">
        <v>239</v>
      </c>
      <c r="E26" s="82"/>
      <c r="F26" s="62">
        <f>ROUND(C26*(15/100),2)</f>
        <v>0</v>
      </c>
      <c r="G26" s="82" t="s">
        <v>156</v>
      </c>
      <c r="H26" s="82"/>
      <c r="I26" s="62">
        <f>ROUND(SUM(C25:C27),1)</f>
        <v>0</v>
      </c>
    </row>
    <row r="27" spans="1:9" ht="15" customHeight="1" x14ac:dyDescent="0.25">
      <c r="A27" s="83" t="s">
        <v>59</v>
      </c>
      <c r="B27" s="84"/>
      <c r="C27" s="6">
        <f>ROUND(SUM('Stavební rozpočet (SO 01)'!AK12:AK720),1)</f>
        <v>0</v>
      </c>
      <c r="D27" s="84" t="s">
        <v>826</v>
      </c>
      <c r="E27" s="84"/>
      <c r="F27" s="6">
        <f>ROUND(C27*(21/100),2)</f>
        <v>0</v>
      </c>
      <c r="G27" s="84" t="s">
        <v>452</v>
      </c>
      <c r="H27" s="84"/>
      <c r="I27" s="6">
        <f>ROUND(SUM(F26:F27)+I26,1)</f>
        <v>0</v>
      </c>
    </row>
    <row r="29" spans="1:9" ht="15" customHeight="1" x14ac:dyDescent="0.25">
      <c r="A29" s="78" t="s">
        <v>16</v>
      </c>
      <c r="B29" s="70"/>
      <c r="C29" s="71"/>
      <c r="D29" s="70" t="s">
        <v>1057</v>
      </c>
      <c r="E29" s="70"/>
      <c r="F29" s="71"/>
      <c r="G29" s="70" t="s">
        <v>755</v>
      </c>
      <c r="H29" s="70"/>
      <c r="I29" s="71"/>
    </row>
    <row r="30" spans="1:9" ht="15" customHeight="1" x14ac:dyDescent="0.25">
      <c r="A30" s="79" t="s">
        <v>769</v>
      </c>
      <c r="B30" s="72"/>
      <c r="C30" s="73"/>
      <c r="D30" s="72" t="s">
        <v>769</v>
      </c>
      <c r="E30" s="72"/>
      <c r="F30" s="73"/>
      <c r="G30" s="72" t="s">
        <v>769</v>
      </c>
      <c r="H30" s="72"/>
      <c r="I30" s="73"/>
    </row>
    <row r="31" spans="1:9" ht="15" customHeight="1" x14ac:dyDescent="0.25">
      <c r="A31" s="79" t="s">
        <v>769</v>
      </c>
      <c r="B31" s="72"/>
      <c r="C31" s="73"/>
      <c r="D31" s="72" t="s">
        <v>769</v>
      </c>
      <c r="E31" s="72"/>
      <c r="F31" s="73"/>
      <c r="G31" s="72" t="s">
        <v>769</v>
      </c>
      <c r="H31" s="72"/>
      <c r="I31" s="73"/>
    </row>
    <row r="32" spans="1:9" ht="15" customHeight="1" x14ac:dyDescent="0.25">
      <c r="A32" s="79" t="s">
        <v>769</v>
      </c>
      <c r="B32" s="72"/>
      <c r="C32" s="73"/>
      <c r="D32" s="72" t="s">
        <v>769</v>
      </c>
      <c r="E32" s="72"/>
      <c r="F32" s="73"/>
      <c r="G32" s="72" t="s">
        <v>769</v>
      </c>
      <c r="H32" s="72"/>
      <c r="I32" s="73"/>
    </row>
    <row r="33" spans="1:9" ht="15" customHeight="1" x14ac:dyDescent="0.25">
      <c r="A33" s="80" t="s">
        <v>207</v>
      </c>
      <c r="B33" s="74"/>
      <c r="C33" s="75"/>
      <c r="D33" s="74" t="s">
        <v>207</v>
      </c>
      <c r="E33" s="74"/>
      <c r="F33" s="75"/>
      <c r="G33" s="74" t="s">
        <v>207</v>
      </c>
      <c r="H33" s="74"/>
      <c r="I33" s="75"/>
    </row>
    <row r="34" spans="1:9" ht="15" customHeight="1" x14ac:dyDescent="0.25">
      <c r="A34" s="46" t="s">
        <v>101</v>
      </c>
    </row>
    <row r="35" spans="1:9" ht="12.75" customHeight="1" x14ac:dyDescent="0.25">
      <c r="A35" s="76" t="s">
        <v>769</v>
      </c>
      <c r="B35" s="77"/>
      <c r="C35" s="77"/>
      <c r="D35" s="77"/>
      <c r="E35" s="77"/>
      <c r="F35" s="77"/>
      <c r="G35" s="77"/>
      <c r="H35" s="77"/>
      <c r="I35" s="77"/>
    </row>
  </sheetData>
  <mergeCells count="80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I2:I3"/>
    <mergeCell ref="I4:I5"/>
    <mergeCell ref="I6:I7"/>
    <mergeCell ref="I8:I9"/>
    <mergeCell ref="I10:I11"/>
    <mergeCell ref="B13:C13"/>
    <mergeCell ref="E13:F13"/>
    <mergeCell ref="H13:I13"/>
    <mergeCell ref="A20:B20"/>
    <mergeCell ref="A21:B21"/>
    <mergeCell ref="D14:E14"/>
    <mergeCell ref="D15:E15"/>
    <mergeCell ref="D16:E16"/>
    <mergeCell ref="D17:E17"/>
    <mergeCell ref="G14:H14"/>
    <mergeCell ref="G15:H15"/>
    <mergeCell ref="G16:H16"/>
    <mergeCell ref="G17:H17"/>
    <mergeCell ref="G18:H18"/>
    <mergeCell ref="A25:B25"/>
    <mergeCell ref="D18:E18"/>
    <mergeCell ref="D19:E19"/>
    <mergeCell ref="D20:E20"/>
    <mergeCell ref="D21:E21"/>
    <mergeCell ref="D22:E22"/>
    <mergeCell ref="A22:B22"/>
    <mergeCell ref="G19:H19"/>
    <mergeCell ref="G20:H20"/>
    <mergeCell ref="G21:H21"/>
    <mergeCell ref="G22:H22"/>
    <mergeCell ref="G23:H23"/>
    <mergeCell ref="A26:B26"/>
    <mergeCell ref="A27:B27"/>
    <mergeCell ref="D26:E26"/>
    <mergeCell ref="D27:E27"/>
    <mergeCell ref="G26:H26"/>
    <mergeCell ref="G27:H27"/>
    <mergeCell ref="A35:I35"/>
    <mergeCell ref="A29:C29"/>
    <mergeCell ref="A30:C30"/>
    <mergeCell ref="A31:C31"/>
    <mergeCell ref="A32:C32"/>
    <mergeCell ref="A33:C33"/>
    <mergeCell ref="D29:F29"/>
    <mergeCell ref="D30:F30"/>
    <mergeCell ref="D31:F31"/>
    <mergeCell ref="D32:F32"/>
    <mergeCell ref="D33:F33"/>
    <mergeCell ref="G29:I29"/>
    <mergeCell ref="G30:I30"/>
    <mergeCell ref="G31:I31"/>
    <mergeCell ref="G32:I32"/>
    <mergeCell ref="G33:I33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I45"/>
  <sheetViews>
    <sheetView showOutlineSymbols="0" workbookViewId="0">
      <selection activeCell="A45" sqref="A45:E45"/>
    </sheetView>
  </sheetViews>
  <sheetFormatPr defaultColWidth="14.1640625" defaultRowHeight="15" customHeight="1" x14ac:dyDescent="0.25"/>
  <cols>
    <col min="1" max="1" width="10.6640625"/>
    <col min="2" max="2" width="15"/>
    <col min="3" max="3" width="26.6640625"/>
    <col min="4" max="4" width="11.6640625"/>
    <col min="5" max="5" width="16.33203125"/>
    <col min="6" max="6" width="26.6640625"/>
    <col min="7" max="7" width="10.6640625"/>
    <col min="8" max="8" width="20"/>
    <col min="9" max="9" width="26.6640625"/>
  </cols>
  <sheetData>
    <row r="1" spans="1:9" ht="54.75" customHeight="1" x14ac:dyDescent="0.25">
      <c r="A1" s="110" t="s">
        <v>760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 t="e">
        <f>'Stavební rozpočet'!#REF!</f>
        <v>#REF!</v>
      </c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 t="e">
        <f>'Stavební rozpočet'!#REF!</f>
        <v>#REF!</v>
      </c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 t="e">
        <f>'Stavební rozpočet'!#REF!</f>
        <v>#REF!</v>
      </c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 t="str">
        <f>'Stavební rozpočet'!H6</f>
        <v xml:space="preserve"> </v>
      </c>
      <c r="G8" s="77"/>
      <c r="H8" s="77" t="s">
        <v>1122</v>
      </c>
      <c r="I8" s="100">
        <v>148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 t="e">
        <f>'Stavební rozpočet'!#REF!</f>
        <v>#REF!</v>
      </c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3" spans="1:9" ht="15.75" customHeight="1" x14ac:dyDescent="0.25">
      <c r="A13" s="125" t="s">
        <v>419</v>
      </c>
      <c r="B13" s="125"/>
      <c r="C13" s="125"/>
      <c r="D13" s="125"/>
      <c r="E13" s="125"/>
    </row>
    <row r="14" spans="1:9" ht="15" customHeight="1" x14ac:dyDescent="0.25">
      <c r="A14" s="126" t="s">
        <v>1233</v>
      </c>
      <c r="B14" s="127"/>
      <c r="C14" s="127"/>
      <c r="D14" s="127"/>
      <c r="E14" s="128"/>
      <c r="F14" s="67" t="s">
        <v>1144</v>
      </c>
      <c r="G14" s="67" t="s">
        <v>972</v>
      </c>
      <c r="H14" s="67" t="s">
        <v>272</v>
      </c>
      <c r="I14" s="67" t="s">
        <v>1144</v>
      </c>
    </row>
    <row r="15" spans="1:9" ht="15" customHeight="1" x14ac:dyDescent="0.25">
      <c r="A15" s="115" t="s">
        <v>791</v>
      </c>
      <c r="B15" s="106"/>
      <c r="C15" s="106"/>
      <c r="D15" s="106"/>
      <c r="E15" s="102"/>
      <c r="F15" s="16">
        <v>0</v>
      </c>
      <c r="G15" s="43" t="s">
        <v>769</v>
      </c>
      <c r="H15" s="43" t="s">
        <v>769</v>
      </c>
      <c r="I15" s="16">
        <f>F15</f>
        <v>0</v>
      </c>
    </row>
    <row r="16" spans="1:9" ht="15" customHeight="1" x14ac:dyDescent="0.25">
      <c r="A16" s="115" t="s">
        <v>113</v>
      </c>
      <c r="B16" s="106"/>
      <c r="C16" s="106"/>
      <c r="D16" s="106"/>
      <c r="E16" s="102"/>
      <c r="F16" s="16">
        <v>0</v>
      </c>
      <c r="G16" s="43" t="s">
        <v>769</v>
      </c>
      <c r="H16" s="43" t="s">
        <v>769</v>
      </c>
      <c r="I16" s="16">
        <f>F16</f>
        <v>0</v>
      </c>
    </row>
    <row r="17" spans="1:9" ht="15" customHeight="1" x14ac:dyDescent="0.25">
      <c r="A17" s="113" t="s">
        <v>819</v>
      </c>
      <c r="B17" s="77"/>
      <c r="C17" s="77"/>
      <c r="D17" s="77"/>
      <c r="E17" s="99"/>
      <c r="F17" s="32">
        <v>0</v>
      </c>
      <c r="G17" s="18" t="s">
        <v>769</v>
      </c>
      <c r="H17" s="18" t="s">
        <v>769</v>
      </c>
      <c r="I17" s="32">
        <f>F17</f>
        <v>0</v>
      </c>
    </row>
    <row r="18" spans="1:9" ht="15" customHeight="1" x14ac:dyDescent="0.25">
      <c r="A18" s="116" t="s">
        <v>1184</v>
      </c>
      <c r="B18" s="117"/>
      <c r="C18" s="117"/>
      <c r="D18" s="117"/>
      <c r="E18" s="118"/>
      <c r="F18" s="5" t="s">
        <v>769</v>
      </c>
      <c r="G18" s="26" t="s">
        <v>769</v>
      </c>
      <c r="H18" s="26" t="s">
        <v>769</v>
      </c>
      <c r="I18" s="25">
        <f>SUM(I15:I17)</f>
        <v>0</v>
      </c>
    </row>
    <row r="20" spans="1:9" ht="15" customHeight="1" x14ac:dyDescent="0.25">
      <c r="A20" s="126" t="s">
        <v>195</v>
      </c>
      <c r="B20" s="127"/>
      <c r="C20" s="127"/>
      <c r="D20" s="127"/>
      <c r="E20" s="128"/>
      <c r="F20" s="67" t="s">
        <v>1144</v>
      </c>
      <c r="G20" s="67" t="s">
        <v>972</v>
      </c>
      <c r="H20" s="67" t="s">
        <v>272</v>
      </c>
      <c r="I20" s="67" t="s">
        <v>1144</v>
      </c>
    </row>
    <row r="21" spans="1:9" ht="15" customHeight="1" x14ac:dyDescent="0.25">
      <c r="A21" s="115" t="s">
        <v>118</v>
      </c>
      <c r="B21" s="106"/>
      <c r="C21" s="106"/>
      <c r="D21" s="106"/>
      <c r="E21" s="102"/>
      <c r="F21" s="16">
        <v>0</v>
      </c>
      <c r="G21" s="43" t="s">
        <v>769</v>
      </c>
      <c r="H21" s="43" t="s">
        <v>769</v>
      </c>
      <c r="I21" s="16">
        <f t="shared" ref="I21:I26" si="0">F21</f>
        <v>0</v>
      </c>
    </row>
    <row r="22" spans="1:9" ht="15" customHeight="1" x14ac:dyDescent="0.25">
      <c r="A22" s="115" t="s">
        <v>878</v>
      </c>
      <c r="B22" s="106"/>
      <c r="C22" s="106"/>
      <c r="D22" s="106"/>
      <c r="E22" s="102"/>
      <c r="F22" s="16">
        <v>0</v>
      </c>
      <c r="G22" s="43" t="s">
        <v>769</v>
      </c>
      <c r="H22" s="43" t="s">
        <v>769</v>
      </c>
      <c r="I22" s="16">
        <f t="shared" si="0"/>
        <v>0</v>
      </c>
    </row>
    <row r="23" spans="1:9" ht="15" customHeight="1" x14ac:dyDescent="0.25">
      <c r="A23" s="115" t="s">
        <v>1076</v>
      </c>
      <c r="B23" s="106"/>
      <c r="C23" s="106"/>
      <c r="D23" s="106"/>
      <c r="E23" s="102"/>
      <c r="F23" s="16">
        <v>0</v>
      </c>
      <c r="G23" s="43" t="s">
        <v>769</v>
      </c>
      <c r="H23" s="43" t="s">
        <v>769</v>
      </c>
      <c r="I23" s="16">
        <f t="shared" si="0"/>
        <v>0</v>
      </c>
    </row>
    <row r="24" spans="1:9" ht="15" customHeight="1" x14ac:dyDescent="0.25">
      <c r="A24" s="115" t="s">
        <v>595</v>
      </c>
      <c r="B24" s="106"/>
      <c r="C24" s="106"/>
      <c r="D24" s="106"/>
      <c r="E24" s="102"/>
      <c r="F24" s="16">
        <v>0</v>
      </c>
      <c r="G24" s="43" t="s">
        <v>769</v>
      </c>
      <c r="H24" s="43" t="s">
        <v>769</v>
      </c>
      <c r="I24" s="16">
        <f t="shared" si="0"/>
        <v>0</v>
      </c>
    </row>
    <row r="25" spans="1:9" ht="15" customHeight="1" x14ac:dyDescent="0.25">
      <c r="A25" s="115" t="s">
        <v>722</v>
      </c>
      <c r="B25" s="106"/>
      <c r="C25" s="106"/>
      <c r="D25" s="106"/>
      <c r="E25" s="102"/>
      <c r="F25" s="16">
        <v>0</v>
      </c>
      <c r="G25" s="43" t="s">
        <v>769</v>
      </c>
      <c r="H25" s="43" t="s">
        <v>769</v>
      </c>
      <c r="I25" s="16">
        <f t="shared" si="0"/>
        <v>0</v>
      </c>
    </row>
    <row r="26" spans="1:9" ht="15" customHeight="1" x14ac:dyDescent="0.25">
      <c r="A26" s="113" t="s">
        <v>1105</v>
      </c>
      <c r="B26" s="77"/>
      <c r="C26" s="77"/>
      <c r="D26" s="77"/>
      <c r="E26" s="99"/>
      <c r="F26" s="32">
        <v>0</v>
      </c>
      <c r="G26" s="18" t="s">
        <v>769</v>
      </c>
      <c r="H26" s="18" t="s">
        <v>769</v>
      </c>
      <c r="I26" s="32">
        <f t="shared" si="0"/>
        <v>0</v>
      </c>
    </row>
    <row r="27" spans="1:9" ht="15" customHeight="1" x14ac:dyDescent="0.25">
      <c r="A27" s="116" t="s">
        <v>453</v>
      </c>
      <c r="B27" s="117"/>
      <c r="C27" s="117"/>
      <c r="D27" s="117"/>
      <c r="E27" s="118"/>
      <c r="F27" s="5" t="s">
        <v>769</v>
      </c>
      <c r="G27" s="26" t="s">
        <v>769</v>
      </c>
      <c r="H27" s="26" t="s">
        <v>769</v>
      </c>
      <c r="I27" s="25">
        <f>SUM(I21:I26)</f>
        <v>0</v>
      </c>
    </row>
    <row r="29" spans="1:9" ht="15.75" customHeight="1" x14ac:dyDescent="0.25">
      <c r="A29" s="119" t="s">
        <v>1153</v>
      </c>
      <c r="B29" s="120"/>
      <c r="C29" s="120"/>
      <c r="D29" s="120"/>
      <c r="E29" s="121"/>
      <c r="F29" s="122">
        <f>I18+I27</f>
        <v>0</v>
      </c>
      <c r="G29" s="123"/>
      <c r="H29" s="123"/>
      <c r="I29" s="124"/>
    </row>
    <row r="33" spans="1:9" ht="15.75" customHeight="1" x14ac:dyDescent="0.25">
      <c r="A33" s="125" t="s">
        <v>36</v>
      </c>
      <c r="B33" s="125"/>
      <c r="C33" s="125"/>
      <c r="D33" s="125"/>
      <c r="E33" s="125"/>
    </row>
    <row r="34" spans="1:9" ht="15" customHeight="1" x14ac:dyDescent="0.25">
      <c r="A34" s="126" t="s">
        <v>22</v>
      </c>
      <c r="B34" s="127"/>
      <c r="C34" s="127"/>
      <c r="D34" s="127"/>
      <c r="E34" s="128"/>
      <c r="F34" s="67" t="s">
        <v>1144</v>
      </c>
      <c r="G34" s="67" t="s">
        <v>972</v>
      </c>
      <c r="H34" s="67" t="s">
        <v>272</v>
      </c>
      <c r="I34" s="67" t="s">
        <v>1144</v>
      </c>
    </row>
    <row r="35" spans="1:9" ht="15" customHeight="1" x14ac:dyDescent="0.25">
      <c r="A35" s="115" t="s">
        <v>531</v>
      </c>
      <c r="B35" s="106"/>
      <c r="C35" s="106"/>
      <c r="D35" s="106"/>
      <c r="E35" s="102"/>
      <c r="F35" s="16">
        <f>SUM('Stavební rozpočet'!BL12:BL720)</f>
        <v>0</v>
      </c>
      <c r="G35" s="43" t="s">
        <v>769</v>
      </c>
      <c r="H35" s="43" t="s">
        <v>769</v>
      </c>
      <c r="I35" s="16">
        <f t="shared" ref="I35:I44" si="1">F35</f>
        <v>0</v>
      </c>
    </row>
    <row r="36" spans="1:9" ht="15" customHeight="1" x14ac:dyDescent="0.25">
      <c r="A36" s="115" t="s">
        <v>951</v>
      </c>
      <c r="B36" s="106"/>
      <c r="C36" s="106"/>
      <c r="D36" s="106"/>
      <c r="E36" s="102"/>
      <c r="F36" s="16">
        <f>SUM('Stavební rozpočet'!BM12:BM720)</f>
        <v>0</v>
      </c>
      <c r="G36" s="43" t="s">
        <v>769</v>
      </c>
      <c r="H36" s="43" t="s">
        <v>769</v>
      </c>
      <c r="I36" s="16">
        <f t="shared" si="1"/>
        <v>0</v>
      </c>
    </row>
    <row r="37" spans="1:9" ht="15" customHeight="1" x14ac:dyDescent="0.25">
      <c r="A37" s="115" t="s">
        <v>118</v>
      </c>
      <c r="B37" s="106"/>
      <c r="C37" s="106"/>
      <c r="D37" s="106"/>
      <c r="E37" s="102"/>
      <c r="F37" s="16">
        <f>SUM('Stavební rozpočet'!BN12:BN720)</f>
        <v>0</v>
      </c>
      <c r="G37" s="43" t="s">
        <v>769</v>
      </c>
      <c r="H37" s="43" t="s">
        <v>769</v>
      </c>
      <c r="I37" s="16">
        <f t="shared" si="1"/>
        <v>0</v>
      </c>
    </row>
    <row r="38" spans="1:9" ht="15" customHeight="1" x14ac:dyDescent="0.25">
      <c r="A38" s="115" t="s">
        <v>910</v>
      </c>
      <c r="B38" s="106"/>
      <c r="C38" s="106"/>
      <c r="D38" s="106"/>
      <c r="E38" s="102"/>
      <c r="F38" s="16">
        <f>SUM('Stavební rozpočet'!BO12:BO720)</f>
        <v>0</v>
      </c>
      <c r="G38" s="43" t="s">
        <v>769</v>
      </c>
      <c r="H38" s="43" t="s">
        <v>769</v>
      </c>
      <c r="I38" s="16">
        <f t="shared" si="1"/>
        <v>0</v>
      </c>
    </row>
    <row r="39" spans="1:9" ht="15" customHeight="1" x14ac:dyDescent="0.25">
      <c r="A39" s="115" t="s">
        <v>1074</v>
      </c>
      <c r="B39" s="106"/>
      <c r="C39" s="106"/>
      <c r="D39" s="106"/>
      <c r="E39" s="102"/>
      <c r="F39" s="16">
        <f>SUM('Stavební rozpočet'!BP12:BP720)</f>
        <v>0</v>
      </c>
      <c r="G39" s="43" t="s">
        <v>769</v>
      </c>
      <c r="H39" s="43" t="s">
        <v>769</v>
      </c>
      <c r="I39" s="16">
        <f t="shared" si="1"/>
        <v>0</v>
      </c>
    </row>
    <row r="40" spans="1:9" ht="15" customHeight="1" x14ac:dyDescent="0.25">
      <c r="A40" s="115" t="s">
        <v>1076</v>
      </c>
      <c r="B40" s="106"/>
      <c r="C40" s="106"/>
      <c r="D40" s="106"/>
      <c r="E40" s="102"/>
      <c r="F40" s="16">
        <f>SUM('Stavební rozpočet'!BQ12:BQ720)</f>
        <v>0</v>
      </c>
      <c r="G40" s="43" t="s">
        <v>769</v>
      </c>
      <c r="H40" s="43" t="s">
        <v>769</v>
      </c>
      <c r="I40" s="16">
        <f t="shared" si="1"/>
        <v>0</v>
      </c>
    </row>
    <row r="41" spans="1:9" ht="15" customHeight="1" x14ac:dyDescent="0.25">
      <c r="A41" s="115" t="s">
        <v>595</v>
      </c>
      <c r="B41" s="106"/>
      <c r="C41" s="106"/>
      <c r="D41" s="106"/>
      <c r="E41" s="102"/>
      <c r="F41" s="16">
        <f>SUM('Stavební rozpočet'!BR12:BR720)</f>
        <v>0</v>
      </c>
      <c r="G41" s="43" t="s">
        <v>769</v>
      </c>
      <c r="H41" s="43" t="s">
        <v>769</v>
      </c>
      <c r="I41" s="16">
        <f t="shared" si="1"/>
        <v>0</v>
      </c>
    </row>
    <row r="42" spans="1:9" ht="15" customHeight="1" x14ac:dyDescent="0.25">
      <c r="A42" s="115" t="s">
        <v>1244</v>
      </c>
      <c r="B42" s="106"/>
      <c r="C42" s="106"/>
      <c r="D42" s="106"/>
      <c r="E42" s="102"/>
      <c r="F42" s="16">
        <f>SUM('Stavební rozpočet'!BS12:BS720)</f>
        <v>0</v>
      </c>
      <c r="G42" s="43" t="s">
        <v>769</v>
      </c>
      <c r="H42" s="43" t="s">
        <v>769</v>
      </c>
      <c r="I42" s="16">
        <f t="shared" si="1"/>
        <v>0</v>
      </c>
    </row>
    <row r="43" spans="1:9" ht="15" customHeight="1" x14ac:dyDescent="0.25">
      <c r="A43" s="115" t="s">
        <v>292</v>
      </c>
      <c r="B43" s="106"/>
      <c r="C43" s="106"/>
      <c r="D43" s="106"/>
      <c r="E43" s="102"/>
      <c r="F43" s="16">
        <f>SUM('Stavební rozpočet'!BT12:BT720)</f>
        <v>0</v>
      </c>
      <c r="G43" s="43" t="s">
        <v>769</v>
      </c>
      <c r="H43" s="43" t="s">
        <v>769</v>
      </c>
      <c r="I43" s="16">
        <f t="shared" si="1"/>
        <v>0</v>
      </c>
    </row>
    <row r="44" spans="1:9" ht="15" customHeight="1" x14ac:dyDescent="0.25">
      <c r="A44" s="113" t="s">
        <v>1053</v>
      </c>
      <c r="B44" s="77"/>
      <c r="C44" s="77"/>
      <c r="D44" s="77"/>
      <c r="E44" s="99"/>
      <c r="F44" s="32">
        <f>SUM('Stavební rozpočet'!BU12:BU720)</f>
        <v>0</v>
      </c>
      <c r="G44" s="18" t="s">
        <v>769</v>
      </c>
      <c r="H44" s="18" t="s">
        <v>769</v>
      </c>
      <c r="I44" s="32">
        <f t="shared" si="1"/>
        <v>0</v>
      </c>
    </row>
    <row r="45" spans="1:9" ht="15" customHeight="1" x14ac:dyDescent="0.25">
      <c r="A45" s="116" t="s">
        <v>852</v>
      </c>
      <c r="B45" s="117"/>
      <c r="C45" s="117"/>
      <c r="D45" s="117"/>
      <c r="E45" s="118"/>
      <c r="F45" s="5" t="s">
        <v>769</v>
      </c>
      <c r="G45" s="26" t="s">
        <v>769</v>
      </c>
      <c r="H45" s="26" t="s">
        <v>769</v>
      </c>
      <c r="I45" s="25">
        <f>SUM(I35:I44)</f>
        <v>0</v>
      </c>
    </row>
  </sheetData>
  <mergeCells count="60">
    <mergeCell ref="A10:B11"/>
    <mergeCell ref="E2:E3"/>
    <mergeCell ref="E4:E5"/>
    <mergeCell ref="E6:E7"/>
    <mergeCell ref="E8:E9"/>
    <mergeCell ref="A1:I1"/>
    <mergeCell ref="A2:B3"/>
    <mergeCell ref="A4:B5"/>
    <mergeCell ref="A6:B7"/>
    <mergeCell ref="A8:B9"/>
    <mergeCell ref="F10:G11"/>
    <mergeCell ref="E10:E11"/>
    <mergeCell ref="H2:H3"/>
    <mergeCell ref="H4:H5"/>
    <mergeCell ref="H6:H7"/>
    <mergeCell ref="H8:H9"/>
    <mergeCell ref="H10:H11"/>
    <mergeCell ref="A20:E20"/>
    <mergeCell ref="I2:I3"/>
    <mergeCell ref="I4:I5"/>
    <mergeCell ref="I6:I7"/>
    <mergeCell ref="I8:I9"/>
    <mergeCell ref="I10:I11"/>
    <mergeCell ref="A13:E13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A14:E14"/>
    <mergeCell ref="A15:E15"/>
    <mergeCell ref="A16:E16"/>
    <mergeCell ref="A17:E17"/>
    <mergeCell ref="A18:E18"/>
    <mergeCell ref="A35:E35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BV333"/>
  <sheetViews>
    <sheetView showOutlineSymbols="0" workbookViewId="0">
      <pane ySplit="11" topLeftCell="A46" activePane="bottomLeft" state="frozenSplit"/>
      <selection activeCell="A333" sqref="A333:K333"/>
      <selection pane="bottomLeft" activeCell="K9" sqref="K9"/>
    </sheetView>
  </sheetViews>
  <sheetFormatPr defaultColWidth="14.1640625" defaultRowHeight="15" customHeight="1" x14ac:dyDescent="0.25"/>
  <cols>
    <col min="1" max="1" width="4.6640625"/>
    <col min="2" max="2" width="8.83203125"/>
    <col min="3" max="3" width="20.83203125"/>
    <col min="4" max="4" width="50"/>
    <col min="5" max="5" width="41.6640625"/>
    <col min="6" max="6" width="5"/>
    <col min="7" max="7" width="15"/>
    <col min="8" max="8" width="14"/>
    <col min="9" max="9" width="18.33203125"/>
    <col min="10" max="10" width="22" customWidth="1"/>
    <col min="24" max="74" width="14.1640625" hidden="1"/>
  </cols>
  <sheetData>
    <row r="1" spans="1:74" ht="54.75" customHeight="1" x14ac:dyDescent="0.25">
      <c r="A1" s="111" t="s">
        <v>780</v>
      </c>
      <c r="B1" s="111"/>
      <c r="C1" s="111"/>
      <c r="D1" s="111"/>
      <c r="E1" s="111"/>
      <c r="F1" s="111"/>
      <c r="G1" s="111"/>
      <c r="H1" s="111"/>
      <c r="I1" s="111"/>
      <c r="J1" s="111"/>
      <c r="AR1" s="14">
        <f>SUM(AI1:AI2)</f>
        <v>0</v>
      </c>
      <c r="AS1" s="14">
        <f>SUM(AJ1:AJ2)</f>
        <v>0</v>
      </c>
      <c r="AT1" s="14">
        <f>SUM(AK1:AK2)</f>
        <v>0</v>
      </c>
    </row>
    <row r="2" spans="1:74" ht="15" customHeight="1" x14ac:dyDescent="0.25">
      <c r="A2" s="112" t="s">
        <v>86</v>
      </c>
      <c r="B2" s="105"/>
      <c r="C2" s="105"/>
      <c r="D2" s="107" t="str">
        <f>'Stavební rozpočet'!D2</f>
        <v>JSL13 Předklášteří - obnova vodovodního řadu ul. Komenského, ul. Krátká</v>
      </c>
      <c r="E2" s="108"/>
      <c r="F2" s="105" t="s">
        <v>6</v>
      </c>
      <c r="G2" s="105"/>
      <c r="H2" s="104" t="str">
        <f>'Stavební rozpočet'!H2</f>
        <v xml:space="preserve"> </v>
      </c>
      <c r="I2" s="104" t="s">
        <v>924</v>
      </c>
      <c r="J2" s="98"/>
    </row>
    <row r="3" spans="1:74" ht="15" customHeight="1" x14ac:dyDescent="0.25">
      <c r="A3" s="113"/>
      <c r="B3" s="77"/>
      <c r="C3" s="77"/>
      <c r="D3" s="109"/>
      <c r="E3" s="109"/>
      <c r="F3" s="77"/>
      <c r="G3" s="77"/>
      <c r="H3" s="77"/>
      <c r="I3" s="77"/>
      <c r="J3" s="99"/>
    </row>
    <row r="4" spans="1:74" ht="15" customHeight="1" x14ac:dyDescent="0.25">
      <c r="A4" s="114" t="s">
        <v>610</v>
      </c>
      <c r="B4" s="77"/>
      <c r="C4" s="77"/>
      <c r="D4" s="76" t="str">
        <f>'Stavební rozpočet'!D4</f>
        <v xml:space="preserve"> </v>
      </c>
      <c r="E4" s="77"/>
      <c r="F4" s="77" t="s">
        <v>986</v>
      </c>
      <c r="G4" s="77"/>
      <c r="H4" s="76" t="str">
        <f>'Stavební rozpočet'!H4</f>
        <v>28.09.2023</v>
      </c>
      <c r="I4" s="76" t="s">
        <v>767</v>
      </c>
      <c r="J4" s="99"/>
    </row>
    <row r="5" spans="1:74" ht="15" customHeight="1" x14ac:dyDescent="0.25">
      <c r="A5" s="113"/>
      <c r="B5" s="77"/>
      <c r="C5" s="77"/>
      <c r="D5" s="77"/>
      <c r="E5" s="77"/>
      <c r="F5" s="77"/>
      <c r="G5" s="77"/>
      <c r="H5" s="77"/>
      <c r="I5" s="77"/>
      <c r="J5" s="99"/>
    </row>
    <row r="6" spans="1:74" ht="15" customHeight="1" x14ac:dyDescent="0.25">
      <c r="A6" s="114" t="s">
        <v>104</v>
      </c>
      <c r="B6" s="77"/>
      <c r="C6" s="77"/>
      <c r="D6" s="76" t="str">
        <f>'Stavební rozpočet'!D6</f>
        <v>Předklášteří</v>
      </c>
      <c r="E6" s="77"/>
      <c r="F6" s="77" t="s">
        <v>359</v>
      </c>
      <c r="G6" s="77"/>
      <c r="H6" s="76" t="str">
        <f>'Stavební rozpočet'!H6</f>
        <v xml:space="preserve"> </v>
      </c>
      <c r="I6" s="76" t="s">
        <v>967</v>
      </c>
      <c r="J6" s="99"/>
    </row>
    <row r="7" spans="1:74" ht="15" customHeight="1" x14ac:dyDescent="0.25">
      <c r="A7" s="113"/>
      <c r="B7" s="77"/>
      <c r="C7" s="77"/>
      <c r="D7" s="77"/>
      <c r="E7" s="77"/>
      <c r="F7" s="77"/>
      <c r="G7" s="77"/>
      <c r="H7" s="77"/>
      <c r="I7" s="77"/>
      <c r="J7" s="99"/>
    </row>
    <row r="8" spans="1:74" ht="15" customHeight="1" x14ac:dyDescent="0.25">
      <c r="A8" s="114" t="s">
        <v>546</v>
      </c>
      <c r="B8" s="77"/>
      <c r="C8" s="77"/>
      <c r="D8" s="76" t="str">
        <f>'Stavební rozpočet'!D8</f>
        <v xml:space="preserve"> </v>
      </c>
      <c r="E8" s="77"/>
      <c r="F8" s="77" t="s">
        <v>624</v>
      </c>
      <c r="G8" s="77"/>
      <c r="H8" s="76" t="str">
        <f>'Stavební rozpočet'!H8</f>
        <v>28.09.2023</v>
      </c>
      <c r="I8" s="76" t="s">
        <v>733</v>
      </c>
      <c r="J8" s="99"/>
    </row>
    <row r="9" spans="1:74" ht="15" customHeight="1" x14ac:dyDescent="0.25">
      <c r="A9" s="113"/>
      <c r="B9" s="77"/>
      <c r="C9" s="77"/>
      <c r="D9" s="77"/>
      <c r="E9" s="77"/>
      <c r="F9" s="77"/>
      <c r="G9" s="77"/>
      <c r="H9" s="77"/>
      <c r="I9" s="77"/>
      <c r="J9" s="99"/>
    </row>
    <row r="10" spans="1:74" ht="15" customHeight="1" x14ac:dyDescent="0.25">
      <c r="A10" s="4" t="s">
        <v>93</v>
      </c>
      <c r="B10" s="13" t="s">
        <v>821</v>
      </c>
      <c r="C10" s="13" t="s">
        <v>368</v>
      </c>
      <c r="D10" s="140" t="s">
        <v>768</v>
      </c>
      <c r="E10" s="141"/>
      <c r="F10" s="13" t="s">
        <v>391</v>
      </c>
      <c r="G10" s="1" t="s">
        <v>665</v>
      </c>
      <c r="H10" s="49" t="s">
        <v>357</v>
      </c>
      <c r="I10" s="8" t="s">
        <v>712</v>
      </c>
      <c r="J10" s="7" t="s">
        <v>302</v>
      </c>
      <c r="BJ10" s="30" t="s">
        <v>449</v>
      </c>
      <c r="BK10" s="40" t="s">
        <v>589</v>
      </c>
      <c r="BV10" s="40" t="s">
        <v>1224</v>
      </c>
    </row>
    <row r="11" spans="1:74" ht="15" customHeight="1" x14ac:dyDescent="0.25">
      <c r="A11" s="65" t="s">
        <v>1027</v>
      </c>
      <c r="B11" s="39" t="s">
        <v>1027</v>
      </c>
      <c r="C11" s="39" t="s">
        <v>1027</v>
      </c>
      <c r="D11" s="130" t="s">
        <v>1118</v>
      </c>
      <c r="E11" s="131"/>
      <c r="F11" s="39" t="s">
        <v>1027</v>
      </c>
      <c r="G11" s="39" t="s">
        <v>1027</v>
      </c>
      <c r="H11" s="69" t="s">
        <v>1061</v>
      </c>
      <c r="I11" s="17" t="s">
        <v>114</v>
      </c>
      <c r="J11" s="11" t="s">
        <v>282</v>
      </c>
      <c r="Y11" s="30" t="s">
        <v>866</v>
      </c>
      <c r="Z11" s="30" t="s">
        <v>683</v>
      </c>
      <c r="AA11" s="30" t="s">
        <v>1143</v>
      </c>
      <c r="AB11" s="30" t="s">
        <v>319</v>
      </c>
      <c r="AC11" s="30" t="s">
        <v>939</v>
      </c>
      <c r="AD11" s="30" t="s">
        <v>415</v>
      </c>
      <c r="AE11" s="30" t="s">
        <v>998</v>
      </c>
      <c r="AF11" s="30" t="s">
        <v>487</v>
      </c>
      <c r="AG11" s="30" t="s">
        <v>288</v>
      </c>
      <c r="BG11" s="30" t="s">
        <v>867</v>
      </c>
      <c r="BH11" s="30" t="s">
        <v>1126</v>
      </c>
      <c r="BI11" s="30" t="s">
        <v>1209</v>
      </c>
    </row>
    <row r="12" spans="1:74" ht="15" customHeight="1" x14ac:dyDescent="0.25">
      <c r="A12" s="27" t="s">
        <v>769</v>
      </c>
      <c r="B12" s="28" t="s">
        <v>847</v>
      </c>
      <c r="C12" s="28" t="s">
        <v>769</v>
      </c>
      <c r="D12" s="132" t="s">
        <v>437</v>
      </c>
      <c r="E12" s="133"/>
      <c r="F12" s="23" t="s">
        <v>1027</v>
      </c>
      <c r="G12" s="23" t="s">
        <v>1027</v>
      </c>
      <c r="H12" s="23" t="s">
        <v>1027</v>
      </c>
      <c r="I12" s="14">
        <f>I13+I34+I39+I53+I60+I65+I87+I90+I98+I120+I127+I135+I164+I227+I279+I289+I292+I299+I316+I318+I321</f>
        <v>0</v>
      </c>
      <c r="J12" s="44" t="s">
        <v>769</v>
      </c>
    </row>
    <row r="13" spans="1:74" ht="15" customHeight="1" x14ac:dyDescent="0.25">
      <c r="A13" s="27" t="s">
        <v>769</v>
      </c>
      <c r="B13" s="28" t="s">
        <v>847</v>
      </c>
      <c r="C13" s="28" t="s">
        <v>917</v>
      </c>
      <c r="D13" s="132" t="s">
        <v>611</v>
      </c>
      <c r="E13" s="133"/>
      <c r="F13" s="23" t="s">
        <v>1027</v>
      </c>
      <c r="G13" s="23" t="s">
        <v>1027</v>
      </c>
      <c r="H13" s="23" t="s">
        <v>1027</v>
      </c>
      <c r="I13" s="14">
        <f>SUM(I14:I32)</f>
        <v>0</v>
      </c>
      <c r="J13" s="44" t="s">
        <v>769</v>
      </c>
      <c r="AH13" s="30" t="s">
        <v>847</v>
      </c>
      <c r="AR13" s="14">
        <f>SUM(AI14:AI32)</f>
        <v>0</v>
      </c>
      <c r="AS13" s="14">
        <f>SUM(AJ14:AJ32)</f>
        <v>0</v>
      </c>
      <c r="AT13" s="14">
        <f>SUM(AK14:AK32)</f>
        <v>0</v>
      </c>
    </row>
    <row r="14" spans="1:74" ht="13.5" customHeight="1" x14ac:dyDescent="0.25">
      <c r="A14" s="10" t="s">
        <v>1109</v>
      </c>
      <c r="B14" s="9" t="s">
        <v>847</v>
      </c>
      <c r="C14" s="9" t="s">
        <v>978</v>
      </c>
      <c r="D14" s="76" t="s">
        <v>489</v>
      </c>
      <c r="E14" s="77"/>
      <c r="F14" s="9" t="s">
        <v>1095</v>
      </c>
      <c r="G14" s="56">
        <f>'Stavební rozpočet'!G14</f>
        <v>7</v>
      </c>
      <c r="H14" s="56">
        <f>'Stavební rozpočet'!H14</f>
        <v>0</v>
      </c>
      <c r="I14" s="56">
        <f>G14*H14</f>
        <v>0</v>
      </c>
      <c r="J14" s="54" t="s">
        <v>501</v>
      </c>
      <c r="Y14" s="56">
        <f>IF(AP14="5",BI14,0)</f>
        <v>0</v>
      </c>
      <c r="AA14" s="56">
        <f>IF(AP14="1",BG14,0)</f>
        <v>0</v>
      </c>
      <c r="AB14" s="56">
        <f>IF(AP14="1",BH14,0)</f>
        <v>0</v>
      </c>
      <c r="AC14" s="56">
        <f>IF(AP14="7",BG14,0)</f>
        <v>0</v>
      </c>
      <c r="AD14" s="56">
        <f>IF(AP14="7",BH14,0)</f>
        <v>0</v>
      </c>
      <c r="AE14" s="56">
        <f>IF(AP14="2",BG14,0)</f>
        <v>0</v>
      </c>
      <c r="AF14" s="56">
        <f>IF(AP14="2",BH14,0)</f>
        <v>0</v>
      </c>
      <c r="AG14" s="56">
        <f>IF(AP14="0",BI14,0)</f>
        <v>0</v>
      </c>
      <c r="AH14" s="30" t="s">
        <v>847</v>
      </c>
      <c r="AI14" s="56">
        <f>IF(AM14=0,I14,0)</f>
        <v>0</v>
      </c>
      <c r="AJ14" s="56">
        <f>IF(AM14=15,I14,0)</f>
        <v>0</v>
      </c>
      <c r="AK14" s="56">
        <f>IF(AM14=21,I14,0)</f>
        <v>0</v>
      </c>
      <c r="AM14" s="56">
        <v>21</v>
      </c>
      <c r="AN14" s="56">
        <f>H14*0</f>
        <v>0</v>
      </c>
      <c r="AO14" s="56">
        <f>H14*(1-0)</f>
        <v>0</v>
      </c>
      <c r="AP14" s="41" t="s">
        <v>1109</v>
      </c>
      <c r="AU14" s="56">
        <f>AV14+AW14</f>
        <v>0</v>
      </c>
      <c r="AV14" s="56">
        <f>G14*AN14</f>
        <v>0</v>
      </c>
      <c r="AW14" s="56">
        <f>G14*AO14</f>
        <v>0</v>
      </c>
      <c r="AX14" s="41" t="s">
        <v>124</v>
      </c>
      <c r="AY14" s="41" t="s">
        <v>738</v>
      </c>
      <c r="AZ14" s="30" t="s">
        <v>1000</v>
      </c>
      <c r="BB14" s="56">
        <f>AV14+AW14</f>
        <v>0</v>
      </c>
      <c r="BC14" s="56">
        <f>H14/(100-BD14)*100</f>
        <v>0</v>
      </c>
      <c r="BD14" s="56">
        <v>0</v>
      </c>
      <c r="BE14" s="56" t="e">
        <f>#REF!</f>
        <v>#REF!</v>
      </c>
      <c r="BG14" s="56">
        <f>G14*AN14</f>
        <v>0</v>
      </c>
      <c r="BH14" s="56">
        <f>G14*AO14</f>
        <v>0</v>
      </c>
      <c r="BI14" s="56">
        <f>G14*H14</f>
        <v>0</v>
      </c>
      <c r="BJ14" s="56"/>
      <c r="BK14" s="56">
        <v>11</v>
      </c>
      <c r="BV14" s="56">
        <v>21</v>
      </c>
    </row>
    <row r="15" spans="1:74" ht="13.5" customHeight="1" x14ac:dyDescent="0.25">
      <c r="A15" s="10" t="s">
        <v>766</v>
      </c>
      <c r="B15" s="9" t="s">
        <v>847</v>
      </c>
      <c r="C15" s="9" t="s">
        <v>1158</v>
      </c>
      <c r="D15" s="76" t="s">
        <v>480</v>
      </c>
      <c r="E15" s="77"/>
      <c r="F15" s="9" t="s">
        <v>1095</v>
      </c>
      <c r="G15" s="56">
        <f>'Stavební rozpočet'!G15</f>
        <v>21.5</v>
      </c>
      <c r="H15" s="56">
        <f>'Stavební rozpočet'!H15</f>
        <v>0</v>
      </c>
      <c r="I15" s="56">
        <f>G15*H15</f>
        <v>0</v>
      </c>
      <c r="J15" s="54" t="s">
        <v>501</v>
      </c>
      <c r="Y15" s="56">
        <f>IF(AP15="5",BI15,0)</f>
        <v>0</v>
      </c>
      <c r="AA15" s="56">
        <f>IF(AP15="1",BG15,0)</f>
        <v>0</v>
      </c>
      <c r="AB15" s="56">
        <f>IF(AP15="1",BH15,0)</f>
        <v>0</v>
      </c>
      <c r="AC15" s="56">
        <f>IF(AP15="7",BG15,0)</f>
        <v>0</v>
      </c>
      <c r="AD15" s="56">
        <f>IF(AP15="7",BH15,0)</f>
        <v>0</v>
      </c>
      <c r="AE15" s="56">
        <f>IF(AP15="2",BG15,0)</f>
        <v>0</v>
      </c>
      <c r="AF15" s="56">
        <f>IF(AP15="2",BH15,0)</f>
        <v>0</v>
      </c>
      <c r="AG15" s="56">
        <f>IF(AP15="0",BI15,0)</f>
        <v>0</v>
      </c>
      <c r="AH15" s="30" t="s">
        <v>847</v>
      </c>
      <c r="AI15" s="56">
        <f>IF(AM15=0,I15,0)</f>
        <v>0</v>
      </c>
      <c r="AJ15" s="56">
        <f>IF(AM15=15,I15,0)</f>
        <v>0</v>
      </c>
      <c r="AK15" s="56">
        <f>IF(AM15=21,I15,0)</f>
        <v>0</v>
      </c>
      <c r="AM15" s="56">
        <v>21</v>
      </c>
      <c r="AN15" s="56">
        <f>H15*0</f>
        <v>0</v>
      </c>
      <c r="AO15" s="56">
        <f>H15*(1-0)</f>
        <v>0</v>
      </c>
      <c r="AP15" s="41" t="s">
        <v>1109</v>
      </c>
      <c r="AU15" s="56">
        <f>AV15+AW15</f>
        <v>0</v>
      </c>
      <c r="AV15" s="56">
        <f>G15*AN15</f>
        <v>0</v>
      </c>
      <c r="AW15" s="56">
        <f>G15*AO15</f>
        <v>0</v>
      </c>
      <c r="AX15" s="41" t="s">
        <v>124</v>
      </c>
      <c r="AY15" s="41" t="s">
        <v>738</v>
      </c>
      <c r="AZ15" s="30" t="s">
        <v>1000</v>
      </c>
      <c r="BB15" s="56">
        <f>AV15+AW15</f>
        <v>0</v>
      </c>
      <c r="BC15" s="56">
        <f>H15/(100-BD15)*100</f>
        <v>0</v>
      </c>
      <c r="BD15" s="56">
        <v>0</v>
      </c>
      <c r="BE15" s="56" t="e">
        <f>#REF!</f>
        <v>#REF!</v>
      </c>
      <c r="BG15" s="56">
        <f>G15*AN15</f>
        <v>0</v>
      </c>
      <c r="BH15" s="56">
        <f>G15*AO15</f>
        <v>0</v>
      </c>
      <c r="BI15" s="56">
        <f>G15*H15</f>
        <v>0</v>
      </c>
      <c r="BJ15" s="56"/>
      <c r="BK15" s="56">
        <v>11</v>
      </c>
      <c r="BV15" s="56">
        <v>21</v>
      </c>
    </row>
    <row r="16" spans="1:74" ht="13.5" customHeight="1" x14ac:dyDescent="0.25">
      <c r="A16" s="10" t="s">
        <v>952</v>
      </c>
      <c r="B16" s="9" t="s">
        <v>847</v>
      </c>
      <c r="C16" s="9" t="s">
        <v>980</v>
      </c>
      <c r="D16" s="76" t="s">
        <v>283</v>
      </c>
      <c r="E16" s="77"/>
      <c r="F16" s="9" t="s">
        <v>1095</v>
      </c>
      <c r="G16" s="56">
        <f>'Stavební rozpočet'!G16</f>
        <v>2</v>
      </c>
      <c r="H16" s="56">
        <f>'Stavební rozpočet'!H16</f>
        <v>0</v>
      </c>
      <c r="I16" s="56">
        <f>G16*H16</f>
        <v>0</v>
      </c>
      <c r="J16" s="54" t="s">
        <v>501</v>
      </c>
      <c r="Y16" s="56">
        <f>IF(AP16="5",BI16,0)</f>
        <v>0</v>
      </c>
      <c r="AA16" s="56">
        <f>IF(AP16="1",BG16,0)</f>
        <v>0</v>
      </c>
      <c r="AB16" s="56">
        <f>IF(AP16="1",BH16,0)</f>
        <v>0</v>
      </c>
      <c r="AC16" s="56">
        <f>IF(AP16="7",BG16,0)</f>
        <v>0</v>
      </c>
      <c r="AD16" s="56">
        <f>IF(AP16="7",BH16,0)</f>
        <v>0</v>
      </c>
      <c r="AE16" s="56">
        <f>IF(AP16="2",BG16,0)</f>
        <v>0</v>
      </c>
      <c r="AF16" s="56">
        <f>IF(AP16="2",BH16,0)</f>
        <v>0</v>
      </c>
      <c r="AG16" s="56">
        <f>IF(AP16="0",BI16,0)</f>
        <v>0</v>
      </c>
      <c r="AH16" s="30" t="s">
        <v>847</v>
      </c>
      <c r="AI16" s="56">
        <f>IF(AM16=0,I16,0)</f>
        <v>0</v>
      </c>
      <c r="AJ16" s="56">
        <f>IF(AM16=15,I16,0)</f>
        <v>0</v>
      </c>
      <c r="AK16" s="56">
        <f>IF(AM16=21,I16,0)</f>
        <v>0</v>
      </c>
      <c r="AM16" s="56">
        <v>21</v>
      </c>
      <c r="AN16" s="56">
        <f>H16*0</f>
        <v>0</v>
      </c>
      <c r="AO16" s="56">
        <f>H16*(1-0)</f>
        <v>0</v>
      </c>
      <c r="AP16" s="41" t="s">
        <v>1109</v>
      </c>
      <c r="AU16" s="56">
        <f>AV16+AW16</f>
        <v>0</v>
      </c>
      <c r="AV16" s="56">
        <f>G16*AN16</f>
        <v>0</v>
      </c>
      <c r="AW16" s="56">
        <f>G16*AO16</f>
        <v>0</v>
      </c>
      <c r="AX16" s="41" t="s">
        <v>124</v>
      </c>
      <c r="AY16" s="41" t="s">
        <v>738</v>
      </c>
      <c r="AZ16" s="30" t="s">
        <v>1000</v>
      </c>
      <c r="BB16" s="56">
        <f>AV16+AW16</f>
        <v>0</v>
      </c>
      <c r="BC16" s="56">
        <f>H16/(100-BD16)*100</f>
        <v>0</v>
      </c>
      <c r="BD16" s="56">
        <v>0</v>
      </c>
      <c r="BE16" s="56" t="e">
        <f>#REF!</f>
        <v>#REF!</v>
      </c>
      <c r="BG16" s="56">
        <f>G16*AN16</f>
        <v>0</v>
      </c>
      <c r="BH16" s="56">
        <f>G16*AO16</f>
        <v>0</v>
      </c>
      <c r="BI16" s="56">
        <f>G16*H16</f>
        <v>0</v>
      </c>
      <c r="BJ16" s="56"/>
      <c r="BK16" s="56">
        <v>11</v>
      </c>
      <c r="BV16" s="56">
        <v>21</v>
      </c>
    </row>
    <row r="17" spans="1:74" ht="13.5" customHeight="1" x14ac:dyDescent="0.25">
      <c r="A17" s="10" t="s">
        <v>127</v>
      </c>
      <c r="B17" s="9" t="s">
        <v>847</v>
      </c>
      <c r="C17" s="9" t="s">
        <v>327</v>
      </c>
      <c r="D17" s="76" t="s">
        <v>215</v>
      </c>
      <c r="E17" s="77"/>
      <c r="F17" s="9" t="s">
        <v>1095</v>
      </c>
      <c r="G17" s="56">
        <f>'Stavební rozpočet'!G17</f>
        <v>368.65</v>
      </c>
      <c r="H17" s="56">
        <f>'Stavební rozpočet'!H17</f>
        <v>0</v>
      </c>
      <c r="I17" s="56">
        <f>G17*H17</f>
        <v>0</v>
      </c>
      <c r="J17" s="54" t="s">
        <v>501</v>
      </c>
      <c r="Y17" s="56">
        <f>IF(AP17="5",BI17,0)</f>
        <v>0</v>
      </c>
      <c r="AA17" s="56">
        <f>IF(AP17="1",BG17,0)</f>
        <v>0</v>
      </c>
      <c r="AB17" s="56">
        <f>IF(AP17="1",BH17,0)</f>
        <v>0</v>
      </c>
      <c r="AC17" s="56">
        <f>IF(AP17="7",BG17,0)</f>
        <v>0</v>
      </c>
      <c r="AD17" s="56">
        <f>IF(AP17="7",BH17,0)</f>
        <v>0</v>
      </c>
      <c r="AE17" s="56">
        <f>IF(AP17="2",BG17,0)</f>
        <v>0</v>
      </c>
      <c r="AF17" s="56">
        <f>IF(AP17="2",BH17,0)</f>
        <v>0</v>
      </c>
      <c r="AG17" s="56">
        <f>IF(AP17="0",BI17,0)</f>
        <v>0</v>
      </c>
      <c r="AH17" s="30" t="s">
        <v>847</v>
      </c>
      <c r="AI17" s="56">
        <f>IF(AM17=0,I17,0)</f>
        <v>0</v>
      </c>
      <c r="AJ17" s="56">
        <f>IF(AM17=15,I17,0)</f>
        <v>0</v>
      </c>
      <c r="AK17" s="56">
        <f>IF(AM17=21,I17,0)</f>
        <v>0</v>
      </c>
      <c r="AM17" s="56">
        <v>21</v>
      </c>
      <c r="AN17" s="56">
        <f>H17*0</f>
        <v>0</v>
      </c>
      <c r="AO17" s="56">
        <f>H17*(1-0)</f>
        <v>0</v>
      </c>
      <c r="AP17" s="41" t="s">
        <v>1109</v>
      </c>
      <c r="AU17" s="56">
        <f>AV17+AW17</f>
        <v>0</v>
      </c>
      <c r="AV17" s="56">
        <f>G17*AN17</f>
        <v>0</v>
      </c>
      <c r="AW17" s="56">
        <f>G17*AO17</f>
        <v>0</v>
      </c>
      <c r="AX17" s="41" t="s">
        <v>124</v>
      </c>
      <c r="AY17" s="41" t="s">
        <v>738</v>
      </c>
      <c r="AZ17" s="30" t="s">
        <v>1000</v>
      </c>
      <c r="BB17" s="56">
        <f>AV17+AW17</f>
        <v>0</v>
      </c>
      <c r="BC17" s="56">
        <f>H17/(100-BD17)*100</f>
        <v>0</v>
      </c>
      <c r="BD17" s="56">
        <v>0</v>
      </c>
      <c r="BE17" s="56" t="e">
        <f>#REF!</f>
        <v>#REF!</v>
      </c>
      <c r="BG17" s="56">
        <f>G17*AN17</f>
        <v>0</v>
      </c>
      <c r="BH17" s="56">
        <f>G17*AO17</f>
        <v>0</v>
      </c>
      <c r="BI17" s="56">
        <f>G17*H17</f>
        <v>0</v>
      </c>
      <c r="BJ17" s="56"/>
      <c r="BK17" s="56">
        <v>11</v>
      </c>
      <c r="BV17" s="56">
        <v>21</v>
      </c>
    </row>
    <row r="18" spans="1:74" ht="15" customHeight="1" x14ac:dyDescent="0.25">
      <c r="A18" s="53"/>
      <c r="D18" s="52" t="s">
        <v>1113</v>
      </c>
      <c r="E18" s="37" t="s">
        <v>616</v>
      </c>
      <c r="G18" s="21">
        <v>336.6</v>
      </c>
      <c r="J18" s="48"/>
    </row>
    <row r="19" spans="1:74" ht="15" customHeight="1" x14ac:dyDescent="0.25">
      <c r="A19" s="53"/>
      <c r="D19" s="52" t="s">
        <v>577</v>
      </c>
      <c r="E19" s="37" t="s">
        <v>33</v>
      </c>
      <c r="G19" s="21">
        <v>16</v>
      </c>
      <c r="J19" s="48"/>
    </row>
    <row r="20" spans="1:74" ht="15" customHeight="1" x14ac:dyDescent="0.25">
      <c r="A20" s="53"/>
      <c r="D20" s="52" t="s">
        <v>136</v>
      </c>
      <c r="E20" s="37" t="s">
        <v>1092</v>
      </c>
      <c r="G20" s="21">
        <v>4.0500000000000007</v>
      </c>
      <c r="J20" s="48"/>
    </row>
    <row r="21" spans="1:74" ht="15" customHeight="1" x14ac:dyDescent="0.25">
      <c r="A21" s="53"/>
      <c r="D21" s="52" t="s">
        <v>1241</v>
      </c>
      <c r="E21" s="37" t="s">
        <v>1033</v>
      </c>
      <c r="G21" s="21">
        <v>12.000000000000002</v>
      </c>
      <c r="J21" s="48"/>
    </row>
    <row r="22" spans="1:74" ht="13.5" customHeight="1" x14ac:dyDescent="0.25">
      <c r="A22" s="10" t="s">
        <v>596</v>
      </c>
      <c r="B22" s="9" t="s">
        <v>847</v>
      </c>
      <c r="C22" s="9" t="s">
        <v>649</v>
      </c>
      <c r="D22" s="76" t="s">
        <v>567</v>
      </c>
      <c r="E22" s="77"/>
      <c r="F22" s="9" t="s">
        <v>1095</v>
      </c>
      <c r="G22" s="56">
        <f>'Stavební rozpočet'!G22</f>
        <v>644.48</v>
      </c>
      <c r="H22" s="56">
        <f>'Stavební rozpočet'!H22</f>
        <v>0</v>
      </c>
      <c r="I22" s="56">
        <f>G22*H22</f>
        <v>0</v>
      </c>
      <c r="J22" s="54" t="s">
        <v>501</v>
      </c>
      <c r="Y22" s="56">
        <f>IF(AP22="5",BI22,0)</f>
        <v>0</v>
      </c>
      <c r="AA22" s="56">
        <f>IF(AP22="1",BG22,0)</f>
        <v>0</v>
      </c>
      <c r="AB22" s="56">
        <f>IF(AP22="1",BH22,0)</f>
        <v>0</v>
      </c>
      <c r="AC22" s="56">
        <f>IF(AP22="7",BG22,0)</f>
        <v>0</v>
      </c>
      <c r="AD22" s="56">
        <f>IF(AP22="7",BH22,0)</f>
        <v>0</v>
      </c>
      <c r="AE22" s="56">
        <f>IF(AP22="2",BG22,0)</f>
        <v>0</v>
      </c>
      <c r="AF22" s="56">
        <f>IF(AP22="2",BH22,0)</f>
        <v>0</v>
      </c>
      <c r="AG22" s="56">
        <f>IF(AP22="0",BI22,0)</f>
        <v>0</v>
      </c>
      <c r="AH22" s="30" t="s">
        <v>847</v>
      </c>
      <c r="AI22" s="56">
        <f>IF(AM22=0,I22,0)</f>
        <v>0</v>
      </c>
      <c r="AJ22" s="56">
        <f>IF(AM22=15,I22,0)</f>
        <v>0</v>
      </c>
      <c r="AK22" s="56">
        <f>IF(AM22=21,I22,0)</f>
        <v>0</v>
      </c>
      <c r="AM22" s="56">
        <v>21</v>
      </c>
      <c r="AN22" s="56">
        <f>H22*0</f>
        <v>0</v>
      </c>
      <c r="AO22" s="56">
        <f>H22*(1-0)</f>
        <v>0</v>
      </c>
      <c r="AP22" s="41" t="s">
        <v>1109</v>
      </c>
      <c r="AU22" s="56">
        <f>AV22+AW22</f>
        <v>0</v>
      </c>
      <c r="AV22" s="56">
        <f>G22*AN22</f>
        <v>0</v>
      </c>
      <c r="AW22" s="56">
        <f>G22*AO22</f>
        <v>0</v>
      </c>
      <c r="AX22" s="41" t="s">
        <v>124</v>
      </c>
      <c r="AY22" s="41" t="s">
        <v>738</v>
      </c>
      <c r="AZ22" s="30" t="s">
        <v>1000</v>
      </c>
      <c r="BB22" s="56">
        <f>AV22+AW22</f>
        <v>0</v>
      </c>
      <c r="BC22" s="56">
        <f>H22/(100-BD22)*100</f>
        <v>0</v>
      </c>
      <c r="BD22" s="56">
        <v>0</v>
      </c>
      <c r="BE22" s="56" t="e">
        <f>#REF!</f>
        <v>#REF!</v>
      </c>
      <c r="BG22" s="56">
        <f>G22*AN22</f>
        <v>0</v>
      </c>
      <c r="BH22" s="56">
        <f>G22*AO22</f>
        <v>0</v>
      </c>
      <c r="BI22" s="56">
        <f>G22*H22</f>
        <v>0</v>
      </c>
      <c r="BJ22" s="56"/>
      <c r="BK22" s="56">
        <v>11</v>
      </c>
      <c r="BV22" s="56">
        <v>21</v>
      </c>
    </row>
    <row r="23" spans="1:74" ht="15" customHeight="1" x14ac:dyDescent="0.25">
      <c r="A23" s="53"/>
      <c r="D23" s="52" t="s">
        <v>1070</v>
      </c>
      <c r="E23" s="37" t="s">
        <v>769</v>
      </c>
      <c r="G23" s="21">
        <v>644.48</v>
      </c>
      <c r="J23" s="48"/>
    </row>
    <row r="24" spans="1:74" ht="13.5" customHeight="1" x14ac:dyDescent="0.25">
      <c r="A24" s="10" t="s">
        <v>177</v>
      </c>
      <c r="B24" s="9" t="s">
        <v>847</v>
      </c>
      <c r="C24" s="9" t="s">
        <v>600</v>
      </c>
      <c r="D24" s="76" t="s">
        <v>378</v>
      </c>
      <c r="E24" s="77"/>
      <c r="F24" s="9" t="s">
        <v>1095</v>
      </c>
      <c r="G24" s="56">
        <f>'Stavební rozpočet'!G24</f>
        <v>624.63</v>
      </c>
      <c r="H24" s="56">
        <f>'Stavební rozpočet'!H24</f>
        <v>0</v>
      </c>
      <c r="I24" s="56">
        <f>G24*H24</f>
        <v>0</v>
      </c>
      <c r="J24" s="54" t="s">
        <v>501</v>
      </c>
      <c r="Y24" s="56">
        <f>IF(AP24="5",BI24,0)</f>
        <v>0</v>
      </c>
      <c r="AA24" s="56">
        <f>IF(AP24="1",BG24,0)</f>
        <v>0</v>
      </c>
      <c r="AB24" s="56">
        <f>IF(AP24="1",BH24,0)</f>
        <v>0</v>
      </c>
      <c r="AC24" s="56">
        <f>IF(AP24="7",BG24,0)</f>
        <v>0</v>
      </c>
      <c r="AD24" s="56">
        <f>IF(AP24="7",BH24,0)</f>
        <v>0</v>
      </c>
      <c r="AE24" s="56">
        <f>IF(AP24="2",BG24,0)</f>
        <v>0</v>
      </c>
      <c r="AF24" s="56">
        <f>IF(AP24="2",BH24,0)</f>
        <v>0</v>
      </c>
      <c r="AG24" s="56">
        <f>IF(AP24="0",BI24,0)</f>
        <v>0</v>
      </c>
      <c r="AH24" s="30" t="s">
        <v>847</v>
      </c>
      <c r="AI24" s="56">
        <f>IF(AM24=0,I24,0)</f>
        <v>0</v>
      </c>
      <c r="AJ24" s="56">
        <f>IF(AM24=15,I24,0)</f>
        <v>0</v>
      </c>
      <c r="AK24" s="56">
        <f>IF(AM24=21,I24,0)</f>
        <v>0</v>
      </c>
      <c r="AM24" s="56">
        <v>21</v>
      </c>
      <c r="AN24" s="56">
        <f>H24*0</f>
        <v>0</v>
      </c>
      <c r="AO24" s="56">
        <f>H24*(1-0)</f>
        <v>0</v>
      </c>
      <c r="AP24" s="41" t="s">
        <v>1109</v>
      </c>
      <c r="AU24" s="56">
        <f>AV24+AW24</f>
        <v>0</v>
      </c>
      <c r="AV24" s="56">
        <f>G24*AN24</f>
        <v>0</v>
      </c>
      <c r="AW24" s="56">
        <f>G24*AO24</f>
        <v>0</v>
      </c>
      <c r="AX24" s="41" t="s">
        <v>124</v>
      </c>
      <c r="AY24" s="41" t="s">
        <v>738</v>
      </c>
      <c r="AZ24" s="30" t="s">
        <v>1000</v>
      </c>
      <c r="BB24" s="56">
        <f>AV24+AW24</f>
        <v>0</v>
      </c>
      <c r="BC24" s="56">
        <f>H24/(100-BD24)*100</f>
        <v>0</v>
      </c>
      <c r="BD24" s="56">
        <v>0</v>
      </c>
      <c r="BE24" s="56" t="e">
        <f>#REF!</f>
        <v>#REF!</v>
      </c>
      <c r="BG24" s="56">
        <f>G24*AN24</f>
        <v>0</v>
      </c>
      <c r="BH24" s="56">
        <f>G24*AO24</f>
        <v>0</v>
      </c>
      <c r="BI24" s="56">
        <f>G24*H24</f>
        <v>0</v>
      </c>
      <c r="BJ24" s="56"/>
      <c r="BK24" s="56">
        <v>11</v>
      </c>
      <c r="BV24" s="56">
        <v>21</v>
      </c>
    </row>
    <row r="25" spans="1:74" ht="15" customHeight="1" x14ac:dyDescent="0.25">
      <c r="A25" s="53"/>
      <c r="D25" s="52" t="s">
        <v>122</v>
      </c>
      <c r="E25" s="37" t="s">
        <v>769</v>
      </c>
      <c r="G25" s="21">
        <v>624.63</v>
      </c>
      <c r="J25" s="48"/>
    </row>
    <row r="26" spans="1:74" ht="13.5" customHeight="1" x14ac:dyDescent="0.25">
      <c r="A26" s="10" t="s">
        <v>1114</v>
      </c>
      <c r="B26" s="9" t="s">
        <v>847</v>
      </c>
      <c r="C26" s="9" t="s">
        <v>790</v>
      </c>
      <c r="D26" s="76" t="s">
        <v>1040</v>
      </c>
      <c r="E26" s="77"/>
      <c r="F26" s="9" t="s">
        <v>909</v>
      </c>
      <c r="G26" s="56">
        <f>'Stavební rozpočet'!G26</f>
        <v>17</v>
      </c>
      <c r="H26" s="56">
        <f>'Stavební rozpočet'!H26</f>
        <v>0</v>
      </c>
      <c r="I26" s="56">
        <f>G26*H26</f>
        <v>0</v>
      </c>
      <c r="J26" s="54" t="s">
        <v>501</v>
      </c>
      <c r="Y26" s="56">
        <f>IF(AP26="5",BI26,0)</f>
        <v>0</v>
      </c>
      <c r="AA26" s="56">
        <f>IF(AP26="1",BG26,0)</f>
        <v>0</v>
      </c>
      <c r="AB26" s="56">
        <f>IF(AP26="1",BH26,0)</f>
        <v>0</v>
      </c>
      <c r="AC26" s="56">
        <f>IF(AP26="7",BG26,0)</f>
        <v>0</v>
      </c>
      <c r="AD26" s="56">
        <f>IF(AP26="7",BH26,0)</f>
        <v>0</v>
      </c>
      <c r="AE26" s="56">
        <f>IF(AP26="2",BG26,0)</f>
        <v>0</v>
      </c>
      <c r="AF26" s="56">
        <f>IF(AP26="2",BH26,0)</f>
        <v>0</v>
      </c>
      <c r="AG26" s="56">
        <f>IF(AP26="0",BI26,0)</f>
        <v>0</v>
      </c>
      <c r="AH26" s="30" t="s">
        <v>847</v>
      </c>
      <c r="AI26" s="56">
        <f>IF(AM26=0,I26,0)</f>
        <v>0</v>
      </c>
      <c r="AJ26" s="56">
        <f>IF(AM26=15,I26,0)</f>
        <v>0</v>
      </c>
      <c r="AK26" s="56">
        <f>IF(AM26=21,I26,0)</f>
        <v>0</v>
      </c>
      <c r="AM26" s="56">
        <v>21</v>
      </c>
      <c r="AN26" s="56">
        <f>H26*0</f>
        <v>0</v>
      </c>
      <c r="AO26" s="56">
        <f>H26*(1-0)</f>
        <v>0</v>
      </c>
      <c r="AP26" s="41" t="s">
        <v>1109</v>
      </c>
      <c r="AU26" s="56">
        <f>AV26+AW26</f>
        <v>0</v>
      </c>
      <c r="AV26" s="56">
        <f>G26*AN26</f>
        <v>0</v>
      </c>
      <c r="AW26" s="56">
        <f>G26*AO26</f>
        <v>0</v>
      </c>
      <c r="AX26" s="41" t="s">
        <v>124</v>
      </c>
      <c r="AY26" s="41" t="s">
        <v>738</v>
      </c>
      <c r="AZ26" s="30" t="s">
        <v>1000</v>
      </c>
      <c r="BB26" s="56">
        <f>AV26+AW26</f>
        <v>0</v>
      </c>
      <c r="BC26" s="56">
        <f>H26/(100-BD26)*100</f>
        <v>0</v>
      </c>
      <c r="BD26" s="56">
        <v>0</v>
      </c>
      <c r="BE26" s="56" t="e">
        <f>#REF!</f>
        <v>#REF!</v>
      </c>
      <c r="BG26" s="56">
        <f>G26*AN26</f>
        <v>0</v>
      </c>
      <c r="BH26" s="56">
        <f>G26*AO26</f>
        <v>0</v>
      </c>
      <c r="BI26" s="56">
        <f>G26*H26</f>
        <v>0</v>
      </c>
      <c r="BJ26" s="56"/>
      <c r="BK26" s="56">
        <v>11</v>
      </c>
      <c r="BV26" s="56">
        <v>21</v>
      </c>
    </row>
    <row r="27" spans="1:74" ht="13.5" customHeight="1" x14ac:dyDescent="0.25">
      <c r="A27" s="10" t="s">
        <v>874</v>
      </c>
      <c r="B27" s="9" t="s">
        <v>847</v>
      </c>
      <c r="C27" s="9" t="s">
        <v>511</v>
      </c>
      <c r="D27" s="76" t="s">
        <v>541</v>
      </c>
      <c r="E27" s="77"/>
      <c r="F27" s="9" t="s">
        <v>909</v>
      </c>
      <c r="G27" s="56">
        <f>'Stavební rozpočet'!G27</f>
        <v>310</v>
      </c>
      <c r="H27" s="56">
        <f>'Stavební rozpočet'!H27</f>
        <v>0</v>
      </c>
      <c r="I27" s="56">
        <f>G27*H27</f>
        <v>0</v>
      </c>
      <c r="J27" s="54" t="s">
        <v>501</v>
      </c>
      <c r="Y27" s="56">
        <f>IF(AP27="5",BI27,0)</f>
        <v>0</v>
      </c>
      <c r="AA27" s="56">
        <f>IF(AP27="1",BG27,0)</f>
        <v>0</v>
      </c>
      <c r="AB27" s="56">
        <f>IF(AP27="1",BH27,0)</f>
        <v>0</v>
      </c>
      <c r="AC27" s="56">
        <f>IF(AP27="7",BG27,0)</f>
        <v>0</v>
      </c>
      <c r="AD27" s="56">
        <f>IF(AP27="7",BH27,0)</f>
        <v>0</v>
      </c>
      <c r="AE27" s="56">
        <f>IF(AP27="2",BG27,0)</f>
        <v>0</v>
      </c>
      <c r="AF27" s="56">
        <f>IF(AP27="2",BH27,0)</f>
        <v>0</v>
      </c>
      <c r="AG27" s="56">
        <f>IF(AP27="0",BI27,0)</f>
        <v>0</v>
      </c>
      <c r="AH27" s="30" t="s">
        <v>847</v>
      </c>
      <c r="AI27" s="56">
        <f>IF(AM27=0,I27,0)</f>
        <v>0</v>
      </c>
      <c r="AJ27" s="56">
        <f>IF(AM27=15,I27,0)</f>
        <v>0</v>
      </c>
      <c r="AK27" s="56">
        <f>IF(AM27=21,I27,0)</f>
        <v>0</v>
      </c>
      <c r="AM27" s="56">
        <v>21</v>
      </c>
      <c r="AN27" s="56">
        <f>H27*0</f>
        <v>0</v>
      </c>
      <c r="AO27" s="56">
        <f>H27*(1-0)</f>
        <v>0</v>
      </c>
      <c r="AP27" s="41" t="s">
        <v>1109</v>
      </c>
      <c r="AU27" s="56">
        <f>AV27+AW27</f>
        <v>0</v>
      </c>
      <c r="AV27" s="56">
        <f>G27*AN27</f>
        <v>0</v>
      </c>
      <c r="AW27" s="56">
        <f>G27*AO27</f>
        <v>0</v>
      </c>
      <c r="AX27" s="41" t="s">
        <v>124</v>
      </c>
      <c r="AY27" s="41" t="s">
        <v>738</v>
      </c>
      <c r="AZ27" s="30" t="s">
        <v>1000</v>
      </c>
      <c r="BB27" s="56">
        <f>AV27+AW27</f>
        <v>0</v>
      </c>
      <c r="BC27" s="56">
        <f>H27/(100-BD27)*100</f>
        <v>0</v>
      </c>
      <c r="BD27" s="56">
        <v>0</v>
      </c>
      <c r="BE27" s="56" t="e">
        <f>#REF!</f>
        <v>#REF!</v>
      </c>
      <c r="BG27" s="56">
        <f>G27*AN27</f>
        <v>0</v>
      </c>
      <c r="BH27" s="56">
        <f>G27*AO27</f>
        <v>0</v>
      </c>
      <c r="BI27" s="56">
        <f>G27*H27</f>
        <v>0</v>
      </c>
      <c r="BJ27" s="56"/>
      <c r="BK27" s="56">
        <v>11</v>
      </c>
      <c r="BV27" s="56">
        <v>21</v>
      </c>
    </row>
    <row r="28" spans="1:74" ht="13.5" customHeight="1" x14ac:dyDescent="0.25">
      <c r="A28" s="53"/>
      <c r="C28" s="66" t="s">
        <v>578</v>
      </c>
      <c r="D28" s="137" t="s">
        <v>349</v>
      </c>
      <c r="E28" s="138"/>
      <c r="F28" s="138"/>
      <c r="G28" s="138"/>
      <c r="H28" s="138"/>
      <c r="I28" s="138"/>
      <c r="J28" s="139"/>
    </row>
    <row r="29" spans="1:74" ht="15" customHeight="1" x14ac:dyDescent="0.25">
      <c r="A29" s="53"/>
      <c r="D29" s="52" t="s">
        <v>309</v>
      </c>
      <c r="E29" s="37" t="s">
        <v>987</v>
      </c>
      <c r="G29" s="21">
        <v>310</v>
      </c>
      <c r="J29" s="48"/>
    </row>
    <row r="30" spans="1:74" ht="13.5" customHeight="1" x14ac:dyDescent="0.25">
      <c r="A30" s="10" t="s">
        <v>423</v>
      </c>
      <c r="B30" s="9" t="s">
        <v>847</v>
      </c>
      <c r="C30" s="9" t="s">
        <v>804</v>
      </c>
      <c r="D30" s="76" t="s">
        <v>697</v>
      </c>
      <c r="E30" s="77"/>
      <c r="F30" s="9" t="s">
        <v>909</v>
      </c>
      <c r="G30" s="56">
        <f>'Stavební rozpočet'!G30</f>
        <v>1</v>
      </c>
      <c r="H30" s="56">
        <f>'Stavební rozpočet'!H30</f>
        <v>0</v>
      </c>
      <c r="I30" s="56">
        <f>G30*H30</f>
        <v>0</v>
      </c>
      <c r="J30" s="54" t="s">
        <v>501</v>
      </c>
      <c r="Y30" s="56">
        <f>IF(AP30="5",BI30,0)</f>
        <v>0</v>
      </c>
      <c r="AA30" s="56">
        <f>IF(AP30="1",BG30,0)</f>
        <v>0</v>
      </c>
      <c r="AB30" s="56">
        <f>IF(AP30="1",BH30,0)</f>
        <v>0</v>
      </c>
      <c r="AC30" s="56">
        <f>IF(AP30="7",BG30,0)</f>
        <v>0</v>
      </c>
      <c r="AD30" s="56">
        <f>IF(AP30="7",BH30,0)</f>
        <v>0</v>
      </c>
      <c r="AE30" s="56">
        <f>IF(AP30="2",BG30,0)</f>
        <v>0</v>
      </c>
      <c r="AF30" s="56">
        <f>IF(AP30="2",BH30,0)</f>
        <v>0</v>
      </c>
      <c r="AG30" s="56">
        <f>IF(AP30="0",BI30,0)</f>
        <v>0</v>
      </c>
      <c r="AH30" s="30" t="s">
        <v>847</v>
      </c>
      <c r="AI30" s="56">
        <f>IF(AM30=0,I30,0)</f>
        <v>0</v>
      </c>
      <c r="AJ30" s="56">
        <f>IF(AM30=15,I30,0)</f>
        <v>0</v>
      </c>
      <c r="AK30" s="56">
        <f>IF(AM30=21,I30,0)</f>
        <v>0</v>
      </c>
      <c r="AM30" s="56">
        <v>21</v>
      </c>
      <c r="AN30" s="56">
        <f>H30*0.341992238033635</f>
        <v>0</v>
      </c>
      <c r="AO30" s="56">
        <f>H30*(1-0.341992238033635)</f>
        <v>0</v>
      </c>
      <c r="AP30" s="41" t="s">
        <v>1109</v>
      </c>
      <c r="AU30" s="56">
        <f>AV30+AW30</f>
        <v>0</v>
      </c>
      <c r="AV30" s="56">
        <f>G30*AN30</f>
        <v>0</v>
      </c>
      <c r="AW30" s="56">
        <f>G30*AO30</f>
        <v>0</v>
      </c>
      <c r="AX30" s="41" t="s">
        <v>124</v>
      </c>
      <c r="AY30" s="41" t="s">
        <v>738</v>
      </c>
      <c r="AZ30" s="30" t="s">
        <v>1000</v>
      </c>
      <c r="BB30" s="56">
        <f>AV30+AW30</f>
        <v>0</v>
      </c>
      <c r="BC30" s="56">
        <f>H30/(100-BD30)*100</f>
        <v>0</v>
      </c>
      <c r="BD30" s="56">
        <v>0</v>
      </c>
      <c r="BE30" s="56" t="e">
        <f>#REF!</f>
        <v>#REF!</v>
      </c>
      <c r="BG30" s="56">
        <f>G30*AN30</f>
        <v>0</v>
      </c>
      <c r="BH30" s="56">
        <f>G30*AO30</f>
        <v>0</v>
      </c>
      <c r="BI30" s="56">
        <f>G30*H30</f>
        <v>0</v>
      </c>
      <c r="BJ30" s="56"/>
      <c r="BK30" s="56">
        <v>11</v>
      </c>
      <c r="BV30" s="56">
        <v>21</v>
      </c>
    </row>
    <row r="31" spans="1:74" ht="15" customHeight="1" x14ac:dyDescent="0.25">
      <c r="A31" s="53"/>
      <c r="D31" s="52" t="s">
        <v>796</v>
      </c>
      <c r="E31" s="37" t="s">
        <v>266</v>
      </c>
      <c r="G31" s="21">
        <v>1</v>
      </c>
      <c r="J31" s="48"/>
    </row>
    <row r="32" spans="1:74" ht="13.5" customHeight="1" x14ac:dyDescent="0.25">
      <c r="A32" s="10" t="s">
        <v>640</v>
      </c>
      <c r="B32" s="9" t="s">
        <v>847</v>
      </c>
      <c r="C32" s="9" t="s">
        <v>747</v>
      </c>
      <c r="D32" s="76" t="s">
        <v>332</v>
      </c>
      <c r="E32" s="77"/>
      <c r="F32" s="9" t="s">
        <v>494</v>
      </c>
      <c r="G32" s="56">
        <f>'Stavební rozpočet'!G32</f>
        <v>120</v>
      </c>
      <c r="H32" s="56">
        <f>'Stavební rozpočet'!H32</f>
        <v>0</v>
      </c>
      <c r="I32" s="56">
        <f>G32*H32</f>
        <v>0</v>
      </c>
      <c r="J32" s="54" t="s">
        <v>501</v>
      </c>
      <c r="Y32" s="56">
        <f>IF(AP32="5",BI32,0)</f>
        <v>0</v>
      </c>
      <c r="AA32" s="56">
        <f>IF(AP32="1",BG32,0)</f>
        <v>0</v>
      </c>
      <c r="AB32" s="56">
        <f>IF(AP32="1",BH32,0)</f>
        <v>0</v>
      </c>
      <c r="AC32" s="56">
        <f>IF(AP32="7",BG32,0)</f>
        <v>0</v>
      </c>
      <c r="AD32" s="56">
        <f>IF(AP32="7",BH32,0)</f>
        <v>0</v>
      </c>
      <c r="AE32" s="56">
        <f>IF(AP32="2",BG32,0)</f>
        <v>0</v>
      </c>
      <c r="AF32" s="56">
        <f>IF(AP32="2",BH32,0)</f>
        <v>0</v>
      </c>
      <c r="AG32" s="56">
        <f>IF(AP32="0",BI32,0)</f>
        <v>0</v>
      </c>
      <c r="AH32" s="30" t="s">
        <v>847</v>
      </c>
      <c r="AI32" s="56">
        <f>IF(AM32=0,I32,0)</f>
        <v>0</v>
      </c>
      <c r="AJ32" s="56">
        <f>IF(AM32=15,I32,0)</f>
        <v>0</v>
      </c>
      <c r="AK32" s="56">
        <f>IF(AM32=21,I32,0)</f>
        <v>0</v>
      </c>
      <c r="AM32" s="56">
        <v>21</v>
      </c>
      <c r="AN32" s="56">
        <f>H32*0</f>
        <v>0</v>
      </c>
      <c r="AO32" s="56">
        <f>H32*(1-0)</f>
        <v>0</v>
      </c>
      <c r="AP32" s="41" t="s">
        <v>1109</v>
      </c>
      <c r="AU32" s="56">
        <f>AV32+AW32</f>
        <v>0</v>
      </c>
      <c r="AV32" s="56">
        <f>G32*AN32</f>
        <v>0</v>
      </c>
      <c r="AW32" s="56">
        <f>G32*AO32</f>
        <v>0</v>
      </c>
      <c r="AX32" s="41" t="s">
        <v>124</v>
      </c>
      <c r="AY32" s="41" t="s">
        <v>738</v>
      </c>
      <c r="AZ32" s="30" t="s">
        <v>1000</v>
      </c>
      <c r="BB32" s="56">
        <f>AV32+AW32</f>
        <v>0</v>
      </c>
      <c r="BC32" s="56">
        <f>H32/(100-BD32)*100</f>
        <v>0</v>
      </c>
      <c r="BD32" s="56">
        <v>0</v>
      </c>
      <c r="BE32" s="56" t="e">
        <f>#REF!</f>
        <v>#REF!</v>
      </c>
      <c r="BG32" s="56">
        <f>G32*AN32</f>
        <v>0</v>
      </c>
      <c r="BH32" s="56">
        <f>G32*AO32</f>
        <v>0</v>
      </c>
      <c r="BI32" s="56">
        <f>G32*H32</f>
        <v>0</v>
      </c>
      <c r="BJ32" s="56"/>
      <c r="BK32" s="56">
        <v>11</v>
      </c>
      <c r="BV32" s="56">
        <v>21</v>
      </c>
    </row>
    <row r="33" spans="1:74" ht="13.5" customHeight="1" x14ac:dyDescent="0.25">
      <c r="A33" s="53"/>
      <c r="C33" s="66" t="s">
        <v>578</v>
      </c>
      <c r="D33" s="137" t="s">
        <v>321</v>
      </c>
      <c r="E33" s="138"/>
      <c r="F33" s="138"/>
      <c r="G33" s="138"/>
      <c r="H33" s="138"/>
      <c r="I33" s="138"/>
      <c r="J33" s="139"/>
    </row>
    <row r="34" spans="1:74" ht="15" customHeight="1" x14ac:dyDescent="0.25">
      <c r="A34" s="27" t="s">
        <v>769</v>
      </c>
      <c r="B34" s="28" t="s">
        <v>847</v>
      </c>
      <c r="C34" s="28" t="s">
        <v>815</v>
      </c>
      <c r="D34" s="132" t="s">
        <v>276</v>
      </c>
      <c r="E34" s="133"/>
      <c r="F34" s="23" t="s">
        <v>1027</v>
      </c>
      <c r="G34" s="23" t="s">
        <v>1027</v>
      </c>
      <c r="H34" s="23" t="s">
        <v>1027</v>
      </c>
      <c r="I34" s="14">
        <f>SUM(I35:I37)</f>
        <v>0</v>
      </c>
      <c r="J34" s="44" t="s">
        <v>769</v>
      </c>
      <c r="AH34" s="30" t="s">
        <v>847</v>
      </c>
      <c r="AR34" s="14">
        <f>SUM(AI35:AI37)</f>
        <v>0</v>
      </c>
      <c r="AS34" s="14">
        <f>SUM(AJ35:AJ37)</f>
        <v>0</v>
      </c>
      <c r="AT34" s="14">
        <f>SUM(AK35:AK37)</f>
        <v>0</v>
      </c>
    </row>
    <row r="35" spans="1:74" ht="13.5" customHeight="1" x14ac:dyDescent="0.25">
      <c r="A35" s="10" t="s">
        <v>917</v>
      </c>
      <c r="B35" s="9" t="s">
        <v>847</v>
      </c>
      <c r="C35" s="9" t="s">
        <v>1004</v>
      </c>
      <c r="D35" s="76" t="s">
        <v>284</v>
      </c>
      <c r="E35" s="77"/>
      <c r="F35" s="9" t="s">
        <v>1079</v>
      </c>
      <c r="G35" s="56">
        <f>'Stavební rozpočet'!G35</f>
        <v>1.6</v>
      </c>
      <c r="H35" s="56">
        <f>'Stavební rozpočet'!H35</f>
        <v>0</v>
      </c>
      <c r="I35" s="56">
        <f>G35*H35</f>
        <v>0</v>
      </c>
      <c r="J35" s="54" t="s">
        <v>501</v>
      </c>
      <c r="Y35" s="56">
        <f>IF(AP35="5",BI35,0)</f>
        <v>0</v>
      </c>
      <c r="AA35" s="56">
        <f>IF(AP35="1",BG35,0)</f>
        <v>0</v>
      </c>
      <c r="AB35" s="56">
        <f>IF(AP35="1",BH35,0)</f>
        <v>0</v>
      </c>
      <c r="AC35" s="56">
        <f>IF(AP35="7",BG35,0)</f>
        <v>0</v>
      </c>
      <c r="AD35" s="56">
        <f>IF(AP35="7",BH35,0)</f>
        <v>0</v>
      </c>
      <c r="AE35" s="56">
        <f>IF(AP35="2",BG35,0)</f>
        <v>0</v>
      </c>
      <c r="AF35" s="56">
        <f>IF(AP35="2",BH35,0)</f>
        <v>0</v>
      </c>
      <c r="AG35" s="56">
        <f>IF(AP35="0",BI35,0)</f>
        <v>0</v>
      </c>
      <c r="AH35" s="30" t="s">
        <v>847</v>
      </c>
      <c r="AI35" s="56">
        <f>IF(AM35=0,I35,0)</f>
        <v>0</v>
      </c>
      <c r="AJ35" s="56">
        <f>IF(AM35=15,I35,0)</f>
        <v>0</v>
      </c>
      <c r="AK35" s="56">
        <f>IF(AM35=21,I35,0)</f>
        <v>0</v>
      </c>
      <c r="AM35" s="56">
        <v>21</v>
      </c>
      <c r="AN35" s="56">
        <f>H35*0</f>
        <v>0</v>
      </c>
      <c r="AO35" s="56">
        <f>H35*(1-0)</f>
        <v>0</v>
      </c>
      <c r="AP35" s="41" t="s">
        <v>1109</v>
      </c>
      <c r="AU35" s="56">
        <f>AV35+AW35</f>
        <v>0</v>
      </c>
      <c r="AV35" s="56">
        <f>G35*AN35</f>
        <v>0</v>
      </c>
      <c r="AW35" s="56">
        <f>G35*AO35</f>
        <v>0</v>
      </c>
      <c r="AX35" s="41" t="s">
        <v>569</v>
      </c>
      <c r="AY35" s="41" t="s">
        <v>738</v>
      </c>
      <c r="AZ35" s="30" t="s">
        <v>1000</v>
      </c>
      <c r="BB35" s="56">
        <f>AV35+AW35</f>
        <v>0</v>
      </c>
      <c r="BC35" s="56">
        <f>H35/(100-BD35)*100</f>
        <v>0</v>
      </c>
      <c r="BD35" s="56">
        <v>0</v>
      </c>
      <c r="BE35" s="56" t="e">
        <f>#REF!</f>
        <v>#REF!</v>
      </c>
      <c r="BG35" s="56">
        <f>G35*AN35</f>
        <v>0</v>
      </c>
      <c r="BH35" s="56">
        <f>G35*AO35</f>
        <v>0</v>
      </c>
      <c r="BI35" s="56">
        <f>G35*H35</f>
        <v>0</v>
      </c>
      <c r="BJ35" s="56"/>
      <c r="BK35" s="56">
        <v>12</v>
      </c>
      <c r="BV35" s="56">
        <v>21</v>
      </c>
    </row>
    <row r="36" spans="1:74" ht="15" customHeight="1" x14ac:dyDescent="0.25">
      <c r="A36" s="53"/>
      <c r="D36" s="52" t="s">
        <v>1060</v>
      </c>
      <c r="E36" s="37" t="s">
        <v>769</v>
      </c>
      <c r="G36" s="21">
        <v>1.6</v>
      </c>
      <c r="J36" s="48"/>
    </row>
    <row r="37" spans="1:74" ht="13.5" customHeight="1" x14ac:dyDescent="0.25">
      <c r="A37" s="10" t="s">
        <v>815</v>
      </c>
      <c r="B37" s="9" t="s">
        <v>847</v>
      </c>
      <c r="C37" s="9" t="s">
        <v>383</v>
      </c>
      <c r="D37" s="76" t="s">
        <v>76</v>
      </c>
      <c r="E37" s="77"/>
      <c r="F37" s="9" t="s">
        <v>1079</v>
      </c>
      <c r="G37" s="56">
        <f>'Stavební rozpočet'!G37</f>
        <v>3.7</v>
      </c>
      <c r="H37" s="56">
        <f>'Stavební rozpočet'!H37</f>
        <v>0</v>
      </c>
      <c r="I37" s="56">
        <f>G37*H37</f>
        <v>0</v>
      </c>
      <c r="J37" s="54" t="s">
        <v>501</v>
      </c>
      <c r="Y37" s="56">
        <f>IF(AP37="5",BI37,0)</f>
        <v>0</v>
      </c>
      <c r="AA37" s="56">
        <f>IF(AP37="1",BG37,0)</f>
        <v>0</v>
      </c>
      <c r="AB37" s="56">
        <f>IF(AP37="1",BH37,0)</f>
        <v>0</v>
      </c>
      <c r="AC37" s="56">
        <f>IF(AP37="7",BG37,0)</f>
        <v>0</v>
      </c>
      <c r="AD37" s="56">
        <f>IF(AP37="7",BH37,0)</f>
        <v>0</v>
      </c>
      <c r="AE37" s="56">
        <f>IF(AP37="2",BG37,0)</f>
        <v>0</v>
      </c>
      <c r="AF37" s="56">
        <f>IF(AP37="2",BH37,0)</f>
        <v>0</v>
      </c>
      <c r="AG37" s="56">
        <f>IF(AP37="0",BI37,0)</f>
        <v>0</v>
      </c>
      <c r="AH37" s="30" t="s">
        <v>847</v>
      </c>
      <c r="AI37" s="56">
        <f>IF(AM37=0,I37,0)</f>
        <v>0</v>
      </c>
      <c r="AJ37" s="56">
        <f>IF(AM37=15,I37,0)</f>
        <v>0</v>
      </c>
      <c r="AK37" s="56">
        <f>IF(AM37=21,I37,0)</f>
        <v>0</v>
      </c>
      <c r="AM37" s="56">
        <v>21</v>
      </c>
      <c r="AN37" s="56">
        <f>H37*0</f>
        <v>0</v>
      </c>
      <c r="AO37" s="56">
        <f>H37*(1-0)</f>
        <v>0</v>
      </c>
      <c r="AP37" s="41" t="s">
        <v>1109</v>
      </c>
      <c r="AU37" s="56">
        <f>AV37+AW37</f>
        <v>0</v>
      </c>
      <c r="AV37" s="56">
        <f>G37*AN37</f>
        <v>0</v>
      </c>
      <c r="AW37" s="56">
        <f>G37*AO37</f>
        <v>0</v>
      </c>
      <c r="AX37" s="41" t="s">
        <v>569</v>
      </c>
      <c r="AY37" s="41" t="s">
        <v>738</v>
      </c>
      <c r="AZ37" s="30" t="s">
        <v>1000</v>
      </c>
      <c r="BB37" s="56">
        <f>AV37+AW37</f>
        <v>0</v>
      </c>
      <c r="BC37" s="56">
        <f>H37/(100-BD37)*100</f>
        <v>0</v>
      </c>
      <c r="BD37" s="56">
        <v>0</v>
      </c>
      <c r="BE37" s="56" t="e">
        <f>#REF!</f>
        <v>#REF!</v>
      </c>
      <c r="BG37" s="56">
        <f>G37*AN37</f>
        <v>0</v>
      </c>
      <c r="BH37" s="56">
        <f>G37*AO37</f>
        <v>0</v>
      </c>
      <c r="BI37" s="56">
        <f>G37*H37</f>
        <v>0</v>
      </c>
      <c r="BJ37" s="56"/>
      <c r="BK37" s="56">
        <v>12</v>
      </c>
      <c r="BV37" s="56">
        <v>21</v>
      </c>
    </row>
    <row r="38" spans="1:74" ht="15" customHeight="1" x14ac:dyDescent="0.25">
      <c r="A38" s="53"/>
      <c r="D38" s="52" t="s">
        <v>1142</v>
      </c>
      <c r="E38" s="37" t="s">
        <v>660</v>
      </c>
      <c r="G38" s="21">
        <v>3.7</v>
      </c>
      <c r="J38" s="48"/>
    </row>
    <row r="39" spans="1:74" ht="15" customHeight="1" x14ac:dyDescent="0.25">
      <c r="A39" s="27" t="s">
        <v>769</v>
      </c>
      <c r="B39" s="28" t="s">
        <v>847</v>
      </c>
      <c r="C39" s="28" t="s">
        <v>333</v>
      </c>
      <c r="D39" s="132" t="s">
        <v>7</v>
      </c>
      <c r="E39" s="133"/>
      <c r="F39" s="23" t="s">
        <v>1027</v>
      </c>
      <c r="G39" s="23" t="s">
        <v>1027</v>
      </c>
      <c r="H39" s="23" t="s">
        <v>1027</v>
      </c>
      <c r="I39" s="14">
        <f>SUM(I40:I51)</f>
        <v>0</v>
      </c>
      <c r="J39" s="44" t="s">
        <v>769</v>
      </c>
      <c r="AH39" s="30" t="s">
        <v>847</v>
      </c>
      <c r="AR39" s="14">
        <f>SUM(AI40:AI51)</f>
        <v>0</v>
      </c>
      <c r="AS39" s="14">
        <f>SUM(AJ40:AJ51)</f>
        <v>0</v>
      </c>
      <c r="AT39" s="14">
        <f>SUM(AK40:AK51)</f>
        <v>0</v>
      </c>
    </row>
    <row r="40" spans="1:74" ht="13.5" customHeight="1" x14ac:dyDescent="0.25">
      <c r="A40" s="10" t="s">
        <v>333</v>
      </c>
      <c r="B40" s="9" t="s">
        <v>847</v>
      </c>
      <c r="C40" s="9" t="s">
        <v>638</v>
      </c>
      <c r="D40" s="76" t="s">
        <v>351</v>
      </c>
      <c r="E40" s="77"/>
      <c r="F40" s="9" t="s">
        <v>1079</v>
      </c>
      <c r="G40" s="56">
        <f>'Stavební rozpočet'!G40</f>
        <v>514.82600000000002</v>
      </c>
      <c r="H40" s="56">
        <f>'Stavební rozpočet'!H40</f>
        <v>0</v>
      </c>
      <c r="I40" s="56">
        <f>G40*H40</f>
        <v>0</v>
      </c>
      <c r="J40" s="54" t="s">
        <v>501</v>
      </c>
      <c r="Y40" s="56">
        <f>IF(AP40="5",BI40,0)</f>
        <v>0</v>
      </c>
      <c r="AA40" s="56">
        <f>IF(AP40="1",BG40,0)</f>
        <v>0</v>
      </c>
      <c r="AB40" s="56">
        <f>IF(AP40="1",BH40,0)</f>
        <v>0</v>
      </c>
      <c r="AC40" s="56">
        <f>IF(AP40="7",BG40,0)</f>
        <v>0</v>
      </c>
      <c r="AD40" s="56">
        <f>IF(AP40="7",BH40,0)</f>
        <v>0</v>
      </c>
      <c r="AE40" s="56">
        <f>IF(AP40="2",BG40,0)</f>
        <v>0</v>
      </c>
      <c r="AF40" s="56">
        <f>IF(AP40="2",BH40,0)</f>
        <v>0</v>
      </c>
      <c r="AG40" s="56">
        <f>IF(AP40="0",BI40,0)</f>
        <v>0</v>
      </c>
      <c r="AH40" s="30" t="s">
        <v>847</v>
      </c>
      <c r="AI40" s="56">
        <f>IF(AM40=0,I40,0)</f>
        <v>0</v>
      </c>
      <c r="AJ40" s="56">
        <f>IF(AM40=15,I40,0)</f>
        <v>0</v>
      </c>
      <c r="AK40" s="56">
        <f>IF(AM40=21,I40,0)</f>
        <v>0</v>
      </c>
      <c r="AM40" s="56">
        <v>21</v>
      </c>
      <c r="AN40" s="56">
        <f>H40*0</f>
        <v>0</v>
      </c>
      <c r="AO40" s="56">
        <f>H40*(1-0)</f>
        <v>0</v>
      </c>
      <c r="AP40" s="41" t="s">
        <v>1109</v>
      </c>
      <c r="AU40" s="56">
        <f>AV40+AW40</f>
        <v>0</v>
      </c>
      <c r="AV40" s="56">
        <f>G40*AN40</f>
        <v>0</v>
      </c>
      <c r="AW40" s="56">
        <f>G40*AO40</f>
        <v>0</v>
      </c>
      <c r="AX40" s="41" t="s">
        <v>1001</v>
      </c>
      <c r="AY40" s="41" t="s">
        <v>738</v>
      </c>
      <c r="AZ40" s="30" t="s">
        <v>1000</v>
      </c>
      <c r="BB40" s="56">
        <f>AV40+AW40</f>
        <v>0</v>
      </c>
      <c r="BC40" s="56">
        <f>H40/(100-BD40)*100</f>
        <v>0</v>
      </c>
      <c r="BD40" s="56">
        <v>0</v>
      </c>
      <c r="BE40" s="56" t="e">
        <f>#REF!</f>
        <v>#REF!</v>
      </c>
      <c r="BG40" s="56">
        <f>G40*AN40</f>
        <v>0</v>
      </c>
      <c r="BH40" s="56">
        <f>G40*AO40</f>
        <v>0</v>
      </c>
      <c r="BI40" s="56">
        <f>G40*H40</f>
        <v>0</v>
      </c>
      <c r="BJ40" s="56"/>
      <c r="BK40" s="56">
        <v>13</v>
      </c>
      <c r="BV40" s="56">
        <v>21</v>
      </c>
    </row>
    <row r="41" spans="1:74" ht="15" customHeight="1" x14ac:dyDescent="0.25">
      <c r="A41" s="53"/>
      <c r="D41" s="52" t="s">
        <v>414</v>
      </c>
      <c r="E41" s="37" t="s">
        <v>769</v>
      </c>
      <c r="G41" s="21">
        <v>639.54000000000008</v>
      </c>
      <c r="J41" s="48"/>
    </row>
    <row r="42" spans="1:74" ht="15" customHeight="1" x14ac:dyDescent="0.25">
      <c r="A42" s="53"/>
      <c r="D42" s="52" t="s">
        <v>693</v>
      </c>
      <c r="E42" s="37" t="s">
        <v>211</v>
      </c>
      <c r="G42" s="21">
        <v>17.400000000000002</v>
      </c>
      <c r="J42" s="48"/>
    </row>
    <row r="43" spans="1:74" ht="15" customHeight="1" x14ac:dyDescent="0.25">
      <c r="A43" s="53"/>
      <c r="D43" s="52" t="s">
        <v>339</v>
      </c>
      <c r="E43" s="37" t="s">
        <v>985</v>
      </c>
      <c r="G43" s="21">
        <v>-149.49</v>
      </c>
      <c r="J43" s="48"/>
    </row>
    <row r="44" spans="1:74" ht="15" customHeight="1" x14ac:dyDescent="0.25">
      <c r="A44" s="53"/>
      <c r="D44" s="52" t="s">
        <v>968</v>
      </c>
      <c r="E44" s="37" t="s">
        <v>108</v>
      </c>
      <c r="G44" s="21">
        <v>-0.44000000000000006</v>
      </c>
      <c r="J44" s="48"/>
    </row>
    <row r="45" spans="1:74" ht="15" customHeight="1" x14ac:dyDescent="0.25">
      <c r="A45" s="53"/>
      <c r="D45" s="52" t="s">
        <v>570</v>
      </c>
      <c r="E45" s="37" t="s">
        <v>752</v>
      </c>
      <c r="G45" s="21">
        <v>7.8160000000000007</v>
      </c>
      <c r="J45" s="48"/>
    </row>
    <row r="46" spans="1:74" ht="13.5" customHeight="1" x14ac:dyDescent="0.25">
      <c r="A46" s="10" t="s">
        <v>654</v>
      </c>
      <c r="B46" s="9" t="s">
        <v>847</v>
      </c>
      <c r="C46" s="9" t="s">
        <v>802</v>
      </c>
      <c r="D46" s="76" t="s">
        <v>97</v>
      </c>
      <c r="E46" s="77"/>
      <c r="F46" s="9" t="s">
        <v>1079</v>
      </c>
      <c r="G46" s="56">
        <f>'Stavební rozpočet'!G46</f>
        <v>257.41300000000001</v>
      </c>
      <c r="H46" s="56">
        <f>'Stavební rozpočet'!H46</f>
        <v>0</v>
      </c>
      <c r="I46" s="56">
        <f>G46*H46</f>
        <v>0</v>
      </c>
      <c r="J46" s="54" t="s">
        <v>501</v>
      </c>
      <c r="Y46" s="56">
        <f>IF(AP46="5",BI46,0)</f>
        <v>0</v>
      </c>
      <c r="AA46" s="56">
        <f>IF(AP46="1",BG46,0)</f>
        <v>0</v>
      </c>
      <c r="AB46" s="56">
        <f>IF(AP46="1",BH46,0)</f>
        <v>0</v>
      </c>
      <c r="AC46" s="56">
        <f>IF(AP46="7",BG46,0)</f>
        <v>0</v>
      </c>
      <c r="AD46" s="56">
        <f>IF(AP46="7",BH46,0)</f>
        <v>0</v>
      </c>
      <c r="AE46" s="56">
        <f>IF(AP46="2",BG46,0)</f>
        <v>0</v>
      </c>
      <c r="AF46" s="56">
        <f>IF(AP46="2",BH46,0)</f>
        <v>0</v>
      </c>
      <c r="AG46" s="56">
        <f>IF(AP46="0",BI46,0)</f>
        <v>0</v>
      </c>
      <c r="AH46" s="30" t="s">
        <v>847</v>
      </c>
      <c r="AI46" s="56">
        <f>IF(AM46=0,I46,0)</f>
        <v>0</v>
      </c>
      <c r="AJ46" s="56">
        <f>IF(AM46=15,I46,0)</f>
        <v>0</v>
      </c>
      <c r="AK46" s="56">
        <f>IF(AM46=21,I46,0)</f>
        <v>0</v>
      </c>
      <c r="AM46" s="56">
        <v>21</v>
      </c>
      <c r="AN46" s="56">
        <f>H46*0</f>
        <v>0</v>
      </c>
      <c r="AO46" s="56">
        <f>H46*(1-0)</f>
        <v>0</v>
      </c>
      <c r="AP46" s="41" t="s">
        <v>1109</v>
      </c>
      <c r="AU46" s="56">
        <f>AV46+AW46</f>
        <v>0</v>
      </c>
      <c r="AV46" s="56">
        <f>G46*AN46</f>
        <v>0</v>
      </c>
      <c r="AW46" s="56">
        <f>G46*AO46</f>
        <v>0</v>
      </c>
      <c r="AX46" s="41" t="s">
        <v>1001</v>
      </c>
      <c r="AY46" s="41" t="s">
        <v>738</v>
      </c>
      <c r="AZ46" s="30" t="s">
        <v>1000</v>
      </c>
      <c r="BB46" s="56">
        <f>AV46+AW46</f>
        <v>0</v>
      </c>
      <c r="BC46" s="56">
        <f>H46/(100-BD46)*100</f>
        <v>0</v>
      </c>
      <c r="BD46" s="56">
        <v>0</v>
      </c>
      <c r="BE46" s="56" t="e">
        <f>#REF!</f>
        <v>#REF!</v>
      </c>
      <c r="BG46" s="56">
        <f>G46*AN46</f>
        <v>0</v>
      </c>
      <c r="BH46" s="56">
        <f>G46*AO46</f>
        <v>0</v>
      </c>
      <c r="BI46" s="56">
        <f>G46*H46</f>
        <v>0</v>
      </c>
      <c r="BJ46" s="56"/>
      <c r="BK46" s="56">
        <v>13</v>
      </c>
      <c r="BV46" s="56">
        <v>21</v>
      </c>
    </row>
    <row r="47" spans="1:74" ht="15" customHeight="1" x14ac:dyDescent="0.25">
      <c r="A47" s="53"/>
      <c r="D47" s="52" t="s">
        <v>559</v>
      </c>
      <c r="E47" s="37" t="s">
        <v>769</v>
      </c>
      <c r="G47" s="21">
        <v>257.41300000000001</v>
      </c>
      <c r="J47" s="48"/>
    </row>
    <row r="48" spans="1:74" ht="13.5" customHeight="1" x14ac:dyDescent="0.25">
      <c r="A48" s="10" t="s">
        <v>442</v>
      </c>
      <c r="B48" s="9" t="s">
        <v>847</v>
      </c>
      <c r="C48" s="9" t="s">
        <v>914</v>
      </c>
      <c r="D48" s="76" t="s">
        <v>981</v>
      </c>
      <c r="E48" s="77"/>
      <c r="F48" s="9" t="s">
        <v>1079</v>
      </c>
      <c r="G48" s="56">
        <f>'Stavební rozpočet'!G48</f>
        <v>20.05</v>
      </c>
      <c r="H48" s="56">
        <f>'Stavební rozpočet'!H48</f>
        <v>0</v>
      </c>
      <c r="I48" s="56">
        <f>G48*H48</f>
        <v>0</v>
      </c>
      <c r="J48" s="54" t="s">
        <v>501</v>
      </c>
      <c r="Y48" s="56">
        <f>IF(AP48="5",BI48,0)</f>
        <v>0</v>
      </c>
      <c r="AA48" s="56">
        <f>IF(AP48="1",BG48,0)</f>
        <v>0</v>
      </c>
      <c r="AB48" s="56">
        <f>IF(AP48="1",BH48,0)</f>
        <v>0</v>
      </c>
      <c r="AC48" s="56">
        <f>IF(AP48="7",BG48,0)</f>
        <v>0</v>
      </c>
      <c r="AD48" s="56">
        <f>IF(AP48="7",BH48,0)</f>
        <v>0</v>
      </c>
      <c r="AE48" s="56">
        <f>IF(AP48="2",BG48,0)</f>
        <v>0</v>
      </c>
      <c r="AF48" s="56">
        <f>IF(AP48="2",BH48,0)</f>
        <v>0</v>
      </c>
      <c r="AG48" s="56">
        <f>IF(AP48="0",BI48,0)</f>
        <v>0</v>
      </c>
      <c r="AH48" s="30" t="s">
        <v>847</v>
      </c>
      <c r="AI48" s="56">
        <f>IF(AM48=0,I48,0)</f>
        <v>0</v>
      </c>
      <c r="AJ48" s="56">
        <f>IF(AM48=15,I48,0)</f>
        <v>0</v>
      </c>
      <c r="AK48" s="56">
        <f>IF(AM48=21,I48,0)</f>
        <v>0</v>
      </c>
      <c r="AM48" s="56">
        <v>21</v>
      </c>
      <c r="AN48" s="56">
        <f>H48*0</f>
        <v>0</v>
      </c>
      <c r="AO48" s="56">
        <f>H48*(1-0)</f>
        <v>0</v>
      </c>
      <c r="AP48" s="41" t="s">
        <v>1109</v>
      </c>
      <c r="AU48" s="56">
        <f>AV48+AW48</f>
        <v>0</v>
      </c>
      <c r="AV48" s="56">
        <f>G48*AN48</f>
        <v>0</v>
      </c>
      <c r="AW48" s="56">
        <f>G48*AO48</f>
        <v>0</v>
      </c>
      <c r="AX48" s="41" t="s">
        <v>1001</v>
      </c>
      <c r="AY48" s="41" t="s">
        <v>738</v>
      </c>
      <c r="AZ48" s="30" t="s">
        <v>1000</v>
      </c>
      <c r="BB48" s="56">
        <f>AV48+AW48</f>
        <v>0</v>
      </c>
      <c r="BC48" s="56">
        <f>H48/(100-BD48)*100</f>
        <v>0</v>
      </c>
      <c r="BD48" s="56">
        <v>0</v>
      </c>
      <c r="BE48" s="56" t="e">
        <f>#REF!</f>
        <v>#REF!</v>
      </c>
      <c r="BG48" s="56">
        <f>G48*AN48</f>
        <v>0</v>
      </c>
      <c r="BH48" s="56">
        <f>G48*AO48</f>
        <v>0</v>
      </c>
      <c r="BI48" s="56">
        <f>G48*H48</f>
        <v>0</v>
      </c>
      <c r="BJ48" s="56"/>
      <c r="BK48" s="56">
        <v>13</v>
      </c>
      <c r="BV48" s="56">
        <v>21</v>
      </c>
    </row>
    <row r="49" spans="1:74" ht="15" customHeight="1" x14ac:dyDescent="0.25">
      <c r="A49" s="53"/>
      <c r="D49" s="52" t="s">
        <v>577</v>
      </c>
      <c r="E49" s="37" t="s">
        <v>33</v>
      </c>
      <c r="G49" s="21">
        <v>16</v>
      </c>
      <c r="J49" s="48"/>
    </row>
    <row r="50" spans="1:74" ht="15" customHeight="1" x14ac:dyDescent="0.25">
      <c r="A50" s="53"/>
      <c r="D50" s="52" t="s">
        <v>136</v>
      </c>
      <c r="E50" s="37" t="s">
        <v>1092</v>
      </c>
      <c r="G50" s="21">
        <v>4.0500000000000007</v>
      </c>
      <c r="J50" s="48"/>
    </row>
    <row r="51" spans="1:74" ht="13.5" customHeight="1" x14ac:dyDescent="0.25">
      <c r="A51" s="10" t="s">
        <v>107</v>
      </c>
      <c r="B51" s="9" t="s">
        <v>847</v>
      </c>
      <c r="C51" s="9" t="s">
        <v>1235</v>
      </c>
      <c r="D51" s="76" t="s">
        <v>872</v>
      </c>
      <c r="E51" s="77"/>
      <c r="F51" s="9" t="s">
        <v>1079</v>
      </c>
      <c r="G51" s="56">
        <f>'Stavební rozpočet'!G51</f>
        <v>10.025</v>
      </c>
      <c r="H51" s="56">
        <f>'Stavební rozpočet'!H51</f>
        <v>0</v>
      </c>
      <c r="I51" s="56">
        <f>G51*H51</f>
        <v>0</v>
      </c>
      <c r="J51" s="54" t="s">
        <v>501</v>
      </c>
      <c r="Y51" s="56">
        <f>IF(AP51="5",BI51,0)</f>
        <v>0</v>
      </c>
      <c r="AA51" s="56">
        <f>IF(AP51="1",BG51,0)</f>
        <v>0</v>
      </c>
      <c r="AB51" s="56">
        <f>IF(AP51="1",BH51,0)</f>
        <v>0</v>
      </c>
      <c r="AC51" s="56">
        <f>IF(AP51="7",BG51,0)</f>
        <v>0</v>
      </c>
      <c r="AD51" s="56">
        <f>IF(AP51="7",BH51,0)</f>
        <v>0</v>
      </c>
      <c r="AE51" s="56">
        <f>IF(AP51="2",BG51,0)</f>
        <v>0</v>
      </c>
      <c r="AF51" s="56">
        <f>IF(AP51="2",BH51,0)</f>
        <v>0</v>
      </c>
      <c r="AG51" s="56">
        <f>IF(AP51="0",BI51,0)</f>
        <v>0</v>
      </c>
      <c r="AH51" s="30" t="s">
        <v>847</v>
      </c>
      <c r="AI51" s="56">
        <f>IF(AM51=0,I51,0)</f>
        <v>0</v>
      </c>
      <c r="AJ51" s="56">
        <f>IF(AM51=15,I51,0)</f>
        <v>0</v>
      </c>
      <c r="AK51" s="56">
        <f>IF(AM51=21,I51,0)</f>
        <v>0</v>
      </c>
      <c r="AM51" s="56">
        <v>21</v>
      </c>
      <c r="AN51" s="56">
        <f>H51*0</f>
        <v>0</v>
      </c>
      <c r="AO51" s="56">
        <f>H51*(1-0)</f>
        <v>0</v>
      </c>
      <c r="AP51" s="41" t="s">
        <v>1109</v>
      </c>
      <c r="AU51" s="56">
        <f>AV51+AW51</f>
        <v>0</v>
      </c>
      <c r="AV51" s="56">
        <f>G51*AN51</f>
        <v>0</v>
      </c>
      <c r="AW51" s="56">
        <f>G51*AO51</f>
        <v>0</v>
      </c>
      <c r="AX51" s="41" t="s">
        <v>1001</v>
      </c>
      <c r="AY51" s="41" t="s">
        <v>738</v>
      </c>
      <c r="AZ51" s="30" t="s">
        <v>1000</v>
      </c>
      <c r="BB51" s="56">
        <f>AV51+AW51</f>
        <v>0</v>
      </c>
      <c r="BC51" s="56">
        <f>H51/(100-BD51)*100</f>
        <v>0</v>
      </c>
      <c r="BD51" s="56">
        <v>0</v>
      </c>
      <c r="BE51" s="56" t="e">
        <f>#REF!</f>
        <v>#REF!</v>
      </c>
      <c r="BG51" s="56">
        <f>G51*AN51</f>
        <v>0</v>
      </c>
      <c r="BH51" s="56">
        <f>G51*AO51</f>
        <v>0</v>
      </c>
      <c r="BI51" s="56">
        <f>G51*H51</f>
        <v>0</v>
      </c>
      <c r="BJ51" s="56"/>
      <c r="BK51" s="56">
        <v>13</v>
      </c>
      <c r="BV51" s="56">
        <v>21</v>
      </c>
    </row>
    <row r="52" spans="1:74" ht="15" customHeight="1" x14ac:dyDescent="0.25">
      <c r="A52" s="53"/>
      <c r="D52" s="52" t="s">
        <v>488</v>
      </c>
      <c r="E52" s="37" t="s">
        <v>769</v>
      </c>
      <c r="G52" s="21">
        <v>10.025</v>
      </c>
      <c r="J52" s="48"/>
    </row>
    <row r="53" spans="1:74" ht="15" customHeight="1" x14ac:dyDescent="0.25">
      <c r="A53" s="27" t="s">
        <v>769</v>
      </c>
      <c r="B53" s="28" t="s">
        <v>847</v>
      </c>
      <c r="C53" s="28" t="s">
        <v>442</v>
      </c>
      <c r="D53" s="132" t="s">
        <v>957</v>
      </c>
      <c r="E53" s="133"/>
      <c r="F53" s="23" t="s">
        <v>1027</v>
      </c>
      <c r="G53" s="23" t="s">
        <v>1027</v>
      </c>
      <c r="H53" s="23" t="s">
        <v>1027</v>
      </c>
      <c r="I53" s="14">
        <f>SUM(I54:I59)</f>
        <v>0</v>
      </c>
      <c r="J53" s="44" t="s">
        <v>769</v>
      </c>
      <c r="AH53" s="30" t="s">
        <v>847</v>
      </c>
      <c r="AR53" s="14">
        <f>SUM(AI54:AI59)</f>
        <v>0</v>
      </c>
      <c r="AS53" s="14">
        <f>SUM(AJ54:AJ59)</f>
        <v>0</v>
      </c>
      <c r="AT53" s="14">
        <f>SUM(AK54:AK59)</f>
        <v>0</v>
      </c>
    </row>
    <row r="54" spans="1:74" ht="13.5" customHeight="1" x14ac:dyDescent="0.25">
      <c r="A54" s="10" t="s">
        <v>774</v>
      </c>
      <c r="B54" s="9" t="s">
        <v>847</v>
      </c>
      <c r="C54" s="9" t="s">
        <v>1218</v>
      </c>
      <c r="D54" s="76" t="s">
        <v>247</v>
      </c>
      <c r="E54" s="77"/>
      <c r="F54" s="9" t="s">
        <v>1095</v>
      </c>
      <c r="G54" s="56">
        <f>'Stavební rozpočet'!G54</f>
        <v>1203.82</v>
      </c>
      <c r="H54" s="56">
        <f>'Stavební rozpočet'!H54</f>
        <v>0</v>
      </c>
      <c r="I54" s="56">
        <f>G54*H54</f>
        <v>0</v>
      </c>
      <c r="J54" s="54" t="s">
        <v>501</v>
      </c>
      <c r="Y54" s="56">
        <f>IF(AP54="5",BI54,0)</f>
        <v>0</v>
      </c>
      <c r="AA54" s="56">
        <f>IF(AP54="1",BG54,0)</f>
        <v>0</v>
      </c>
      <c r="AB54" s="56">
        <f>IF(AP54="1",BH54,0)</f>
        <v>0</v>
      </c>
      <c r="AC54" s="56">
        <f>IF(AP54="7",BG54,0)</f>
        <v>0</v>
      </c>
      <c r="AD54" s="56">
        <f>IF(AP54="7",BH54,0)</f>
        <v>0</v>
      </c>
      <c r="AE54" s="56">
        <f>IF(AP54="2",BG54,0)</f>
        <v>0</v>
      </c>
      <c r="AF54" s="56">
        <f>IF(AP54="2",BH54,0)</f>
        <v>0</v>
      </c>
      <c r="AG54" s="56">
        <f>IF(AP54="0",BI54,0)</f>
        <v>0</v>
      </c>
      <c r="AH54" s="30" t="s">
        <v>847</v>
      </c>
      <c r="AI54" s="56">
        <f>IF(AM54=0,I54,0)</f>
        <v>0</v>
      </c>
      <c r="AJ54" s="56">
        <f>IF(AM54=15,I54,0)</f>
        <v>0</v>
      </c>
      <c r="AK54" s="56">
        <f>IF(AM54=21,I54,0)</f>
        <v>0</v>
      </c>
      <c r="AM54" s="56">
        <v>21</v>
      </c>
      <c r="AN54" s="56">
        <f>H54*0.0852029747180664</f>
        <v>0</v>
      </c>
      <c r="AO54" s="56">
        <f>H54*(1-0.0852029747180664)</f>
        <v>0</v>
      </c>
      <c r="AP54" s="41" t="s">
        <v>1109</v>
      </c>
      <c r="AU54" s="56">
        <f>AV54+AW54</f>
        <v>0</v>
      </c>
      <c r="AV54" s="56">
        <f>G54*AN54</f>
        <v>0</v>
      </c>
      <c r="AW54" s="56">
        <f>G54*AO54</f>
        <v>0</v>
      </c>
      <c r="AX54" s="41" t="s">
        <v>784</v>
      </c>
      <c r="AY54" s="41" t="s">
        <v>738</v>
      </c>
      <c r="AZ54" s="30" t="s">
        <v>1000</v>
      </c>
      <c r="BB54" s="56">
        <f>AV54+AW54</f>
        <v>0</v>
      </c>
      <c r="BC54" s="56">
        <f>H54/(100-BD54)*100</f>
        <v>0</v>
      </c>
      <c r="BD54" s="56">
        <v>0</v>
      </c>
      <c r="BE54" s="56" t="e">
        <f>#REF!</f>
        <v>#REF!</v>
      </c>
      <c r="BG54" s="56">
        <f>G54*AN54</f>
        <v>0</v>
      </c>
      <c r="BH54" s="56">
        <f>G54*AO54</f>
        <v>0</v>
      </c>
      <c r="BI54" s="56">
        <f>G54*H54</f>
        <v>0</v>
      </c>
      <c r="BJ54" s="56"/>
      <c r="BK54" s="56">
        <v>15</v>
      </c>
      <c r="BV54" s="56">
        <v>21</v>
      </c>
    </row>
    <row r="55" spans="1:74" ht="15" customHeight="1" x14ac:dyDescent="0.25">
      <c r="A55" s="53"/>
      <c r="D55" s="52" t="s">
        <v>300</v>
      </c>
      <c r="E55" s="37" t="s">
        <v>769</v>
      </c>
      <c r="G55" s="21">
        <v>1162.8000000000002</v>
      </c>
      <c r="J55" s="48"/>
    </row>
    <row r="56" spans="1:74" ht="15" customHeight="1" x14ac:dyDescent="0.25">
      <c r="A56" s="53"/>
      <c r="D56" s="52" t="s">
        <v>366</v>
      </c>
      <c r="E56" s="37" t="s">
        <v>34</v>
      </c>
      <c r="G56" s="21">
        <v>7.2</v>
      </c>
      <c r="J56" s="48"/>
    </row>
    <row r="57" spans="1:74" ht="15" customHeight="1" x14ac:dyDescent="0.25">
      <c r="A57" s="53"/>
      <c r="D57" s="52" t="s">
        <v>1009</v>
      </c>
      <c r="E57" s="37" t="s">
        <v>33</v>
      </c>
      <c r="G57" s="21">
        <v>15.200000000000001</v>
      </c>
      <c r="J57" s="48"/>
    </row>
    <row r="58" spans="1:74" ht="15" customHeight="1" x14ac:dyDescent="0.25">
      <c r="A58" s="53"/>
      <c r="D58" s="52" t="s">
        <v>1248</v>
      </c>
      <c r="E58" s="37" t="s">
        <v>752</v>
      </c>
      <c r="G58" s="21">
        <v>18.62</v>
      </c>
      <c r="J58" s="48"/>
    </row>
    <row r="59" spans="1:74" ht="13.5" customHeight="1" x14ac:dyDescent="0.25">
      <c r="A59" s="10" t="s">
        <v>882</v>
      </c>
      <c r="B59" s="9" t="s">
        <v>847</v>
      </c>
      <c r="C59" s="9" t="s">
        <v>748</v>
      </c>
      <c r="D59" s="76" t="s">
        <v>1080</v>
      </c>
      <c r="E59" s="77"/>
      <c r="F59" s="9" t="s">
        <v>1095</v>
      </c>
      <c r="G59" s="56">
        <f>'Stavební rozpočet'!G59</f>
        <v>1203.82</v>
      </c>
      <c r="H59" s="56">
        <f>'Stavební rozpočet'!H59</f>
        <v>0</v>
      </c>
      <c r="I59" s="56">
        <f>G59*H59</f>
        <v>0</v>
      </c>
      <c r="J59" s="54" t="s">
        <v>501</v>
      </c>
      <c r="Y59" s="56">
        <f>IF(AP59="5",BI59,0)</f>
        <v>0</v>
      </c>
      <c r="AA59" s="56">
        <f>IF(AP59="1",BG59,0)</f>
        <v>0</v>
      </c>
      <c r="AB59" s="56">
        <f>IF(AP59="1",BH59,0)</f>
        <v>0</v>
      </c>
      <c r="AC59" s="56">
        <f>IF(AP59="7",BG59,0)</f>
        <v>0</v>
      </c>
      <c r="AD59" s="56">
        <f>IF(AP59="7",BH59,0)</f>
        <v>0</v>
      </c>
      <c r="AE59" s="56">
        <f>IF(AP59="2",BG59,0)</f>
        <v>0</v>
      </c>
      <c r="AF59" s="56">
        <f>IF(AP59="2",BH59,0)</f>
        <v>0</v>
      </c>
      <c r="AG59" s="56">
        <f>IF(AP59="0",BI59,0)</f>
        <v>0</v>
      </c>
      <c r="AH59" s="30" t="s">
        <v>847</v>
      </c>
      <c r="AI59" s="56">
        <f>IF(AM59=0,I59,0)</f>
        <v>0</v>
      </c>
      <c r="AJ59" s="56">
        <f>IF(AM59=15,I59,0)</f>
        <v>0</v>
      </c>
      <c r="AK59" s="56">
        <f>IF(AM59=21,I59,0)</f>
        <v>0</v>
      </c>
      <c r="AM59" s="56">
        <v>21</v>
      </c>
      <c r="AN59" s="56">
        <f>H59*0</f>
        <v>0</v>
      </c>
      <c r="AO59" s="56">
        <f>H59*(1-0)</f>
        <v>0</v>
      </c>
      <c r="AP59" s="41" t="s">
        <v>1109</v>
      </c>
      <c r="AU59" s="56">
        <f>AV59+AW59</f>
        <v>0</v>
      </c>
      <c r="AV59" s="56">
        <f>G59*AN59</f>
        <v>0</v>
      </c>
      <c r="AW59" s="56">
        <f>G59*AO59</f>
        <v>0</v>
      </c>
      <c r="AX59" s="41" t="s">
        <v>784</v>
      </c>
      <c r="AY59" s="41" t="s">
        <v>738</v>
      </c>
      <c r="AZ59" s="30" t="s">
        <v>1000</v>
      </c>
      <c r="BB59" s="56">
        <f>AV59+AW59</f>
        <v>0</v>
      </c>
      <c r="BC59" s="56">
        <f>H59/(100-BD59)*100</f>
        <v>0</v>
      </c>
      <c r="BD59" s="56">
        <v>0</v>
      </c>
      <c r="BE59" s="56" t="e">
        <f>#REF!</f>
        <v>#REF!</v>
      </c>
      <c r="BG59" s="56">
        <f>G59*AN59</f>
        <v>0</v>
      </c>
      <c r="BH59" s="56">
        <f>G59*AO59</f>
        <v>0</v>
      </c>
      <c r="BI59" s="56">
        <f>G59*H59</f>
        <v>0</v>
      </c>
      <c r="BJ59" s="56"/>
      <c r="BK59" s="56">
        <v>15</v>
      </c>
      <c r="BV59" s="56">
        <v>21</v>
      </c>
    </row>
    <row r="60" spans="1:74" ht="15" customHeight="1" x14ac:dyDescent="0.25">
      <c r="A60" s="27" t="s">
        <v>769</v>
      </c>
      <c r="B60" s="28" t="s">
        <v>847</v>
      </c>
      <c r="C60" s="28" t="s">
        <v>107</v>
      </c>
      <c r="D60" s="132" t="s">
        <v>916</v>
      </c>
      <c r="E60" s="133"/>
      <c r="F60" s="23" t="s">
        <v>1027</v>
      </c>
      <c r="G60" s="23" t="s">
        <v>1027</v>
      </c>
      <c r="H60" s="23" t="s">
        <v>1027</v>
      </c>
      <c r="I60" s="14">
        <f>SUM(I61:I63)</f>
        <v>0</v>
      </c>
      <c r="J60" s="44" t="s">
        <v>769</v>
      </c>
      <c r="AH60" s="30" t="s">
        <v>847</v>
      </c>
      <c r="AR60" s="14">
        <f>SUM(AI61:AI63)</f>
        <v>0</v>
      </c>
      <c r="AS60" s="14">
        <f>SUM(AJ61:AJ63)</f>
        <v>0</v>
      </c>
      <c r="AT60" s="14">
        <f>SUM(AK61:AK63)</f>
        <v>0</v>
      </c>
    </row>
    <row r="61" spans="1:74" ht="13.5" customHeight="1" x14ac:dyDescent="0.25">
      <c r="A61" s="10" t="s">
        <v>706</v>
      </c>
      <c r="B61" s="9" t="s">
        <v>847</v>
      </c>
      <c r="C61" s="9" t="s">
        <v>12</v>
      </c>
      <c r="D61" s="76" t="s">
        <v>919</v>
      </c>
      <c r="E61" s="77"/>
      <c r="F61" s="9" t="s">
        <v>1079</v>
      </c>
      <c r="G61" s="56">
        <f>'Stavební rozpočet'!G61</f>
        <v>529.70600000000002</v>
      </c>
      <c r="H61" s="56">
        <f>'Stavební rozpočet'!H61</f>
        <v>0</v>
      </c>
      <c r="I61" s="56">
        <f>G61*H61</f>
        <v>0</v>
      </c>
      <c r="J61" s="54" t="s">
        <v>501</v>
      </c>
      <c r="Y61" s="56">
        <f>IF(AP61="5",BI61,0)</f>
        <v>0</v>
      </c>
      <c r="AA61" s="56">
        <f>IF(AP61="1",BG61,0)</f>
        <v>0</v>
      </c>
      <c r="AB61" s="56">
        <f>IF(AP61="1",BH61,0)</f>
        <v>0</v>
      </c>
      <c r="AC61" s="56">
        <f>IF(AP61="7",BG61,0)</f>
        <v>0</v>
      </c>
      <c r="AD61" s="56">
        <f>IF(AP61="7",BH61,0)</f>
        <v>0</v>
      </c>
      <c r="AE61" s="56">
        <f>IF(AP61="2",BG61,0)</f>
        <v>0</v>
      </c>
      <c r="AF61" s="56">
        <f>IF(AP61="2",BH61,0)</f>
        <v>0</v>
      </c>
      <c r="AG61" s="56">
        <f>IF(AP61="0",BI61,0)</f>
        <v>0</v>
      </c>
      <c r="AH61" s="30" t="s">
        <v>847</v>
      </c>
      <c r="AI61" s="56">
        <f>IF(AM61=0,I61,0)</f>
        <v>0</v>
      </c>
      <c r="AJ61" s="56">
        <f>IF(AM61=15,I61,0)</f>
        <v>0</v>
      </c>
      <c r="AK61" s="56">
        <f>IF(AM61=21,I61,0)</f>
        <v>0</v>
      </c>
      <c r="AM61" s="56">
        <v>21</v>
      </c>
      <c r="AN61" s="56">
        <f>H61*0</f>
        <v>0</v>
      </c>
      <c r="AO61" s="56">
        <f>H61*(1-0)</f>
        <v>0</v>
      </c>
      <c r="AP61" s="41" t="s">
        <v>1109</v>
      </c>
      <c r="AU61" s="56">
        <f>AV61+AW61</f>
        <v>0</v>
      </c>
      <c r="AV61" s="56">
        <f>G61*AN61</f>
        <v>0</v>
      </c>
      <c r="AW61" s="56">
        <f>G61*AO61</f>
        <v>0</v>
      </c>
      <c r="AX61" s="41" t="s">
        <v>1028</v>
      </c>
      <c r="AY61" s="41" t="s">
        <v>738</v>
      </c>
      <c r="AZ61" s="30" t="s">
        <v>1000</v>
      </c>
      <c r="BB61" s="56">
        <f>AV61+AW61</f>
        <v>0</v>
      </c>
      <c r="BC61" s="56">
        <f>H61/(100-BD61)*100</f>
        <v>0</v>
      </c>
      <c r="BD61" s="56">
        <v>0</v>
      </c>
      <c r="BE61" s="56" t="e">
        <f>#REF!</f>
        <v>#REF!</v>
      </c>
      <c r="BG61" s="56">
        <f>G61*AN61</f>
        <v>0</v>
      </c>
      <c r="BH61" s="56">
        <f>G61*AO61</f>
        <v>0</v>
      </c>
      <c r="BI61" s="56">
        <f>G61*H61</f>
        <v>0</v>
      </c>
      <c r="BJ61" s="56"/>
      <c r="BK61" s="56">
        <v>16</v>
      </c>
      <c r="BV61" s="56">
        <v>21</v>
      </c>
    </row>
    <row r="62" spans="1:74" ht="15" customHeight="1" x14ac:dyDescent="0.25">
      <c r="A62" s="53"/>
      <c r="D62" s="52" t="s">
        <v>1037</v>
      </c>
      <c r="E62" s="37" t="s">
        <v>769</v>
      </c>
      <c r="G62" s="21">
        <v>529.70600000000002</v>
      </c>
      <c r="J62" s="48"/>
    </row>
    <row r="63" spans="1:74" ht="13.5" customHeight="1" x14ac:dyDescent="0.25">
      <c r="A63" s="10" t="s">
        <v>61</v>
      </c>
      <c r="B63" s="9" t="s">
        <v>847</v>
      </c>
      <c r="C63" s="9" t="s">
        <v>521</v>
      </c>
      <c r="D63" s="76" t="s">
        <v>602</v>
      </c>
      <c r="E63" s="77"/>
      <c r="F63" s="9" t="s">
        <v>1079</v>
      </c>
      <c r="G63" s="56">
        <f>'Stavební rozpočet'!G63</f>
        <v>5297.06</v>
      </c>
      <c r="H63" s="56">
        <f>'Stavební rozpočet'!H63</f>
        <v>0</v>
      </c>
      <c r="I63" s="56">
        <f>G63*H63</f>
        <v>0</v>
      </c>
      <c r="J63" s="54" t="s">
        <v>501</v>
      </c>
      <c r="Y63" s="56">
        <f>IF(AP63="5",BI63,0)</f>
        <v>0</v>
      </c>
      <c r="AA63" s="56">
        <f>IF(AP63="1",BG63,0)</f>
        <v>0</v>
      </c>
      <c r="AB63" s="56">
        <f>IF(AP63="1",BH63,0)</f>
        <v>0</v>
      </c>
      <c r="AC63" s="56">
        <f>IF(AP63="7",BG63,0)</f>
        <v>0</v>
      </c>
      <c r="AD63" s="56">
        <f>IF(AP63="7",BH63,0)</f>
        <v>0</v>
      </c>
      <c r="AE63" s="56">
        <f>IF(AP63="2",BG63,0)</f>
        <v>0</v>
      </c>
      <c r="AF63" s="56">
        <f>IF(AP63="2",BH63,0)</f>
        <v>0</v>
      </c>
      <c r="AG63" s="56">
        <f>IF(AP63="0",BI63,0)</f>
        <v>0</v>
      </c>
      <c r="AH63" s="30" t="s">
        <v>847</v>
      </c>
      <c r="AI63" s="56">
        <f>IF(AM63=0,I63,0)</f>
        <v>0</v>
      </c>
      <c r="AJ63" s="56">
        <f>IF(AM63=15,I63,0)</f>
        <v>0</v>
      </c>
      <c r="AK63" s="56">
        <f>IF(AM63=21,I63,0)</f>
        <v>0</v>
      </c>
      <c r="AM63" s="56">
        <v>21</v>
      </c>
      <c r="AN63" s="56">
        <f>H63*0</f>
        <v>0</v>
      </c>
      <c r="AO63" s="56">
        <f>H63*(1-0)</f>
        <v>0</v>
      </c>
      <c r="AP63" s="41" t="s">
        <v>1109</v>
      </c>
      <c r="AU63" s="56">
        <f>AV63+AW63</f>
        <v>0</v>
      </c>
      <c r="AV63" s="56">
        <f>G63*AN63</f>
        <v>0</v>
      </c>
      <c r="AW63" s="56">
        <f>G63*AO63</f>
        <v>0</v>
      </c>
      <c r="AX63" s="41" t="s">
        <v>1028</v>
      </c>
      <c r="AY63" s="41" t="s">
        <v>738</v>
      </c>
      <c r="AZ63" s="30" t="s">
        <v>1000</v>
      </c>
      <c r="BB63" s="56">
        <f>AV63+AW63</f>
        <v>0</v>
      </c>
      <c r="BC63" s="56">
        <f>H63/(100-BD63)*100</f>
        <v>0</v>
      </c>
      <c r="BD63" s="56">
        <v>0</v>
      </c>
      <c r="BE63" s="56" t="e">
        <f>#REF!</f>
        <v>#REF!</v>
      </c>
      <c r="BG63" s="56">
        <f>G63*AN63</f>
        <v>0</v>
      </c>
      <c r="BH63" s="56">
        <f>G63*AO63</f>
        <v>0</v>
      </c>
      <c r="BI63" s="56">
        <f>G63*H63</f>
        <v>0</v>
      </c>
      <c r="BJ63" s="56"/>
      <c r="BK63" s="56">
        <v>16</v>
      </c>
      <c r="BV63" s="56">
        <v>21</v>
      </c>
    </row>
    <row r="64" spans="1:74" ht="15" customHeight="1" x14ac:dyDescent="0.25">
      <c r="A64" s="53"/>
      <c r="D64" s="52" t="s">
        <v>1230</v>
      </c>
      <c r="E64" s="37" t="s">
        <v>446</v>
      </c>
      <c r="G64" s="21">
        <v>5297.06</v>
      </c>
      <c r="J64" s="48"/>
    </row>
    <row r="65" spans="1:74" ht="15" customHeight="1" x14ac:dyDescent="0.25">
      <c r="A65" s="27" t="s">
        <v>769</v>
      </c>
      <c r="B65" s="28" t="s">
        <v>847</v>
      </c>
      <c r="C65" s="28" t="s">
        <v>774</v>
      </c>
      <c r="D65" s="132" t="s">
        <v>150</v>
      </c>
      <c r="E65" s="133"/>
      <c r="F65" s="23" t="s">
        <v>1027</v>
      </c>
      <c r="G65" s="23" t="s">
        <v>1027</v>
      </c>
      <c r="H65" s="23" t="s">
        <v>1027</v>
      </c>
      <c r="I65" s="14">
        <f>SUM(I66:I77)</f>
        <v>0</v>
      </c>
      <c r="J65" s="44" t="s">
        <v>769</v>
      </c>
      <c r="AH65" s="30" t="s">
        <v>847</v>
      </c>
      <c r="AR65" s="14">
        <f>SUM(AI66:AI77)</f>
        <v>0</v>
      </c>
      <c r="AS65" s="14">
        <f>SUM(AJ66:AJ77)</f>
        <v>0</v>
      </c>
      <c r="AT65" s="14">
        <f>SUM(AK66:AK77)</f>
        <v>0</v>
      </c>
    </row>
    <row r="66" spans="1:74" ht="13.5" customHeight="1" x14ac:dyDescent="0.25">
      <c r="A66" s="10" t="s">
        <v>786</v>
      </c>
      <c r="B66" s="9" t="s">
        <v>847</v>
      </c>
      <c r="C66" s="9" t="s">
        <v>356</v>
      </c>
      <c r="D66" s="76" t="s">
        <v>1089</v>
      </c>
      <c r="E66" s="77"/>
      <c r="F66" s="9" t="s">
        <v>1079</v>
      </c>
      <c r="G66" s="56">
        <f>'Stavební rozpočet'!G66</f>
        <v>529.70600000000002</v>
      </c>
      <c r="H66" s="56">
        <f>'Stavební rozpočet'!H66</f>
        <v>0</v>
      </c>
      <c r="I66" s="56">
        <f>G66*H66</f>
        <v>0</v>
      </c>
      <c r="J66" s="54" t="s">
        <v>501</v>
      </c>
      <c r="Y66" s="56">
        <f>IF(AP66="5",BI66,0)</f>
        <v>0</v>
      </c>
      <c r="AA66" s="56">
        <f>IF(AP66="1",BG66,0)</f>
        <v>0</v>
      </c>
      <c r="AB66" s="56">
        <f>IF(AP66="1",BH66,0)</f>
        <v>0</v>
      </c>
      <c r="AC66" s="56">
        <f>IF(AP66="7",BG66,0)</f>
        <v>0</v>
      </c>
      <c r="AD66" s="56">
        <f>IF(AP66="7",BH66,0)</f>
        <v>0</v>
      </c>
      <c r="AE66" s="56">
        <f>IF(AP66="2",BG66,0)</f>
        <v>0</v>
      </c>
      <c r="AF66" s="56">
        <f>IF(AP66="2",BH66,0)</f>
        <v>0</v>
      </c>
      <c r="AG66" s="56">
        <f>IF(AP66="0",BI66,0)</f>
        <v>0</v>
      </c>
      <c r="AH66" s="30" t="s">
        <v>847</v>
      </c>
      <c r="AI66" s="56">
        <f>IF(AM66=0,I66,0)</f>
        <v>0</v>
      </c>
      <c r="AJ66" s="56">
        <f>IF(AM66=15,I66,0)</f>
        <v>0</v>
      </c>
      <c r="AK66" s="56">
        <f>IF(AM66=21,I66,0)</f>
        <v>0</v>
      </c>
      <c r="AM66" s="56">
        <v>21</v>
      </c>
      <c r="AN66" s="56">
        <f>H66*0</f>
        <v>0</v>
      </c>
      <c r="AO66" s="56">
        <f>H66*(1-0)</f>
        <v>0</v>
      </c>
      <c r="AP66" s="41" t="s">
        <v>1109</v>
      </c>
      <c r="AU66" s="56">
        <f>AV66+AW66</f>
        <v>0</v>
      </c>
      <c r="AV66" s="56">
        <f>G66*AN66</f>
        <v>0</v>
      </c>
      <c r="AW66" s="56">
        <f>G66*AO66</f>
        <v>0</v>
      </c>
      <c r="AX66" s="41" t="s">
        <v>223</v>
      </c>
      <c r="AY66" s="41" t="s">
        <v>738</v>
      </c>
      <c r="AZ66" s="30" t="s">
        <v>1000</v>
      </c>
      <c r="BB66" s="56">
        <f>AV66+AW66</f>
        <v>0</v>
      </c>
      <c r="BC66" s="56">
        <f>H66/(100-BD66)*100</f>
        <v>0</v>
      </c>
      <c r="BD66" s="56">
        <v>0</v>
      </c>
      <c r="BE66" s="56" t="e">
        <f>#REF!</f>
        <v>#REF!</v>
      </c>
      <c r="BG66" s="56">
        <f>G66*AN66</f>
        <v>0</v>
      </c>
      <c r="BH66" s="56">
        <f>G66*AO66</f>
        <v>0</v>
      </c>
      <c r="BI66" s="56">
        <f>G66*H66</f>
        <v>0</v>
      </c>
      <c r="BJ66" s="56"/>
      <c r="BK66" s="56">
        <v>17</v>
      </c>
      <c r="BV66" s="56">
        <v>21</v>
      </c>
    </row>
    <row r="67" spans="1:74" ht="13.5" customHeight="1" x14ac:dyDescent="0.25">
      <c r="A67" s="10" t="s">
        <v>1065</v>
      </c>
      <c r="B67" s="9" t="s">
        <v>847</v>
      </c>
      <c r="C67" s="9" t="s">
        <v>756</v>
      </c>
      <c r="D67" s="76" t="s">
        <v>1192</v>
      </c>
      <c r="E67" s="77"/>
      <c r="F67" s="9" t="s">
        <v>1079</v>
      </c>
      <c r="G67" s="56">
        <f>'Stavební rozpočet'!G67</f>
        <v>529.70600000000002</v>
      </c>
      <c r="H67" s="56">
        <f>'Stavební rozpočet'!H67</f>
        <v>0</v>
      </c>
      <c r="I67" s="56">
        <f>G67*H67</f>
        <v>0</v>
      </c>
      <c r="J67" s="54" t="s">
        <v>501</v>
      </c>
      <c r="Y67" s="56">
        <f>IF(AP67="5",BI67,0)</f>
        <v>0</v>
      </c>
      <c r="AA67" s="56">
        <f>IF(AP67="1",BG67,0)</f>
        <v>0</v>
      </c>
      <c r="AB67" s="56">
        <f>IF(AP67="1",BH67,0)</f>
        <v>0</v>
      </c>
      <c r="AC67" s="56">
        <f>IF(AP67="7",BG67,0)</f>
        <v>0</v>
      </c>
      <c r="AD67" s="56">
        <f>IF(AP67="7",BH67,0)</f>
        <v>0</v>
      </c>
      <c r="AE67" s="56">
        <f>IF(AP67="2",BG67,0)</f>
        <v>0</v>
      </c>
      <c r="AF67" s="56">
        <f>IF(AP67="2",BH67,0)</f>
        <v>0</v>
      </c>
      <c r="AG67" s="56">
        <f>IF(AP67="0",BI67,0)</f>
        <v>0</v>
      </c>
      <c r="AH67" s="30" t="s">
        <v>847</v>
      </c>
      <c r="AI67" s="56">
        <f>IF(AM67=0,I67,0)</f>
        <v>0</v>
      </c>
      <c r="AJ67" s="56">
        <f>IF(AM67=15,I67,0)</f>
        <v>0</v>
      </c>
      <c r="AK67" s="56">
        <f>IF(AM67=21,I67,0)</f>
        <v>0</v>
      </c>
      <c r="AM67" s="56">
        <v>21</v>
      </c>
      <c r="AN67" s="56">
        <f>H67*0</f>
        <v>0</v>
      </c>
      <c r="AO67" s="56">
        <f>H67*(1-0)</f>
        <v>0</v>
      </c>
      <c r="AP67" s="41" t="s">
        <v>1109</v>
      </c>
      <c r="AU67" s="56">
        <f>AV67+AW67</f>
        <v>0</v>
      </c>
      <c r="AV67" s="56">
        <f>G67*AN67</f>
        <v>0</v>
      </c>
      <c r="AW67" s="56">
        <f>G67*AO67</f>
        <v>0</v>
      </c>
      <c r="AX67" s="41" t="s">
        <v>223</v>
      </c>
      <c r="AY67" s="41" t="s">
        <v>738</v>
      </c>
      <c r="AZ67" s="30" t="s">
        <v>1000</v>
      </c>
      <c r="BB67" s="56">
        <f>AV67+AW67</f>
        <v>0</v>
      </c>
      <c r="BC67" s="56">
        <f>H67/(100-BD67)*100</f>
        <v>0</v>
      </c>
      <c r="BD67" s="56">
        <v>0</v>
      </c>
      <c r="BE67" s="56" t="e">
        <f>#REF!</f>
        <v>#REF!</v>
      </c>
      <c r="BG67" s="56">
        <f>G67*AN67</f>
        <v>0</v>
      </c>
      <c r="BH67" s="56">
        <f>G67*AO67</f>
        <v>0</v>
      </c>
      <c r="BI67" s="56">
        <f>G67*H67</f>
        <v>0</v>
      </c>
      <c r="BJ67" s="56"/>
      <c r="BK67" s="56">
        <v>17</v>
      </c>
      <c r="BV67" s="56">
        <v>21</v>
      </c>
    </row>
    <row r="68" spans="1:74" ht="13.5" customHeight="1" x14ac:dyDescent="0.25">
      <c r="A68" s="10" t="s">
        <v>500</v>
      </c>
      <c r="B68" s="9" t="s">
        <v>847</v>
      </c>
      <c r="C68" s="9" t="s">
        <v>810</v>
      </c>
      <c r="D68" s="76" t="s">
        <v>587</v>
      </c>
      <c r="E68" s="77"/>
      <c r="F68" s="9" t="s">
        <v>1079</v>
      </c>
      <c r="G68" s="56">
        <f>'Stavební rozpočet'!G68</f>
        <v>249.91800000000001</v>
      </c>
      <c r="H68" s="56">
        <f>'Stavební rozpočet'!H68</f>
        <v>0</v>
      </c>
      <c r="I68" s="56">
        <f>G68*H68</f>
        <v>0</v>
      </c>
      <c r="J68" s="54" t="s">
        <v>501</v>
      </c>
      <c r="Y68" s="56">
        <f>IF(AP68="5",BI68,0)</f>
        <v>0</v>
      </c>
      <c r="AA68" s="56">
        <f>IF(AP68="1",BG68,0)</f>
        <v>0</v>
      </c>
      <c r="AB68" s="56">
        <f>IF(AP68="1",BH68,0)</f>
        <v>0</v>
      </c>
      <c r="AC68" s="56">
        <f>IF(AP68="7",BG68,0)</f>
        <v>0</v>
      </c>
      <c r="AD68" s="56">
        <f>IF(AP68="7",BH68,0)</f>
        <v>0</v>
      </c>
      <c r="AE68" s="56">
        <f>IF(AP68="2",BG68,0)</f>
        <v>0</v>
      </c>
      <c r="AF68" s="56">
        <f>IF(AP68="2",BH68,0)</f>
        <v>0</v>
      </c>
      <c r="AG68" s="56">
        <f>IF(AP68="0",BI68,0)</f>
        <v>0</v>
      </c>
      <c r="AH68" s="30" t="s">
        <v>847</v>
      </c>
      <c r="AI68" s="56">
        <f>IF(AM68=0,I68,0)</f>
        <v>0</v>
      </c>
      <c r="AJ68" s="56">
        <f>IF(AM68=15,I68,0)</f>
        <v>0</v>
      </c>
      <c r="AK68" s="56">
        <f>IF(AM68=21,I68,0)</f>
        <v>0</v>
      </c>
      <c r="AM68" s="56">
        <v>21</v>
      </c>
      <c r="AN68" s="56">
        <f>H68*0</f>
        <v>0</v>
      </c>
      <c r="AO68" s="56">
        <f>H68*(1-0)</f>
        <v>0</v>
      </c>
      <c r="AP68" s="41" t="s">
        <v>1109</v>
      </c>
      <c r="AU68" s="56">
        <f>AV68+AW68</f>
        <v>0</v>
      </c>
      <c r="AV68" s="56">
        <f>G68*AN68</f>
        <v>0</v>
      </c>
      <c r="AW68" s="56">
        <f>G68*AO68</f>
        <v>0</v>
      </c>
      <c r="AX68" s="41" t="s">
        <v>223</v>
      </c>
      <c r="AY68" s="41" t="s">
        <v>738</v>
      </c>
      <c r="AZ68" s="30" t="s">
        <v>1000</v>
      </c>
      <c r="BB68" s="56">
        <f>AV68+AW68</f>
        <v>0</v>
      </c>
      <c r="BC68" s="56">
        <f>H68/(100-BD68)*100</f>
        <v>0</v>
      </c>
      <c r="BD68" s="56">
        <v>0</v>
      </c>
      <c r="BE68" s="56" t="e">
        <f>#REF!</f>
        <v>#REF!</v>
      </c>
      <c r="BG68" s="56">
        <f>G68*AN68</f>
        <v>0</v>
      </c>
      <c r="BH68" s="56">
        <f>G68*AO68</f>
        <v>0</v>
      </c>
      <c r="BI68" s="56">
        <f>G68*H68</f>
        <v>0</v>
      </c>
      <c r="BJ68" s="56"/>
      <c r="BK68" s="56">
        <v>17</v>
      </c>
      <c r="BV68" s="56">
        <v>21</v>
      </c>
    </row>
    <row r="69" spans="1:74" ht="15" customHeight="1" x14ac:dyDescent="0.25">
      <c r="A69" s="53"/>
      <c r="D69" s="52" t="s">
        <v>1002</v>
      </c>
      <c r="E69" s="37" t="s">
        <v>966</v>
      </c>
      <c r="G69" s="21">
        <v>224.23500000000001</v>
      </c>
      <c r="J69" s="48"/>
    </row>
    <row r="70" spans="1:74" ht="15" customHeight="1" x14ac:dyDescent="0.25">
      <c r="A70" s="53"/>
      <c r="D70" s="52" t="s">
        <v>307</v>
      </c>
      <c r="E70" s="37" t="s">
        <v>211</v>
      </c>
      <c r="G70" s="21">
        <v>8.1000000000000014</v>
      </c>
      <c r="J70" s="48"/>
    </row>
    <row r="71" spans="1:74" ht="15" customHeight="1" x14ac:dyDescent="0.25">
      <c r="A71" s="53"/>
      <c r="D71" s="52" t="s">
        <v>322</v>
      </c>
      <c r="E71" s="37" t="s">
        <v>82</v>
      </c>
      <c r="G71" s="21">
        <v>5.1700000000000008</v>
      </c>
      <c r="J71" s="48"/>
    </row>
    <row r="72" spans="1:74" ht="15" customHeight="1" x14ac:dyDescent="0.25">
      <c r="A72" s="53"/>
      <c r="D72" s="52" t="s">
        <v>1181</v>
      </c>
      <c r="E72" s="37" t="s">
        <v>33</v>
      </c>
      <c r="G72" s="21">
        <v>5.4</v>
      </c>
      <c r="J72" s="48"/>
    </row>
    <row r="73" spans="1:74" ht="15" customHeight="1" x14ac:dyDescent="0.25">
      <c r="A73" s="53"/>
      <c r="D73" s="52" t="s">
        <v>411</v>
      </c>
      <c r="E73" s="37" t="s">
        <v>1092</v>
      </c>
      <c r="G73" s="21">
        <v>2.0250000000000004</v>
      </c>
      <c r="J73" s="48"/>
    </row>
    <row r="74" spans="1:74" ht="15" customHeight="1" x14ac:dyDescent="0.25">
      <c r="A74" s="53"/>
      <c r="D74" s="52" t="s">
        <v>146</v>
      </c>
      <c r="E74" s="37" t="s">
        <v>752</v>
      </c>
      <c r="G74" s="21">
        <v>4.9880000000000004</v>
      </c>
      <c r="J74" s="48"/>
    </row>
    <row r="75" spans="1:74" ht="13.5" customHeight="1" x14ac:dyDescent="0.25">
      <c r="A75" s="57" t="s">
        <v>112</v>
      </c>
      <c r="B75" s="50" t="s">
        <v>847</v>
      </c>
      <c r="C75" s="50" t="s">
        <v>635</v>
      </c>
      <c r="D75" s="135" t="s">
        <v>678</v>
      </c>
      <c r="E75" s="136"/>
      <c r="F75" s="50" t="s">
        <v>517</v>
      </c>
      <c r="G75" s="31">
        <f>'Stavební rozpočet'!G75</f>
        <v>495.61500000000001</v>
      </c>
      <c r="H75" s="31">
        <f>'Stavební rozpočet'!H75</f>
        <v>0</v>
      </c>
      <c r="I75" s="31">
        <f>G75*H75</f>
        <v>0</v>
      </c>
      <c r="J75" s="47" t="s">
        <v>501</v>
      </c>
      <c r="Y75" s="56">
        <f>IF(AP75="5",BI75,0)</f>
        <v>0</v>
      </c>
      <c r="AA75" s="56">
        <f>IF(AP75="1",BG75,0)</f>
        <v>0</v>
      </c>
      <c r="AB75" s="56">
        <f>IF(AP75="1",BH75,0)</f>
        <v>0</v>
      </c>
      <c r="AC75" s="56">
        <f>IF(AP75="7",BG75,0)</f>
        <v>0</v>
      </c>
      <c r="AD75" s="56">
        <f>IF(AP75="7",BH75,0)</f>
        <v>0</v>
      </c>
      <c r="AE75" s="56">
        <f>IF(AP75="2",BG75,0)</f>
        <v>0</v>
      </c>
      <c r="AF75" s="56">
        <f>IF(AP75="2",BH75,0)</f>
        <v>0</v>
      </c>
      <c r="AG75" s="56">
        <f>IF(AP75="0",BI75,0)</f>
        <v>0</v>
      </c>
      <c r="AH75" s="30" t="s">
        <v>847</v>
      </c>
      <c r="AI75" s="31">
        <f>IF(AM75=0,I75,0)</f>
        <v>0</v>
      </c>
      <c r="AJ75" s="31">
        <f>IF(AM75=15,I75,0)</f>
        <v>0</v>
      </c>
      <c r="AK75" s="31">
        <f>IF(AM75=21,I75,0)</f>
        <v>0</v>
      </c>
      <c r="AM75" s="56">
        <v>21</v>
      </c>
      <c r="AN75" s="56">
        <f>H75*1</f>
        <v>0</v>
      </c>
      <c r="AO75" s="56">
        <f>H75*(1-1)</f>
        <v>0</v>
      </c>
      <c r="AP75" s="58" t="s">
        <v>1109</v>
      </c>
      <c r="AU75" s="56">
        <f>AV75+AW75</f>
        <v>0</v>
      </c>
      <c r="AV75" s="56">
        <f>G75*AN75</f>
        <v>0</v>
      </c>
      <c r="AW75" s="56">
        <f>G75*AO75</f>
        <v>0</v>
      </c>
      <c r="AX75" s="41" t="s">
        <v>223</v>
      </c>
      <c r="AY75" s="41" t="s">
        <v>738</v>
      </c>
      <c r="AZ75" s="30" t="s">
        <v>1000</v>
      </c>
      <c r="BB75" s="56">
        <f>AV75+AW75</f>
        <v>0</v>
      </c>
      <c r="BC75" s="56">
        <f>H75/(100-BD75)*100</f>
        <v>0</v>
      </c>
      <c r="BD75" s="56">
        <v>0</v>
      </c>
      <c r="BE75" s="56" t="e">
        <f>#REF!</f>
        <v>#REF!</v>
      </c>
      <c r="BG75" s="31">
        <f>G75*AN75</f>
        <v>0</v>
      </c>
      <c r="BH75" s="31">
        <f>G75*AO75</f>
        <v>0</v>
      </c>
      <c r="BI75" s="31">
        <f>G75*H75</f>
        <v>0</v>
      </c>
      <c r="BJ75" s="31"/>
      <c r="BK75" s="56">
        <v>17</v>
      </c>
      <c r="BV75" s="56">
        <v>21</v>
      </c>
    </row>
    <row r="76" spans="1:74" ht="15" customHeight="1" x14ac:dyDescent="0.25">
      <c r="A76" s="53"/>
      <c r="D76" s="52" t="s">
        <v>238</v>
      </c>
      <c r="E76" s="37" t="s">
        <v>536</v>
      </c>
      <c r="G76" s="21">
        <v>495.61500000000007</v>
      </c>
      <c r="J76" s="48"/>
    </row>
    <row r="77" spans="1:74" ht="13.5" customHeight="1" x14ac:dyDescent="0.25">
      <c r="A77" s="10" t="s">
        <v>273</v>
      </c>
      <c r="B77" s="9" t="s">
        <v>847</v>
      </c>
      <c r="C77" s="9" t="s">
        <v>969</v>
      </c>
      <c r="D77" s="76" t="s">
        <v>39</v>
      </c>
      <c r="E77" s="77"/>
      <c r="F77" s="9" t="s">
        <v>1079</v>
      </c>
      <c r="G77" s="56">
        <f>'Stavební rozpočet'!G77</f>
        <v>176.81</v>
      </c>
      <c r="H77" s="56">
        <f>'Stavební rozpočet'!H77</f>
        <v>0</v>
      </c>
      <c r="I77" s="56">
        <f>G77*H77</f>
        <v>0</v>
      </c>
      <c r="J77" s="54" t="s">
        <v>501</v>
      </c>
      <c r="Y77" s="56">
        <f>IF(AP77="5",BI77,0)</f>
        <v>0</v>
      </c>
      <c r="AA77" s="56">
        <f>IF(AP77="1",BG77,0)</f>
        <v>0</v>
      </c>
      <c r="AB77" s="56">
        <f>IF(AP77="1",BH77,0)</f>
        <v>0</v>
      </c>
      <c r="AC77" s="56">
        <f>IF(AP77="7",BG77,0)</f>
        <v>0</v>
      </c>
      <c r="AD77" s="56">
        <f>IF(AP77="7",BH77,0)</f>
        <v>0</v>
      </c>
      <c r="AE77" s="56">
        <f>IF(AP77="2",BG77,0)</f>
        <v>0</v>
      </c>
      <c r="AF77" s="56">
        <f>IF(AP77="2",BH77,0)</f>
        <v>0</v>
      </c>
      <c r="AG77" s="56">
        <f>IF(AP77="0",BI77,0)</f>
        <v>0</v>
      </c>
      <c r="AH77" s="30" t="s">
        <v>847</v>
      </c>
      <c r="AI77" s="56">
        <f>IF(AM77=0,I77,0)</f>
        <v>0</v>
      </c>
      <c r="AJ77" s="56">
        <f>IF(AM77=15,I77,0)</f>
        <v>0</v>
      </c>
      <c r="AK77" s="56">
        <f>IF(AM77=21,I77,0)</f>
        <v>0</v>
      </c>
      <c r="AM77" s="56">
        <v>21</v>
      </c>
      <c r="AN77" s="56">
        <f>H77*0.51750518647095</f>
        <v>0</v>
      </c>
      <c r="AO77" s="56">
        <f>H77*(1-0.51750518647095)</f>
        <v>0</v>
      </c>
      <c r="AP77" s="41" t="s">
        <v>1109</v>
      </c>
      <c r="AU77" s="56">
        <f>AV77+AW77</f>
        <v>0</v>
      </c>
      <c r="AV77" s="56">
        <f>G77*AN77</f>
        <v>0</v>
      </c>
      <c r="AW77" s="56">
        <f>G77*AO77</f>
        <v>0</v>
      </c>
      <c r="AX77" s="41" t="s">
        <v>223</v>
      </c>
      <c r="AY77" s="41" t="s">
        <v>738</v>
      </c>
      <c r="AZ77" s="30" t="s">
        <v>1000</v>
      </c>
      <c r="BB77" s="56">
        <f>AV77+AW77</f>
        <v>0</v>
      </c>
      <c r="BC77" s="56">
        <f>H77/(100-BD77)*100</f>
        <v>0</v>
      </c>
      <c r="BD77" s="56">
        <v>0</v>
      </c>
      <c r="BE77" s="56" t="e">
        <f>#REF!</f>
        <v>#REF!</v>
      </c>
      <c r="BG77" s="56">
        <f>G77*AN77</f>
        <v>0</v>
      </c>
      <c r="BH77" s="56">
        <f>G77*AO77</f>
        <v>0</v>
      </c>
      <c r="BI77" s="56">
        <f>G77*H77</f>
        <v>0</v>
      </c>
      <c r="BJ77" s="56"/>
      <c r="BK77" s="56">
        <v>17</v>
      </c>
      <c r="BV77" s="56">
        <v>21</v>
      </c>
    </row>
    <row r="78" spans="1:74" ht="13.5" customHeight="1" x14ac:dyDescent="0.25">
      <c r="A78" s="53"/>
      <c r="C78" s="66" t="s">
        <v>578</v>
      </c>
      <c r="D78" s="137" t="s">
        <v>0</v>
      </c>
      <c r="E78" s="138"/>
      <c r="F78" s="138"/>
      <c r="G78" s="138"/>
      <c r="H78" s="138"/>
      <c r="I78" s="138"/>
      <c r="J78" s="139"/>
    </row>
    <row r="79" spans="1:74" ht="15" customHeight="1" x14ac:dyDescent="0.25">
      <c r="A79" s="53"/>
      <c r="D79" s="52" t="s">
        <v>43</v>
      </c>
      <c r="E79" s="37" t="s">
        <v>769</v>
      </c>
      <c r="G79" s="21">
        <v>176.715</v>
      </c>
      <c r="J79" s="48"/>
    </row>
    <row r="80" spans="1:74" ht="15" customHeight="1" x14ac:dyDescent="0.25">
      <c r="A80" s="53"/>
      <c r="D80" s="52" t="s">
        <v>959</v>
      </c>
      <c r="E80" s="37" t="s">
        <v>211</v>
      </c>
      <c r="G80" s="21">
        <v>6.3000000000000007</v>
      </c>
      <c r="J80" s="48"/>
    </row>
    <row r="81" spans="1:74" ht="15" customHeight="1" x14ac:dyDescent="0.25">
      <c r="A81" s="53"/>
      <c r="D81" s="52" t="s">
        <v>727</v>
      </c>
      <c r="E81" s="37" t="s">
        <v>1250</v>
      </c>
      <c r="G81" s="21">
        <v>-12.275</v>
      </c>
      <c r="J81" s="48"/>
    </row>
    <row r="82" spans="1:74" ht="15" customHeight="1" x14ac:dyDescent="0.25">
      <c r="A82" s="53"/>
      <c r="D82" s="52" t="s">
        <v>1216</v>
      </c>
      <c r="E82" s="37" t="s">
        <v>1092</v>
      </c>
      <c r="G82" s="21">
        <v>1.5750000000000002</v>
      </c>
      <c r="J82" s="48"/>
    </row>
    <row r="83" spans="1:74" ht="15" customHeight="1" x14ac:dyDescent="0.25">
      <c r="A83" s="53"/>
      <c r="D83" s="52" t="s">
        <v>180</v>
      </c>
      <c r="E83" s="37" t="s">
        <v>1250</v>
      </c>
      <c r="G83" s="21">
        <v>-0.16</v>
      </c>
      <c r="J83" s="48"/>
    </row>
    <row r="84" spans="1:74" ht="15" customHeight="1" x14ac:dyDescent="0.25">
      <c r="A84" s="53"/>
      <c r="D84" s="52" t="s">
        <v>153</v>
      </c>
      <c r="E84" s="37" t="s">
        <v>33</v>
      </c>
      <c r="G84" s="21">
        <v>3.1500000000000004</v>
      </c>
      <c r="J84" s="48"/>
    </row>
    <row r="85" spans="1:74" ht="15" customHeight="1" x14ac:dyDescent="0.25">
      <c r="A85" s="53"/>
      <c r="D85" s="52" t="s">
        <v>341</v>
      </c>
      <c r="E85" s="37" t="s">
        <v>1250</v>
      </c>
      <c r="G85" s="21">
        <v>-8.8000000000000009E-2</v>
      </c>
      <c r="J85" s="48"/>
    </row>
    <row r="86" spans="1:74" ht="15" customHeight="1" x14ac:dyDescent="0.25">
      <c r="A86" s="53"/>
      <c r="D86" s="52" t="s">
        <v>42</v>
      </c>
      <c r="E86" s="37" t="s">
        <v>752</v>
      </c>
      <c r="G86" s="21">
        <v>1.5930000000000002</v>
      </c>
      <c r="J86" s="48"/>
    </row>
    <row r="87" spans="1:74" ht="15" customHeight="1" x14ac:dyDescent="0.25">
      <c r="A87" s="27" t="s">
        <v>769</v>
      </c>
      <c r="B87" s="28" t="s">
        <v>847</v>
      </c>
      <c r="C87" s="28" t="s">
        <v>882</v>
      </c>
      <c r="D87" s="132" t="s">
        <v>1127</v>
      </c>
      <c r="E87" s="133"/>
      <c r="F87" s="23" t="s">
        <v>1027</v>
      </c>
      <c r="G87" s="23" t="s">
        <v>1027</v>
      </c>
      <c r="H87" s="23" t="s">
        <v>1027</v>
      </c>
      <c r="I87" s="14">
        <f>SUM(I88:I89)</f>
        <v>0</v>
      </c>
      <c r="J87" s="44" t="s">
        <v>769</v>
      </c>
      <c r="AH87" s="30" t="s">
        <v>847</v>
      </c>
      <c r="AR87" s="14">
        <f>SUM(AI88:AI89)</f>
        <v>0</v>
      </c>
      <c r="AS87" s="14">
        <f>SUM(AJ88:AJ89)</f>
        <v>0</v>
      </c>
      <c r="AT87" s="14">
        <f>SUM(AK88:AK89)</f>
        <v>0</v>
      </c>
    </row>
    <row r="88" spans="1:74" ht="13.5" customHeight="1" x14ac:dyDescent="0.25">
      <c r="A88" s="10" t="s">
        <v>142</v>
      </c>
      <c r="B88" s="9" t="s">
        <v>847</v>
      </c>
      <c r="C88" s="9" t="s">
        <v>573</v>
      </c>
      <c r="D88" s="76" t="s">
        <v>904</v>
      </c>
      <c r="E88" s="77"/>
      <c r="F88" s="9" t="s">
        <v>1095</v>
      </c>
      <c r="G88" s="56">
        <f>'Stavební rozpočet'!G88</f>
        <v>20</v>
      </c>
      <c r="H88" s="56">
        <f>'Stavební rozpočet'!H88</f>
        <v>0</v>
      </c>
      <c r="I88" s="56">
        <f>G88*H88</f>
        <v>0</v>
      </c>
      <c r="J88" s="54" t="s">
        <v>501</v>
      </c>
      <c r="Y88" s="56">
        <f>IF(AP88="5",BI88,0)</f>
        <v>0</v>
      </c>
      <c r="AA88" s="56">
        <f>IF(AP88="1",BG88,0)</f>
        <v>0</v>
      </c>
      <c r="AB88" s="56">
        <f>IF(AP88="1",BH88,0)</f>
        <v>0</v>
      </c>
      <c r="AC88" s="56">
        <f>IF(AP88="7",BG88,0)</f>
        <v>0</v>
      </c>
      <c r="AD88" s="56">
        <f>IF(AP88="7",BH88,0)</f>
        <v>0</v>
      </c>
      <c r="AE88" s="56">
        <f>IF(AP88="2",BG88,0)</f>
        <v>0</v>
      </c>
      <c r="AF88" s="56">
        <f>IF(AP88="2",BH88,0)</f>
        <v>0</v>
      </c>
      <c r="AG88" s="56">
        <f>IF(AP88="0",BI88,0)</f>
        <v>0</v>
      </c>
      <c r="AH88" s="30" t="s">
        <v>847</v>
      </c>
      <c r="AI88" s="56">
        <f>IF(AM88=0,I88,0)</f>
        <v>0</v>
      </c>
      <c r="AJ88" s="56">
        <f>IF(AM88=15,I88,0)</f>
        <v>0</v>
      </c>
      <c r="AK88" s="56">
        <f>IF(AM88=21,I88,0)</f>
        <v>0</v>
      </c>
      <c r="AM88" s="56">
        <v>21</v>
      </c>
      <c r="AN88" s="56">
        <f>H88*0</f>
        <v>0</v>
      </c>
      <c r="AO88" s="56">
        <f>H88*(1-0)</f>
        <v>0</v>
      </c>
      <c r="AP88" s="41" t="s">
        <v>1109</v>
      </c>
      <c r="AU88" s="56">
        <f>AV88+AW88</f>
        <v>0</v>
      </c>
      <c r="AV88" s="56">
        <f>G88*AN88</f>
        <v>0</v>
      </c>
      <c r="AW88" s="56">
        <f>G88*AO88</f>
        <v>0</v>
      </c>
      <c r="AX88" s="41" t="s">
        <v>557</v>
      </c>
      <c r="AY88" s="41" t="s">
        <v>738</v>
      </c>
      <c r="AZ88" s="30" t="s">
        <v>1000</v>
      </c>
      <c r="BB88" s="56">
        <f>AV88+AW88</f>
        <v>0</v>
      </c>
      <c r="BC88" s="56">
        <f>H88/(100-BD88)*100</f>
        <v>0</v>
      </c>
      <c r="BD88" s="56">
        <v>0</v>
      </c>
      <c r="BE88" s="56" t="e">
        <f>#REF!</f>
        <v>#REF!</v>
      </c>
      <c r="BG88" s="56">
        <f>G88*AN88</f>
        <v>0</v>
      </c>
      <c r="BH88" s="56">
        <f>G88*AO88</f>
        <v>0</v>
      </c>
      <c r="BI88" s="56">
        <f>G88*H88</f>
        <v>0</v>
      </c>
      <c r="BJ88" s="56"/>
      <c r="BK88" s="56">
        <v>18</v>
      </c>
      <c r="BV88" s="56">
        <v>21</v>
      </c>
    </row>
    <row r="89" spans="1:74" ht="13.5" customHeight="1" x14ac:dyDescent="0.25">
      <c r="A89" s="10" t="s">
        <v>1091</v>
      </c>
      <c r="B89" s="9" t="s">
        <v>847</v>
      </c>
      <c r="C89" s="9" t="s">
        <v>1102</v>
      </c>
      <c r="D89" s="76" t="s">
        <v>4</v>
      </c>
      <c r="E89" s="77"/>
      <c r="F89" s="9" t="s">
        <v>1095</v>
      </c>
      <c r="G89" s="56">
        <f>'Stavební rozpočet'!G89</f>
        <v>20</v>
      </c>
      <c r="H89" s="56">
        <f>'Stavební rozpočet'!H89</f>
        <v>0</v>
      </c>
      <c r="I89" s="56">
        <f>G89*H89</f>
        <v>0</v>
      </c>
      <c r="J89" s="54" t="s">
        <v>501</v>
      </c>
      <c r="Y89" s="56">
        <f>IF(AP89="5",BI89,0)</f>
        <v>0</v>
      </c>
      <c r="AA89" s="56">
        <f>IF(AP89="1",BG89,0)</f>
        <v>0</v>
      </c>
      <c r="AB89" s="56">
        <f>IF(AP89="1",BH89,0)</f>
        <v>0</v>
      </c>
      <c r="AC89" s="56">
        <f>IF(AP89="7",BG89,0)</f>
        <v>0</v>
      </c>
      <c r="AD89" s="56">
        <f>IF(AP89="7",BH89,0)</f>
        <v>0</v>
      </c>
      <c r="AE89" s="56">
        <f>IF(AP89="2",BG89,0)</f>
        <v>0</v>
      </c>
      <c r="AF89" s="56">
        <f>IF(AP89="2",BH89,0)</f>
        <v>0</v>
      </c>
      <c r="AG89" s="56">
        <f>IF(AP89="0",BI89,0)</f>
        <v>0</v>
      </c>
      <c r="AH89" s="30" t="s">
        <v>847</v>
      </c>
      <c r="AI89" s="56">
        <f>IF(AM89=0,I89,0)</f>
        <v>0</v>
      </c>
      <c r="AJ89" s="56">
        <f>IF(AM89=15,I89,0)</f>
        <v>0</v>
      </c>
      <c r="AK89" s="56">
        <f>IF(AM89=21,I89,0)</f>
        <v>0</v>
      </c>
      <c r="AM89" s="56">
        <v>21</v>
      </c>
      <c r="AN89" s="56">
        <f>H89*0.21166813251246</f>
        <v>0</v>
      </c>
      <c r="AO89" s="56">
        <f>H89*(1-0.21166813251246)</f>
        <v>0</v>
      </c>
      <c r="AP89" s="41" t="s">
        <v>1109</v>
      </c>
      <c r="AU89" s="56">
        <f>AV89+AW89</f>
        <v>0</v>
      </c>
      <c r="AV89" s="56">
        <f>G89*AN89</f>
        <v>0</v>
      </c>
      <c r="AW89" s="56">
        <f>G89*AO89</f>
        <v>0</v>
      </c>
      <c r="AX89" s="41" t="s">
        <v>557</v>
      </c>
      <c r="AY89" s="41" t="s">
        <v>738</v>
      </c>
      <c r="AZ89" s="30" t="s">
        <v>1000</v>
      </c>
      <c r="BB89" s="56">
        <f>AV89+AW89</f>
        <v>0</v>
      </c>
      <c r="BC89" s="56">
        <f>H89/(100-BD89)*100</f>
        <v>0</v>
      </c>
      <c r="BD89" s="56">
        <v>0</v>
      </c>
      <c r="BE89" s="56" t="e">
        <f>#REF!</f>
        <v>#REF!</v>
      </c>
      <c r="BG89" s="56">
        <f>G89*AN89</f>
        <v>0</v>
      </c>
      <c r="BH89" s="56">
        <f>G89*AO89</f>
        <v>0</v>
      </c>
      <c r="BI89" s="56">
        <f>G89*H89</f>
        <v>0</v>
      </c>
      <c r="BJ89" s="56"/>
      <c r="BK89" s="56">
        <v>18</v>
      </c>
      <c r="BV89" s="56">
        <v>21</v>
      </c>
    </row>
    <row r="90" spans="1:74" ht="15" customHeight="1" x14ac:dyDescent="0.25">
      <c r="A90" s="27" t="s">
        <v>769</v>
      </c>
      <c r="B90" s="28" t="s">
        <v>847</v>
      </c>
      <c r="C90" s="28" t="s">
        <v>393</v>
      </c>
      <c r="D90" s="132" t="s">
        <v>860</v>
      </c>
      <c r="E90" s="133"/>
      <c r="F90" s="23" t="s">
        <v>1027</v>
      </c>
      <c r="G90" s="23" t="s">
        <v>1027</v>
      </c>
      <c r="H90" s="23" t="s">
        <v>1027</v>
      </c>
      <c r="I90" s="14">
        <f>SUM(I91:I91)</f>
        <v>0</v>
      </c>
      <c r="J90" s="44" t="s">
        <v>769</v>
      </c>
      <c r="AH90" s="30" t="s">
        <v>847</v>
      </c>
      <c r="AR90" s="14">
        <f>SUM(AI91:AI91)</f>
        <v>0</v>
      </c>
      <c r="AS90" s="14">
        <f>SUM(AJ91:AJ91)</f>
        <v>0</v>
      </c>
      <c r="AT90" s="14">
        <f>SUM(AK91:AK91)</f>
        <v>0</v>
      </c>
    </row>
    <row r="91" spans="1:74" ht="13.5" customHeight="1" x14ac:dyDescent="0.25">
      <c r="A91" s="10" t="s">
        <v>1201</v>
      </c>
      <c r="B91" s="9" t="s">
        <v>847</v>
      </c>
      <c r="C91" s="9" t="s">
        <v>1039</v>
      </c>
      <c r="D91" s="76" t="s">
        <v>335</v>
      </c>
      <c r="E91" s="77"/>
      <c r="F91" s="9" t="s">
        <v>1079</v>
      </c>
      <c r="G91" s="56">
        <f>'Stavební rozpočet'!G91</f>
        <v>34.914999999999999</v>
      </c>
      <c r="H91" s="56">
        <f>'Stavební rozpočet'!H91</f>
        <v>0</v>
      </c>
      <c r="I91" s="56">
        <f>G91*H91</f>
        <v>0</v>
      </c>
      <c r="J91" s="54" t="s">
        <v>501</v>
      </c>
      <c r="Y91" s="56">
        <f>IF(AP91="5",BI91,0)</f>
        <v>0</v>
      </c>
      <c r="AA91" s="56">
        <f>IF(AP91="1",BG91,0)</f>
        <v>0</v>
      </c>
      <c r="AB91" s="56">
        <f>IF(AP91="1",BH91,0)</f>
        <v>0</v>
      </c>
      <c r="AC91" s="56">
        <f>IF(AP91="7",BG91,0)</f>
        <v>0</v>
      </c>
      <c r="AD91" s="56">
        <f>IF(AP91="7",BH91,0)</f>
        <v>0</v>
      </c>
      <c r="AE91" s="56">
        <f>IF(AP91="2",BG91,0)</f>
        <v>0</v>
      </c>
      <c r="AF91" s="56">
        <f>IF(AP91="2",BH91,0)</f>
        <v>0</v>
      </c>
      <c r="AG91" s="56">
        <f>IF(AP91="0",BI91,0)</f>
        <v>0</v>
      </c>
      <c r="AH91" s="30" t="s">
        <v>847</v>
      </c>
      <c r="AI91" s="56">
        <f>IF(AM91=0,I91,0)</f>
        <v>0</v>
      </c>
      <c r="AJ91" s="56">
        <f>IF(AM91=15,I91,0)</f>
        <v>0</v>
      </c>
      <c r="AK91" s="56">
        <f>IF(AM91=21,I91,0)</f>
        <v>0</v>
      </c>
      <c r="AM91" s="56">
        <v>21</v>
      </c>
      <c r="AN91" s="56">
        <f>H91*0.464157829758129</f>
        <v>0</v>
      </c>
      <c r="AO91" s="56">
        <f>H91*(1-0.464157829758129)</f>
        <v>0</v>
      </c>
      <c r="AP91" s="41" t="s">
        <v>1109</v>
      </c>
      <c r="AU91" s="56">
        <f>AV91+AW91</f>
        <v>0</v>
      </c>
      <c r="AV91" s="56">
        <f>G91*AN91</f>
        <v>0</v>
      </c>
      <c r="AW91" s="56">
        <f>G91*AO91</f>
        <v>0</v>
      </c>
      <c r="AX91" s="41" t="s">
        <v>547</v>
      </c>
      <c r="AY91" s="41" t="s">
        <v>926</v>
      </c>
      <c r="AZ91" s="30" t="s">
        <v>1000</v>
      </c>
      <c r="BB91" s="56">
        <f>AV91+AW91</f>
        <v>0</v>
      </c>
      <c r="BC91" s="56">
        <f>H91/(100-BD91)*100</f>
        <v>0</v>
      </c>
      <c r="BD91" s="56">
        <v>0</v>
      </c>
      <c r="BE91" s="56" t="e">
        <f>#REF!</f>
        <v>#REF!</v>
      </c>
      <c r="BG91" s="56">
        <f>G91*AN91</f>
        <v>0</v>
      </c>
      <c r="BH91" s="56">
        <f>G91*AO91</f>
        <v>0</v>
      </c>
      <c r="BI91" s="56">
        <f>G91*H91</f>
        <v>0</v>
      </c>
      <c r="BJ91" s="56"/>
      <c r="BK91" s="56">
        <v>45</v>
      </c>
      <c r="BV91" s="56">
        <v>21</v>
      </c>
    </row>
    <row r="92" spans="1:74" ht="15" customHeight="1" x14ac:dyDescent="0.25">
      <c r="A92" s="53"/>
      <c r="D92" s="52" t="s">
        <v>461</v>
      </c>
      <c r="E92" s="37" t="s">
        <v>769</v>
      </c>
      <c r="G92" s="21">
        <v>30.910000000000004</v>
      </c>
      <c r="J92" s="48"/>
    </row>
    <row r="93" spans="1:74" ht="15" customHeight="1" x14ac:dyDescent="0.25">
      <c r="A93" s="53"/>
      <c r="D93" s="52" t="s">
        <v>1136</v>
      </c>
      <c r="E93" s="37" t="s">
        <v>211</v>
      </c>
      <c r="G93" s="21">
        <v>1.2000000000000002</v>
      </c>
      <c r="J93" s="48"/>
    </row>
    <row r="94" spans="1:74" ht="15" customHeight="1" x14ac:dyDescent="0.25">
      <c r="A94" s="53"/>
      <c r="D94" s="52" t="s">
        <v>1110</v>
      </c>
      <c r="E94" s="37" t="s">
        <v>949</v>
      </c>
      <c r="G94" s="21">
        <v>0.81500000000000006</v>
      </c>
      <c r="J94" s="48"/>
    </row>
    <row r="95" spans="1:74" ht="15" customHeight="1" x14ac:dyDescent="0.25">
      <c r="A95" s="53"/>
      <c r="D95" s="52" t="s">
        <v>221</v>
      </c>
      <c r="E95" s="37" t="s">
        <v>1092</v>
      </c>
      <c r="G95" s="21">
        <v>0.30000000000000004</v>
      </c>
      <c r="J95" s="48"/>
    </row>
    <row r="96" spans="1:74" ht="15" customHeight="1" x14ac:dyDescent="0.25">
      <c r="A96" s="53"/>
      <c r="D96" s="52" t="s">
        <v>903</v>
      </c>
      <c r="E96" s="37" t="s">
        <v>1221</v>
      </c>
      <c r="G96" s="21">
        <v>1.2000000000000002</v>
      </c>
      <c r="J96" s="48"/>
    </row>
    <row r="97" spans="1:74" ht="15" customHeight="1" x14ac:dyDescent="0.25">
      <c r="A97" s="53"/>
      <c r="D97" s="52" t="s">
        <v>603</v>
      </c>
      <c r="E97" s="37" t="s">
        <v>752</v>
      </c>
      <c r="G97" s="21">
        <v>0.49000000000000005</v>
      </c>
      <c r="J97" s="48"/>
    </row>
    <row r="98" spans="1:74" ht="15" customHeight="1" x14ac:dyDescent="0.25">
      <c r="A98" s="27" t="s">
        <v>769</v>
      </c>
      <c r="B98" s="28" t="s">
        <v>847</v>
      </c>
      <c r="C98" s="28" t="s">
        <v>700</v>
      </c>
      <c r="D98" s="132" t="s">
        <v>739</v>
      </c>
      <c r="E98" s="133"/>
      <c r="F98" s="23" t="s">
        <v>1027</v>
      </c>
      <c r="G98" s="23" t="s">
        <v>1027</v>
      </c>
      <c r="H98" s="23" t="s">
        <v>1027</v>
      </c>
      <c r="I98" s="14">
        <f>SUM(I99:I116)</f>
        <v>0</v>
      </c>
      <c r="J98" s="44" t="s">
        <v>769</v>
      </c>
      <c r="AH98" s="30" t="s">
        <v>847</v>
      </c>
      <c r="AR98" s="14">
        <f>SUM(AI99:AI116)</f>
        <v>0</v>
      </c>
      <c r="AS98" s="14">
        <f>SUM(AJ99:AJ116)</f>
        <v>0</v>
      </c>
      <c r="AT98" s="14">
        <f>SUM(AK99:AK116)</f>
        <v>0</v>
      </c>
    </row>
    <row r="99" spans="1:74" ht="13.5" customHeight="1" x14ac:dyDescent="0.25">
      <c r="A99" s="10" t="s">
        <v>89</v>
      </c>
      <c r="B99" s="9" t="s">
        <v>847</v>
      </c>
      <c r="C99" s="9" t="s">
        <v>555</v>
      </c>
      <c r="D99" s="76" t="s">
        <v>1063</v>
      </c>
      <c r="E99" s="77"/>
      <c r="F99" s="9" t="s">
        <v>1095</v>
      </c>
      <c r="G99" s="56">
        <f>'Stavební rozpočet'!G99</f>
        <v>405.5</v>
      </c>
      <c r="H99" s="56">
        <f>'Stavební rozpočet'!H99</f>
        <v>0</v>
      </c>
      <c r="I99" s="56">
        <f>G99*H99</f>
        <v>0</v>
      </c>
      <c r="J99" s="54" t="s">
        <v>501</v>
      </c>
      <c r="Y99" s="56">
        <f>IF(AP99="5",BI99,0)</f>
        <v>0</v>
      </c>
      <c r="AA99" s="56">
        <f>IF(AP99="1",BG99,0)</f>
        <v>0</v>
      </c>
      <c r="AB99" s="56">
        <f>IF(AP99="1",BH99,0)</f>
        <v>0</v>
      </c>
      <c r="AC99" s="56">
        <f>IF(AP99="7",BG99,0)</f>
        <v>0</v>
      </c>
      <c r="AD99" s="56">
        <f>IF(AP99="7",BH99,0)</f>
        <v>0</v>
      </c>
      <c r="AE99" s="56">
        <f>IF(AP99="2",BG99,0)</f>
        <v>0</v>
      </c>
      <c r="AF99" s="56">
        <f>IF(AP99="2",BH99,0)</f>
        <v>0</v>
      </c>
      <c r="AG99" s="56">
        <f>IF(AP99="0",BI99,0)</f>
        <v>0</v>
      </c>
      <c r="AH99" s="30" t="s">
        <v>847</v>
      </c>
      <c r="AI99" s="56">
        <f>IF(AM99=0,I99,0)</f>
        <v>0</v>
      </c>
      <c r="AJ99" s="56">
        <f>IF(AM99=15,I99,0)</f>
        <v>0</v>
      </c>
      <c r="AK99" s="56">
        <f>IF(AM99=21,I99,0)</f>
        <v>0</v>
      </c>
      <c r="AM99" s="56">
        <v>21</v>
      </c>
      <c r="AN99" s="56">
        <f>H99*0.825274772404959</f>
        <v>0</v>
      </c>
      <c r="AO99" s="56">
        <f>H99*(1-0.825274772404959)</f>
        <v>0</v>
      </c>
      <c r="AP99" s="41" t="s">
        <v>1109</v>
      </c>
      <c r="AU99" s="56">
        <f>AV99+AW99</f>
        <v>0</v>
      </c>
      <c r="AV99" s="56">
        <f>G99*AN99</f>
        <v>0</v>
      </c>
      <c r="AW99" s="56">
        <f>G99*AO99</f>
        <v>0</v>
      </c>
      <c r="AX99" s="41" t="s">
        <v>1152</v>
      </c>
      <c r="AY99" s="41" t="s">
        <v>856</v>
      </c>
      <c r="AZ99" s="30" t="s">
        <v>1000</v>
      </c>
      <c r="BB99" s="56">
        <f>AV99+AW99</f>
        <v>0</v>
      </c>
      <c r="BC99" s="56">
        <f>H99/(100-BD99)*100</f>
        <v>0</v>
      </c>
      <c r="BD99" s="56">
        <v>0</v>
      </c>
      <c r="BE99" s="56" t="e">
        <f>#REF!</f>
        <v>#REF!</v>
      </c>
      <c r="BG99" s="56">
        <f>G99*AN99</f>
        <v>0</v>
      </c>
      <c r="BH99" s="56">
        <f>G99*AO99</f>
        <v>0</v>
      </c>
      <c r="BI99" s="56">
        <f>G99*H99</f>
        <v>0</v>
      </c>
      <c r="BJ99" s="56"/>
      <c r="BK99" s="56">
        <v>56</v>
      </c>
      <c r="BV99" s="56">
        <v>21</v>
      </c>
    </row>
    <row r="100" spans="1:74" ht="13.5" customHeight="1" x14ac:dyDescent="0.25">
      <c r="A100" s="53"/>
      <c r="C100" s="66" t="s">
        <v>578</v>
      </c>
      <c r="D100" s="137" t="s">
        <v>604</v>
      </c>
      <c r="E100" s="138"/>
      <c r="F100" s="138"/>
      <c r="G100" s="138"/>
      <c r="H100" s="138"/>
      <c r="I100" s="138"/>
      <c r="J100" s="139"/>
    </row>
    <row r="101" spans="1:74" ht="15" customHeight="1" x14ac:dyDescent="0.25">
      <c r="A101" s="53"/>
      <c r="D101" s="52" t="s">
        <v>679</v>
      </c>
      <c r="E101" s="37" t="s">
        <v>601</v>
      </c>
      <c r="G101" s="21">
        <v>375.00000000000006</v>
      </c>
      <c r="J101" s="48"/>
    </row>
    <row r="102" spans="1:74" ht="15" customHeight="1" x14ac:dyDescent="0.25">
      <c r="A102" s="53"/>
      <c r="D102" s="52" t="s">
        <v>897</v>
      </c>
      <c r="E102" s="37" t="s">
        <v>776</v>
      </c>
      <c r="G102" s="21">
        <v>2</v>
      </c>
      <c r="J102" s="48"/>
    </row>
    <row r="103" spans="1:74" ht="15" customHeight="1" x14ac:dyDescent="0.25">
      <c r="A103" s="53"/>
      <c r="D103" s="52" t="s">
        <v>1242</v>
      </c>
      <c r="E103" s="37" t="s">
        <v>989</v>
      </c>
      <c r="G103" s="21">
        <v>21.5</v>
      </c>
      <c r="J103" s="48"/>
    </row>
    <row r="104" spans="1:74" ht="15" customHeight="1" x14ac:dyDescent="0.25">
      <c r="A104" s="53"/>
      <c r="D104" s="52" t="s">
        <v>1137</v>
      </c>
      <c r="E104" s="37" t="s">
        <v>526</v>
      </c>
      <c r="G104" s="21">
        <v>7.0000000000000009</v>
      </c>
      <c r="J104" s="48"/>
    </row>
    <row r="105" spans="1:74" ht="13.5" customHeight="1" x14ac:dyDescent="0.25">
      <c r="A105" s="10" t="s">
        <v>717</v>
      </c>
      <c r="B105" s="9" t="s">
        <v>847</v>
      </c>
      <c r="C105" s="9" t="s">
        <v>65</v>
      </c>
      <c r="D105" s="76" t="s">
        <v>1063</v>
      </c>
      <c r="E105" s="77"/>
      <c r="F105" s="9" t="s">
        <v>1095</v>
      </c>
      <c r="G105" s="56">
        <f>'Stavební rozpočet'!G105</f>
        <v>375</v>
      </c>
      <c r="H105" s="56">
        <f>'Stavební rozpočet'!H105</f>
        <v>0</v>
      </c>
      <c r="I105" s="56">
        <f>G105*H105</f>
        <v>0</v>
      </c>
      <c r="J105" s="54" t="s">
        <v>501</v>
      </c>
      <c r="Y105" s="56">
        <f>IF(AP105="5",BI105,0)</f>
        <v>0</v>
      </c>
      <c r="AA105" s="56">
        <f>IF(AP105="1",BG105,0)</f>
        <v>0</v>
      </c>
      <c r="AB105" s="56">
        <f>IF(AP105="1",BH105,0)</f>
        <v>0</v>
      </c>
      <c r="AC105" s="56">
        <f>IF(AP105="7",BG105,0)</f>
        <v>0</v>
      </c>
      <c r="AD105" s="56">
        <f>IF(AP105="7",BH105,0)</f>
        <v>0</v>
      </c>
      <c r="AE105" s="56">
        <f>IF(AP105="2",BG105,0)</f>
        <v>0</v>
      </c>
      <c r="AF105" s="56">
        <f>IF(AP105="2",BH105,0)</f>
        <v>0</v>
      </c>
      <c r="AG105" s="56">
        <f>IF(AP105="0",BI105,0)</f>
        <v>0</v>
      </c>
      <c r="AH105" s="30" t="s">
        <v>847</v>
      </c>
      <c r="AI105" s="56">
        <f>IF(AM105=0,I105,0)</f>
        <v>0</v>
      </c>
      <c r="AJ105" s="56">
        <f>IF(AM105=15,I105,0)</f>
        <v>0</v>
      </c>
      <c r="AK105" s="56">
        <f>IF(AM105=21,I105,0)</f>
        <v>0</v>
      </c>
      <c r="AM105" s="56">
        <v>21</v>
      </c>
      <c r="AN105" s="56">
        <f>H105*0.835300546448087</f>
        <v>0</v>
      </c>
      <c r="AO105" s="56">
        <f>H105*(1-0.835300546448087)</f>
        <v>0</v>
      </c>
      <c r="AP105" s="41" t="s">
        <v>1109</v>
      </c>
      <c r="AU105" s="56">
        <f>AV105+AW105</f>
        <v>0</v>
      </c>
      <c r="AV105" s="56">
        <f>G105*AN105</f>
        <v>0</v>
      </c>
      <c r="AW105" s="56">
        <f>G105*AO105</f>
        <v>0</v>
      </c>
      <c r="AX105" s="41" t="s">
        <v>1152</v>
      </c>
      <c r="AY105" s="41" t="s">
        <v>856</v>
      </c>
      <c r="AZ105" s="30" t="s">
        <v>1000</v>
      </c>
      <c r="BB105" s="56">
        <f>AV105+AW105</f>
        <v>0</v>
      </c>
      <c r="BC105" s="56">
        <f>H105/(100-BD105)*100</f>
        <v>0</v>
      </c>
      <c r="BD105" s="56">
        <v>0</v>
      </c>
      <c r="BE105" s="56" t="e">
        <f>#REF!</f>
        <v>#REF!</v>
      </c>
      <c r="BG105" s="56">
        <f>G105*AN105</f>
        <v>0</v>
      </c>
      <c r="BH105" s="56">
        <f>G105*AO105</f>
        <v>0</v>
      </c>
      <c r="BI105" s="56">
        <f>G105*H105</f>
        <v>0</v>
      </c>
      <c r="BJ105" s="56"/>
      <c r="BK105" s="56">
        <v>56</v>
      </c>
      <c r="BV105" s="56">
        <v>21</v>
      </c>
    </row>
    <row r="106" spans="1:74" ht="13.5" customHeight="1" x14ac:dyDescent="0.25">
      <c r="A106" s="53"/>
      <c r="C106" s="66" t="s">
        <v>578</v>
      </c>
      <c r="D106" s="137" t="s">
        <v>930</v>
      </c>
      <c r="E106" s="138"/>
      <c r="F106" s="138"/>
      <c r="G106" s="138"/>
      <c r="H106" s="138"/>
      <c r="I106" s="138"/>
      <c r="J106" s="139"/>
    </row>
    <row r="107" spans="1:74" ht="15" customHeight="1" x14ac:dyDescent="0.25">
      <c r="A107" s="53"/>
      <c r="D107" s="52" t="s">
        <v>679</v>
      </c>
      <c r="E107" s="37" t="s">
        <v>601</v>
      </c>
      <c r="G107" s="21">
        <v>375.00000000000006</v>
      </c>
      <c r="J107" s="48"/>
    </row>
    <row r="108" spans="1:74" ht="13.5" customHeight="1" x14ac:dyDescent="0.25">
      <c r="A108" s="10" t="s">
        <v>657</v>
      </c>
      <c r="B108" s="9" t="s">
        <v>847</v>
      </c>
      <c r="C108" s="9" t="s">
        <v>842</v>
      </c>
      <c r="D108" s="76" t="s">
        <v>301</v>
      </c>
      <c r="E108" s="77"/>
      <c r="F108" s="9" t="s">
        <v>1095</v>
      </c>
      <c r="G108" s="56">
        <f>'Stavební rozpočet'!G108</f>
        <v>30.5</v>
      </c>
      <c r="H108" s="56">
        <f>'Stavební rozpočet'!H108</f>
        <v>0</v>
      </c>
      <c r="I108" s="56">
        <f>G108*H108</f>
        <v>0</v>
      </c>
      <c r="J108" s="54" t="s">
        <v>501</v>
      </c>
      <c r="Y108" s="56">
        <f>IF(AP108="5",BI108,0)</f>
        <v>0</v>
      </c>
      <c r="AA108" s="56">
        <f>IF(AP108="1",BG108,0)</f>
        <v>0</v>
      </c>
      <c r="AB108" s="56">
        <f>IF(AP108="1",BH108,0)</f>
        <v>0</v>
      </c>
      <c r="AC108" s="56">
        <f>IF(AP108="7",BG108,0)</f>
        <v>0</v>
      </c>
      <c r="AD108" s="56">
        <f>IF(AP108="7",BH108,0)</f>
        <v>0</v>
      </c>
      <c r="AE108" s="56">
        <f>IF(AP108="2",BG108,0)</f>
        <v>0</v>
      </c>
      <c r="AF108" s="56">
        <f>IF(AP108="2",BH108,0)</f>
        <v>0</v>
      </c>
      <c r="AG108" s="56">
        <f>IF(AP108="0",BI108,0)</f>
        <v>0</v>
      </c>
      <c r="AH108" s="30" t="s">
        <v>847</v>
      </c>
      <c r="AI108" s="56">
        <f>IF(AM108=0,I108,0)</f>
        <v>0</v>
      </c>
      <c r="AJ108" s="56">
        <f>IF(AM108=15,I108,0)</f>
        <v>0</v>
      </c>
      <c r="AK108" s="56">
        <f>IF(AM108=21,I108,0)</f>
        <v>0</v>
      </c>
      <c r="AM108" s="56">
        <v>21</v>
      </c>
      <c r="AN108" s="56">
        <f>H108*0.85366289539887</f>
        <v>0</v>
      </c>
      <c r="AO108" s="56">
        <f>H108*(1-0.85366289539887)</f>
        <v>0</v>
      </c>
      <c r="AP108" s="41" t="s">
        <v>1109</v>
      </c>
      <c r="AU108" s="56">
        <f>AV108+AW108</f>
        <v>0</v>
      </c>
      <c r="AV108" s="56">
        <f>G108*AN108</f>
        <v>0</v>
      </c>
      <c r="AW108" s="56">
        <f>G108*AO108</f>
        <v>0</v>
      </c>
      <c r="AX108" s="41" t="s">
        <v>1152</v>
      </c>
      <c r="AY108" s="41" t="s">
        <v>856</v>
      </c>
      <c r="AZ108" s="30" t="s">
        <v>1000</v>
      </c>
      <c r="BB108" s="56">
        <f>AV108+AW108</f>
        <v>0</v>
      </c>
      <c r="BC108" s="56">
        <f>H108/(100-BD108)*100</f>
        <v>0</v>
      </c>
      <c r="BD108" s="56">
        <v>0</v>
      </c>
      <c r="BE108" s="56" t="e">
        <f>#REF!</f>
        <v>#REF!</v>
      </c>
      <c r="BG108" s="56">
        <f>G108*AN108</f>
        <v>0</v>
      </c>
      <c r="BH108" s="56">
        <f>G108*AO108</f>
        <v>0</v>
      </c>
      <c r="BI108" s="56">
        <f>G108*H108</f>
        <v>0</v>
      </c>
      <c r="BJ108" s="56"/>
      <c r="BK108" s="56">
        <v>56</v>
      </c>
      <c r="BV108" s="56">
        <v>21</v>
      </c>
    </row>
    <row r="109" spans="1:74" ht="13.5" customHeight="1" x14ac:dyDescent="0.25">
      <c r="A109" s="53"/>
      <c r="C109" s="66" t="s">
        <v>578</v>
      </c>
      <c r="D109" s="137" t="s">
        <v>930</v>
      </c>
      <c r="E109" s="138"/>
      <c r="F109" s="138"/>
      <c r="G109" s="138"/>
      <c r="H109" s="138"/>
      <c r="I109" s="138"/>
      <c r="J109" s="139"/>
    </row>
    <row r="110" spans="1:74" ht="15" customHeight="1" x14ac:dyDescent="0.25">
      <c r="A110" s="53"/>
      <c r="D110" s="52" t="s">
        <v>897</v>
      </c>
      <c r="E110" s="37" t="s">
        <v>776</v>
      </c>
      <c r="G110" s="21">
        <v>2</v>
      </c>
      <c r="J110" s="48"/>
    </row>
    <row r="111" spans="1:74" ht="15" customHeight="1" x14ac:dyDescent="0.25">
      <c r="A111" s="53"/>
      <c r="D111" s="52" t="s">
        <v>1242</v>
      </c>
      <c r="E111" s="37" t="s">
        <v>989</v>
      </c>
      <c r="G111" s="21">
        <v>21.5</v>
      </c>
      <c r="J111" s="48"/>
    </row>
    <row r="112" spans="1:74" ht="15" customHeight="1" x14ac:dyDescent="0.25">
      <c r="A112" s="53"/>
      <c r="D112" s="52" t="s">
        <v>1137</v>
      </c>
      <c r="E112" s="37" t="s">
        <v>526</v>
      </c>
      <c r="G112" s="21">
        <v>7.0000000000000009</v>
      </c>
      <c r="J112" s="48"/>
    </row>
    <row r="113" spans="1:74" ht="13.5" customHeight="1" x14ac:dyDescent="0.25">
      <c r="A113" s="10" t="s">
        <v>922</v>
      </c>
      <c r="B113" s="9" t="s">
        <v>847</v>
      </c>
      <c r="C113" s="9" t="s">
        <v>1072</v>
      </c>
      <c r="D113" s="76" t="s">
        <v>629</v>
      </c>
      <c r="E113" s="77"/>
      <c r="F113" s="9" t="s">
        <v>1095</v>
      </c>
      <c r="G113" s="56">
        <f>'Stavební rozpočet'!G113</f>
        <v>522.38</v>
      </c>
      <c r="H113" s="56">
        <f>'Stavební rozpočet'!H113</f>
        <v>0</v>
      </c>
      <c r="I113" s="56">
        <f>G113*H113</f>
        <v>0</v>
      </c>
      <c r="J113" s="54" t="s">
        <v>501</v>
      </c>
      <c r="Y113" s="56">
        <f>IF(AP113="5",BI113,0)</f>
        <v>0</v>
      </c>
      <c r="AA113" s="56">
        <f>IF(AP113="1",BG113,0)</f>
        <v>0</v>
      </c>
      <c r="AB113" s="56">
        <f>IF(AP113="1",BH113,0)</f>
        <v>0</v>
      </c>
      <c r="AC113" s="56">
        <f>IF(AP113="7",BG113,0)</f>
        <v>0</v>
      </c>
      <c r="AD113" s="56">
        <f>IF(AP113="7",BH113,0)</f>
        <v>0</v>
      </c>
      <c r="AE113" s="56">
        <f>IF(AP113="2",BG113,0)</f>
        <v>0</v>
      </c>
      <c r="AF113" s="56">
        <f>IF(AP113="2",BH113,0)</f>
        <v>0</v>
      </c>
      <c r="AG113" s="56">
        <f>IF(AP113="0",BI113,0)</f>
        <v>0</v>
      </c>
      <c r="AH113" s="30" t="s">
        <v>847</v>
      </c>
      <c r="AI113" s="56">
        <f>IF(AM113=0,I113,0)</f>
        <v>0</v>
      </c>
      <c r="AJ113" s="56">
        <f>IF(AM113=15,I113,0)</f>
        <v>0</v>
      </c>
      <c r="AK113" s="56">
        <f>IF(AM113=21,I113,0)</f>
        <v>0</v>
      </c>
      <c r="AM113" s="56">
        <v>21</v>
      </c>
      <c r="AN113" s="56">
        <f>H113*0.928801430754066</f>
        <v>0</v>
      </c>
      <c r="AO113" s="56">
        <f>H113*(1-0.928801430754066)</f>
        <v>0</v>
      </c>
      <c r="AP113" s="41" t="s">
        <v>1109</v>
      </c>
      <c r="AU113" s="56">
        <f>AV113+AW113</f>
        <v>0</v>
      </c>
      <c r="AV113" s="56">
        <f>G113*AN113</f>
        <v>0</v>
      </c>
      <c r="AW113" s="56">
        <f>G113*AO113</f>
        <v>0</v>
      </c>
      <c r="AX113" s="41" t="s">
        <v>1152</v>
      </c>
      <c r="AY113" s="41" t="s">
        <v>856</v>
      </c>
      <c r="AZ113" s="30" t="s">
        <v>1000</v>
      </c>
      <c r="BB113" s="56">
        <f>AV113+AW113</f>
        <v>0</v>
      </c>
      <c r="BC113" s="56">
        <f>H113/(100-BD113)*100</f>
        <v>0</v>
      </c>
      <c r="BD113" s="56">
        <v>0</v>
      </c>
      <c r="BE113" s="56" t="e">
        <f>#REF!</f>
        <v>#REF!</v>
      </c>
      <c r="BG113" s="56">
        <f>G113*AN113</f>
        <v>0</v>
      </c>
      <c r="BH113" s="56">
        <f>G113*AO113</f>
        <v>0</v>
      </c>
      <c r="BI113" s="56">
        <f>G113*H113</f>
        <v>0</v>
      </c>
      <c r="BJ113" s="56"/>
      <c r="BK113" s="56">
        <v>56</v>
      </c>
      <c r="BV113" s="56">
        <v>21</v>
      </c>
    </row>
    <row r="114" spans="1:74" ht="15" customHeight="1" x14ac:dyDescent="0.25">
      <c r="A114" s="53"/>
      <c r="D114" s="52" t="s">
        <v>581</v>
      </c>
      <c r="E114" s="37" t="s">
        <v>881</v>
      </c>
      <c r="G114" s="21">
        <v>506.21000000000004</v>
      </c>
      <c r="J114" s="48"/>
    </row>
    <row r="115" spans="1:74" ht="15" customHeight="1" x14ac:dyDescent="0.25">
      <c r="A115" s="53"/>
      <c r="D115" s="52" t="s">
        <v>1238</v>
      </c>
      <c r="E115" s="37" t="s">
        <v>1005</v>
      </c>
      <c r="G115" s="21">
        <v>16.170000000000002</v>
      </c>
      <c r="J115" s="48"/>
    </row>
    <row r="116" spans="1:74" ht="13.5" customHeight="1" x14ac:dyDescent="0.25">
      <c r="A116" s="10" t="s">
        <v>232</v>
      </c>
      <c r="B116" s="9" t="s">
        <v>847</v>
      </c>
      <c r="C116" s="9" t="s">
        <v>591</v>
      </c>
      <c r="D116" s="76" t="s">
        <v>296</v>
      </c>
      <c r="E116" s="77"/>
      <c r="F116" s="9" t="s">
        <v>1095</v>
      </c>
      <c r="G116" s="56">
        <f>'Stavební rozpočet'!G116</f>
        <v>644.48</v>
      </c>
      <c r="H116" s="56">
        <f>'Stavební rozpočet'!H116</f>
        <v>0</v>
      </c>
      <c r="I116" s="56">
        <f>G116*H116</f>
        <v>0</v>
      </c>
      <c r="J116" s="54" t="s">
        <v>501</v>
      </c>
      <c r="Y116" s="56">
        <f>IF(AP116="5",BI116,0)</f>
        <v>0</v>
      </c>
      <c r="AA116" s="56">
        <f>IF(AP116="1",BG116,0)</f>
        <v>0</v>
      </c>
      <c r="AB116" s="56">
        <f>IF(AP116="1",BH116,0)</f>
        <v>0</v>
      </c>
      <c r="AC116" s="56">
        <f>IF(AP116="7",BG116,0)</f>
        <v>0</v>
      </c>
      <c r="AD116" s="56">
        <f>IF(AP116="7",BH116,0)</f>
        <v>0</v>
      </c>
      <c r="AE116" s="56">
        <f>IF(AP116="2",BG116,0)</f>
        <v>0</v>
      </c>
      <c r="AF116" s="56">
        <f>IF(AP116="2",BH116,0)</f>
        <v>0</v>
      </c>
      <c r="AG116" s="56">
        <f>IF(AP116="0",BI116,0)</f>
        <v>0</v>
      </c>
      <c r="AH116" s="30" t="s">
        <v>847</v>
      </c>
      <c r="AI116" s="56">
        <f>IF(AM116=0,I116,0)</f>
        <v>0</v>
      </c>
      <c r="AJ116" s="56">
        <f>IF(AM116=15,I116,0)</f>
        <v>0</v>
      </c>
      <c r="AK116" s="56">
        <f>IF(AM116=21,I116,0)</f>
        <v>0</v>
      </c>
      <c r="AM116" s="56">
        <v>21</v>
      </c>
      <c r="AN116" s="56">
        <f>H116*0.630527102401563</f>
        <v>0</v>
      </c>
      <c r="AO116" s="56">
        <f>H116*(1-0.630527102401563)</f>
        <v>0</v>
      </c>
      <c r="AP116" s="41" t="s">
        <v>1109</v>
      </c>
      <c r="AU116" s="56">
        <f>AV116+AW116</f>
        <v>0</v>
      </c>
      <c r="AV116" s="56">
        <f>G116*AN116</f>
        <v>0</v>
      </c>
      <c r="AW116" s="56">
        <f>G116*AO116</f>
        <v>0</v>
      </c>
      <c r="AX116" s="41" t="s">
        <v>1152</v>
      </c>
      <c r="AY116" s="41" t="s">
        <v>856</v>
      </c>
      <c r="AZ116" s="30" t="s">
        <v>1000</v>
      </c>
      <c r="BB116" s="56">
        <f>AV116+AW116</f>
        <v>0</v>
      </c>
      <c r="BC116" s="56">
        <f>H116/(100-BD116)*100</f>
        <v>0</v>
      </c>
      <c r="BD116" s="56">
        <v>0</v>
      </c>
      <c r="BE116" s="56" t="e">
        <f>#REF!</f>
        <v>#REF!</v>
      </c>
      <c r="BG116" s="56">
        <f>G116*AN116</f>
        <v>0</v>
      </c>
      <c r="BH116" s="56">
        <f>G116*AO116</f>
        <v>0</v>
      </c>
      <c r="BI116" s="56">
        <f>G116*H116</f>
        <v>0</v>
      </c>
      <c r="BJ116" s="56"/>
      <c r="BK116" s="56">
        <v>56</v>
      </c>
      <c r="BV116" s="56">
        <v>21</v>
      </c>
    </row>
    <row r="117" spans="1:74" ht="13.5" customHeight="1" x14ac:dyDescent="0.25">
      <c r="A117" s="53"/>
      <c r="C117" s="66" t="s">
        <v>578</v>
      </c>
      <c r="D117" s="137" t="s">
        <v>1141</v>
      </c>
      <c r="E117" s="138"/>
      <c r="F117" s="138"/>
      <c r="G117" s="138"/>
      <c r="H117" s="138"/>
      <c r="I117" s="138"/>
      <c r="J117" s="139"/>
    </row>
    <row r="118" spans="1:74" ht="15" customHeight="1" x14ac:dyDescent="0.25">
      <c r="A118" s="53"/>
      <c r="D118" s="52" t="s">
        <v>1042</v>
      </c>
      <c r="E118" s="37" t="s">
        <v>881</v>
      </c>
      <c r="G118" s="21">
        <v>619.09</v>
      </c>
      <c r="J118" s="48"/>
    </row>
    <row r="119" spans="1:74" ht="15" customHeight="1" x14ac:dyDescent="0.25">
      <c r="A119" s="53"/>
      <c r="D119" s="52" t="s">
        <v>217</v>
      </c>
      <c r="E119" s="37" t="s">
        <v>1005</v>
      </c>
      <c r="G119" s="21">
        <v>25.39</v>
      </c>
      <c r="J119" s="48"/>
    </row>
    <row r="120" spans="1:74" ht="15" customHeight="1" x14ac:dyDescent="0.25">
      <c r="A120" s="27" t="s">
        <v>769</v>
      </c>
      <c r="B120" s="28" t="s">
        <v>847</v>
      </c>
      <c r="C120" s="28" t="s">
        <v>1058</v>
      </c>
      <c r="D120" s="132" t="s">
        <v>571</v>
      </c>
      <c r="E120" s="133"/>
      <c r="F120" s="23" t="s">
        <v>1027</v>
      </c>
      <c r="G120" s="23" t="s">
        <v>1027</v>
      </c>
      <c r="H120" s="23" t="s">
        <v>1027</v>
      </c>
      <c r="I120" s="14">
        <f>SUM(I121:I124)</f>
        <v>0</v>
      </c>
      <c r="J120" s="44" t="s">
        <v>769</v>
      </c>
      <c r="AH120" s="30" t="s">
        <v>847</v>
      </c>
      <c r="AR120" s="14">
        <f>SUM(AI121:AI124)</f>
        <v>0</v>
      </c>
      <c r="AS120" s="14">
        <f>SUM(AJ121:AJ124)</f>
        <v>0</v>
      </c>
      <c r="AT120" s="14">
        <f>SUM(AK121:AK124)</f>
        <v>0</v>
      </c>
    </row>
    <row r="121" spans="1:74" ht="13.5" customHeight="1" x14ac:dyDescent="0.25">
      <c r="A121" s="10" t="s">
        <v>1229</v>
      </c>
      <c r="B121" s="9" t="s">
        <v>847</v>
      </c>
      <c r="C121" s="9" t="s">
        <v>607</v>
      </c>
      <c r="D121" s="76" t="s">
        <v>420</v>
      </c>
      <c r="E121" s="77"/>
      <c r="F121" s="9" t="s">
        <v>1095</v>
      </c>
      <c r="G121" s="56">
        <f>'Stavební rozpočet'!G121</f>
        <v>1269.1099999999999</v>
      </c>
      <c r="H121" s="56">
        <f>'Stavební rozpočet'!H121</f>
        <v>0</v>
      </c>
      <c r="I121" s="56">
        <f>G121*H121</f>
        <v>0</v>
      </c>
      <c r="J121" s="54" t="s">
        <v>501</v>
      </c>
      <c r="Y121" s="56">
        <f>IF(AP121="5",BI121,0)</f>
        <v>0</v>
      </c>
      <c r="AA121" s="56">
        <f>IF(AP121="1",BG121,0)</f>
        <v>0</v>
      </c>
      <c r="AB121" s="56">
        <f>IF(AP121="1",BH121,0)</f>
        <v>0</v>
      </c>
      <c r="AC121" s="56">
        <f>IF(AP121="7",BG121,0)</f>
        <v>0</v>
      </c>
      <c r="AD121" s="56">
        <f>IF(AP121="7",BH121,0)</f>
        <v>0</v>
      </c>
      <c r="AE121" s="56">
        <f>IF(AP121="2",BG121,0)</f>
        <v>0</v>
      </c>
      <c r="AF121" s="56">
        <f>IF(AP121="2",BH121,0)</f>
        <v>0</v>
      </c>
      <c r="AG121" s="56">
        <f>IF(AP121="0",BI121,0)</f>
        <v>0</v>
      </c>
      <c r="AH121" s="30" t="s">
        <v>847</v>
      </c>
      <c r="AI121" s="56">
        <f>IF(AM121=0,I121,0)</f>
        <v>0</v>
      </c>
      <c r="AJ121" s="56">
        <f>IF(AM121=15,I121,0)</f>
        <v>0</v>
      </c>
      <c r="AK121" s="56">
        <f>IF(AM121=21,I121,0)</f>
        <v>0</v>
      </c>
      <c r="AM121" s="56">
        <v>21</v>
      </c>
      <c r="AN121" s="56">
        <f>H121*0.853687396839879</f>
        <v>0</v>
      </c>
      <c r="AO121" s="56">
        <f>H121*(1-0.853687396839879)</f>
        <v>0</v>
      </c>
      <c r="AP121" s="41" t="s">
        <v>1109</v>
      </c>
      <c r="AU121" s="56">
        <f>AV121+AW121</f>
        <v>0</v>
      </c>
      <c r="AV121" s="56">
        <f>G121*AN121</f>
        <v>0</v>
      </c>
      <c r="AW121" s="56">
        <f>G121*AO121</f>
        <v>0</v>
      </c>
      <c r="AX121" s="41" t="s">
        <v>450</v>
      </c>
      <c r="AY121" s="41" t="s">
        <v>856</v>
      </c>
      <c r="AZ121" s="30" t="s">
        <v>1000</v>
      </c>
      <c r="BB121" s="56">
        <f>AV121+AW121</f>
        <v>0</v>
      </c>
      <c r="BC121" s="56">
        <f>H121/(100-BD121)*100</f>
        <v>0</v>
      </c>
      <c r="BD121" s="56">
        <v>0</v>
      </c>
      <c r="BE121" s="56" t="e">
        <f>#REF!</f>
        <v>#REF!</v>
      </c>
      <c r="BG121" s="56">
        <f>G121*AN121</f>
        <v>0</v>
      </c>
      <c r="BH121" s="56">
        <f>G121*AO121</f>
        <v>0</v>
      </c>
      <c r="BI121" s="56">
        <f>G121*H121</f>
        <v>0</v>
      </c>
      <c r="BJ121" s="56"/>
      <c r="BK121" s="56">
        <v>57</v>
      </c>
      <c r="BV121" s="56">
        <v>21</v>
      </c>
    </row>
    <row r="122" spans="1:74" ht="15" customHeight="1" x14ac:dyDescent="0.25">
      <c r="A122" s="53"/>
      <c r="D122" s="52" t="s">
        <v>520</v>
      </c>
      <c r="E122" s="37" t="s">
        <v>881</v>
      </c>
      <c r="G122" s="21">
        <v>1230</v>
      </c>
      <c r="J122" s="48"/>
    </row>
    <row r="123" spans="1:74" ht="15" customHeight="1" x14ac:dyDescent="0.25">
      <c r="A123" s="53"/>
      <c r="D123" s="52" t="s">
        <v>315</v>
      </c>
      <c r="E123" s="37" t="s">
        <v>1005</v>
      </c>
      <c r="G123" s="21">
        <v>39.110000000000007</v>
      </c>
      <c r="J123" s="48"/>
    </row>
    <row r="124" spans="1:74" ht="13.5" customHeight="1" x14ac:dyDescent="0.25">
      <c r="A124" s="10" t="s">
        <v>982</v>
      </c>
      <c r="B124" s="9" t="s">
        <v>847</v>
      </c>
      <c r="C124" s="9" t="s">
        <v>656</v>
      </c>
      <c r="D124" s="76" t="s">
        <v>643</v>
      </c>
      <c r="E124" s="77"/>
      <c r="F124" s="9" t="s">
        <v>1095</v>
      </c>
      <c r="G124" s="56">
        <f>'Stavební rozpočet'!G124</f>
        <v>1269.1099999999999</v>
      </c>
      <c r="H124" s="56">
        <f>'Stavební rozpočet'!H124</f>
        <v>0</v>
      </c>
      <c r="I124" s="56">
        <f>G124*H124</f>
        <v>0</v>
      </c>
      <c r="J124" s="54" t="s">
        <v>501</v>
      </c>
      <c r="Y124" s="56">
        <f>IF(AP124="5",BI124,0)</f>
        <v>0</v>
      </c>
      <c r="AA124" s="56">
        <f>IF(AP124="1",BG124,0)</f>
        <v>0</v>
      </c>
      <c r="AB124" s="56">
        <f>IF(AP124="1",BH124,0)</f>
        <v>0</v>
      </c>
      <c r="AC124" s="56">
        <f>IF(AP124="7",BG124,0)</f>
        <v>0</v>
      </c>
      <c r="AD124" s="56">
        <f>IF(AP124="7",BH124,0)</f>
        <v>0</v>
      </c>
      <c r="AE124" s="56">
        <f>IF(AP124="2",BG124,0)</f>
        <v>0</v>
      </c>
      <c r="AF124" s="56">
        <f>IF(AP124="2",BH124,0)</f>
        <v>0</v>
      </c>
      <c r="AG124" s="56">
        <f>IF(AP124="0",BI124,0)</f>
        <v>0</v>
      </c>
      <c r="AH124" s="30" t="s">
        <v>847</v>
      </c>
      <c r="AI124" s="56">
        <f>IF(AM124=0,I124,0)</f>
        <v>0</v>
      </c>
      <c r="AJ124" s="56">
        <f>IF(AM124=15,I124,0)</f>
        <v>0</v>
      </c>
      <c r="AK124" s="56">
        <f>IF(AM124=21,I124,0)</f>
        <v>0</v>
      </c>
      <c r="AM124" s="56">
        <v>21</v>
      </c>
      <c r="AN124" s="56">
        <f>H124*0.594936389087724</f>
        <v>0</v>
      </c>
      <c r="AO124" s="56">
        <f>H124*(1-0.594936389087724)</f>
        <v>0</v>
      </c>
      <c r="AP124" s="41" t="s">
        <v>1109</v>
      </c>
      <c r="AU124" s="56">
        <f>AV124+AW124</f>
        <v>0</v>
      </c>
      <c r="AV124" s="56">
        <f>G124*AN124</f>
        <v>0</v>
      </c>
      <c r="AW124" s="56">
        <f>G124*AO124</f>
        <v>0</v>
      </c>
      <c r="AX124" s="41" t="s">
        <v>450</v>
      </c>
      <c r="AY124" s="41" t="s">
        <v>856</v>
      </c>
      <c r="AZ124" s="30" t="s">
        <v>1000</v>
      </c>
      <c r="BB124" s="56">
        <f>AV124+AW124</f>
        <v>0</v>
      </c>
      <c r="BC124" s="56">
        <f>H124/(100-BD124)*100</f>
        <v>0</v>
      </c>
      <c r="BD124" s="56">
        <v>0</v>
      </c>
      <c r="BE124" s="56" t="e">
        <f>#REF!</f>
        <v>#REF!</v>
      </c>
      <c r="BG124" s="56">
        <f>G124*AN124</f>
        <v>0</v>
      </c>
      <c r="BH124" s="56">
        <f>G124*AO124</f>
        <v>0</v>
      </c>
      <c r="BI124" s="56">
        <f>G124*H124</f>
        <v>0</v>
      </c>
      <c r="BJ124" s="56"/>
      <c r="BK124" s="56">
        <v>57</v>
      </c>
      <c r="BV124" s="56">
        <v>21</v>
      </c>
    </row>
    <row r="125" spans="1:74" ht="15" customHeight="1" x14ac:dyDescent="0.25">
      <c r="A125" s="53"/>
      <c r="D125" s="52" t="s">
        <v>520</v>
      </c>
      <c r="E125" s="37" t="s">
        <v>881</v>
      </c>
      <c r="G125" s="21">
        <v>1230</v>
      </c>
      <c r="J125" s="48"/>
    </row>
    <row r="126" spans="1:74" ht="15" customHeight="1" x14ac:dyDescent="0.25">
      <c r="A126" s="53"/>
      <c r="D126" s="52" t="s">
        <v>315</v>
      </c>
      <c r="E126" s="37" t="s">
        <v>1005</v>
      </c>
      <c r="G126" s="21">
        <v>39.110000000000007</v>
      </c>
      <c r="J126" s="48"/>
    </row>
    <row r="127" spans="1:74" ht="15" customHeight="1" x14ac:dyDescent="0.25">
      <c r="A127" s="27" t="s">
        <v>769</v>
      </c>
      <c r="B127" s="28" t="s">
        <v>847</v>
      </c>
      <c r="C127" s="28" t="s">
        <v>512</v>
      </c>
      <c r="D127" s="132" t="s">
        <v>1047</v>
      </c>
      <c r="E127" s="133"/>
      <c r="F127" s="23" t="s">
        <v>1027</v>
      </c>
      <c r="G127" s="23" t="s">
        <v>1027</v>
      </c>
      <c r="H127" s="23" t="s">
        <v>1027</v>
      </c>
      <c r="I127" s="14">
        <f>SUM(I128:I134)</f>
        <v>0</v>
      </c>
      <c r="J127" s="44" t="s">
        <v>769</v>
      </c>
      <c r="AH127" s="30" t="s">
        <v>847</v>
      </c>
      <c r="AR127" s="14">
        <f>SUM(AI128:AI134)</f>
        <v>0</v>
      </c>
      <c r="AS127" s="14">
        <f>SUM(AJ128:AJ134)</f>
        <v>0</v>
      </c>
      <c r="AT127" s="14">
        <f>SUM(AK128:AK134)</f>
        <v>0</v>
      </c>
    </row>
    <row r="128" spans="1:74" ht="13.5" customHeight="1" x14ac:dyDescent="0.25">
      <c r="A128" s="10" t="s">
        <v>647</v>
      </c>
      <c r="B128" s="9" t="s">
        <v>847</v>
      </c>
      <c r="C128" s="9" t="s">
        <v>447</v>
      </c>
      <c r="D128" s="76" t="s">
        <v>728</v>
      </c>
      <c r="E128" s="77"/>
      <c r="F128" s="9" t="s">
        <v>1095</v>
      </c>
      <c r="G128" s="56">
        <f>'Stavební rozpočet'!G128</f>
        <v>21.5</v>
      </c>
      <c r="H128" s="56">
        <f>'Stavební rozpočet'!H128</f>
        <v>0</v>
      </c>
      <c r="I128" s="56">
        <f>G128*H128</f>
        <v>0</v>
      </c>
      <c r="J128" s="54" t="s">
        <v>501</v>
      </c>
      <c r="Y128" s="56">
        <f>IF(AP128="5",BI128,0)</f>
        <v>0</v>
      </c>
      <c r="AA128" s="56">
        <f>IF(AP128="1",BG128,0)</f>
        <v>0</v>
      </c>
      <c r="AB128" s="56">
        <f>IF(AP128="1",BH128,0)</f>
        <v>0</v>
      </c>
      <c r="AC128" s="56">
        <f>IF(AP128="7",BG128,0)</f>
        <v>0</v>
      </c>
      <c r="AD128" s="56">
        <f>IF(AP128="7",BH128,0)</f>
        <v>0</v>
      </c>
      <c r="AE128" s="56">
        <f>IF(AP128="2",BG128,0)</f>
        <v>0</v>
      </c>
      <c r="AF128" s="56">
        <f>IF(AP128="2",BH128,0)</f>
        <v>0</v>
      </c>
      <c r="AG128" s="56">
        <f>IF(AP128="0",BI128,0)</f>
        <v>0</v>
      </c>
      <c r="AH128" s="30" t="s">
        <v>847</v>
      </c>
      <c r="AI128" s="56">
        <f>IF(AM128=0,I128,0)</f>
        <v>0</v>
      </c>
      <c r="AJ128" s="56">
        <f>IF(AM128=15,I128,0)</f>
        <v>0</v>
      </c>
      <c r="AK128" s="56">
        <f>IF(AM128=21,I128,0)</f>
        <v>0</v>
      </c>
      <c r="AM128" s="56">
        <v>21</v>
      </c>
      <c r="AN128" s="56">
        <f>H128*0.17168284789644</f>
        <v>0</v>
      </c>
      <c r="AO128" s="56">
        <f>H128*(1-0.17168284789644)</f>
        <v>0</v>
      </c>
      <c r="AP128" s="41" t="s">
        <v>1109</v>
      </c>
      <c r="AU128" s="56">
        <f>AV128+AW128</f>
        <v>0</v>
      </c>
      <c r="AV128" s="56">
        <f>G128*AN128</f>
        <v>0</v>
      </c>
      <c r="AW128" s="56">
        <f>G128*AO128</f>
        <v>0</v>
      </c>
      <c r="AX128" s="41" t="s">
        <v>1100</v>
      </c>
      <c r="AY128" s="41" t="s">
        <v>856</v>
      </c>
      <c r="AZ128" s="30" t="s">
        <v>1000</v>
      </c>
      <c r="BB128" s="56">
        <f>AV128+AW128</f>
        <v>0</v>
      </c>
      <c r="BC128" s="56">
        <f>H128/(100-BD128)*100</f>
        <v>0</v>
      </c>
      <c r="BD128" s="56">
        <v>0</v>
      </c>
      <c r="BE128" s="56" t="e">
        <f>#REF!</f>
        <v>#REF!</v>
      </c>
      <c r="BG128" s="56">
        <f>G128*AN128</f>
        <v>0</v>
      </c>
      <c r="BH128" s="56">
        <f>G128*AO128</f>
        <v>0</v>
      </c>
      <c r="BI128" s="56">
        <f>G128*H128</f>
        <v>0</v>
      </c>
      <c r="BJ128" s="56"/>
      <c r="BK128" s="56">
        <v>59</v>
      </c>
      <c r="BV128" s="56">
        <v>21</v>
      </c>
    </row>
    <row r="129" spans="1:74" ht="13.5" customHeight="1" x14ac:dyDescent="0.25">
      <c r="A129" s="57" t="s">
        <v>1093</v>
      </c>
      <c r="B129" s="50" t="s">
        <v>847</v>
      </c>
      <c r="C129" s="50" t="s">
        <v>696</v>
      </c>
      <c r="D129" s="135" t="s">
        <v>231</v>
      </c>
      <c r="E129" s="136"/>
      <c r="F129" s="50" t="s">
        <v>1095</v>
      </c>
      <c r="G129" s="31">
        <f>'Stavební rozpočet'!G129</f>
        <v>2</v>
      </c>
      <c r="H129" s="31">
        <f>'Stavební rozpočet'!H129</f>
        <v>0</v>
      </c>
      <c r="I129" s="31">
        <f>G129*H129</f>
        <v>0</v>
      </c>
      <c r="J129" s="47" t="s">
        <v>501</v>
      </c>
      <c r="Y129" s="56">
        <f>IF(AP129="5",BI129,0)</f>
        <v>0</v>
      </c>
      <c r="AA129" s="56">
        <f>IF(AP129="1",BG129,0)</f>
        <v>0</v>
      </c>
      <c r="AB129" s="56">
        <f>IF(AP129="1",BH129,0)</f>
        <v>0</v>
      </c>
      <c r="AC129" s="56">
        <f>IF(AP129="7",BG129,0)</f>
        <v>0</v>
      </c>
      <c r="AD129" s="56">
        <f>IF(AP129="7",BH129,0)</f>
        <v>0</v>
      </c>
      <c r="AE129" s="56">
        <f>IF(AP129="2",BG129,0)</f>
        <v>0</v>
      </c>
      <c r="AF129" s="56">
        <f>IF(AP129="2",BH129,0)</f>
        <v>0</v>
      </c>
      <c r="AG129" s="56">
        <f>IF(AP129="0",BI129,0)</f>
        <v>0</v>
      </c>
      <c r="AH129" s="30" t="s">
        <v>847</v>
      </c>
      <c r="AI129" s="31">
        <f>IF(AM129=0,I129,0)</f>
        <v>0</v>
      </c>
      <c r="AJ129" s="31">
        <f>IF(AM129=15,I129,0)</f>
        <v>0</v>
      </c>
      <c r="AK129" s="31">
        <f>IF(AM129=21,I129,0)</f>
        <v>0</v>
      </c>
      <c r="AM129" s="56">
        <v>21</v>
      </c>
      <c r="AN129" s="56">
        <f>H129*1</f>
        <v>0</v>
      </c>
      <c r="AO129" s="56">
        <f>H129*(1-1)</f>
        <v>0</v>
      </c>
      <c r="AP129" s="58" t="s">
        <v>1109</v>
      </c>
      <c r="AU129" s="56">
        <f>AV129+AW129</f>
        <v>0</v>
      </c>
      <c r="AV129" s="56">
        <f>G129*AN129</f>
        <v>0</v>
      </c>
      <c r="AW129" s="56">
        <f>G129*AO129</f>
        <v>0</v>
      </c>
      <c r="AX129" s="41" t="s">
        <v>1100</v>
      </c>
      <c r="AY129" s="41" t="s">
        <v>856</v>
      </c>
      <c r="AZ129" s="30" t="s">
        <v>1000</v>
      </c>
      <c r="BB129" s="56">
        <f>AV129+AW129</f>
        <v>0</v>
      </c>
      <c r="BC129" s="56">
        <f>H129/(100-BD129)*100</f>
        <v>0</v>
      </c>
      <c r="BD129" s="56">
        <v>0</v>
      </c>
      <c r="BE129" s="56" t="e">
        <f>#REF!</f>
        <v>#REF!</v>
      </c>
      <c r="BG129" s="31">
        <f>G129*AN129</f>
        <v>0</v>
      </c>
      <c r="BH129" s="31">
        <f>G129*AO129</f>
        <v>0</v>
      </c>
      <c r="BI129" s="31">
        <f>G129*H129</f>
        <v>0</v>
      </c>
      <c r="BJ129" s="31"/>
      <c r="BK129" s="56">
        <v>59</v>
      </c>
      <c r="BV129" s="56">
        <v>21</v>
      </c>
    </row>
    <row r="130" spans="1:74" ht="15" customHeight="1" x14ac:dyDescent="0.25">
      <c r="A130" s="53"/>
      <c r="D130" s="52" t="s">
        <v>897</v>
      </c>
      <c r="E130" s="37" t="s">
        <v>412</v>
      </c>
      <c r="G130" s="21">
        <v>2</v>
      </c>
      <c r="J130" s="48"/>
    </row>
    <row r="131" spans="1:74" ht="13.5" customHeight="1" x14ac:dyDescent="0.25">
      <c r="A131" s="10" t="s">
        <v>669</v>
      </c>
      <c r="B131" s="9" t="s">
        <v>847</v>
      </c>
      <c r="C131" s="9" t="s">
        <v>761</v>
      </c>
      <c r="D131" s="76" t="s">
        <v>299</v>
      </c>
      <c r="E131" s="77"/>
      <c r="F131" s="9" t="s">
        <v>1095</v>
      </c>
      <c r="G131" s="56">
        <f>'Stavební rozpočet'!G131</f>
        <v>7</v>
      </c>
      <c r="H131" s="56">
        <f>'Stavební rozpočet'!H131</f>
        <v>0</v>
      </c>
      <c r="I131" s="56">
        <f>G131*H131</f>
        <v>0</v>
      </c>
      <c r="J131" s="54" t="s">
        <v>501</v>
      </c>
      <c r="Y131" s="56">
        <f>IF(AP131="5",BI131,0)</f>
        <v>0</v>
      </c>
      <c r="AA131" s="56">
        <f>IF(AP131="1",BG131,0)</f>
        <v>0</v>
      </c>
      <c r="AB131" s="56">
        <f>IF(AP131="1",BH131,0)</f>
        <v>0</v>
      </c>
      <c r="AC131" s="56">
        <f>IF(AP131="7",BG131,0)</f>
        <v>0</v>
      </c>
      <c r="AD131" s="56">
        <f>IF(AP131="7",BH131,0)</f>
        <v>0</v>
      </c>
      <c r="AE131" s="56">
        <f>IF(AP131="2",BG131,0)</f>
        <v>0</v>
      </c>
      <c r="AF131" s="56">
        <f>IF(AP131="2",BH131,0)</f>
        <v>0</v>
      </c>
      <c r="AG131" s="56">
        <f>IF(AP131="0",BI131,0)</f>
        <v>0</v>
      </c>
      <c r="AH131" s="30" t="s">
        <v>847</v>
      </c>
      <c r="AI131" s="56">
        <f>IF(AM131=0,I131,0)</f>
        <v>0</v>
      </c>
      <c r="AJ131" s="56">
        <f>IF(AM131=15,I131,0)</f>
        <v>0</v>
      </c>
      <c r="AK131" s="56">
        <f>IF(AM131=21,I131,0)</f>
        <v>0</v>
      </c>
      <c r="AM131" s="56">
        <v>21</v>
      </c>
      <c r="AN131" s="56">
        <f>H131*0.113940774487472</f>
        <v>0</v>
      </c>
      <c r="AO131" s="56">
        <f>H131*(1-0.113940774487472)</f>
        <v>0</v>
      </c>
      <c r="AP131" s="41" t="s">
        <v>1109</v>
      </c>
      <c r="AU131" s="56">
        <f>AV131+AW131</f>
        <v>0</v>
      </c>
      <c r="AV131" s="56">
        <f>G131*AN131</f>
        <v>0</v>
      </c>
      <c r="AW131" s="56">
        <f>G131*AO131</f>
        <v>0</v>
      </c>
      <c r="AX131" s="41" t="s">
        <v>1100</v>
      </c>
      <c r="AY131" s="41" t="s">
        <v>856</v>
      </c>
      <c r="AZ131" s="30" t="s">
        <v>1000</v>
      </c>
      <c r="BB131" s="56">
        <f>AV131+AW131</f>
        <v>0</v>
      </c>
      <c r="BC131" s="56">
        <f>H131/(100-BD131)*100</f>
        <v>0</v>
      </c>
      <c r="BD131" s="56">
        <v>0</v>
      </c>
      <c r="BE131" s="56" t="e">
        <f>#REF!</f>
        <v>#REF!</v>
      </c>
      <c r="BG131" s="56">
        <f>G131*AN131</f>
        <v>0</v>
      </c>
      <c r="BH131" s="56">
        <f>G131*AO131</f>
        <v>0</v>
      </c>
      <c r="BI131" s="56">
        <f>G131*H131</f>
        <v>0</v>
      </c>
      <c r="BJ131" s="56"/>
      <c r="BK131" s="56">
        <v>59</v>
      </c>
      <c r="BV131" s="56">
        <v>21</v>
      </c>
    </row>
    <row r="132" spans="1:74" ht="13.5" customHeight="1" x14ac:dyDescent="0.25">
      <c r="A132" s="57" t="s">
        <v>716</v>
      </c>
      <c r="B132" s="50" t="s">
        <v>847</v>
      </c>
      <c r="C132" s="50" t="s">
        <v>742</v>
      </c>
      <c r="D132" s="135" t="s">
        <v>144</v>
      </c>
      <c r="E132" s="136"/>
      <c r="F132" s="50" t="s">
        <v>1095</v>
      </c>
      <c r="G132" s="31">
        <f>'Stavební rozpočet'!G132</f>
        <v>0.7</v>
      </c>
      <c r="H132" s="31">
        <f>'Stavební rozpočet'!H132</f>
        <v>0</v>
      </c>
      <c r="I132" s="31">
        <f>G132*H132</f>
        <v>0</v>
      </c>
      <c r="J132" s="47" t="s">
        <v>501</v>
      </c>
      <c r="Y132" s="56">
        <f>IF(AP132="5",BI132,0)</f>
        <v>0</v>
      </c>
      <c r="AA132" s="56">
        <f>IF(AP132="1",BG132,0)</f>
        <v>0</v>
      </c>
      <c r="AB132" s="56">
        <f>IF(AP132="1",BH132,0)</f>
        <v>0</v>
      </c>
      <c r="AC132" s="56">
        <f>IF(AP132="7",BG132,0)</f>
        <v>0</v>
      </c>
      <c r="AD132" s="56">
        <f>IF(AP132="7",BH132,0)</f>
        <v>0</v>
      </c>
      <c r="AE132" s="56">
        <f>IF(AP132="2",BG132,0)</f>
        <v>0</v>
      </c>
      <c r="AF132" s="56">
        <f>IF(AP132="2",BH132,0)</f>
        <v>0</v>
      </c>
      <c r="AG132" s="56">
        <f>IF(AP132="0",BI132,0)</f>
        <v>0</v>
      </c>
      <c r="AH132" s="30" t="s">
        <v>847</v>
      </c>
      <c r="AI132" s="31">
        <f>IF(AM132=0,I132,0)</f>
        <v>0</v>
      </c>
      <c r="AJ132" s="31">
        <f>IF(AM132=15,I132,0)</f>
        <v>0</v>
      </c>
      <c r="AK132" s="31">
        <f>IF(AM132=21,I132,0)</f>
        <v>0</v>
      </c>
      <c r="AM132" s="56">
        <v>21</v>
      </c>
      <c r="AN132" s="56">
        <f>H132*1</f>
        <v>0</v>
      </c>
      <c r="AO132" s="56">
        <f>H132*(1-1)</f>
        <v>0</v>
      </c>
      <c r="AP132" s="58" t="s">
        <v>1109</v>
      </c>
      <c r="AU132" s="56">
        <f>AV132+AW132</f>
        <v>0</v>
      </c>
      <c r="AV132" s="56">
        <f>G132*AN132</f>
        <v>0</v>
      </c>
      <c r="AW132" s="56">
        <f>G132*AO132</f>
        <v>0</v>
      </c>
      <c r="AX132" s="41" t="s">
        <v>1100</v>
      </c>
      <c r="AY132" s="41" t="s">
        <v>856</v>
      </c>
      <c r="AZ132" s="30" t="s">
        <v>1000</v>
      </c>
      <c r="BB132" s="56">
        <f>AV132+AW132</f>
        <v>0</v>
      </c>
      <c r="BC132" s="56">
        <f>H132/(100-BD132)*100</f>
        <v>0</v>
      </c>
      <c r="BD132" s="56">
        <v>0</v>
      </c>
      <c r="BE132" s="56" t="e">
        <f>#REF!</f>
        <v>#REF!</v>
      </c>
      <c r="BG132" s="31">
        <f>G132*AN132</f>
        <v>0</v>
      </c>
      <c r="BH132" s="31">
        <f>G132*AO132</f>
        <v>0</v>
      </c>
      <c r="BI132" s="31">
        <f>G132*H132</f>
        <v>0</v>
      </c>
      <c r="BJ132" s="31"/>
      <c r="BK132" s="56">
        <v>59</v>
      </c>
      <c r="BV132" s="56">
        <v>21</v>
      </c>
    </row>
    <row r="133" spans="1:74" ht="15" customHeight="1" x14ac:dyDescent="0.25">
      <c r="A133" s="53"/>
      <c r="D133" s="52" t="s">
        <v>613</v>
      </c>
      <c r="E133" s="37" t="s">
        <v>412</v>
      </c>
      <c r="G133" s="21">
        <v>0.70000000000000007</v>
      </c>
      <c r="J133" s="48"/>
    </row>
    <row r="134" spans="1:74" ht="13.5" customHeight="1" x14ac:dyDescent="0.25">
      <c r="A134" s="10" t="s">
        <v>394</v>
      </c>
      <c r="B134" s="9" t="s">
        <v>847</v>
      </c>
      <c r="C134" s="9" t="s">
        <v>848</v>
      </c>
      <c r="D134" s="76" t="s">
        <v>750</v>
      </c>
      <c r="E134" s="77"/>
      <c r="F134" s="9" t="s">
        <v>1095</v>
      </c>
      <c r="G134" s="56">
        <f>'Stavební rozpočet'!G134</f>
        <v>2</v>
      </c>
      <c r="H134" s="56">
        <f>'Stavební rozpočet'!H134</f>
        <v>0</v>
      </c>
      <c r="I134" s="56">
        <f>G134*H134</f>
        <v>0</v>
      </c>
      <c r="J134" s="54" t="s">
        <v>501</v>
      </c>
      <c r="Y134" s="56">
        <f>IF(AP134="5",BI134,0)</f>
        <v>0</v>
      </c>
      <c r="AA134" s="56">
        <f>IF(AP134="1",BG134,0)</f>
        <v>0</v>
      </c>
      <c r="AB134" s="56">
        <f>IF(AP134="1",BH134,0)</f>
        <v>0</v>
      </c>
      <c r="AC134" s="56">
        <f>IF(AP134="7",BG134,0)</f>
        <v>0</v>
      </c>
      <c r="AD134" s="56">
        <f>IF(AP134="7",BH134,0)</f>
        <v>0</v>
      </c>
      <c r="AE134" s="56">
        <f>IF(AP134="2",BG134,0)</f>
        <v>0</v>
      </c>
      <c r="AF134" s="56">
        <f>IF(AP134="2",BH134,0)</f>
        <v>0</v>
      </c>
      <c r="AG134" s="56">
        <f>IF(AP134="0",BI134,0)</f>
        <v>0</v>
      </c>
      <c r="AH134" s="30" t="s">
        <v>847</v>
      </c>
      <c r="AI134" s="56">
        <f>IF(AM134=0,I134,0)</f>
        <v>0</v>
      </c>
      <c r="AJ134" s="56">
        <f>IF(AM134=15,I134,0)</f>
        <v>0</v>
      </c>
      <c r="AK134" s="56">
        <f>IF(AM134=21,I134,0)</f>
        <v>0</v>
      </c>
      <c r="AM134" s="56">
        <v>21</v>
      </c>
      <c r="AN134" s="56">
        <f>H134*0.0616990291262136</f>
        <v>0</v>
      </c>
      <c r="AO134" s="56">
        <f>H134*(1-0.0616990291262136)</f>
        <v>0</v>
      </c>
      <c r="AP134" s="41" t="s">
        <v>1109</v>
      </c>
      <c r="AU134" s="56">
        <f>AV134+AW134</f>
        <v>0</v>
      </c>
      <c r="AV134" s="56">
        <f>G134*AN134</f>
        <v>0</v>
      </c>
      <c r="AW134" s="56">
        <f>G134*AO134</f>
        <v>0</v>
      </c>
      <c r="AX134" s="41" t="s">
        <v>1100</v>
      </c>
      <c r="AY134" s="41" t="s">
        <v>856</v>
      </c>
      <c r="AZ134" s="30" t="s">
        <v>1000</v>
      </c>
      <c r="BB134" s="56">
        <f>AV134+AW134</f>
        <v>0</v>
      </c>
      <c r="BC134" s="56">
        <f>H134/(100-BD134)*100</f>
        <v>0</v>
      </c>
      <c r="BD134" s="56">
        <v>0</v>
      </c>
      <c r="BE134" s="56" t="e">
        <f>#REF!</f>
        <v>#REF!</v>
      </c>
      <c r="BG134" s="56">
        <f>G134*AN134</f>
        <v>0</v>
      </c>
      <c r="BH134" s="56">
        <f>G134*AO134</f>
        <v>0</v>
      </c>
      <c r="BI134" s="56">
        <f>G134*H134</f>
        <v>0</v>
      </c>
      <c r="BJ134" s="56"/>
      <c r="BK134" s="56">
        <v>59</v>
      </c>
      <c r="BV134" s="56">
        <v>21</v>
      </c>
    </row>
    <row r="135" spans="1:74" ht="15" customHeight="1" x14ac:dyDescent="0.25">
      <c r="A135" s="27" t="s">
        <v>769</v>
      </c>
      <c r="B135" s="28" t="s">
        <v>847</v>
      </c>
      <c r="C135" s="28" t="s">
        <v>552</v>
      </c>
      <c r="D135" s="132" t="s">
        <v>509</v>
      </c>
      <c r="E135" s="133"/>
      <c r="F135" s="23" t="s">
        <v>1027</v>
      </c>
      <c r="G135" s="23" t="s">
        <v>1027</v>
      </c>
      <c r="H135" s="23" t="s">
        <v>1027</v>
      </c>
      <c r="I135" s="14">
        <f>SUM(I136:I162)</f>
        <v>0</v>
      </c>
      <c r="J135" s="44" t="s">
        <v>769</v>
      </c>
      <c r="AH135" s="30" t="s">
        <v>847</v>
      </c>
      <c r="AR135" s="14">
        <f>SUM(AI136:AI162)</f>
        <v>0</v>
      </c>
      <c r="AS135" s="14">
        <f>SUM(AJ136:AJ162)</f>
        <v>0</v>
      </c>
      <c r="AT135" s="14">
        <f>SUM(AK136:AK162)</f>
        <v>0</v>
      </c>
    </row>
    <row r="136" spans="1:74" ht="13.5" customHeight="1" x14ac:dyDescent="0.25">
      <c r="A136" s="10" t="s">
        <v>1096</v>
      </c>
      <c r="B136" s="9" t="s">
        <v>847</v>
      </c>
      <c r="C136" s="9" t="s">
        <v>527</v>
      </c>
      <c r="D136" s="76" t="s">
        <v>631</v>
      </c>
      <c r="E136" s="77"/>
      <c r="F136" s="9" t="s">
        <v>275</v>
      </c>
      <c r="G136" s="56">
        <f>'Stavební rozpočet'!G136</f>
        <v>5</v>
      </c>
      <c r="H136" s="56">
        <f>'Stavební rozpočet'!H136</f>
        <v>0</v>
      </c>
      <c r="I136" s="56">
        <f>G136*H136</f>
        <v>0</v>
      </c>
      <c r="J136" s="54" t="s">
        <v>501</v>
      </c>
      <c r="Y136" s="56">
        <f>IF(AP136="5",BI136,0)</f>
        <v>0</v>
      </c>
      <c r="AA136" s="56">
        <f>IF(AP136="1",BG136,0)</f>
        <v>0</v>
      </c>
      <c r="AB136" s="56">
        <f>IF(AP136="1",BH136,0)</f>
        <v>0</v>
      </c>
      <c r="AC136" s="56">
        <f>IF(AP136="7",BG136,0)</f>
        <v>0</v>
      </c>
      <c r="AD136" s="56">
        <f>IF(AP136="7",BH136,0)</f>
        <v>0</v>
      </c>
      <c r="AE136" s="56">
        <f>IF(AP136="2",BG136,0)</f>
        <v>0</v>
      </c>
      <c r="AF136" s="56">
        <f>IF(AP136="2",BH136,0)</f>
        <v>0</v>
      </c>
      <c r="AG136" s="56">
        <f>IF(AP136="0",BI136,0)</f>
        <v>0</v>
      </c>
      <c r="AH136" s="30" t="s">
        <v>847</v>
      </c>
      <c r="AI136" s="56">
        <f>IF(AM136=0,I136,0)</f>
        <v>0</v>
      </c>
      <c r="AJ136" s="56">
        <f>IF(AM136=15,I136,0)</f>
        <v>0</v>
      </c>
      <c r="AK136" s="56">
        <f>IF(AM136=21,I136,0)</f>
        <v>0</v>
      </c>
      <c r="AM136" s="56">
        <v>21</v>
      </c>
      <c r="AN136" s="56">
        <f>H136*0.21</f>
        <v>0</v>
      </c>
      <c r="AO136" s="56">
        <f>H136*(1-0.21)</f>
        <v>0</v>
      </c>
      <c r="AP136" s="41" t="s">
        <v>1109</v>
      </c>
      <c r="AU136" s="56">
        <f>AV136+AW136</f>
        <v>0</v>
      </c>
      <c r="AV136" s="56">
        <f>G136*AN136</f>
        <v>0</v>
      </c>
      <c r="AW136" s="56">
        <f>G136*AO136</f>
        <v>0</v>
      </c>
      <c r="AX136" s="41" t="s">
        <v>958</v>
      </c>
      <c r="AY136" s="41" t="s">
        <v>246</v>
      </c>
      <c r="AZ136" s="30" t="s">
        <v>1000</v>
      </c>
      <c r="BB136" s="56">
        <f>AV136+AW136</f>
        <v>0</v>
      </c>
      <c r="BC136" s="56">
        <f>H136/(100-BD136)*100</f>
        <v>0</v>
      </c>
      <c r="BD136" s="56">
        <v>0</v>
      </c>
      <c r="BE136" s="56" t="e">
        <f>#REF!</f>
        <v>#REF!</v>
      </c>
      <c r="BG136" s="56">
        <f>G136*AN136</f>
        <v>0</v>
      </c>
      <c r="BH136" s="56">
        <f>G136*AO136</f>
        <v>0</v>
      </c>
      <c r="BI136" s="56">
        <f>G136*H136</f>
        <v>0</v>
      </c>
      <c r="BJ136" s="56"/>
      <c r="BK136" s="56">
        <v>85</v>
      </c>
      <c r="BV136" s="56">
        <v>21</v>
      </c>
    </row>
    <row r="137" spans="1:74" ht="13.5" customHeight="1" x14ac:dyDescent="0.25">
      <c r="A137" s="57" t="s">
        <v>196</v>
      </c>
      <c r="B137" s="50" t="s">
        <v>847</v>
      </c>
      <c r="C137" s="50" t="s">
        <v>51</v>
      </c>
      <c r="D137" s="135" t="s">
        <v>350</v>
      </c>
      <c r="E137" s="136"/>
      <c r="F137" s="50" t="s">
        <v>275</v>
      </c>
      <c r="G137" s="31">
        <f>'Stavební rozpočet'!G137</f>
        <v>2</v>
      </c>
      <c r="H137" s="31">
        <f>'Stavební rozpočet'!H137</f>
        <v>0</v>
      </c>
      <c r="I137" s="31">
        <f>G137*H137</f>
        <v>0</v>
      </c>
      <c r="J137" s="47" t="s">
        <v>501</v>
      </c>
      <c r="Y137" s="56">
        <f>IF(AP137="5",BI137,0)</f>
        <v>0</v>
      </c>
      <c r="AA137" s="56">
        <f>IF(AP137="1",BG137,0)</f>
        <v>0</v>
      </c>
      <c r="AB137" s="56">
        <f>IF(AP137="1",BH137,0)</f>
        <v>0</v>
      </c>
      <c r="AC137" s="56">
        <f>IF(AP137="7",BG137,0)</f>
        <v>0</v>
      </c>
      <c r="AD137" s="56">
        <f>IF(AP137="7",BH137,0)</f>
        <v>0</v>
      </c>
      <c r="AE137" s="56">
        <f>IF(AP137="2",BG137,0)</f>
        <v>0</v>
      </c>
      <c r="AF137" s="56">
        <f>IF(AP137="2",BH137,0)</f>
        <v>0</v>
      </c>
      <c r="AG137" s="56">
        <f>IF(AP137="0",BI137,0)</f>
        <v>0</v>
      </c>
      <c r="AH137" s="30" t="s">
        <v>847</v>
      </c>
      <c r="AI137" s="31">
        <f>IF(AM137=0,I137,0)</f>
        <v>0</v>
      </c>
      <c r="AJ137" s="31">
        <f>IF(AM137=15,I137,0)</f>
        <v>0</v>
      </c>
      <c r="AK137" s="31">
        <f>IF(AM137=21,I137,0)</f>
        <v>0</v>
      </c>
      <c r="AM137" s="56">
        <v>21</v>
      </c>
      <c r="AN137" s="56">
        <f>H137*1</f>
        <v>0</v>
      </c>
      <c r="AO137" s="56">
        <f>H137*(1-1)</f>
        <v>0</v>
      </c>
      <c r="AP137" s="58" t="s">
        <v>1109</v>
      </c>
      <c r="AU137" s="56">
        <f>AV137+AW137</f>
        <v>0</v>
      </c>
      <c r="AV137" s="56">
        <f>G137*AN137</f>
        <v>0</v>
      </c>
      <c r="AW137" s="56">
        <f>G137*AO137</f>
        <v>0</v>
      </c>
      <c r="AX137" s="41" t="s">
        <v>958</v>
      </c>
      <c r="AY137" s="41" t="s">
        <v>246</v>
      </c>
      <c r="AZ137" s="30" t="s">
        <v>1000</v>
      </c>
      <c r="BB137" s="56">
        <f>AV137+AW137</f>
        <v>0</v>
      </c>
      <c r="BC137" s="56">
        <f>H137/(100-BD137)*100</f>
        <v>0</v>
      </c>
      <c r="BD137" s="56">
        <v>0</v>
      </c>
      <c r="BE137" s="56" t="e">
        <f>#REF!</f>
        <v>#REF!</v>
      </c>
      <c r="BG137" s="31">
        <f>G137*AN137</f>
        <v>0</v>
      </c>
      <c r="BH137" s="31">
        <f>G137*AO137</f>
        <v>0</v>
      </c>
      <c r="BI137" s="31">
        <f>G137*H137</f>
        <v>0</v>
      </c>
      <c r="BJ137" s="31"/>
      <c r="BK137" s="56">
        <v>85</v>
      </c>
      <c r="BV137" s="56">
        <v>21</v>
      </c>
    </row>
    <row r="138" spans="1:74" ht="15" customHeight="1" x14ac:dyDescent="0.25">
      <c r="A138" s="53"/>
      <c r="D138" s="52" t="s">
        <v>766</v>
      </c>
      <c r="E138" s="37" t="s">
        <v>291</v>
      </c>
      <c r="G138" s="21">
        <v>2</v>
      </c>
      <c r="J138" s="48"/>
    </row>
    <row r="139" spans="1:74" ht="13.5" customHeight="1" x14ac:dyDescent="0.25">
      <c r="A139" s="57" t="s">
        <v>370</v>
      </c>
      <c r="B139" s="50" t="s">
        <v>847</v>
      </c>
      <c r="C139" s="50" t="s">
        <v>704</v>
      </c>
      <c r="D139" s="135" t="s">
        <v>469</v>
      </c>
      <c r="E139" s="136"/>
      <c r="F139" s="50" t="s">
        <v>275</v>
      </c>
      <c r="G139" s="31">
        <f>'Stavební rozpočet'!G139</f>
        <v>1</v>
      </c>
      <c r="H139" s="31">
        <f>'Stavební rozpočet'!H139</f>
        <v>0</v>
      </c>
      <c r="I139" s="31">
        <f>G139*H139</f>
        <v>0</v>
      </c>
      <c r="J139" s="47" t="s">
        <v>501</v>
      </c>
      <c r="Y139" s="56">
        <f>IF(AP139="5",BI139,0)</f>
        <v>0</v>
      </c>
      <c r="AA139" s="56">
        <f>IF(AP139="1",BG139,0)</f>
        <v>0</v>
      </c>
      <c r="AB139" s="56">
        <f>IF(AP139="1",BH139,0)</f>
        <v>0</v>
      </c>
      <c r="AC139" s="56">
        <f>IF(AP139="7",BG139,0)</f>
        <v>0</v>
      </c>
      <c r="AD139" s="56">
        <f>IF(AP139="7",BH139,0)</f>
        <v>0</v>
      </c>
      <c r="AE139" s="56">
        <f>IF(AP139="2",BG139,0)</f>
        <v>0</v>
      </c>
      <c r="AF139" s="56">
        <f>IF(AP139="2",BH139,0)</f>
        <v>0</v>
      </c>
      <c r="AG139" s="56">
        <f>IF(AP139="0",BI139,0)</f>
        <v>0</v>
      </c>
      <c r="AH139" s="30" t="s">
        <v>847</v>
      </c>
      <c r="AI139" s="31">
        <f>IF(AM139=0,I139,0)</f>
        <v>0</v>
      </c>
      <c r="AJ139" s="31">
        <f>IF(AM139=15,I139,0)</f>
        <v>0</v>
      </c>
      <c r="AK139" s="31">
        <f>IF(AM139=21,I139,0)</f>
        <v>0</v>
      </c>
      <c r="AM139" s="56">
        <v>21</v>
      </c>
      <c r="AN139" s="56">
        <f>H139*1</f>
        <v>0</v>
      </c>
      <c r="AO139" s="56">
        <f>H139*(1-1)</f>
        <v>0</v>
      </c>
      <c r="AP139" s="58" t="s">
        <v>1109</v>
      </c>
      <c r="AU139" s="56">
        <f>AV139+AW139</f>
        <v>0</v>
      </c>
      <c r="AV139" s="56">
        <f>G139*AN139</f>
        <v>0</v>
      </c>
      <c r="AW139" s="56">
        <f>G139*AO139</f>
        <v>0</v>
      </c>
      <c r="AX139" s="41" t="s">
        <v>958</v>
      </c>
      <c r="AY139" s="41" t="s">
        <v>246</v>
      </c>
      <c r="AZ139" s="30" t="s">
        <v>1000</v>
      </c>
      <c r="BB139" s="56">
        <f>AV139+AW139</f>
        <v>0</v>
      </c>
      <c r="BC139" s="56">
        <f>H139/(100-BD139)*100</f>
        <v>0</v>
      </c>
      <c r="BD139" s="56">
        <v>0</v>
      </c>
      <c r="BE139" s="56" t="e">
        <f>#REF!</f>
        <v>#REF!</v>
      </c>
      <c r="BG139" s="31">
        <f>G139*AN139</f>
        <v>0</v>
      </c>
      <c r="BH139" s="31">
        <f>G139*AO139</f>
        <v>0</v>
      </c>
      <c r="BI139" s="31">
        <f>G139*H139</f>
        <v>0</v>
      </c>
      <c r="BJ139" s="31"/>
      <c r="BK139" s="56">
        <v>85</v>
      </c>
      <c r="BV139" s="56">
        <v>21</v>
      </c>
    </row>
    <row r="140" spans="1:74" ht="15" customHeight="1" x14ac:dyDescent="0.25">
      <c r="A140" s="53"/>
      <c r="D140" s="52" t="s">
        <v>1109</v>
      </c>
      <c r="E140" s="37" t="s">
        <v>224</v>
      </c>
      <c r="G140" s="21">
        <v>1</v>
      </c>
      <c r="J140" s="48"/>
    </row>
    <row r="141" spans="1:74" ht="13.5" customHeight="1" x14ac:dyDescent="0.25">
      <c r="A141" s="57" t="s">
        <v>491</v>
      </c>
      <c r="B141" s="50" t="s">
        <v>847</v>
      </c>
      <c r="C141" s="50" t="s">
        <v>954</v>
      </c>
      <c r="D141" s="135" t="s">
        <v>1175</v>
      </c>
      <c r="E141" s="136"/>
      <c r="F141" s="50" t="s">
        <v>275</v>
      </c>
      <c r="G141" s="31">
        <f>'Stavební rozpočet'!G141</f>
        <v>2</v>
      </c>
      <c r="H141" s="31">
        <f>'Stavební rozpočet'!H141</f>
        <v>0</v>
      </c>
      <c r="I141" s="31">
        <f>G141*H141</f>
        <v>0</v>
      </c>
      <c r="J141" s="47" t="s">
        <v>501</v>
      </c>
      <c r="Y141" s="56">
        <f>IF(AP141="5",BI141,0)</f>
        <v>0</v>
      </c>
      <c r="AA141" s="56">
        <f>IF(AP141="1",BG141,0)</f>
        <v>0</v>
      </c>
      <c r="AB141" s="56">
        <f>IF(AP141="1",BH141,0)</f>
        <v>0</v>
      </c>
      <c r="AC141" s="56">
        <f>IF(AP141="7",BG141,0)</f>
        <v>0</v>
      </c>
      <c r="AD141" s="56">
        <f>IF(AP141="7",BH141,0)</f>
        <v>0</v>
      </c>
      <c r="AE141" s="56">
        <f>IF(AP141="2",BG141,0)</f>
        <v>0</v>
      </c>
      <c r="AF141" s="56">
        <f>IF(AP141="2",BH141,0)</f>
        <v>0</v>
      </c>
      <c r="AG141" s="56">
        <f>IF(AP141="0",BI141,0)</f>
        <v>0</v>
      </c>
      <c r="AH141" s="30" t="s">
        <v>847</v>
      </c>
      <c r="AI141" s="31">
        <f>IF(AM141=0,I141,0)</f>
        <v>0</v>
      </c>
      <c r="AJ141" s="31">
        <f>IF(AM141=15,I141,0)</f>
        <v>0</v>
      </c>
      <c r="AK141" s="31">
        <f>IF(AM141=21,I141,0)</f>
        <v>0</v>
      </c>
      <c r="AM141" s="56">
        <v>21</v>
      </c>
      <c r="AN141" s="56">
        <f>H141*1</f>
        <v>0</v>
      </c>
      <c r="AO141" s="56">
        <f>H141*(1-1)</f>
        <v>0</v>
      </c>
      <c r="AP141" s="58" t="s">
        <v>1109</v>
      </c>
      <c r="AU141" s="56">
        <f>AV141+AW141</f>
        <v>0</v>
      </c>
      <c r="AV141" s="56">
        <f>G141*AN141</f>
        <v>0</v>
      </c>
      <c r="AW141" s="56">
        <f>G141*AO141</f>
        <v>0</v>
      </c>
      <c r="AX141" s="41" t="s">
        <v>958</v>
      </c>
      <c r="AY141" s="41" t="s">
        <v>246</v>
      </c>
      <c r="AZ141" s="30" t="s">
        <v>1000</v>
      </c>
      <c r="BB141" s="56">
        <f>AV141+AW141</f>
        <v>0</v>
      </c>
      <c r="BC141" s="56">
        <f>H141/(100-BD141)*100</f>
        <v>0</v>
      </c>
      <c r="BD141" s="56">
        <v>0</v>
      </c>
      <c r="BE141" s="56" t="e">
        <f>#REF!</f>
        <v>#REF!</v>
      </c>
      <c r="BG141" s="31">
        <f>G141*AN141</f>
        <v>0</v>
      </c>
      <c r="BH141" s="31">
        <f>G141*AO141</f>
        <v>0</v>
      </c>
      <c r="BI141" s="31">
        <f>G141*H141</f>
        <v>0</v>
      </c>
      <c r="BJ141" s="31"/>
      <c r="BK141" s="56">
        <v>85</v>
      </c>
      <c r="BV141" s="56">
        <v>21</v>
      </c>
    </row>
    <row r="142" spans="1:74" ht="15" customHeight="1" x14ac:dyDescent="0.25">
      <c r="A142" s="53"/>
      <c r="D142" s="52" t="s">
        <v>766</v>
      </c>
      <c r="E142" s="37" t="s">
        <v>473</v>
      </c>
      <c r="G142" s="21">
        <v>2</v>
      </c>
      <c r="J142" s="48"/>
    </row>
    <row r="143" spans="1:74" ht="13.5" customHeight="1" x14ac:dyDescent="0.25">
      <c r="A143" s="10" t="s">
        <v>393</v>
      </c>
      <c r="B143" s="9" t="s">
        <v>847</v>
      </c>
      <c r="C143" s="9" t="s">
        <v>1237</v>
      </c>
      <c r="D143" s="76" t="s">
        <v>913</v>
      </c>
      <c r="E143" s="77"/>
      <c r="F143" s="9" t="s">
        <v>275</v>
      </c>
      <c r="G143" s="56">
        <f>'Stavební rozpočet'!G143</f>
        <v>1</v>
      </c>
      <c r="H143" s="56">
        <f>'Stavební rozpočet'!H143</f>
        <v>0</v>
      </c>
      <c r="I143" s="56">
        <f>G143*H143</f>
        <v>0</v>
      </c>
      <c r="J143" s="54" t="s">
        <v>501</v>
      </c>
      <c r="Y143" s="56">
        <f>IF(AP143="5",BI143,0)</f>
        <v>0</v>
      </c>
      <c r="AA143" s="56">
        <f>IF(AP143="1",BG143,0)</f>
        <v>0</v>
      </c>
      <c r="AB143" s="56">
        <f>IF(AP143="1",BH143,0)</f>
        <v>0</v>
      </c>
      <c r="AC143" s="56">
        <f>IF(AP143="7",BG143,0)</f>
        <v>0</v>
      </c>
      <c r="AD143" s="56">
        <f>IF(AP143="7",BH143,0)</f>
        <v>0</v>
      </c>
      <c r="AE143" s="56">
        <f>IF(AP143="2",BG143,0)</f>
        <v>0</v>
      </c>
      <c r="AF143" s="56">
        <f>IF(AP143="2",BH143,0)</f>
        <v>0</v>
      </c>
      <c r="AG143" s="56">
        <f>IF(AP143="0",BI143,0)</f>
        <v>0</v>
      </c>
      <c r="AH143" s="30" t="s">
        <v>847</v>
      </c>
      <c r="AI143" s="56">
        <f>IF(AM143=0,I143,0)</f>
        <v>0</v>
      </c>
      <c r="AJ143" s="56">
        <f>IF(AM143=15,I143,0)</f>
        <v>0</v>
      </c>
      <c r="AK143" s="56">
        <f>IF(AM143=21,I143,0)</f>
        <v>0</v>
      </c>
      <c r="AM143" s="56">
        <v>21</v>
      </c>
      <c r="AN143" s="56">
        <f>H143*0.302760252365931</f>
        <v>0</v>
      </c>
      <c r="AO143" s="56">
        <f>H143*(1-0.302760252365931)</f>
        <v>0</v>
      </c>
      <c r="AP143" s="41" t="s">
        <v>1109</v>
      </c>
      <c r="AU143" s="56">
        <f>AV143+AW143</f>
        <v>0</v>
      </c>
      <c r="AV143" s="56">
        <f>G143*AN143</f>
        <v>0</v>
      </c>
      <c r="AW143" s="56">
        <f>G143*AO143</f>
        <v>0</v>
      </c>
      <c r="AX143" s="41" t="s">
        <v>958</v>
      </c>
      <c r="AY143" s="41" t="s">
        <v>246</v>
      </c>
      <c r="AZ143" s="30" t="s">
        <v>1000</v>
      </c>
      <c r="BB143" s="56">
        <f>AV143+AW143</f>
        <v>0</v>
      </c>
      <c r="BC143" s="56">
        <f>H143/(100-BD143)*100</f>
        <v>0</v>
      </c>
      <c r="BD143" s="56">
        <v>0</v>
      </c>
      <c r="BE143" s="56" t="e">
        <f>#REF!</f>
        <v>#REF!</v>
      </c>
      <c r="BG143" s="56">
        <f>G143*AN143</f>
        <v>0</v>
      </c>
      <c r="BH143" s="56">
        <f>G143*AO143</f>
        <v>0</v>
      </c>
      <c r="BI143" s="56">
        <f>G143*H143</f>
        <v>0</v>
      </c>
      <c r="BJ143" s="56"/>
      <c r="BK143" s="56">
        <v>85</v>
      </c>
      <c r="BV143" s="56">
        <v>21</v>
      </c>
    </row>
    <row r="144" spans="1:74" ht="13.5" customHeight="1" x14ac:dyDescent="0.25">
      <c r="A144" s="57" t="s">
        <v>886</v>
      </c>
      <c r="B144" s="50" t="s">
        <v>847</v>
      </c>
      <c r="C144" s="50" t="s">
        <v>172</v>
      </c>
      <c r="D144" s="135" t="s">
        <v>771</v>
      </c>
      <c r="E144" s="136"/>
      <c r="F144" s="50" t="s">
        <v>275</v>
      </c>
      <c r="G144" s="31">
        <f>'Stavební rozpočet'!G144</f>
        <v>1</v>
      </c>
      <c r="H144" s="31">
        <f>'Stavební rozpočet'!H144</f>
        <v>0</v>
      </c>
      <c r="I144" s="31">
        <f>G144*H144</f>
        <v>0</v>
      </c>
      <c r="J144" s="47" t="s">
        <v>501</v>
      </c>
      <c r="Y144" s="56">
        <f>IF(AP144="5",BI144,0)</f>
        <v>0</v>
      </c>
      <c r="AA144" s="56">
        <f>IF(AP144="1",BG144,0)</f>
        <v>0</v>
      </c>
      <c r="AB144" s="56">
        <f>IF(AP144="1",BH144,0)</f>
        <v>0</v>
      </c>
      <c r="AC144" s="56">
        <f>IF(AP144="7",BG144,0)</f>
        <v>0</v>
      </c>
      <c r="AD144" s="56">
        <f>IF(AP144="7",BH144,0)</f>
        <v>0</v>
      </c>
      <c r="AE144" s="56">
        <f>IF(AP144="2",BG144,0)</f>
        <v>0</v>
      </c>
      <c r="AF144" s="56">
        <f>IF(AP144="2",BH144,0)</f>
        <v>0</v>
      </c>
      <c r="AG144" s="56">
        <f>IF(AP144="0",BI144,0)</f>
        <v>0</v>
      </c>
      <c r="AH144" s="30" t="s">
        <v>847</v>
      </c>
      <c r="AI144" s="31">
        <f>IF(AM144=0,I144,0)</f>
        <v>0</v>
      </c>
      <c r="AJ144" s="31">
        <f>IF(AM144=15,I144,0)</f>
        <v>0</v>
      </c>
      <c r="AK144" s="31">
        <f>IF(AM144=21,I144,0)</f>
        <v>0</v>
      </c>
      <c r="AM144" s="56">
        <v>21</v>
      </c>
      <c r="AN144" s="56">
        <f>H144*1</f>
        <v>0</v>
      </c>
      <c r="AO144" s="56">
        <f>H144*(1-1)</f>
        <v>0</v>
      </c>
      <c r="AP144" s="58" t="s">
        <v>1109</v>
      </c>
      <c r="AU144" s="56">
        <f>AV144+AW144</f>
        <v>0</v>
      </c>
      <c r="AV144" s="56">
        <f>G144*AN144</f>
        <v>0</v>
      </c>
      <c r="AW144" s="56">
        <f>G144*AO144</f>
        <v>0</v>
      </c>
      <c r="AX144" s="41" t="s">
        <v>958</v>
      </c>
      <c r="AY144" s="41" t="s">
        <v>246</v>
      </c>
      <c r="AZ144" s="30" t="s">
        <v>1000</v>
      </c>
      <c r="BB144" s="56">
        <f>AV144+AW144</f>
        <v>0</v>
      </c>
      <c r="BC144" s="56">
        <f>H144/(100-BD144)*100</f>
        <v>0</v>
      </c>
      <c r="BD144" s="56">
        <v>0</v>
      </c>
      <c r="BE144" s="56" t="e">
        <f>#REF!</f>
        <v>#REF!</v>
      </c>
      <c r="BG144" s="31">
        <f>G144*AN144</f>
        <v>0</v>
      </c>
      <c r="BH144" s="31">
        <f>G144*AO144</f>
        <v>0</v>
      </c>
      <c r="BI144" s="31">
        <f>G144*H144</f>
        <v>0</v>
      </c>
      <c r="BJ144" s="31"/>
      <c r="BK144" s="56">
        <v>85</v>
      </c>
      <c r="BV144" s="56">
        <v>21</v>
      </c>
    </row>
    <row r="145" spans="1:74" ht="15" customHeight="1" x14ac:dyDescent="0.25">
      <c r="A145" s="53"/>
      <c r="D145" s="52" t="s">
        <v>1109</v>
      </c>
      <c r="E145" s="37" t="s">
        <v>44</v>
      </c>
      <c r="G145" s="21">
        <v>1</v>
      </c>
      <c r="J145" s="48"/>
    </row>
    <row r="146" spans="1:74" ht="13.5" customHeight="1" x14ac:dyDescent="0.25">
      <c r="A146" s="10" t="s">
        <v>1139</v>
      </c>
      <c r="B146" s="9" t="s">
        <v>847</v>
      </c>
      <c r="C146" s="9" t="s">
        <v>688</v>
      </c>
      <c r="D146" s="76" t="s">
        <v>630</v>
      </c>
      <c r="E146" s="77"/>
      <c r="F146" s="9" t="s">
        <v>275</v>
      </c>
      <c r="G146" s="56">
        <f>'Stavební rozpočet'!G146</f>
        <v>2</v>
      </c>
      <c r="H146" s="56">
        <f>'Stavební rozpočet'!H146</f>
        <v>0</v>
      </c>
      <c r="I146" s="56">
        <f>G146*H146</f>
        <v>0</v>
      </c>
      <c r="J146" s="54" t="s">
        <v>501</v>
      </c>
      <c r="Y146" s="56">
        <f>IF(AP146="5",BI146,0)</f>
        <v>0</v>
      </c>
      <c r="AA146" s="56">
        <f>IF(AP146="1",BG146,0)</f>
        <v>0</v>
      </c>
      <c r="AB146" s="56">
        <f>IF(AP146="1",BH146,0)</f>
        <v>0</v>
      </c>
      <c r="AC146" s="56">
        <f>IF(AP146="7",BG146,0)</f>
        <v>0</v>
      </c>
      <c r="AD146" s="56">
        <f>IF(AP146="7",BH146,0)</f>
        <v>0</v>
      </c>
      <c r="AE146" s="56">
        <f>IF(AP146="2",BG146,0)</f>
        <v>0</v>
      </c>
      <c r="AF146" s="56">
        <f>IF(AP146="2",BH146,0)</f>
        <v>0</v>
      </c>
      <c r="AG146" s="56">
        <f>IF(AP146="0",BI146,0)</f>
        <v>0</v>
      </c>
      <c r="AH146" s="30" t="s">
        <v>847</v>
      </c>
      <c r="AI146" s="56">
        <f>IF(AM146=0,I146,0)</f>
        <v>0</v>
      </c>
      <c r="AJ146" s="56">
        <f>IF(AM146=15,I146,0)</f>
        <v>0</v>
      </c>
      <c r="AK146" s="56">
        <f>IF(AM146=21,I146,0)</f>
        <v>0</v>
      </c>
      <c r="AM146" s="56">
        <v>21</v>
      </c>
      <c r="AN146" s="56">
        <f>H146*0.320712589073634</f>
        <v>0</v>
      </c>
      <c r="AO146" s="56">
        <f>H146*(1-0.320712589073634)</f>
        <v>0</v>
      </c>
      <c r="AP146" s="41" t="s">
        <v>1109</v>
      </c>
      <c r="AU146" s="56">
        <f>AV146+AW146</f>
        <v>0</v>
      </c>
      <c r="AV146" s="56">
        <f>G146*AN146</f>
        <v>0</v>
      </c>
      <c r="AW146" s="56">
        <f>G146*AO146</f>
        <v>0</v>
      </c>
      <c r="AX146" s="41" t="s">
        <v>958</v>
      </c>
      <c r="AY146" s="41" t="s">
        <v>246</v>
      </c>
      <c r="AZ146" s="30" t="s">
        <v>1000</v>
      </c>
      <c r="BB146" s="56">
        <f>AV146+AW146</f>
        <v>0</v>
      </c>
      <c r="BC146" s="56">
        <f>H146/(100-BD146)*100</f>
        <v>0</v>
      </c>
      <c r="BD146" s="56">
        <v>0</v>
      </c>
      <c r="BE146" s="56" t="e">
        <f>#REF!</f>
        <v>#REF!</v>
      </c>
      <c r="BG146" s="56">
        <f>G146*AN146</f>
        <v>0</v>
      </c>
      <c r="BH146" s="56">
        <f>G146*AO146</f>
        <v>0</v>
      </c>
      <c r="BI146" s="56">
        <f>G146*H146</f>
        <v>0</v>
      </c>
      <c r="BJ146" s="56"/>
      <c r="BK146" s="56">
        <v>85</v>
      </c>
      <c r="BV146" s="56">
        <v>21</v>
      </c>
    </row>
    <row r="147" spans="1:74" ht="13.5" customHeight="1" x14ac:dyDescent="0.25">
      <c r="A147" s="57" t="s">
        <v>88</v>
      </c>
      <c r="B147" s="50" t="s">
        <v>847</v>
      </c>
      <c r="C147" s="50" t="s">
        <v>401</v>
      </c>
      <c r="D147" s="135" t="s">
        <v>936</v>
      </c>
      <c r="E147" s="136"/>
      <c r="F147" s="50" t="s">
        <v>275</v>
      </c>
      <c r="G147" s="31">
        <f>'Stavební rozpočet'!G147</f>
        <v>1</v>
      </c>
      <c r="H147" s="31">
        <f>'Stavební rozpočet'!H147</f>
        <v>0</v>
      </c>
      <c r="I147" s="31">
        <f>G147*H147</f>
        <v>0</v>
      </c>
      <c r="J147" s="47" t="s">
        <v>501</v>
      </c>
      <c r="Y147" s="56">
        <f>IF(AP147="5",BI147,0)</f>
        <v>0</v>
      </c>
      <c r="AA147" s="56">
        <f>IF(AP147="1",BG147,0)</f>
        <v>0</v>
      </c>
      <c r="AB147" s="56">
        <f>IF(AP147="1",BH147,0)</f>
        <v>0</v>
      </c>
      <c r="AC147" s="56">
        <f>IF(AP147="7",BG147,0)</f>
        <v>0</v>
      </c>
      <c r="AD147" s="56">
        <f>IF(AP147="7",BH147,0)</f>
        <v>0</v>
      </c>
      <c r="AE147" s="56">
        <f>IF(AP147="2",BG147,0)</f>
        <v>0</v>
      </c>
      <c r="AF147" s="56">
        <f>IF(AP147="2",BH147,0)</f>
        <v>0</v>
      </c>
      <c r="AG147" s="56">
        <f>IF(AP147="0",BI147,0)</f>
        <v>0</v>
      </c>
      <c r="AH147" s="30" t="s">
        <v>847</v>
      </c>
      <c r="AI147" s="31">
        <f>IF(AM147=0,I147,0)</f>
        <v>0</v>
      </c>
      <c r="AJ147" s="31">
        <f>IF(AM147=15,I147,0)</f>
        <v>0</v>
      </c>
      <c r="AK147" s="31">
        <f>IF(AM147=21,I147,0)</f>
        <v>0</v>
      </c>
      <c r="AM147" s="56">
        <v>21</v>
      </c>
      <c r="AN147" s="56">
        <f>H147*1</f>
        <v>0</v>
      </c>
      <c r="AO147" s="56">
        <f>H147*(1-1)</f>
        <v>0</v>
      </c>
      <c r="AP147" s="58" t="s">
        <v>1109</v>
      </c>
      <c r="AU147" s="56">
        <f>AV147+AW147</f>
        <v>0</v>
      </c>
      <c r="AV147" s="56">
        <f>G147*AN147</f>
        <v>0</v>
      </c>
      <c r="AW147" s="56">
        <f>G147*AO147</f>
        <v>0</v>
      </c>
      <c r="AX147" s="41" t="s">
        <v>958</v>
      </c>
      <c r="AY147" s="41" t="s">
        <v>246</v>
      </c>
      <c r="AZ147" s="30" t="s">
        <v>1000</v>
      </c>
      <c r="BB147" s="56">
        <f>AV147+AW147</f>
        <v>0</v>
      </c>
      <c r="BC147" s="56">
        <f>H147/(100-BD147)*100</f>
        <v>0</v>
      </c>
      <c r="BD147" s="56">
        <v>0</v>
      </c>
      <c r="BE147" s="56" t="e">
        <f>#REF!</f>
        <v>#REF!</v>
      </c>
      <c r="BG147" s="31">
        <f>G147*AN147</f>
        <v>0</v>
      </c>
      <c r="BH147" s="31">
        <f>G147*AO147</f>
        <v>0</v>
      </c>
      <c r="BI147" s="31">
        <f>G147*H147</f>
        <v>0</v>
      </c>
      <c r="BJ147" s="31"/>
      <c r="BK147" s="56">
        <v>85</v>
      </c>
      <c r="BV147" s="56">
        <v>21</v>
      </c>
    </row>
    <row r="148" spans="1:74" ht="15" customHeight="1" x14ac:dyDescent="0.25">
      <c r="A148" s="53"/>
      <c r="D148" s="52" t="s">
        <v>1109</v>
      </c>
      <c r="E148" s="37" t="s">
        <v>781</v>
      </c>
      <c r="G148" s="21">
        <v>1</v>
      </c>
      <c r="J148" s="48"/>
    </row>
    <row r="149" spans="1:74" ht="13.5" customHeight="1" x14ac:dyDescent="0.25">
      <c r="A149" s="57" t="s">
        <v>862</v>
      </c>
      <c r="B149" s="50" t="s">
        <v>847</v>
      </c>
      <c r="C149" s="50" t="s">
        <v>25</v>
      </c>
      <c r="D149" s="135" t="s">
        <v>147</v>
      </c>
      <c r="E149" s="136"/>
      <c r="F149" s="50" t="s">
        <v>275</v>
      </c>
      <c r="G149" s="31">
        <f>'Stavební rozpočet'!G149</f>
        <v>1</v>
      </c>
      <c r="H149" s="31">
        <f>'Stavební rozpočet'!H149</f>
        <v>0</v>
      </c>
      <c r="I149" s="31">
        <f>G149*H149</f>
        <v>0</v>
      </c>
      <c r="J149" s="47" t="s">
        <v>501</v>
      </c>
      <c r="Y149" s="56">
        <f>IF(AP149="5",BI149,0)</f>
        <v>0</v>
      </c>
      <c r="AA149" s="56">
        <f>IF(AP149="1",BG149,0)</f>
        <v>0</v>
      </c>
      <c r="AB149" s="56">
        <f>IF(AP149="1",BH149,0)</f>
        <v>0</v>
      </c>
      <c r="AC149" s="56">
        <f>IF(AP149="7",BG149,0)</f>
        <v>0</v>
      </c>
      <c r="AD149" s="56">
        <f>IF(AP149="7",BH149,0)</f>
        <v>0</v>
      </c>
      <c r="AE149" s="56">
        <f>IF(AP149="2",BG149,0)</f>
        <v>0</v>
      </c>
      <c r="AF149" s="56">
        <f>IF(AP149="2",BH149,0)</f>
        <v>0</v>
      </c>
      <c r="AG149" s="56">
        <f>IF(AP149="0",BI149,0)</f>
        <v>0</v>
      </c>
      <c r="AH149" s="30" t="s">
        <v>847</v>
      </c>
      <c r="AI149" s="31">
        <f>IF(AM149=0,I149,0)</f>
        <v>0</v>
      </c>
      <c r="AJ149" s="31">
        <f>IF(AM149=15,I149,0)</f>
        <v>0</v>
      </c>
      <c r="AK149" s="31">
        <f>IF(AM149=21,I149,0)</f>
        <v>0</v>
      </c>
      <c r="AM149" s="56">
        <v>21</v>
      </c>
      <c r="AN149" s="56">
        <f>H149*1</f>
        <v>0</v>
      </c>
      <c r="AO149" s="56">
        <f>H149*(1-1)</f>
        <v>0</v>
      </c>
      <c r="AP149" s="58" t="s">
        <v>1109</v>
      </c>
      <c r="AU149" s="56">
        <f>AV149+AW149</f>
        <v>0</v>
      </c>
      <c r="AV149" s="56">
        <f>G149*AN149</f>
        <v>0</v>
      </c>
      <c r="AW149" s="56">
        <f>G149*AO149</f>
        <v>0</v>
      </c>
      <c r="AX149" s="41" t="s">
        <v>958</v>
      </c>
      <c r="AY149" s="41" t="s">
        <v>246</v>
      </c>
      <c r="AZ149" s="30" t="s">
        <v>1000</v>
      </c>
      <c r="BB149" s="56">
        <f>AV149+AW149</f>
        <v>0</v>
      </c>
      <c r="BC149" s="56">
        <f>H149/(100-BD149)*100</f>
        <v>0</v>
      </c>
      <c r="BD149" s="56">
        <v>0</v>
      </c>
      <c r="BE149" s="56" t="e">
        <f>#REF!</f>
        <v>#REF!</v>
      </c>
      <c r="BG149" s="31">
        <f>G149*AN149</f>
        <v>0</v>
      </c>
      <c r="BH149" s="31">
        <f>G149*AO149</f>
        <v>0</v>
      </c>
      <c r="BI149" s="31">
        <f>G149*H149</f>
        <v>0</v>
      </c>
      <c r="BJ149" s="31"/>
      <c r="BK149" s="56">
        <v>85</v>
      </c>
      <c r="BV149" s="56">
        <v>21</v>
      </c>
    </row>
    <row r="150" spans="1:74" ht="15" customHeight="1" x14ac:dyDescent="0.25">
      <c r="A150" s="53"/>
      <c r="D150" s="52" t="s">
        <v>1109</v>
      </c>
      <c r="E150" s="37" t="s">
        <v>1245</v>
      </c>
      <c r="G150" s="21">
        <v>1</v>
      </c>
      <c r="J150" s="48"/>
    </row>
    <row r="151" spans="1:74" ht="13.5" customHeight="1" x14ac:dyDescent="0.25">
      <c r="A151" s="10" t="s">
        <v>898</v>
      </c>
      <c r="B151" s="9" t="s">
        <v>847</v>
      </c>
      <c r="C151" s="9" t="s">
        <v>1208</v>
      </c>
      <c r="D151" s="76" t="s">
        <v>667</v>
      </c>
      <c r="E151" s="77"/>
      <c r="F151" s="9" t="s">
        <v>275</v>
      </c>
      <c r="G151" s="56">
        <f>'Stavební rozpočet'!G151</f>
        <v>1</v>
      </c>
      <c r="H151" s="56">
        <f>'Stavební rozpočet'!H151</f>
        <v>0</v>
      </c>
      <c r="I151" s="56">
        <f>G151*H151</f>
        <v>0</v>
      </c>
      <c r="J151" s="54" t="s">
        <v>501</v>
      </c>
      <c r="Y151" s="56">
        <f>IF(AP151="5",BI151,0)</f>
        <v>0</v>
      </c>
      <c r="AA151" s="56">
        <f>IF(AP151="1",BG151,0)</f>
        <v>0</v>
      </c>
      <c r="AB151" s="56">
        <f>IF(AP151="1",BH151,0)</f>
        <v>0</v>
      </c>
      <c r="AC151" s="56">
        <f>IF(AP151="7",BG151,0)</f>
        <v>0</v>
      </c>
      <c r="AD151" s="56">
        <f>IF(AP151="7",BH151,0)</f>
        <v>0</v>
      </c>
      <c r="AE151" s="56">
        <f>IF(AP151="2",BG151,0)</f>
        <v>0</v>
      </c>
      <c r="AF151" s="56">
        <f>IF(AP151="2",BH151,0)</f>
        <v>0</v>
      </c>
      <c r="AG151" s="56">
        <f>IF(AP151="0",BI151,0)</f>
        <v>0</v>
      </c>
      <c r="AH151" s="30" t="s">
        <v>847</v>
      </c>
      <c r="AI151" s="56">
        <f>IF(AM151=0,I151,0)</f>
        <v>0</v>
      </c>
      <c r="AJ151" s="56">
        <f>IF(AM151=15,I151,0)</f>
        <v>0</v>
      </c>
      <c r="AK151" s="56">
        <f>IF(AM151=21,I151,0)</f>
        <v>0</v>
      </c>
      <c r="AM151" s="56">
        <v>21</v>
      </c>
      <c r="AN151" s="56">
        <f>H151*0.0000303951367781155</f>
        <v>0</v>
      </c>
      <c r="AO151" s="56">
        <f>H151*(1-0.0000303951367781155)</f>
        <v>0</v>
      </c>
      <c r="AP151" s="41" t="s">
        <v>1109</v>
      </c>
      <c r="AU151" s="56">
        <f>AV151+AW151</f>
        <v>0</v>
      </c>
      <c r="AV151" s="56">
        <f>G151*AN151</f>
        <v>0</v>
      </c>
      <c r="AW151" s="56">
        <f>G151*AO151</f>
        <v>0</v>
      </c>
      <c r="AX151" s="41" t="s">
        <v>958</v>
      </c>
      <c r="AY151" s="41" t="s">
        <v>246</v>
      </c>
      <c r="AZ151" s="30" t="s">
        <v>1000</v>
      </c>
      <c r="BB151" s="56">
        <f>AV151+AW151</f>
        <v>0</v>
      </c>
      <c r="BC151" s="56">
        <f>H151/(100-BD151)*100</f>
        <v>0</v>
      </c>
      <c r="BD151" s="56">
        <v>0</v>
      </c>
      <c r="BE151" s="56" t="e">
        <f>#REF!</f>
        <v>#REF!</v>
      </c>
      <c r="BG151" s="56">
        <f>G151*AN151</f>
        <v>0</v>
      </c>
      <c r="BH151" s="56">
        <f>G151*AO151</f>
        <v>0</v>
      </c>
      <c r="BI151" s="56">
        <f>G151*H151</f>
        <v>0</v>
      </c>
      <c r="BJ151" s="56"/>
      <c r="BK151" s="56">
        <v>85</v>
      </c>
      <c r="BV151" s="56">
        <v>21</v>
      </c>
    </row>
    <row r="152" spans="1:74" ht="13.5" customHeight="1" x14ac:dyDescent="0.25">
      <c r="A152" s="53"/>
      <c r="C152" s="66" t="s">
        <v>578</v>
      </c>
      <c r="D152" s="137" t="s">
        <v>126</v>
      </c>
      <c r="E152" s="138"/>
      <c r="F152" s="138"/>
      <c r="G152" s="138"/>
      <c r="H152" s="138"/>
      <c r="I152" s="138"/>
      <c r="J152" s="139"/>
    </row>
    <row r="153" spans="1:74" ht="13.5" customHeight="1" x14ac:dyDescent="0.25">
      <c r="A153" s="57" t="s">
        <v>481</v>
      </c>
      <c r="B153" s="50" t="s">
        <v>847</v>
      </c>
      <c r="C153" s="50" t="s">
        <v>68</v>
      </c>
      <c r="D153" s="135" t="s">
        <v>991</v>
      </c>
      <c r="E153" s="136"/>
      <c r="F153" s="50" t="s">
        <v>275</v>
      </c>
      <c r="G153" s="31">
        <f>'Stavební rozpočet'!G153</f>
        <v>1</v>
      </c>
      <c r="H153" s="31">
        <f>'Stavební rozpočet'!H153</f>
        <v>0</v>
      </c>
      <c r="I153" s="31">
        <f>G153*H153</f>
        <v>0</v>
      </c>
      <c r="J153" s="47" t="s">
        <v>501</v>
      </c>
      <c r="Y153" s="56">
        <f>IF(AP153="5",BI153,0)</f>
        <v>0</v>
      </c>
      <c r="AA153" s="56">
        <f>IF(AP153="1",BG153,0)</f>
        <v>0</v>
      </c>
      <c r="AB153" s="56">
        <f>IF(AP153="1",BH153,0)</f>
        <v>0</v>
      </c>
      <c r="AC153" s="56">
        <f>IF(AP153="7",BG153,0)</f>
        <v>0</v>
      </c>
      <c r="AD153" s="56">
        <f>IF(AP153="7",BH153,0)</f>
        <v>0</v>
      </c>
      <c r="AE153" s="56">
        <f>IF(AP153="2",BG153,0)</f>
        <v>0</v>
      </c>
      <c r="AF153" s="56">
        <f>IF(AP153="2",BH153,0)</f>
        <v>0</v>
      </c>
      <c r="AG153" s="56">
        <f>IF(AP153="0",BI153,0)</f>
        <v>0</v>
      </c>
      <c r="AH153" s="30" t="s">
        <v>847</v>
      </c>
      <c r="AI153" s="31">
        <f>IF(AM153=0,I153,0)</f>
        <v>0</v>
      </c>
      <c r="AJ153" s="31">
        <f>IF(AM153=15,I153,0)</f>
        <v>0</v>
      </c>
      <c r="AK153" s="31">
        <f>IF(AM153=21,I153,0)</f>
        <v>0</v>
      </c>
      <c r="AM153" s="56">
        <v>21</v>
      </c>
      <c r="AN153" s="56">
        <f>H153*1</f>
        <v>0</v>
      </c>
      <c r="AO153" s="56">
        <f>H153*(1-1)</f>
        <v>0</v>
      </c>
      <c r="AP153" s="58" t="s">
        <v>1109</v>
      </c>
      <c r="AU153" s="56">
        <f>AV153+AW153</f>
        <v>0</v>
      </c>
      <c r="AV153" s="56">
        <f>G153*AN153</f>
        <v>0</v>
      </c>
      <c r="AW153" s="56">
        <f>G153*AO153</f>
        <v>0</v>
      </c>
      <c r="AX153" s="41" t="s">
        <v>958</v>
      </c>
      <c r="AY153" s="41" t="s">
        <v>246</v>
      </c>
      <c r="AZ153" s="30" t="s">
        <v>1000</v>
      </c>
      <c r="BB153" s="56">
        <f>AV153+AW153</f>
        <v>0</v>
      </c>
      <c r="BC153" s="56">
        <f>H153/(100-BD153)*100</f>
        <v>0</v>
      </c>
      <c r="BD153" s="56">
        <v>0</v>
      </c>
      <c r="BE153" s="56" t="e">
        <f>#REF!</f>
        <v>#REF!</v>
      </c>
      <c r="BG153" s="31">
        <f>G153*AN153</f>
        <v>0</v>
      </c>
      <c r="BH153" s="31">
        <f>G153*AO153</f>
        <v>0</v>
      </c>
      <c r="BI153" s="31">
        <f>G153*H153</f>
        <v>0</v>
      </c>
      <c r="BJ153" s="31"/>
      <c r="BK153" s="56">
        <v>85</v>
      </c>
      <c r="BV153" s="56">
        <v>21</v>
      </c>
    </row>
    <row r="154" spans="1:74" ht="15" customHeight="1" x14ac:dyDescent="0.25">
      <c r="A154" s="53"/>
      <c r="D154" s="52" t="s">
        <v>1109</v>
      </c>
      <c r="E154" s="37" t="s">
        <v>597</v>
      </c>
      <c r="G154" s="21">
        <v>1</v>
      </c>
      <c r="J154" s="48"/>
    </row>
    <row r="155" spans="1:74" ht="13.5" customHeight="1" x14ac:dyDescent="0.25">
      <c r="A155" s="10" t="s">
        <v>472</v>
      </c>
      <c r="B155" s="9" t="s">
        <v>847</v>
      </c>
      <c r="C155" s="9" t="s">
        <v>141</v>
      </c>
      <c r="D155" s="76" t="s">
        <v>566</v>
      </c>
      <c r="E155" s="77"/>
      <c r="F155" s="9" t="s">
        <v>275</v>
      </c>
      <c r="G155" s="56">
        <f>'Stavební rozpočet'!G155</f>
        <v>6</v>
      </c>
      <c r="H155" s="56">
        <f>'Stavební rozpočet'!H155</f>
        <v>0</v>
      </c>
      <c r="I155" s="56">
        <f>G155*H155</f>
        <v>0</v>
      </c>
      <c r="J155" s="54" t="s">
        <v>501</v>
      </c>
      <c r="Y155" s="56">
        <f>IF(AP155="5",BI155,0)</f>
        <v>0</v>
      </c>
      <c r="AA155" s="56">
        <f>IF(AP155="1",BG155,0)</f>
        <v>0</v>
      </c>
      <c r="AB155" s="56">
        <f>IF(AP155="1",BH155,0)</f>
        <v>0</v>
      </c>
      <c r="AC155" s="56">
        <f>IF(AP155="7",BG155,0)</f>
        <v>0</v>
      </c>
      <c r="AD155" s="56">
        <f>IF(AP155="7",BH155,0)</f>
        <v>0</v>
      </c>
      <c r="AE155" s="56">
        <f>IF(AP155="2",BG155,0)</f>
        <v>0</v>
      </c>
      <c r="AF155" s="56">
        <f>IF(AP155="2",BH155,0)</f>
        <v>0</v>
      </c>
      <c r="AG155" s="56">
        <f>IF(AP155="0",BI155,0)</f>
        <v>0</v>
      </c>
      <c r="AH155" s="30" t="s">
        <v>847</v>
      </c>
      <c r="AI155" s="56">
        <f>IF(AM155=0,I155,0)</f>
        <v>0</v>
      </c>
      <c r="AJ155" s="56">
        <f>IF(AM155=15,I155,0)</f>
        <v>0</v>
      </c>
      <c r="AK155" s="56">
        <f>IF(AM155=21,I155,0)</f>
        <v>0</v>
      </c>
      <c r="AM155" s="56">
        <v>21</v>
      </c>
      <c r="AN155" s="56">
        <f>H155*0.353028571428571</f>
        <v>0</v>
      </c>
      <c r="AO155" s="56">
        <f>H155*(1-0.353028571428571)</f>
        <v>0</v>
      </c>
      <c r="AP155" s="41" t="s">
        <v>1109</v>
      </c>
      <c r="AU155" s="56">
        <f>AV155+AW155</f>
        <v>0</v>
      </c>
      <c r="AV155" s="56">
        <f>G155*AN155</f>
        <v>0</v>
      </c>
      <c r="AW155" s="56">
        <f>G155*AO155</f>
        <v>0</v>
      </c>
      <c r="AX155" s="41" t="s">
        <v>958</v>
      </c>
      <c r="AY155" s="41" t="s">
        <v>246</v>
      </c>
      <c r="AZ155" s="30" t="s">
        <v>1000</v>
      </c>
      <c r="BB155" s="56">
        <f>AV155+AW155</f>
        <v>0</v>
      </c>
      <c r="BC155" s="56">
        <f>H155/(100-BD155)*100</f>
        <v>0</v>
      </c>
      <c r="BD155" s="56">
        <v>0</v>
      </c>
      <c r="BE155" s="56" t="e">
        <f>#REF!</f>
        <v>#REF!</v>
      </c>
      <c r="BG155" s="56">
        <f>G155*AN155</f>
        <v>0</v>
      </c>
      <c r="BH155" s="56">
        <f>G155*AO155</f>
        <v>0</v>
      </c>
      <c r="BI155" s="56">
        <f>G155*H155</f>
        <v>0</v>
      </c>
      <c r="BJ155" s="56"/>
      <c r="BK155" s="56">
        <v>85</v>
      </c>
      <c r="BV155" s="56">
        <v>21</v>
      </c>
    </row>
    <row r="156" spans="1:74" ht="13.5" customHeight="1" x14ac:dyDescent="0.25">
      <c r="A156" s="57" t="s">
        <v>522</v>
      </c>
      <c r="B156" s="50" t="s">
        <v>847</v>
      </c>
      <c r="C156" s="50" t="s">
        <v>455</v>
      </c>
      <c r="D156" s="135" t="s">
        <v>653</v>
      </c>
      <c r="E156" s="136"/>
      <c r="F156" s="50" t="s">
        <v>275</v>
      </c>
      <c r="G156" s="31">
        <f>'Stavební rozpočet'!G156</f>
        <v>1</v>
      </c>
      <c r="H156" s="31">
        <f>'Stavební rozpočet'!H156</f>
        <v>0</v>
      </c>
      <c r="I156" s="31">
        <f>G156*H156</f>
        <v>0</v>
      </c>
      <c r="J156" s="47" t="s">
        <v>501</v>
      </c>
      <c r="Y156" s="56">
        <f>IF(AP156="5",BI156,0)</f>
        <v>0</v>
      </c>
      <c r="AA156" s="56">
        <f>IF(AP156="1",BG156,0)</f>
        <v>0</v>
      </c>
      <c r="AB156" s="56">
        <f>IF(AP156="1",BH156,0)</f>
        <v>0</v>
      </c>
      <c r="AC156" s="56">
        <f>IF(AP156="7",BG156,0)</f>
        <v>0</v>
      </c>
      <c r="AD156" s="56">
        <f>IF(AP156="7",BH156,0)</f>
        <v>0</v>
      </c>
      <c r="AE156" s="56">
        <f>IF(AP156="2",BG156,0)</f>
        <v>0</v>
      </c>
      <c r="AF156" s="56">
        <f>IF(AP156="2",BH156,0)</f>
        <v>0</v>
      </c>
      <c r="AG156" s="56">
        <f>IF(AP156="0",BI156,0)</f>
        <v>0</v>
      </c>
      <c r="AH156" s="30" t="s">
        <v>847</v>
      </c>
      <c r="AI156" s="31">
        <f>IF(AM156=0,I156,0)</f>
        <v>0</v>
      </c>
      <c r="AJ156" s="31">
        <f>IF(AM156=15,I156,0)</f>
        <v>0</v>
      </c>
      <c r="AK156" s="31">
        <f>IF(AM156=21,I156,0)</f>
        <v>0</v>
      </c>
      <c r="AM156" s="56">
        <v>21</v>
      </c>
      <c r="AN156" s="56">
        <f>H156*1</f>
        <v>0</v>
      </c>
      <c r="AO156" s="56">
        <f>H156*(1-1)</f>
        <v>0</v>
      </c>
      <c r="AP156" s="58" t="s">
        <v>1109</v>
      </c>
      <c r="AU156" s="56">
        <f>AV156+AW156</f>
        <v>0</v>
      </c>
      <c r="AV156" s="56">
        <f>G156*AN156</f>
        <v>0</v>
      </c>
      <c r="AW156" s="56">
        <f>G156*AO156</f>
        <v>0</v>
      </c>
      <c r="AX156" s="41" t="s">
        <v>958</v>
      </c>
      <c r="AY156" s="41" t="s">
        <v>246</v>
      </c>
      <c r="AZ156" s="30" t="s">
        <v>1000</v>
      </c>
      <c r="BB156" s="56">
        <f>AV156+AW156</f>
        <v>0</v>
      </c>
      <c r="BC156" s="56">
        <f>H156/(100-BD156)*100</f>
        <v>0</v>
      </c>
      <c r="BD156" s="56">
        <v>0</v>
      </c>
      <c r="BE156" s="56" t="e">
        <f>#REF!</f>
        <v>#REF!</v>
      </c>
      <c r="BG156" s="31">
        <f>G156*AN156</f>
        <v>0</v>
      </c>
      <c r="BH156" s="31">
        <f>G156*AO156</f>
        <v>0</v>
      </c>
      <c r="BI156" s="31">
        <f>G156*H156</f>
        <v>0</v>
      </c>
      <c r="BJ156" s="31"/>
      <c r="BK156" s="56">
        <v>85</v>
      </c>
      <c r="BV156" s="56">
        <v>21</v>
      </c>
    </row>
    <row r="157" spans="1:74" ht="15" customHeight="1" x14ac:dyDescent="0.25">
      <c r="A157" s="53"/>
      <c r="D157" s="52" t="s">
        <v>1109</v>
      </c>
      <c r="E157" s="37" t="s">
        <v>1066</v>
      </c>
      <c r="G157" s="21">
        <v>1</v>
      </c>
      <c r="J157" s="48"/>
    </row>
    <row r="158" spans="1:74" ht="13.5" customHeight="1" x14ac:dyDescent="0.25">
      <c r="A158" s="57" t="s">
        <v>1023</v>
      </c>
      <c r="B158" s="50" t="s">
        <v>847</v>
      </c>
      <c r="C158" s="50" t="s">
        <v>899</v>
      </c>
      <c r="D158" s="135" t="s">
        <v>507</v>
      </c>
      <c r="E158" s="136"/>
      <c r="F158" s="50" t="s">
        <v>275</v>
      </c>
      <c r="G158" s="31">
        <f>'Stavební rozpočet'!G158</f>
        <v>2</v>
      </c>
      <c r="H158" s="31">
        <f>'Stavební rozpočet'!H158</f>
        <v>0</v>
      </c>
      <c r="I158" s="31">
        <f>G158*H158</f>
        <v>0</v>
      </c>
      <c r="J158" s="47" t="s">
        <v>501</v>
      </c>
      <c r="Y158" s="56">
        <f>IF(AP158="5",BI158,0)</f>
        <v>0</v>
      </c>
      <c r="AA158" s="56">
        <f>IF(AP158="1",BG158,0)</f>
        <v>0</v>
      </c>
      <c r="AB158" s="56">
        <f>IF(AP158="1",BH158,0)</f>
        <v>0</v>
      </c>
      <c r="AC158" s="56">
        <f>IF(AP158="7",BG158,0)</f>
        <v>0</v>
      </c>
      <c r="AD158" s="56">
        <f>IF(AP158="7",BH158,0)</f>
        <v>0</v>
      </c>
      <c r="AE158" s="56">
        <f>IF(AP158="2",BG158,0)</f>
        <v>0</v>
      </c>
      <c r="AF158" s="56">
        <f>IF(AP158="2",BH158,0)</f>
        <v>0</v>
      </c>
      <c r="AG158" s="56">
        <f>IF(AP158="0",BI158,0)</f>
        <v>0</v>
      </c>
      <c r="AH158" s="30" t="s">
        <v>847</v>
      </c>
      <c r="AI158" s="31">
        <f>IF(AM158=0,I158,0)</f>
        <v>0</v>
      </c>
      <c r="AJ158" s="31">
        <f>IF(AM158=15,I158,0)</f>
        <v>0</v>
      </c>
      <c r="AK158" s="31">
        <f>IF(AM158=21,I158,0)</f>
        <v>0</v>
      </c>
      <c r="AM158" s="56">
        <v>21</v>
      </c>
      <c r="AN158" s="56">
        <f>H158*1</f>
        <v>0</v>
      </c>
      <c r="AO158" s="56">
        <f>H158*(1-1)</f>
        <v>0</v>
      </c>
      <c r="AP158" s="58" t="s">
        <v>1109</v>
      </c>
      <c r="AU158" s="56">
        <f>AV158+AW158</f>
        <v>0</v>
      </c>
      <c r="AV158" s="56">
        <f>G158*AN158</f>
        <v>0</v>
      </c>
      <c r="AW158" s="56">
        <f>G158*AO158</f>
        <v>0</v>
      </c>
      <c r="AX158" s="41" t="s">
        <v>958</v>
      </c>
      <c r="AY158" s="41" t="s">
        <v>246</v>
      </c>
      <c r="AZ158" s="30" t="s">
        <v>1000</v>
      </c>
      <c r="BB158" s="56">
        <f>AV158+AW158</f>
        <v>0</v>
      </c>
      <c r="BC158" s="56">
        <f>H158/(100-BD158)*100</f>
        <v>0</v>
      </c>
      <c r="BD158" s="56">
        <v>0</v>
      </c>
      <c r="BE158" s="56" t="e">
        <f>#REF!</f>
        <v>#REF!</v>
      </c>
      <c r="BG158" s="31">
        <f>G158*AN158</f>
        <v>0</v>
      </c>
      <c r="BH158" s="31">
        <f>G158*AO158</f>
        <v>0</v>
      </c>
      <c r="BI158" s="31">
        <f>G158*H158</f>
        <v>0</v>
      </c>
      <c r="BJ158" s="31"/>
      <c r="BK158" s="56">
        <v>85</v>
      </c>
      <c r="BV158" s="56">
        <v>21</v>
      </c>
    </row>
    <row r="159" spans="1:74" ht="15" customHeight="1" x14ac:dyDescent="0.25">
      <c r="A159" s="53"/>
      <c r="D159" s="52" t="s">
        <v>766</v>
      </c>
      <c r="E159" s="37" t="s">
        <v>222</v>
      </c>
      <c r="G159" s="21">
        <v>2</v>
      </c>
      <c r="J159" s="48"/>
    </row>
    <row r="160" spans="1:74" ht="13.5" customHeight="1" x14ac:dyDescent="0.25">
      <c r="A160" s="57" t="s">
        <v>729</v>
      </c>
      <c r="B160" s="50" t="s">
        <v>847</v>
      </c>
      <c r="C160" s="50" t="s">
        <v>1254</v>
      </c>
      <c r="D160" s="135" t="s">
        <v>1111</v>
      </c>
      <c r="E160" s="136"/>
      <c r="F160" s="50" t="s">
        <v>275</v>
      </c>
      <c r="G160" s="31">
        <f>'Stavební rozpočet'!G160</f>
        <v>2</v>
      </c>
      <c r="H160" s="31">
        <f>'Stavební rozpočet'!H160</f>
        <v>0</v>
      </c>
      <c r="I160" s="31">
        <f>G160*H160</f>
        <v>0</v>
      </c>
      <c r="J160" s="47" t="s">
        <v>501</v>
      </c>
      <c r="Y160" s="56">
        <f>IF(AP160="5",BI160,0)</f>
        <v>0</v>
      </c>
      <c r="AA160" s="56">
        <f>IF(AP160="1",BG160,0)</f>
        <v>0</v>
      </c>
      <c r="AB160" s="56">
        <f>IF(AP160="1",BH160,0)</f>
        <v>0</v>
      </c>
      <c r="AC160" s="56">
        <f>IF(AP160="7",BG160,0)</f>
        <v>0</v>
      </c>
      <c r="AD160" s="56">
        <f>IF(AP160="7",BH160,0)</f>
        <v>0</v>
      </c>
      <c r="AE160" s="56">
        <f>IF(AP160="2",BG160,0)</f>
        <v>0</v>
      </c>
      <c r="AF160" s="56">
        <f>IF(AP160="2",BH160,0)</f>
        <v>0</v>
      </c>
      <c r="AG160" s="56">
        <f>IF(AP160="0",BI160,0)</f>
        <v>0</v>
      </c>
      <c r="AH160" s="30" t="s">
        <v>847</v>
      </c>
      <c r="AI160" s="31">
        <f>IF(AM160=0,I160,0)</f>
        <v>0</v>
      </c>
      <c r="AJ160" s="31">
        <f>IF(AM160=15,I160,0)</f>
        <v>0</v>
      </c>
      <c r="AK160" s="31">
        <f>IF(AM160=21,I160,0)</f>
        <v>0</v>
      </c>
      <c r="AM160" s="56">
        <v>21</v>
      </c>
      <c r="AN160" s="56">
        <f>H160*1</f>
        <v>0</v>
      </c>
      <c r="AO160" s="56">
        <f>H160*(1-1)</f>
        <v>0</v>
      </c>
      <c r="AP160" s="58" t="s">
        <v>1109</v>
      </c>
      <c r="AU160" s="56">
        <f>AV160+AW160</f>
        <v>0</v>
      </c>
      <c r="AV160" s="56">
        <f>G160*AN160</f>
        <v>0</v>
      </c>
      <c r="AW160" s="56">
        <f>G160*AO160</f>
        <v>0</v>
      </c>
      <c r="AX160" s="41" t="s">
        <v>958</v>
      </c>
      <c r="AY160" s="41" t="s">
        <v>246</v>
      </c>
      <c r="AZ160" s="30" t="s">
        <v>1000</v>
      </c>
      <c r="BB160" s="56">
        <f>AV160+AW160</f>
        <v>0</v>
      </c>
      <c r="BC160" s="56">
        <f>H160/(100-BD160)*100</f>
        <v>0</v>
      </c>
      <c r="BD160" s="56">
        <v>0</v>
      </c>
      <c r="BE160" s="56" t="e">
        <f>#REF!</f>
        <v>#REF!</v>
      </c>
      <c r="BG160" s="31">
        <f>G160*AN160</f>
        <v>0</v>
      </c>
      <c r="BH160" s="31">
        <f>G160*AO160</f>
        <v>0</v>
      </c>
      <c r="BI160" s="31">
        <f>G160*H160</f>
        <v>0</v>
      </c>
      <c r="BJ160" s="31"/>
      <c r="BK160" s="56">
        <v>85</v>
      </c>
      <c r="BV160" s="56">
        <v>21</v>
      </c>
    </row>
    <row r="161" spans="1:74" ht="15" customHeight="1" x14ac:dyDescent="0.25">
      <c r="A161" s="53"/>
      <c r="D161" s="52" t="s">
        <v>766</v>
      </c>
      <c r="E161" s="37" t="s">
        <v>1246</v>
      </c>
      <c r="G161" s="21">
        <v>2</v>
      </c>
      <c r="J161" s="48"/>
    </row>
    <row r="162" spans="1:74" ht="13.5" customHeight="1" x14ac:dyDescent="0.25">
      <c r="A162" s="57" t="s">
        <v>700</v>
      </c>
      <c r="B162" s="50" t="s">
        <v>847</v>
      </c>
      <c r="C162" s="50" t="s">
        <v>441</v>
      </c>
      <c r="D162" s="135" t="s">
        <v>741</v>
      </c>
      <c r="E162" s="136"/>
      <c r="F162" s="50" t="s">
        <v>275</v>
      </c>
      <c r="G162" s="31">
        <f>'Stavební rozpočet'!G162</f>
        <v>1</v>
      </c>
      <c r="H162" s="31">
        <f>'Stavební rozpočet'!H162</f>
        <v>0</v>
      </c>
      <c r="I162" s="31">
        <f>G162*H162</f>
        <v>0</v>
      </c>
      <c r="J162" s="47" t="s">
        <v>501</v>
      </c>
      <c r="Y162" s="56">
        <f>IF(AP162="5",BI162,0)</f>
        <v>0</v>
      </c>
      <c r="AA162" s="56">
        <f>IF(AP162="1",BG162,0)</f>
        <v>0</v>
      </c>
      <c r="AB162" s="56">
        <f>IF(AP162="1",BH162,0)</f>
        <v>0</v>
      </c>
      <c r="AC162" s="56">
        <f>IF(AP162="7",BG162,0)</f>
        <v>0</v>
      </c>
      <c r="AD162" s="56">
        <f>IF(AP162="7",BH162,0)</f>
        <v>0</v>
      </c>
      <c r="AE162" s="56">
        <f>IF(AP162="2",BG162,0)</f>
        <v>0</v>
      </c>
      <c r="AF162" s="56">
        <f>IF(AP162="2",BH162,0)</f>
        <v>0</v>
      </c>
      <c r="AG162" s="56">
        <f>IF(AP162="0",BI162,0)</f>
        <v>0</v>
      </c>
      <c r="AH162" s="30" t="s">
        <v>847</v>
      </c>
      <c r="AI162" s="31">
        <f>IF(AM162=0,I162,0)</f>
        <v>0</v>
      </c>
      <c r="AJ162" s="31">
        <f>IF(AM162=15,I162,0)</f>
        <v>0</v>
      </c>
      <c r="AK162" s="31">
        <f>IF(AM162=21,I162,0)</f>
        <v>0</v>
      </c>
      <c r="AM162" s="56">
        <v>21</v>
      </c>
      <c r="AN162" s="56">
        <f>H162*1</f>
        <v>0</v>
      </c>
      <c r="AO162" s="56">
        <f>H162*(1-1)</f>
        <v>0</v>
      </c>
      <c r="AP162" s="58" t="s">
        <v>1109</v>
      </c>
      <c r="AU162" s="56">
        <f>AV162+AW162</f>
        <v>0</v>
      </c>
      <c r="AV162" s="56">
        <f>G162*AN162</f>
        <v>0</v>
      </c>
      <c r="AW162" s="56">
        <f>G162*AO162</f>
        <v>0</v>
      </c>
      <c r="AX162" s="41" t="s">
        <v>958</v>
      </c>
      <c r="AY162" s="41" t="s">
        <v>246</v>
      </c>
      <c r="AZ162" s="30" t="s">
        <v>1000</v>
      </c>
      <c r="BB162" s="56">
        <f>AV162+AW162</f>
        <v>0</v>
      </c>
      <c r="BC162" s="56">
        <f>H162/(100-BD162)*100</f>
        <v>0</v>
      </c>
      <c r="BD162" s="56">
        <v>0</v>
      </c>
      <c r="BE162" s="56" t="e">
        <f>#REF!</f>
        <v>#REF!</v>
      </c>
      <c r="BG162" s="31">
        <f>G162*AN162</f>
        <v>0</v>
      </c>
      <c r="BH162" s="31">
        <f>G162*AO162</f>
        <v>0</v>
      </c>
      <c r="BI162" s="31">
        <f>G162*H162</f>
        <v>0</v>
      </c>
      <c r="BJ162" s="31"/>
      <c r="BK162" s="56">
        <v>85</v>
      </c>
      <c r="BV162" s="56">
        <v>21</v>
      </c>
    </row>
    <row r="163" spans="1:74" ht="15" customHeight="1" x14ac:dyDescent="0.25">
      <c r="A163" s="53"/>
      <c r="D163" s="52" t="s">
        <v>1109</v>
      </c>
      <c r="E163" s="37" t="s">
        <v>1116</v>
      </c>
      <c r="G163" s="21">
        <v>1</v>
      </c>
      <c r="J163" s="48"/>
    </row>
    <row r="164" spans="1:74" ht="15" customHeight="1" x14ac:dyDescent="0.25">
      <c r="A164" s="27" t="s">
        <v>769</v>
      </c>
      <c r="B164" s="28" t="s">
        <v>847</v>
      </c>
      <c r="C164" s="28" t="s">
        <v>55</v>
      </c>
      <c r="D164" s="132" t="s">
        <v>90</v>
      </c>
      <c r="E164" s="133"/>
      <c r="F164" s="23" t="s">
        <v>1027</v>
      </c>
      <c r="G164" s="23" t="s">
        <v>1027</v>
      </c>
      <c r="H164" s="23" t="s">
        <v>1027</v>
      </c>
      <c r="I164" s="14">
        <f>SUM(I165:I225)</f>
        <v>0</v>
      </c>
      <c r="J164" s="44" t="s">
        <v>769</v>
      </c>
      <c r="AH164" s="30" t="s">
        <v>847</v>
      </c>
      <c r="AR164" s="14">
        <f>SUM(AI165:AI225)</f>
        <v>0</v>
      </c>
      <c r="AS164" s="14">
        <f>SUM(AJ165:AJ225)</f>
        <v>0</v>
      </c>
      <c r="AT164" s="14">
        <f>SUM(AK165:AK225)</f>
        <v>0</v>
      </c>
    </row>
    <row r="165" spans="1:74" ht="13.5" customHeight="1" x14ac:dyDescent="0.25">
      <c r="A165" s="10" t="s">
        <v>1058</v>
      </c>
      <c r="B165" s="9" t="s">
        <v>847</v>
      </c>
      <c r="C165" s="9" t="s">
        <v>943</v>
      </c>
      <c r="D165" s="76" t="s">
        <v>551</v>
      </c>
      <c r="E165" s="77"/>
      <c r="F165" s="9" t="s">
        <v>275</v>
      </c>
      <c r="G165" s="56">
        <f>'Stavební rozpočet'!G165</f>
        <v>18</v>
      </c>
      <c r="H165" s="56">
        <f>'Stavební rozpočet'!H165</f>
        <v>0</v>
      </c>
      <c r="I165" s="56">
        <f>G165*H165</f>
        <v>0</v>
      </c>
      <c r="J165" s="54" t="s">
        <v>501</v>
      </c>
      <c r="Y165" s="56">
        <f>IF(AP165="5",BI165,0)</f>
        <v>0</v>
      </c>
      <c r="AA165" s="56">
        <f>IF(AP165="1",BG165,0)</f>
        <v>0</v>
      </c>
      <c r="AB165" s="56">
        <f>IF(AP165="1",BH165,0)</f>
        <v>0</v>
      </c>
      <c r="AC165" s="56">
        <f>IF(AP165="7",BG165,0)</f>
        <v>0</v>
      </c>
      <c r="AD165" s="56">
        <f>IF(AP165="7",BH165,0)</f>
        <v>0</v>
      </c>
      <c r="AE165" s="56">
        <f>IF(AP165="2",BG165,0)</f>
        <v>0</v>
      </c>
      <c r="AF165" s="56">
        <f>IF(AP165="2",BH165,0)</f>
        <v>0</v>
      </c>
      <c r="AG165" s="56">
        <f>IF(AP165="0",BI165,0)</f>
        <v>0</v>
      </c>
      <c r="AH165" s="30" t="s">
        <v>847</v>
      </c>
      <c r="AI165" s="56">
        <f>IF(AM165=0,I165,0)</f>
        <v>0</v>
      </c>
      <c r="AJ165" s="56">
        <f>IF(AM165=15,I165,0)</f>
        <v>0</v>
      </c>
      <c r="AK165" s="56">
        <f>IF(AM165=21,I165,0)</f>
        <v>0</v>
      </c>
      <c r="AM165" s="56">
        <v>21</v>
      </c>
      <c r="AN165" s="56">
        <f>H165*0</f>
        <v>0</v>
      </c>
      <c r="AO165" s="56">
        <f>H165*(1-0)</f>
        <v>0</v>
      </c>
      <c r="AP165" s="41" t="s">
        <v>1109</v>
      </c>
      <c r="AU165" s="56">
        <f>AV165+AW165</f>
        <v>0</v>
      </c>
      <c r="AV165" s="56">
        <f>G165*AN165</f>
        <v>0</v>
      </c>
      <c r="AW165" s="56">
        <f>G165*AO165</f>
        <v>0</v>
      </c>
      <c r="AX165" s="41" t="s">
        <v>77</v>
      </c>
      <c r="AY165" s="41" t="s">
        <v>246</v>
      </c>
      <c r="AZ165" s="30" t="s">
        <v>1000</v>
      </c>
      <c r="BB165" s="56">
        <f>AV165+AW165</f>
        <v>0</v>
      </c>
      <c r="BC165" s="56">
        <f>H165/(100-BD165)*100</f>
        <v>0</v>
      </c>
      <c r="BD165" s="56">
        <v>0</v>
      </c>
      <c r="BE165" s="56" t="e">
        <f>#REF!</f>
        <v>#REF!</v>
      </c>
      <c r="BG165" s="56">
        <f>G165*AN165</f>
        <v>0</v>
      </c>
      <c r="BH165" s="56">
        <f>G165*AO165</f>
        <v>0</v>
      </c>
      <c r="BI165" s="56">
        <f>G165*H165</f>
        <v>0</v>
      </c>
      <c r="BJ165" s="56"/>
      <c r="BK165" s="56">
        <v>87</v>
      </c>
      <c r="BV165" s="56">
        <v>21</v>
      </c>
    </row>
    <row r="166" spans="1:74" ht="13.5" customHeight="1" x14ac:dyDescent="0.25">
      <c r="A166" s="57" t="s">
        <v>644</v>
      </c>
      <c r="B166" s="50" t="s">
        <v>847</v>
      </c>
      <c r="C166" s="50" t="s">
        <v>20</v>
      </c>
      <c r="D166" s="135" t="s">
        <v>1148</v>
      </c>
      <c r="E166" s="136"/>
      <c r="F166" s="50" t="s">
        <v>275</v>
      </c>
      <c r="G166" s="31">
        <f>'Stavební rozpočet'!G166</f>
        <v>17</v>
      </c>
      <c r="H166" s="31">
        <f>'Stavební rozpočet'!H166</f>
        <v>0</v>
      </c>
      <c r="I166" s="31">
        <f>G166*H166</f>
        <v>0</v>
      </c>
      <c r="J166" s="47" t="s">
        <v>422</v>
      </c>
      <c r="Y166" s="56">
        <f>IF(AP166="5",BI166,0)</f>
        <v>0</v>
      </c>
      <c r="AA166" s="56">
        <f>IF(AP166="1",BG166,0)</f>
        <v>0</v>
      </c>
      <c r="AB166" s="56">
        <f>IF(AP166="1",BH166,0)</f>
        <v>0</v>
      </c>
      <c r="AC166" s="56">
        <f>IF(AP166="7",BG166,0)</f>
        <v>0</v>
      </c>
      <c r="AD166" s="56">
        <f>IF(AP166="7",BH166,0)</f>
        <v>0</v>
      </c>
      <c r="AE166" s="56">
        <f>IF(AP166="2",BG166,0)</f>
        <v>0</v>
      </c>
      <c r="AF166" s="56">
        <f>IF(AP166="2",BH166,0)</f>
        <v>0</v>
      </c>
      <c r="AG166" s="56">
        <f>IF(AP166="0",BI166,0)</f>
        <v>0</v>
      </c>
      <c r="AH166" s="30" t="s">
        <v>847</v>
      </c>
      <c r="AI166" s="31">
        <f>IF(AM166=0,I166,0)</f>
        <v>0</v>
      </c>
      <c r="AJ166" s="31">
        <f>IF(AM166=15,I166,0)</f>
        <v>0</v>
      </c>
      <c r="AK166" s="31">
        <f>IF(AM166=21,I166,0)</f>
        <v>0</v>
      </c>
      <c r="AM166" s="56">
        <v>21</v>
      </c>
      <c r="AN166" s="56">
        <f>H166*1</f>
        <v>0</v>
      </c>
      <c r="AO166" s="56">
        <f>H166*(1-1)</f>
        <v>0</v>
      </c>
      <c r="AP166" s="58" t="s">
        <v>1109</v>
      </c>
      <c r="AU166" s="56">
        <f>AV166+AW166</f>
        <v>0</v>
      </c>
      <c r="AV166" s="56">
        <f>G166*AN166</f>
        <v>0</v>
      </c>
      <c r="AW166" s="56">
        <f>G166*AO166</f>
        <v>0</v>
      </c>
      <c r="AX166" s="41" t="s">
        <v>77</v>
      </c>
      <c r="AY166" s="41" t="s">
        <v>246</v>
      </c>
      <c r="AZ166" s="30" t="s">
        <v>1000</v>
      </c>
      <c r="BB166" s="56">
        <f>AV166+AW166</f>
        <v>0</v>
      </c>
      <c r="BC166" s="56">
        <f>H166/(100-BD166)*100</f>
        <v>0</v>
      </c>
      <c r="BD166" s="56">
        <v>0</v>
      </c>
      <c r="BE166" s="56" t="e">
        <f>#REF!</f>
        <v>#REF!</v>
      </c>
      <c r="BG166" s="31">
        <f>G166*AN166</f>
        <v>0</v>
      </c>
      <c r="BH166" s="31">
        <f>G166*AO166</f>
        <v>0</v>
      </c>
      <c r="BI166" s="31">
        <f>G166*H166</f>
        <v>0</v>
      </c>
      <c r="BJ166" s="31"/>
      <c r="BK166" s="56">
        <v>87</v>
      </c>
      <c r="BV166" s="56">
        <v>21</v>
      </c>
    </row>
    <row r="167" spans="1:74" ht="15" customHeight="1" x14ac:dyDescent="0.25">
      <c r="A167" s="53"/>
      <c r="D167" s="52" t="s">
        <v>774</v>
      </c>
      <c r="E167" s="37" t="s">
        <v>558</v>
      </c>
      <c r="G167" s="21">
        <v>17</v>
      </c>
      <c r="J167" s="48"/>
    </row>
    <row r="168" spans="1:74" ht="13.5" customHeight="1" x14ac:dyDescent="0.25">
      <c r="A168" s="57" t="s">
        <v>512</v>
      </c>
      <c r="B168" s="50" t="s">
        <v>847</v>
      </c>
      <c r="C168" s="50" t="s">
        <v>20</v>
      </c>
      <c r="D168" s="135" t="s">
        <v>21</v>
      </c>
      <c r="E168" s="136"/>
      <c r="F168" s="50" t="s">
        <v>275</v>
      </c>
      <c r="G168" s="31">
        <f>'Stavební rozpočet'!G168</f>
        <v>1</v>
      </c>
      <c r="H168" s="31">
        <f>'Stavební rozpočet'!H168</f>
        <v>0</v>
      </c>
      <c r="I168" s="31">
        <f>G168*H168</f>
        <v>0</v>
      </c>
      <c r="J168" s="47" t="s">
        <v>422</v>
      </c>
      <c r="Y168" s="56">
        <f>IF(AP168="5",BI168,0)</f>
        <v>0</v>
      </c>
      <c r="AA168" s="56">
        <f>IF(AP168="1",BG168,0)</f>
        <v>0</v>
      </c>
      <c r="AB168" s="56">
        <f>IF(AP168="1",BH168,0)</f>
        <v>0</v>
      </c>
      <c r="AC168" s="56">
        <f>IF(AP168="7",BG168,0)</f>
        <v>0</v>
      </c>
      <c r="AD168" s="56">
        <f>IF(AP168="7",BH168,0)</f>
        <v>0</v>
      </c>
      <c r="AE168" s="56">
        <f>IF(AP168="2",BG168,0)</f>
        <v>0</v>
      </c>
      <c r="AF168" s="56">
        <f>IF(AP168="2",BH168,0)</f>
        <v>0</v>
      </c>
      <c r="AG168" s="56">
        <f>IF(AP168="0",BI168,0)</f>
        <v>0</v>
      </c>
      <c r="AH168" s="30" t="s">
        <v>847</v>
      </c>
      <c r="AI168" s="31">
        <f>IF(AM168=0,I168,0)</f>
        <v>0</v>
      </c>
      <c r="AJ168" s="31">
        <f>IF(AM168=15,I168,0)</f>
        <v>0</v>
      </c>
      <c r="AK168" s="31">
        <f>IF(AM168=21,I168,0)</f>
        <v>0</v>
      </c>
      <c r="AM168" s="56">
        <v>21</v>
      </c>
      <c r="AN168" s="56">
        <f>H168*1</f>
        <v>0</v>
      </c>
      <c r="AO168" s="56">
        <f>H168*(1-1)</f>
        <v>0</v>
      </c>
      <c r="AP168" s="58" t="s">
        <v>1109</v>
      </c>
      <c r="AU168" s="56">
        <f>AV168+AW168</f>
        <v>0</v>
      </c>
      <c r="AV168" s="56">
        <f>G168*AN168</f>
        <v>0</v>
      </c>
      <c r="AW168" s="56">
        <f>G168*AO168</f>
        <v>0</v>
      </c>
      <c r="AX168" s="41" t="s">
        <v>77</v>
      </c>
      <c r="AY168" s="41" t="s">
        <v>246</v>
      </c>
      <c r="AZ168" s="30" t="s">
        <v>1000</v>
      </c>
      <c r="BB168" s="56">
        <f>AV168+AW168</f>
        <v>0</v>
      </c>
      <c r="BC168" s="56">
        <f>H168/(100-BD168)*100</f>
        <v>0</v>
      </c>
      <c r="BD168" s="56">
        <v>0</v>
      </c>
      <c r="BE168" s="56" t="e">
        <f>#REF!</f>
        <v>#REF!</v>
      </c>
      <c r="BG168" s="31">
        <f>G168*AN168</f>
        <v>0</v>
      </c>
      <c r="BH168" s="31">
        <f>G168*AO168</f>
        <v>0</v>
      </c>
      <c r="BI168" s="31">
        <f>G168*H168</f>
        <v>0</v>
      </c>
      <c r="BJ168" s="31"/>
      <c r="BK168" s="56">
        <v>87</v>
      </c>
      <c r="BV168" s="56">
        <v>21</v>
      </c>
    </row>
    <row r="169" spans="1:74" ht="15" customHeight="1" x14ac:dyDescent="0.25">
      <c r="A169" s="53"/>
      <c r="D169" s="52" t="s">
        <v>1109</v>
      </c>
      <c r="E169" s="37" t="s">
        <v>139</v>
      </c>
      <c r="G169" s="21">
        <v>1</v>
      </c>
      <c r="J169" s="48"/>
    </row>
    <row r="170" spans="1:74" ht="13.5" customHeight="1" x14ac:dyDescent="0.25">
      <c r="A170" s="10" t="s">
        <v>135</v>
      </c>
      <c r="B170" s="9" t="s">
        <v>847</v>
      </c>
      <c r="C170" s="9" t="s">
        <v>189</v>
      </c>
      <c r="D170" s="76" t="s">
        <v>1050</v>
      </c>
      <c r="E170" s="77"/>
      <c r="F170" s="9" t="s">
        <v>275</v>
      </c>
      <c r="G170" s="56">
        <f>'Stavební rozpočet'!G170</f>
        <v>38</v>
      </c>
      <c r="H170" s="56">
        <f>'Stavební rozpočet'!H170</f>
        <v>0</v>
      </c>
      <c r="I170" s="56">
        <f>G170*H170</f>
        <v>0</v>
      </c>
      <c r="J170" s="54" t="s">
        <v>501</v>
      </c>
      <c r="Y170" s="56">
        <f>IF(AP170="5",BI170,0)</f>
        <v>0</v>
      </c>
      <c r="AA170" s="56">
        <f>IF(AP170="1",BG170,0)</f>
        <v>0</v>
      </c>
      <c r="AB170" s="56">
        <f>IF(AP170="1",BH170,0)</f>
        <v>0</v>
      </c>
      <c r="AC170" s="56">
        <f>IF(AP170="7",BG170,0)</f>
        <v>0</v>
      </c>
      <c r="AD170" s="56">
        <f>IF(AP170="7",BH170,0)</f>
        <v>0</v>
      </c>
      <c r="AE170" s="56">
        <f>IF(AP170="2",BG170,0)</f>
        <v>0</v>
      </c>
      <c r="AF170" s="56">
        <f>IF(AP170="2",BH170,0)</f>
        <v>0</v>
      </c>
      <c r="AG170" s="56">
        <f>IF(AP170="0",BI170,0)</f>
        <v>0</v>
      </c>
      <c r="AH170" s="30" t="s">
        <v>847</v>
      </c>
      <c r="AI170" s="56">
        <f>IF(AM170=0,I170,0)</f>
        <v>0</v>
      </c>
      <c r="AJ170" s="56">
        <f>IF(AM170=15,I170,0)</f>
        <v>0</v>
      </c>
      <c r="AK170" s="56">
        <f>IF(AM170=21,I170,0)</f>
        <v>0</v>
      </c>
      <c r="AM170" s="56">
        <v>21</v>
      </c>
      <c r="AN170" s="56">
        <f>H170*0</f>
        <v>0</v>
      </c>
      <c r="AO170" s="56">
        <f>H170*(1-0)</f>
        <v>0</v>
      </c>
      <c r="AP170" s="41" t="s">
        <v>1109</v>
      </c>
      <c r="AU170" s="56">
        <f>AV170+AW170</f>
        <v>0</v>
      </c>
      <c r="AV170" s="56">
        <f>G170*AN170</f>
        <v>0</v>
      </c>
      <c r="AW170" s="56">
        <f>G170*AO170</f>
        <v>0</v>
      </c>
      <c r="AX170" s="41" t="s">
        <v>77</v>
      </c>
      <c r="AY170" s="41" t="s">
        <v>246</v>
      </c>
      <c r="AZ170" s="30" t="s">
        <v>1000</v>
      </c>
      <c r="BB170" s="56">
        <f>AV170+AW170</f>
        <v>0</v>
      </c>
      <c r="BC170" s="56">
        <f>H170/(100-BD170)*100</f>
        <v>0</v>
      </c>
      <c r="BD170" s="56">
        <v>0</v>
      </c>
      <c r="BE170" s="56" t="e">
        <f>#REF!</f>
        <v>#REF!</v>
      </c>
      <c r="BG170" s="56">
        <f>G170*AN170</f>
        <v>0</v>
      </c>
      <c r="BH170" s="56">
        <f>G170*AO170</f>
        <v>0</v>
      </c>
      <c r="BI170" s="56">
        <f>G170*H170</f>
        <v>0</v>
      </c>
      <c r="BJ170" s="56"/>
      <c r="BK170" s="56">
        <v>87</v>
      </c>
      <c r="BV170" s="56">
        <v>21</v>
      </c>
    </row>
    <row r="171" spans="1:74" ht="13.5" customHeight="1" x14ac:dyDescent="0.25">
      <c r="A171" s="57" t="s">
        <v>800</v>
      </c>
      <c r="B171" s="50" t="s">
        <v>847</v>
      </c>
      <c r="C171" s="50" t="s">
        <v>103</v>
      </c>
      <c r="D171" s="135" t="s">
        <v>57</v>
      </c>
      <c r="E171" s="136"/>
      <c r="F171" s="50" t="s">
        <v>275</v>
      </c>
      <c r="G171" s="31">
        <f>'Stavební rozpočet'!G171</f>
        <v>2</v>
      </c>
      <c r="H171" s="31">
        <f>'Stavební rozpočet'!H171</f>
        <v>0</v>
      </c>
      <c r="I171" s="31">
        <f>G171*H171</f>
        <v>0</v>
      </c>
      <c r="J171" s="47" t="s">
        <v>501</v>
      </c>
      <c r="Y171" s="56">
        <f>IF(AP171="5",BI171,0)</f>
        <v>0</v>
      </c>
      <c r="AA171" s="56">
        <f>IF(AP171="1",BG171,0)</f>
        <v>0</v>
      </c>
      <c r="AB171" s="56">
        <f>IF(AP171="1",BH171,0)</f>
        <v>0</v>
      </c>
      <c r="AC171" s="56">
        <f>IF(AP171="7",BG171,0)</f>
        <v>0</v>
      </c>
      <c r="AD171" s="56">
        <f>IF(AP171="7",BH171,0)</f>
        <v>0</v>
      </c>
      <c r="AE171" s="56">
        <f>IF(AP171="2",BG171,0)</f>
        <v>0</v>
      </c>
      <c r="AF171" s="56">
        <f>IF(AP171="2",BH171,0)</f>
        <v>0</v>
      </c>
      <c r="AG171" s="56">
        <f>IF(AP171="0",BI171,0)</f>
        <v>0</v>
      </c>
      <c r="AH171" s="30" t="s">
        <v>847</v>
      </c>
      <c r="AI171" s="31">
        <f>IF(AM171=0,I171,0)</f>
        <v>0</v>
      </c>
      <c r="AJ171" s="31">
        <f>IF(AM171=15,I171,0)</f>
        <v>0</v>
      </c>
      <c r="AK171" s="31">
        <f>IF(AM171=21,I171,0)</f>
        <v>0</v>
      </c>
      <c r="AM171" s="56">
        <v>21</v>
      </c>
      <c r="AN171" s="56">
        <f>H171*1</f>
        <v>0</v>
      </c>
      <c r="AO171" s="56">
        <f>H171*(1-1)</f>
        <v>0</v>
      </c>
      <c r="AP171" s="58" t="s">
        <v>1109</v>
      </c>
      <c r="AU171" s="56">
        <f>AV171+AW171</f>
        <v>0</v>
      </c>
      <c r="AV171" s="56">
        <f>G171*AN171</f>
        <v>0</v>
      </c>
      <c r="AW171" s="56">
        <f>G171*AO171</f>
        <v>0</v>
      </c>
      <c r="AX171" s="41" t="s">
        <v>77</v>
      </c>
      <c r="AY171" s="41" t="s">
        <v>246</v>
      </c>
      <c r="AZ171" s="30" t="s">
        <v>1000</v>
      </c>
      <c r="BB171" s="56">
        <f>AV171+AW171</f>
        <v>0</v>
      </c>
      <c r="BC171" s="56">
        <f>H171/(100-BD171)*100</f>
        <v>0</v>
      </c>
      <c r="BD171" s="56">
        <v>0</v>
      </c>
      <c r="BE171" s="56" t="e">
        <f>#REF!</f>
        <v>#REF!</v>
      </c>
      <c r="BG171" s="31">
        <f>G171*AN171</f>
        <v>0</v>
      </c>
      <c r="BH171" s="31">
        <f>G171*AO171</f>
        <v>0</v>
      </c>
      <c r="BI171" s="31">
        <f>G171*H171</f>
        <v>0</v>
      </c>
      <c r="BJ171" s="31"/>
      <c r="BK171" s="56">
        <v>87</v>
      </c>
      <c r="BV171" s="56">
        <v>21</v>
      </c>
    </row>
    <row r="172" spans="1:74" ht="15" customHeight="1" x14ac:dyDescent="0.25">
      <c r="A172" s="53"/>
      <c r="D172" s="52" t="s">
        <v>766</v>
      </c>
      <c r="E172" s="37" t="s">
        <v>286</v>
      </c>
      <c r="G172" s="21">
        <v>2</v>
      </c>
      <c r="J172" s="48"/>
    </row>
    <row r="173" spans="1:74" ht="13.5" customHeight="1" x14ac:dyDescent="0.25">
      <c r="A173" s="57" t="s">
        <v>1231</v>
      </c>
      <c r="B173" s="50" t="s">
        <v>847</v>
      </c>
      <c r="C173" s="50" t="s">
        <v>946</v>
      </c>
      <c r="D173" s="135" t="s">
        <v>648</v>
      </c>
      <c r="E173" s="136"/>
      <c r="F173" s="50" t="s">
        <v>275</v>
      </c>
      <c r="G173" s="31">
        <f>'Stavební rozpočet'!G173</f>
        <v>36</v>
      </c>
      <c r="H173" s="31">
        <f>'Stavební rozpočet'!H173</f>
        <v>0</v>
      </c>
      <c r="I173" s="31">
        <f>G173*H173</f>
        <v>0</v>
      </c>
      <c r="J173" s="47" t="s">
        <v>501</v>
      </c>
      <c r="Y173" s="56">
        <f>IF(AP173="5",BI173,0)</f>
        <v>0</v>
      </c>
      <c r="AA173" s="56">
        <f>IF(AP173="1",BG173,0)</f>
        <v>0</v>
      </c>
      <c r="AB173" s="56">
        <f>IF(AP173="1",BH173,0)</f>
        <v>0</v>
      </c>
      <c r="AC173" s="56">
        <f>IF(AP173="7",BG173,0)</f>
        <v>0</v>
      </c>
      <c r="AD173" s="56">
        <f>IF(AP173="7",BH173,0)</f>
        <v>0</v>
      </c>
      <c r="AE173" s="56">
        <f>IF(AP173="2",BG173,0)</f>
        <v>0</v>
      </c>
      <c r="AF173" s="56">
        <f>IF(AP173="2",BH173,0)</f>
        <v>0</v>
      </c>
      <c r="AG173" s="56">
        <f>IF(AP173="0",BI173,0)</f>
        <v>0</v>
      </c>
      <c r="AH173" s="30" t="s">
        <v>847</v>
      </c>
      <c r="AI173" s="31">
        <f>IF(AM173=0,I173,0)</f>
        <v>0</v>
      </c>
      <c r="AJ173" s="31">
        <f>IF(AM173=15,I173,0)</f>
        <v>0</v>
      </c>
      <c r="AK173" s="31">
        <f>IF(AM173=21,I173,0)</f>
        <v>0</v>
      </c>
      <c r="AM173" s="56">
        <v>21</v>
      </c>
      <c r="AN173" s="56">
        <f>H173*1</f>
        <v>0</v>
      </c>
      <c r="AO173" s="56">
        <f>H173*(1-1)</f>
        <v>0</v>
      </c>
      <c r="AP173" s="58" t="s">
        <v>1109</v>
      </c>
      <c r="AU173" s="56">
        <f>AV173+AW173</f>
        <v>0</v>
      </c>
      <c r="AV173" s="56">
        <f>G173*AN173</f>
        <v>0</v>
      </c>
      <c r="AW173" s="56">
        <f>G173*AO173</f>
        <v>0</v>
      </c>
      <c r="AX173" s="41" t="s">
        <v>77</v>
      </c>
      <c r="AY173" s="41" t="s">
        <v>246</v>
      </c>
      <c r="AZ173" s="30" t="s">
        <v>1000</v>
      </c>
      <c r="BB173" s="56">
        <f>AV173+AW173</f>
        <v>0</v>
      </c>
      <c r="BC173" s="56">
        <f>H173/(100-BD173)*100</f>
        <v>0</v>
      </c>
      <c r="BD173" s="56">
        <v>0</v>
      </c>
      <c r="BE173" s="56" t="e">
        <f>#REF!</f>
        <v>#REF!</v>
      </c>
      <c r="BG173" s="31">
        <f>G173*AN173</f>
        <v>0</v>
      </c>
      <c r="BH173" s="31">
        <f>G173*AO173</f>
        <v>0</v>
      </c>
      <c r="BI173" s="31">
        <f>G173*H173</f>
        <v>0</v>
      </c>
      <c r="BJ173" s="31"/>
      <c r="BK173" s="56">
        <v>87</v>
      </c>
      <c r="BV173" s="56">
        <v>21</v>
      </c>
    </row>
    <row r="174" spans="1:74" ht="15" customHeight="1" x14ac:dyDescent="0.25">
      <c r="A174" s="53"/>
      <c r="D174" s="52" t="s">
        <v>647</v>
      </c>
      <c r="E174" s="37" t="s">
        <v>431</v>
      </c>
      <c r="G174" s="21">
        <v>36</v>
      </c>
      <c r="J174" s="48"/>
    </row>
    <row r="175" spans="1:74" ht="13.5" customHeight="1" x14ac:dyDescent="0.25">
      <c r="A175" s="10" t="s">
        <v>250</v>
      </c>
      <c r="B175" s="9" t="s">
        <v>847</v>
      </c>
      <c r="C175" s="9" t="s">
        <v>1187</v>
      </c>
      <c r="D175" s="76" t="s">
        <v>479</v>
      </c>
      <c r="E175" s="77"/>
      <c r="F175" s="9" t="s">
        <v>909</v>
      </c>
      <c r="G175" s="56">
        <f>'Stavební rozpočet'!G175</f>
        <v>84</v>
      </c>
      <c r="H175" s="56">
        <f>'Stavební rozpočet'!H175</f>
        <v>0</v>
      </c>
      <c r="I175" s="56">
        <f>G175*H175</f>
        <v>0</v>
      </c>
      <c r="J175" s="54" t="s">
        <v>501</v>
      </c>
      <c r="Y175" s="56">
        <f>IF(AP175="5",BI175,0)</f>
        <v>0</v>
      </c>
      <c r="AA175" s="56">
        <f>IF(AP175="1",BG175,0)</f>
        <v>0</v>
      </c>
      <c r="AB175" s="56">
        <f>IF(AP175="1",BH175,0)</f>
        <v>0</v>
      </c>
      <c r="AC175" s="56">
        <f>IF(AP175="7",BG175,0)</f>
        <v>0</v>
      </c>
      <c r="AD175" s="56">
        <f>IF(AP175="7",BH175,0)</f>
        <v>0</v>
      </c>
      <c r="AE175" s="56">
        <f>IF(AP175="2",BG175,0)</f>
        <v>0</v>
      </c>
      <c r="AF175" s="56">
        <f>IF(AP175="2",BH175,0)</f>
        <v>0</v>
      </c>
      <c r="AG175" s="56">
        <f>IF(AP175="0",BI175,0)</f>
        <v>0</v>
      </c>
      <c r="AH175" s="30" t="s">
        <v>847</v>
      </c>
      <c r="AI175" s="56">
        <f>IF(AM175=0,I175,0)</f>
        <v>0</v>
      </c>
      <c r="AJ175" s="56">
        <f>IF(AM175=15,I175,0)</f>
        <v>0</v>
      </c>
      <c r="AK175" s="56">
        <f>IF(AM175=21,I175,0)</f>
        <v>0</v>
      </c>
      <c r="AM175" s="56">
        <v>21</v>
      </c>
      <c r="AN175" s="56">
        <f>H175*0</f>
        <v>0</v>
      </c>
      <c r="AO175" s="56">
        <f>H175*(1-0)</f>
        <v>0</v>
      </c>
      <c r="AP175" s="41" t="s">
        <v>1109</v>
      </c>
      <c r="AU175" s="56">
        <f>AV175+AW175</f>
        <v>0</v>
      </c>
      <c r="AV175" s="56">
        <f>G175*AN175</f>
        <v>0</v>
      </c>
      <c r="AW175" s="56">
        <f>G175*AO175</f>
        <v>0</v>
      </c>
      <c r="AX175" s="41" t="s">
        <v>77</v>
      </c>
      <c r="AY175" s="41" t="s">
        <v>246</v>
      </c>
      <c r="AZ175" s="30" t="s">
        <v>1000</v>
      </c>
      <c r="BB175" s="56">
        <f>AV175+AW175</f>
        <v>0</v>
      </c>
      <c r="BC175" s="56">
        <f>H175/(100-BD175)*100</f>
        <v>0</v>
      </c>
      <c r="BD175" s="56">
        <v>0</v>
      </c>
      <c r="BE175" s="56" t="e">
        <f>#REF!</f>
        <v>#REF!</v>
      </c>
      <c r="BG175" s="56">
        <f>G175*AN175</f>
        <v>0</v>
      </c>
      <c r="BH175" s="56">
        <f>G175*AO175</f>
        <v>0</v>
      </c>
      <c r="BI175" s="56">
        <f>G175*H175</f>
        <v>0</v>
      </c>
      <c r="BJ175" s="56"/>
      <c r="BK175" s="56">
        <v>87</v>
      </c>
      <c r="BV175" s="56">
        <v>21</v>
      </c>
    </row>
    <row r="176" spans="1:74" ht="13.5" customHeight="1" x14ac:dyDescent="0.25">
      <c r="A176" s="53"/>
      <c r="C176" s="66" t="s">
        <v>578</v>
      </c>
      <c r="D176" s="137" t="s">
        <v>779</v>
      </c>
      <c r="E176" s="138"/>
      <c r="F176" s="138"/>
      <c r="G176" s="138"/>
      <c r="H176" s="138"/>
      <c r="I176" s="138"/>
      <c r="J176" s="139"/>
    </row>
    <row r="177" spans="1:74" ht="15" customHeight="1" x14ac:dyDescent="0.25">
      <c r="A177" s="53"/>
      <c r="D177" s="52" t="s">
        <v>659</v>
      </c>
      <c r="E177" s="37" t="s">
        <v>203</v>
      </c>
      <c r="G177" s="21">
        <v>84</v>
      </c>
      <c r="J177" s="48"/>
    </row>
    <row r="178" spans="1:74" ht="13.5" customHeight="1" x14ac:dyDescent="0.25">
      <c r="A178" s="10" t="s">
        <v>556</v>
      </c>
      <c r="B178" s="9" t="s">
        <v>847</v>
      </c>
      <c r="C178" s="9" t="s">
        <v>1013</v>
      </c>
      <c r="D178" s="76" t="s">
        <v>795</v>
      </c>
      <c r="E178" s="77"/>
      <c r="F178" s="9" t="s">
        <v>909</v>
      </c>
      <c r="G178" s="56">
        <f>'Stavební rozpočet'!G178</f>
        <v>14</v>
      </c>
      <c r="H178" s="56">
        <f>'Stavební rozpočet'!H178</f>
        <v>0</v>
      </c>
      <c r="I178" s="56">
        <f>G178*H178</f>
        <v>0</v>
      </c>
      <c r="J178" s="54" t="s">
        <v>501</v>
      </c>
      <c r="Y178" s="56">
        <f>IF(AP178="5",BI178,0)</f>
        <v>0</v>
      </c>
      <c r="AA178" s="56">
        <f>IF(AP178="1",BG178,0)</f>
        <v>0</v>
      </c>
      <c r="AB178" s="56">
        <f>IF(AP178="1",BH178,0)</f>
        <v>0</v>
      </c>
      <c r="AC178" s="56">
        <f>IF(AP178="7",BG178,0)</f>
        <v>0</v>
      </c>
      <c r="AD178" s="56">
        <f>IF(AP178="7",BH178,0)</f>
        <v>0</v>
      </c>
      <c r="AE178" s="56">
        <f>IF(AP178="2",BG178,0)</f>
        <v>0</v>
      </c>
      <c r="AF178" s="56">
        <f>IF(AP178="2",BH178,0)</f>
        <v>0</v>
      </c>
      <c r="AG178" s="56">
        <f>IF(AP178="0",BI178,0)</f>
        <v>0</v>
      </c>
      <c r="AH178" s="30" t="s">
        <v>847</v>
      </c>
      <c r="AI178" s="56">
        <f>IF(AM178=0,I178,0)</f>
        <v>0</v>
      </c>
      <c r="AJ178" s="56">
        <f>IF(AM178=15,I178,0)</f>
        <v>0</v>
      </c>
      <c r="AK178" s="56">
        <f>IF(AM178=21,I178,0)</f>
        <v>0</v>
      </c>
      <c r="AM178" s="56">
        <v>21</v>
      </c>
      <c r="AN178" s="56">
        <f>H178*0</f>
        <v>0</v>
      </c>
      <c r="AO178" s="56">
        <f>H178*(1-0)</f>
        <v>0</v>
      </c>
      <c r="AP178" s="41" t="s">
        <v>1109</v>
      </c>
      <c r="AU178" s="56">
        <f>AV178+AW178</f>
        <v>0</v>
      </c>
      <c r="AV178" s="56">
        <f>G178*AN178</f>
        <v>0</v>
      </c>
      <c r="AW178" s="56">
        <f>G178*AO178</f>
        <v>0</v>
      </c>
      <c r="AX178" s="41" t="s">
        <v>77</v>
      </c>
      <c r="AY178" s="41" t="s">
        <v>246</v>
      </c>
      <c r="AZ178" s="30" t="s">
        <v>1000</v>
      </c>
      <c r="BB178" s="56">
        <f>AV178+AW178</f>
        <v>0</v>
      </c>
      <c r="BC178" s="56">
        <f>H178/(100-BD178)*100</f>
        <v>0</v>
      </c>
      <c r="BD178" s="56">
        <v>0</v>
      </c>
      <c r="BE178" s="56" t="e">
        <f>#REF!</f>
        <v>#REF!</v>
      </c>
      <c r="BG178" s="56">
        <f>G178*AN178</f>
        <v>0</v>
      </c>
      <c r="BH178" s="56">
        <f>G178*AO178</f>
        <v>0</v>
      </c>
      <c r="BI178" s="56">
        <f>G178*H178</f>
        <v>0</v>
      </c>
      <c r="BJ178" s="56"/>
      <c r="BK178" s="56">
        <v>87</v>
      </c>
      <c r="BV178" s="56">
        <v>21</v>
      </c>
    </row>
    <row r="179" spans="1:74" ht="13.5" customHeight="1" x14ac:dyDescent="0.25">
      <c r="A179" s="57" t="s">
        <v>1223</v>
      </c>
      <c r="B179" s="50" t="s">
        <v>847</v>
      </c>
      <c r="C179" s="50" t="s">
        <v>360</v>
      </c>
      <c r="D179" s="135" t="s">
        <v>1174</v>
      </c>
      <c r="E179" s="136"/>
      <c r="F179" s="50" t="s">
        <v>909</v>
      </c>
      <c r="G179" s="31">
        <f>'Stavební rozpočet'!G179</f>
        <v>14</v>
      </c>
      <c r="H179" s="31">
        <f>'Stavební rozpočet'!H179</f>
        <v>0</v>
      </c>
      <c r="I179" s="31">
        <f>G179*H179</f>
        <v>0</v>
      </c>
      <c r="J179" s="47" t="s">
        <v>769</v>
      </c>
      <c r="Y179" s="56">
        <f>IF(AP179="5",BI179,0)</f>
        <v>0</v>
      </c>
      <c r="AA179" s="56">
        <f>IF(AP179="1",BG179,0)</f>
        <v>0</v>
      </c>
      <c r="AB179" s="56">
        <f>IF(AP179="1",BH179,0)</f>
        <v>0</v>
      </c>
      <c r="AC179" s="56">
        <f>IF(AP179="7",BG179,0)</f>
        <v>0</v>
      </c>
      <c r="AD179" s="56">
        <f>IF(AP179="7",BH179,0)</f>
        <v>0</v>
      </c>
      <c r="AE179" s="56">
        <f>IF(AP179="2",BG179,0)</f>
        <v>0</v>
      </c>
      <c r="AF179" s="56">
        <f>IF(AP179="2",BH179,0)</f>
        <v>0</v>
      </c>
      <c r="AG179" s="56">
        <f>IF(AP179="0",BI179,0)</f>
        <v>0</v>
      </c>
      <c r="AH179" s="30" t="s">
        <v>847</v>
      </c>
      <c r="AI179" s="31">
        <f>IF(AM179=0,I179,0)</f>
        <v>0</v>
      </c>
      <c r="AJ179" s="31">
        <f>IF(AM179=15,I179,0)</f>
        <v>0</v>
      </c>
      <c r="AK179" s="31">
        <f>IF(AM179=21,I179,0)</f>
        <v>0</v>
      </c>
      <c r="AM179" s="56">
        <v>21</v>
      </c>
      <c r="AN179" s="56">
        <f>H179*1</f>
        <v>0</v>
      </c>
      <c r="AO179" s="56">
        <f>H179*(1-1)</f>
        <v>0</v>
      </c>
      <c r="AP179" s="58" t="s">
        <v>1109</v>
      </c>
      <c r="AU179" s="56">
        <f>AV179+AW179</f>
        <v>0</v>
      </c>
      <c r="AV179" s="56">
        <f>G179*AN179</f>
        <v>0</v>
      </c>
      <c r="AW179" s="56">
        <f>G179*AO179</f>
        <v>0</v>
      </c>
      <c r="AX179" s="41" t="s">
        <v>77</v>
      </c>
      <c r="AY179" s="41" t="s">
        <v>246</v>
      </c>
      <c r="AZ179" s="30" t="s">
        <v>1000</v>
      </c>
      <c r="BB179" s="56">
        <f>AV179+AW179</f>
        <v>0</v>
      </c>
      <c r="BC179" s="56">
        <f>H179/(100-BD179)*100</f>
        <v>0</v>
      </c>
      <c r="BD179" s="56">
        <v>0</v>
      </c>
      <c r="BE179" s="56" t="e">
        <f>#REF!</f>
        <v>#REF!</v>
      </c>
      <c r="BG179" s="31">
        <f>G179*AN179</f>
        <v>0</v>
      </c>
      <c r="BH179" s="31">
        <f>G179*AO179</f>
        <v>0</v>
      </c>
      <c r="BI179" s="31">
        <f>G179*H179</f>
        <v>0</v>
      </c>
      <c r="BJ179" s="31"/>
      <c r="BK179" s="56">
        <v>87</v>
      </c>
      <c r="BV179" s="56">
        <v>21</v>
      </c>
    </row>
    <row r="180" spans="1:74" ht="15" customHeight="1" x14ac:dyDescent="0.25">
      <c r="A180" s="53"/>
      <c r="D180" s="52" t="s">
        <v>654</v>
      </c>
      <c r="E180" s="37" t="s">
        <v>906</v>
      </c>
      <c r="G180" s="21">
        <v>14.000000000000002</v>
      </c>
      <c r="J180" s="48"/>
    </row>
    <row r="181" spans="1:74" ht="13.5" customHeight="1" x14ac:dyDescent="0.25">
      <c r="A181" s="10" t="s">
        <v>1151</v>
      </c>
      <c r="B181" s="9" t="s">
        <v>847</v>
      </c>
      <c r="C181" s="9" t="s">
        <v>242</v>
      </c>
      <c r="D181" s="76" t="s">
        <v>582</v>
      </c>
      <c r="E181" s="77"/>
      <c r="F181" s="9" t="s">
        <v>909</v>
      </c>
      <c r="G181" s="56">
        <f>'Stavební rozpočet'!G181</f>
        <v>6</v>
      </c>
      <c r="H181" s="56">
        <f>'Stavební rozpočet'!H181</f>
        <v>0</v>
      </c>
      <c r="I181" s="56">
        <f>G181*H181</f>
        <v>0</v>
      </c>
      <c r="J181" s="54" t="s">
        <v>501</v>
      </c>
      <c r="Y181" s="56">
        <f>IF(AP181="5",BI181,0)</f>
        <v>0</v>
      </c>
      <c r="AA181" s="56">
        <f>IF(AP181="1",BG181,0)</f>
        <v>0</v>
      </c>
      <c r="AB181" s="56">
        <f>IF(AP181="1",BH181,0)</f>
        <v>0</v>
      </c>
      <c r="AC181" s="56">
        <f>IF(AP181="7",BG181,0)</f>
        <v>0</v>
      </c>
      <c r="AD181" s="56">
        <f>IF(AP181="7",BH181,0)</f>
        <v>0</v>
      </c>
      <c r="AE181" s="56">
        <f>IF(AP181="2",BG181,0)</f>
        <v>0</v>
      </c>
      <c r="AF181" s="56">
        <f>IF(AP181="2",BH181,0)</f>
        <v>0</v>
      </c>
      <c r="AG181" s="56">
        <f>IF(AP181="0",BI181,0)</f>
        <v>0</v>
      </c>
      <c r="AH181" s="30" t="s">
        <v>847</v>
      </c>
      <c r="AI181" s="56">
        <f>IF(AM181=0,I181,0)</f>
        <v>0</v>
      </c>
      <c r="AJ181" s="56">
        <f>IF(AM181=15,I181,0)</f>
        <v>0</v>
      </c>
      <c r="AK181" s="56">
        <f>IF(AM181=21,I181,0)</f>
        <v>0</v>
      </c>
      <c r="AM181" s="56">
        <v>21</v>
      </c>
      <c r="AN181" s="56">
        <f>H181*0</f>
        <v>0</v>
      </c>
      <c r="AO181" s="56">
        <f>H181*(1-0)</f>
        <v>0</v>
      </c>
      <c r="AP181" s="41" t="s">
        <v>1109</v>
      </c>
      <c r="AU181" s="56">
        <f>AV181+AW181</f>
        <v>0</v>
      </c>
      <c r="AV181" s="56">
        <f>G181*AN181</f>
        <v>0</v>
      </c>
      <c r="AW181" s="56">
        <f>G181*AO181</f>
        <v>0</v>
      </c>
      <c r="AX181" s="41" t="s">
        <v>77</v>
      </c>
      <c r="AY181" s="41" t="s">
        <v>246</v>
      </c>
      <c r="AZ181" s="30" t="s">
        <v>1000</v>
      </c>
      <c r="BB181" s="56">
        <f>AV181+AW181</f>
        <v>0</v>
      </c>
      <c r="BC181" s="56">
        <f>H181/(100-BD181)*100</f>
        <v>0</v>
      </c>
      <c r="BD181" s="56">
        <v>0</v>
      </c>
      <c r="BE181" s="56" t="e">
        <f>#REF!</f>
        <v>#REF!</v>
      </c>
      <c r="BG181" s="56">
        <f>G181*AN181</f>
        <v>0</v>
      </c>
      <c r="BH181" s="56">
        <f>G181*AO181</f>
        <v>0</v>
      </c>
      <c r="BI181" s="56">
        <f>G181*H181</f>
        <v>0</v>
      </c>
      <c r="BJ181" s="56"/>
      <c r="BK181" s="56">
        <v>87</v>
      </c>
      <c r="BV181" s="56">
        <v>21</v>
      </c>
    </row>
    <row r="182" spans="1:74" ht="13.5" customHeight="1" x14ac:dyDescent="0.25">
      <c r="A182" s="57" t="s">
        <v>18</v>
      </c>
      <c r="B182" s="50" t="s">
        <v>847</v>
      </c>
      <c r="C182" s="50" t="s">
        <v>237</v>
      </c>
      <c r="D182" s="135" t="s">
        <v>953</v>
      </c>
      <c r="E182" s="136"/>
      <c r="F182" s="50" t="s">
        <v>909</v>
      </c>
      <c r="G182" s="31">
        <f>'Stavební rozpočet'!G182</f>
        <v>6</v>
      </c>
      <c r="H182" s="31">
        <f>'Stavební rozpočet'!H182</f>
        <v>0</v>
      </c>
      <c r="I182" s="31">
        <f>G182*H182</f>
        <v>0</v>
      </c>
      <c r="J182" s="47" t="s">
        <v>501</v>
      </c>
      <c r="Y182" s="56">
        <f>IF(AP182="5",BI182,0)</f>
        <v>0</v>
      </c>
      <c r="AA182" s="56">
        <f>IF(AP182="1",BG182,0)</f>
        <v>0</v>
      </c>
      <c r="AB182" s="56">
        <f>IF(AP182="1",BH182,0)</f>
        <v>0</v>
      </c>
      <c r="AC182" s="56">
        <f>IF(AP182="7",BG182,0)</f>
        <v>0</v>
      </c>
      <c r="AD182" s="56">
        <f>IF(AP182="7",BH182,0)</f>
        <v>0</v>
      </c>
      <c r="AE182" s="56">
        <f>IF(AP182="2",BG182,0)</f>
        <v>0</v>
      </c>
      <c r="AF182" s="56">
        <f>IF(AP182="2",BH182,0)</f>
        <v>0</v>
      </c>
      <c r="AG182" s="56">
        <f>IF(AP182="0",BI182,0)</f>
        <v>0</v>
      </c>
      <c r="AH182" s="30" t="s">
        <v>847</v>
      </c>
      <c r="AI182" s="31">
        <f>IF(AM182=0,I182,0)</f>
        <v>0</v>
      </c>
      <c r="AJ182" s="31">
        <f>IF(AM182=15,I182,0)</f>
        <v>0</v>
      </c>
      <c r="AK182" s="31">
        <f>IF(AM182=21,I182,0)</f>
        <v>0</v>
      </c>
      <c r="AM182" s="56">
        <v>21</v>
      </c>
      <c r="AN182" s="56">
        <f>H182*1</f>
        <v>0</v>
      </c>
      <c r="AO182" s="56">
        <f>H182*(1-1)</f>
        <v>0</v>
      </c>
      <c r="AP182" s="58" t="s">
        <v>1109</v>
      </c>
      <c r="AU182" s="56">
        <f>AV182+AW182</f>
        <v>0</v>
      </c>
      <c r="AV182" s="56">
        <f>G182*AN182</f>
        <v>0</v>
      </c>
      <c r="AW182" s="56">
        <f>G182*AO182</f>
        <v>0</v>
      </c>
      <c r="AX182" s="41" t="s">
        <v>77</v>
      </c>
      <c r="AY182" s="41" t="s">
        <v>246</v>
      </c>
      <c r="AZ182" s="30" t="s">
        <v>1000</v>
      </c>
      <c r="BB182" s="56">
        <f>AV182+AW182</f>
        <v>0</v>
      </c>
      <c r="BC182" s="56">
        <f>H182/(100-BD182)*100</f>
        <v>0</v>
      </c>
      <c r="BD182" s="56">
        <v>0</v>
      </c>
      <c r="BE182" s="56" t="e">
        <f>#REF!</f>
        <v>#REF!</v>
      </c>
      <c r="BG182" s="31">
        <f>G182*AN182</f>
        <v>0</v>
      </c>
      <c r="BH182" s="31">
        <f>G182*AO182</f>
        <v>0</v>
      </c>
      <c r="BI182" s="31">
        <f>G182*H182</f>
        <v>0</v>
      </c>
      <c r="BJ182" s="31"/>
      <c r="BK182" s="56">
        <v>87</v>
      </c>
      <c r="BV182" s="56">
        <v>21</v>
      </c>
    </row>
    <row r="183" spans="1:74" ht="15" customHeight="1" x14ac:dyDescent="0.25">
      <c r="A183" s="53"/>
      <c r="D183" s="52" t="s">
        <v>177</v>
      </c>
      <c r="E183" s="37" t="s">
        <v>1022</v>
      </c>
      <c r="G183" s="21">
        <v>6.0000000000000009</v>
      </c>
      <c r="J183" s="48"/>
    </row>
    <row r="184" spans="1:74" ht="13.5" customHeight="1" x14ac:dyDescent="0.25">
      <c r="A184" s="10" t="s">
        <v>181</v>
      </c>
      <c r="B184" s="9" t="s">
        <v>847</v>
      </c>
      <c r="C184" s="9" t="s">
        <v>731</v>
      </c>
      <c r="D184" s="76" t="s">
        <v>701</v>
      </c>
      <c r="E184" s="77"/>
      <c r="F184" s="9" t="s">
        <v>909</v>
      </c>
      <c r="G184" s="56">
        <f>'Stavební rozpočet'!G184</f>
        <v>2</v>
      </c>
      <c r="H184" s="56">
        <f>'Stavební rozpočet'!H184</f>
        <v>0</v>
      </c>
      <c r="I184" s="56">
        <f>G184*H184</f>
        <v>0</v>
      </c>
      <c r="J184" s="54" t="s">
        <v>501</v>
      </c>
      <c r="Y184" s="56">
        <f>IF(AP184="5",BI184,0)</f>
        <v>0</v>
      </c>
      <c r="AA184" s="56">
        <f>IF(AP184="1",BG184,0)</f>
        <v>0</v>
      </c>
      <c r="AB184" s="56">
        <f>IF(AP184="1",BH184,0)</f>
        <v>0</v>
      </c>
      <c r="AC184" s="56">
        <f>IF(AP184="7",BG184,0)</f>
        <v>0</v>
      </c>
      <c r="AD184" s="56">
        <f>IF(AP184="7",BH184,0)</f>
        <v>0</v>
      </c>
      <c r="AE184" s="56">
        <f>IF(AP184="2",BG184,0)</f>
        <v>0</v>
      </c>
      <c r="AF184" s="56">
        <f>IF(AP184="2",BH184,0)</f>
        <v>0</v>
      </c>
      <c r="AG184" s="56">
        <f>IF(AP184="0",BI184,0)</f>
        <v>0</v>
      </c>
      <c r="AH184" s="30" t="s">
        <v>847</v>
      </c>
      <c r="AI184" s="56">
        <f>IF(AM184=0,I184,0)</f>
        <v>0</v>
      </c>
      <c r="AJ184" s="56">
        <f>IF(AM184=15,I184,0)</f>
        <v>0</v>
      </c>
      <c r="AK184" s="56">
        <f>IF(AM184=21,I184,0)</f>
        <v>0</v>
      </c>
      <c r="AM184" s="56">
        <v>21</v>
      </c>
      <c r="AN184" s="56">
        <f>H184*0</f>
        <v>0</v>
      </c>
      <c r="AO184" s="56">
        <f>H184*(1-0)</f>
        <v>0</v>
      </c>
      <c r="AP184" s="41" t="s">
        <v>1109</v>
      </c>
      <c r="AU184" s="56">
        <f>AV184+AW184</f>
        <v>0</v>
      </c>
      <c r="AV184" s="56">
        <f>G184*AN184</f>
        <v>0</v>
      </c>
      <c r="AW184" s="56">
        <f>G184*AO184</f>
        <v>0</v>
      </c>
      <c r="AX184" s="41" t="s">
        <v>77</v>
      </c>
      <c r="AY184" s="41" t="s">
        <v>246</v>
      </c>
      <c r="AZ184" s="30" t="s">
        <v>1000</v>
      </c>
      <c r="BB184" s="56">
        <f>AV184+AW184</f>
        <v>0</v>
      </c>
      <c r="BC184" s="56">
        <f>H184/(100-BD184)*100</f>
        <v>0</v>
      </c>
      <c r="BD184" s="56">
        <v>0</v>
      </c>
      <c r="BE184" s="56" t="e">
        <f>#REF!</f>
        <v>#REF!</v>
      </c>
      <c r="BG184" s="56">
        <f>G184*AN184</f>
        <v>0</v>
      </c>
      <c r="BH184" s="56">
        <f>G184*AO184</f>
        <v>0</v>
      </c>
      <c r="BI184" s="56">
        <f>G184*H184</f>
        <v>0</v>
      </c>
      <c r="BJ184" s="56"/>
      <c r="BK184" s="56">
        <v>87</v>
      </c>
      <c r="BV184" s="56">
        <v>21</v>
      </c>
    </row>
    <row r="185" spans="1:74" ht="13.5" customHeight="1" x14ac:dyDescent="0.25">
      <c r="A185" s="57" t="s">
        <v>227</v>
      </c>
      <c r="B185" s="50" t="s">
        <v>847</v>
      </c>
      <c r="C185" s="50" t="s">
        <v>1166</v>
      </c>
      <c r="D185" s="135" t="s">
        <v>184</v>
      </c>
      <c r="E185" s="136"/>
      <c r="F185" s="50" t="s">
        <v>909</v>
      </c>
      <c r="G185" s="31">
        <f>'Stavební rozpočet'!G185</f>
        <v>2</v>
      </c>
      <c r="H185" s="31">
        <f>'Stavební rozpočet'!H185</f>
        <v>0</v>
      </c>
      <c r="I185" s="31">
        <f>G185*H185</f>
        <v>0</v>
      </c>
      <c r="J185" s="47" t="s">
        <v>501</v>
      </c>
      <c r="Y185" s="56">
        <f>IF(AP185="5",BI185,0)</f>
        <v>0</v>
      </c>
      <c r="AA185" s="56">
        <f>IF(AP185="1",BG185,0)</f>
        <v>0</v>
      </c>
      <c r="AB185" s="56">
        <f>IF(AP185="1",BH185,0)</f>
        <v>0</v>
      </c>
      <c r="AC185" s="56">
        <f>IF(AP185="7",BG185,0)</f>
        <v>0</v>
      </c>
      <c r="AD185" s="56">
        <f>IF(AP185="7",BH185,0)</f>
        <v>0</v>
      </c>
      <c r="AE185" s="56">
        <f>IF(AP185="2",BG185,0)</f>
        <v>0</v>
      </c>
      <c r="AF185" s="56">
        <f>IF(AP185="2",BH185,0)</f>
        <v>0</v>
      </c>
      <c r="AG185" s="56">
        <f>IF(AP185="0",BI185,0)</f>
        <v>0</v>
      </c>
      <c r="AH185" s="30" t="s">
        <v>847</v>
      </c>
      <c r="AI185" s="31">
        <f>IF(AM185=0,I185,0)</f>
        <v>0</v>
      </c>
      <c r="AJ185" s="31">
        <f>IF(AM185=15,I185,0)</f>
        <v>0</v>
      </c>
      <c r="AK185" s="31">
        <f>IF(AM185=21,I185,0)</f>
        <v>0</v>
      </c>
      <c r="AM185" s="56">
        <v>21</v>
      </c>
      <c r="AN185" s="56">
        <f>H185*1</f>
        <v>0</v>
      </c>
      <c r="AO185" s="56">
        <f>H185*(1-1)</f>
        <v>0</v>
      </c>
      <c r="AP185" s="58" t="s">
        <v>1109</v>
      </c>
      <c r="AU185" s="56">
        <f>AV185+AW185</f>
        <v>0</v>
      </c>
      <c r="AV185" s="56">
        <f>G185*AN185</f>
        <v>0</v>
      </c>
      <c r="AW185" s="56">
        <f>G185*AO185</f>
        <v>0</v>
      </c>
      <c r="AX185" s="41" t="s">
        <v>77</v>
      </c>
      <c r="AY185" s="41" t="s">
        <v>246</v>
      </c>
      <c r="AZ185" s="30" t="s">
        <v>1000</v>
      </c>
      <c r="BB185" s="56">
        <f>AV185+AW185</f>
        <v>0</v>
      </c>
      <c r="BC185" s="56">
        <f>H185/(100-BD185)*100</f>
        <v>0</v>
      </c>
      <c r="BD185" s="56">
        <v>0</v>
      </c>
      <c r="BE185" s="56" t="e">
        <f>#REF!</f>
        <v>#REF!</v>
      </c>
      <c r="BG185" s="31">
        <f>G185*AN185</f>
        <v>0</v>
      </c>
      <c r="BH185" s="31">
        <f>G185*AO185</f>
        <v>0</v>
      </c>
      <c r="BI185" s="31">
        <f>G185*H185</f>
        <v>0</v>
      </c>
      <c r="BJ185" s="31"/>
      <c r="BK185" s="56">
        <v>87</v>
      </c>
      <c r="BV185" s="56">
        <v>21</v>
      </c>
    </row>
    <row r="186" spans="1:74" ht="15" customHeight="1" x14ac:dyDescent="0.25">
      <c r="A186" s="53"/>
      <c r="D186" s="52" t="s">
        <v>766</v>
      </c>
      <c r="E186" s="37" t="s">
        <v>751</v>
      </c>
      <c r="G186" s="21">
        <v>2</v>
      </c>
      <c r="J186" s="48"/>
    </row>
    <row r="187" spans="1:74" ht="13.5" customHeight="1" x14ac:dyDescent="0.25">
      <c r="A187" s="10" t="s">
        <v>871</v>
      </c>
      <c r="B187" s="9" t="s">
        <v>847</v>
      </c>
      <c r="C187" s="9" t="s">
        <v>328</v>
      </c>
      <c r="D187" s="76" t="s">
        <v>73</v>
      </c>
      <c r="E187" s="77"/>
      <c r="F187" s="9" t="s">
        <v>909</v>
      </c>
      <c r="G187" s="56">
        <f>'Stavební rozpočet'!G187</f>
        <v>1</v>
      </c>
      <c r="H187" s="56">
        <f>'Stavební rozpočet'!H187</f>
        <v>0</v>
      </c>
      <c r="I187" s="56">
        <f>G187*H187</f>
        <v>0</v>
      </c>
      <c r="J187" s="54" t="s">
        <v>501</v>
      </c>
      <c r="Y187" s="56">
        <f>IF(AP187="5",BI187,0)</f>
        <v>0</v>
      </c>
      <c r="AA187" s="56">
        <f>IF(AP187="1",BG187,0)</f>
        <v>0</v>
      </c>
      <c r="AB187" s="56">
        <f>IF(AP187="1",BH187,0)</f>
        <v>0</v>
      </c>
      <c r="AC187" s="56">
        <f>IF(AP187="7",BG187,0)</f>
        <v>0</v>
      </c>
      <c r="AD187" s="56">
        <f>IF(AP187="7",BH187,0)</f>
        <v>0</v>
      </c>
      <c r="AE187" s="56">
        <f>IF(AP187="2",BG187,0)</f>
        <v>0</v>
      </c>
      <c r="AF187" s="56">
        <f>IF(AP187="2",BH187,0)</f>
        <v>0</v>
      </c>
      <c r="AG187" s="56">
        <f>IF(AP187="0",BI187,0)</f>
        <v>0</v>
      </c>
      <c r="AH187" s="30" t="s">
        <v>847</v>
      </c>
      <c r="AI187" s="56">
        <f>IF(AM187=0,I187,0)</f>
        <v>0</v>
      </c>
      <c r="AJ187" s="56">
        <f>IF(AM187=15,I187,0)</f>
        <v>0</v>
      </c>
      <c r="AK187" s="56">
        <f>IF(AM187=21,I187,0)</f>
        <v>0</v>
      </c>
      <c r="AM187" s="56">
        <v>21</v>
      </c>
      <c r="AN187" s="56">
        <f>H187*0</f>
        <v>0</v>
      </c>
      <c r="AO187" s="56">
        <f>H187*(1-0)</f>
        <v>0</v>
      </c>
      <c r="AP187" s="41" t="s">
        <v>1109</v>
      </c>
      <c r="AU187" s="56">
        <f>AV187+AW187</f>
        <v>0</v>
      </c>
      <c r="AV187" s="56">
        <f>G187*AN187</f>
        <v>0</v>
      </c>
      <c r="AW187" s="56">
        <f>G187*AO187</f>
        <v>0</v>
      </c>
      <c r="AX187" s="41" t="s">
        <v>77</v>
      </c>
      <c r="AY187" s="41" t="s">
        <v>246</v>
      </c>
      <c r="AZ187" s="30" t="s">
        <v>1000</v>
      </c>
      <c r="BB187" s="56">
        <f>AV187+AW187</f>
        <v>0</v>
      </c>
      <c r="BC187" s="56">
        <f>H187/(100-BD187)*100</f>
        <v>0</v>
      </c>
      <c r="BD187" s="56">
        <v>0</v>
      </c>
      <c r="BE187" s="56" t="e">
        <f>#REF!</f>
        <v>#REF!</v>
      </c>
      <c r="BG187" s="56">
        <f>G187*AN187</f>
        <v>0</v>
      </c>
      <c r="BH187" s="56">
        <f>G187*AO187</f>
        <v>0</v>
      </c>
      <c r="BI187" s="56">
        <f>G187*H187</f>
        <v>0</v>
      </c>
      <c r="BJ187" s="56"/>
      <c r="BK187" s="56">
        <v>87</v>
      </c>
      <c r="BV187" s="56">
        <v>21</v>
      </c>
    </row>
    <row r="188" spans="1:74" ht="13.5" customHeight="1" x14ac:dyDescent="0.25">
      <c r="A188" s="57" t="s">
        <v>106</v>
      </c>
      <c r="B188" s="50" t="s">
        <v>847</v>
      </c>
      <c r="C188" s="50" t="s">
        <v>875</v>
      </c>
      <c r="D188" s="135" t="s">
        <v>91</v>
      </c>
      <c r="E188" s="136"/>
      <c r="F188" s="50" t="s">
        <v>909</v>
      </c>
      <c r="G188" s="31">
        <f>'Stavební rozpočet'!G188</f>
        <v>1</v>
      </c>
      <c r="H188" s="31">
        <f>'Stavební rozpočet'!H188</f>
        <v>0</v>
      </c>
      <c r="I188" s="31">
        <f>G188*H188</f>
        <v>0</v>
      </c>
      <c r="J188" s="47" t="s">
        <v>501</v>
      </c>
      <c r="Y188" s="56">
        <f>IF(AP188="5",BI188,0)</f>
        <v>0</v>
      </c>
      <c r="AA188" s="56">
        <f>IF(AP188="1",BG188,0)</f>
        <v>0</v>
      </c>
      <c r="AB188" s="56">
        <f>IF(AP188="1",BH188,0)</f>
        <v>0</v>
      </c>
      <c r="AC188" s="56">
        <f>IF(AP188="7",BG188,0)</f>
        <v>0</v>
      </c>
      <c r="AD188" s="56">
        <f>IF(AP188="7",BH188,0)</f>
        <v>0</v>
      </c>
      <c r="AE188" s="56">
        <f>IF(AP188="2",BG188,0)</f>
        <v>0</v>
      </c>
      <c r="AF188" s="56">
        <f>IF(AP188="2",BH188,0)</f>
        <v>0</v>
      </c>
      <c r="AG188" s="56">
        <f>IF(AP188="0",BI188,0)</f>
        <v>0</v>
      </c>
      <c r="AH188" s="30" t="s">
        <v>847</v>
      </c>
      <c r="AI188" s="31">
        <f>IF(AM188=0,I188,0)</f>
        <v>0</v>
      </c>
      <c r="AJ188" s="31">
        <f>IF(AM188=15,I188,0)</f>
        <v>0</v>
      </c>
      <c r="AK188" s="31">
        <f>IF(AM188=21,I188,0)</f>
        <v>0</v>
      </c>
      <c r="AM188" s="56">
        <v>21</v>
      </c>
      <c r="AN188" s="56">
        <f>H188*1</f>
        <v>0</v>
      </c>
      <c r="AO188" s="56">
        <f>H188*(1-1)</f>
        <v>0</v>
      </c>
      <c r="AP188" s="58" t="s">
        <v>1109</v>
      </c>
      <c r="AU188" s="56">
        <f>AV188+AW188</f>
        <v>0</v>
      </c>
      <c r="AV188" s="56">
        <f>G188*AN188</f>
        <v>0</v>
      </c>
      <c r="AW188" s="56">
        <f>G188*AO188</f>
        <v>0</v>
      </c>
      <c r="AX188" s="41" t="s">
        <v>77</v>
      </c>
      <c r="AY188" s="41" t="s">
        <v>246</v>
      </c>
      <c r="AZ188" s="30" t="s">
        <v>1000</v>
      </c>
      <c r="BB188" s="56">
        <f>AV188+AW188</f>
        <v>0</v>
      </c>
      <c r="BC188" s="56">
        <f>H188/(100-BD188)*100</f>
        <v>0</v>
      </c>
      <c r="BD188" s="56">
        <v>0</v>
      </c>
      <c r="BE188" s="56" t="e">
        <f>#REF!</f>
        <v>#REF!</v>
      </c>
      <c r="BG188" s="31">
        <f>G188*AN188</f>
        <v>0</v>
      </c>
      <c r="BH188" s="31">
        <f>G188*AO188</f>
        <v>0</v>
      </c>
      <c r="BI188" s="31">
        <f>G188*H188</f>
        <v>0</v>
      </c>
      <c r="BJ188" s="31"/>
      <c r="BK188" s="56">
        <v>87</v>
      </c>
      <c r="BV188" s="56">
        <v>21</v>
      </c>
    </row>
    <row r="189" spans="1:74" ht="15" customHeight="1" x14ac:dyDescent="0.25">
      <c r="A189" s="53"/>
      <c r="D189" s="52" t="s">
        <v>1109</v>
      </c>
      <c r="E189" s="37" t="s">
        <v>934</v>
      </c>
      <c r="G189" s="21">
        <v>1</v>
      </c>
      <c r="J189" s="48"/>
    </row>
    <row r="190" spans="1:74" ht="13.5" customHeight="1" x14ac:dyDescent="0.25">
      <c r="A190" s="10" t="s">
        <v>863</v>
      </c>
      <c r="B190" s="9" t="s">
        <v>847</v>
      </c>
      <c r="C190" s="9" t="s">
        <v>1213</v>
      </c>
      <c r="D190" s="76" t="s">
        <v>167</v>
      </c>
      <c r="E190" s="77"/>
      <c r="F190" s="9" t="s">
        <v>909</v>
      </c>
      <c r="G190" s="56">
        <f>'Stavební rozpočet'!G190</f>
        <v>306</v>
      </c>
      <c r="H190" s="56">
        <f>'Stavební rozpočet'!H190</f>
        <v>0</v>
      </c>
      <c r="I190" s="56">
        <f>G190*H190</f>
        <v>0</v>
      </c>
      <c r="J190" s="54" t="s">
        <v>501</v>
      </c>
      <c r="Y190" s="56">
        <f>IF(AP190="5",BI190,0)</f>
        <v>0</v>
      </c>
      <c r="AA190" s="56">
        <f>IF(AP190="1",BG190,0)</f>
        <v>0</v>
      </c>
      <c r="AB190" s="56">
        <f>IF(AP190="1",BH190,0)</f>
        <v>0</v>
      </c>
      <c r="AC190" s="56">
        <f>IF(AP190="7",BG190,0)</f>
        <v>0</v>
      </c>
      <c r="AD190" s="56">
        <f>IF(AP190="7",BH190,0)</f>
        <v>0</v>
      </c>
      <c r="AE190" s="56">
        <f>IF(AP190="2",BG190,0)</f>
        <v>0</v>
      </c>
      <c r="AF190" s="56">
        <f>IF(AP190="2",BH190,0)</f>
        <v>0</v>
      </c>
      <c r="AG190" s="56">
        <f>IF(AP190="0",BI190,0)</f>
        <v>0</v>
      </c>
      <c r="AH190" s="30" t="s">
        <v>847</v>
      </c>
      <c r="AI190" s="56">
        <f>IF(AM190=0,I190,0)</f>
        <v>0</v>
      </c>
      <c r="AJ190" s="56">
        <f>IF(AM190=15,I190,0)</f>
        <v>0</v>
      </c>
      <c r="AK190" s="56">
        <f>IF(AM190=21,I190,0)</f>
        <v>0</v>
      </c>
      <c r="AM190" s="56">
        <v>21</v>
      </c>
      <c r="AN190" s="56">
        <f>H190*0</f>
        <v>0</v>
      </c>
      <c r="AO190" s="56">
        <f>H190*(1-0)</f>
        <v>0</v>
      </c>
      <c r="AP190" s="41" t="s">
        <v>1109</v>
      </c>
      <c r="AU190" s="56">
        <f>AV190+AW190</f>
        <v>0</v>
      </c>
      <c r="AV190" s="56">
        <f>G190*AN190</f>
        <v>0</v>
      </c>
      <c r="AW190" s="56">
        <f>G190*AO190</f>
        <v>0</v>
      </c>
      <c r="AX190" s="41" t="s">
        <v>77</v>
      </c>
      <c r="AY190" s="41" t="s">
        <v>246</v>
      </c>
      <c r="AZ190" s="30" t="s">
        <v>1000</v>
      </c>
      <c r="BB190" s="56">
        <f>AV190+AW190</f>
        <v>0</v>
      </c>
      <c r="BC190" s="56">
        <f>H190/(100-BD190)*100</f>
        <v>0</v>
      </c>
      <c r="BD190" s="56">
        <v>0</v>
      </c>
      <c r="BE190" s="56" t="e">
        <f>#REF!</f>
        <v>#REF!</v>
      </c>
      <c r="BG190" s="56">
        <f>G190*AN190</f>
        <v>0</v>
      </c>
      <c r="BH190" s="56">
        <f>G190*AO190</f>
        <v>0</v>
      </c>
      <c r="BI190" s="56">
        <f>G190*H190</f>
        <v>0</v>
      </c>
      <c r="BJ190" s="56"/>
      <c r="BK190" s="56">
        <v>87</v>
      </c>
      <c r="BV190" s="56">
        <v>21</v>
      </c>
    </row>
    <row r="191" spans="1:74" ht="13.5" customHeight="1" x14ac:dyDescent="0.25">
      <c r="A191" s="57" t="s">
        <v>685</v>
      </c>
      <c r="B191" s="50" t="s">
        <v>847</v>
      </c>
      <c r="C191" s="50" t="s">
        <v>694</v>
      </c>
      <c r="D191" s="135" t="s">
        <v>539</v>
      </c>
      <c r="E191" s="136"/>
      <c r="F191" s="50" t="s">
        <v>909</v>
      </c>
      <c r="G191" s="31">
        <f>'Stavební rozpočet'!G191</f>
        <v>310</v>
      </c>
      <c r="H191" s="31">
        <f>'Stavební rozpočet'!H191</f>
        <v>0</v>
      </c>
      <c r="I191" s="31">
        <f>G191*H191</f>
        <v>0</v>
      </c>
      <c r="J191" s="47" t="s">
        <v>501</v>
      </c>
      <c r="Y191" s="56">
        <f>IF(AP191="5",BI191,0)</f>
        <v>0</v>
      </c>
      <c r="AA191" s="56">
        <f>IF(AP191="1",BG191,0)</f>
        <v>0</v>
      </c>
      <c r="AB191" s="56">
        <f>IF(AP191="1",BH191,0)</f>
        <v>0</v>
      </c>
      <c r="AC191" s="56">
        <f>IF(AP191="7",BG191,0)</f>
        <v>0</v>
      </c>
      <c r="AD191" s="56">
        <f>IF(AP191="7",BH191,0)</f>
        <v>0</v>
      </c>
      <c r="AE191" s="56">
        <f>IF(AP191="2",BG191,0)</f>
        <v>0</v>
      </c>
      <c r="AF191" s="56">
        <f>IF(AP191="2",BH191,0)</f>
        <v>0</v>
      </c>
      <c r="AG191" s="56">
        <f>IF(AP191="0",BI191,0)</f>
        <v>0</v>
      </c>
      <c r="AH191" s="30" t="s">
        <v>847</v>
      </c>
      <c r="AI191" s="31">
        <f>IF(AM191=0,I191,0)</f>
        <v>0</v>
      </c>
      <c r="AJ191" s="31">
        <f>IF(AM191=15,I191,0)</f>
        <v>0</v>
      </c>
      <c r="AK191" s="31">
        <f>IF(AM191=21,I191,0)</f>
        <v>0</v>
      </c>
      <c r="AM191" s="56">
        <v>21</v>
      </c>
      <c r="AN191" s="56">
        <f>H191*1</f>
        <v>0</v>
      </c>
      <c r="AO191" s="56">
        <f>H191*(1-1)</f>
        <v>0</v>
      </c>
      <c r="AP191" s="58" t="s">
        <v>1109</v>
      </c>
      <c r="AU191" s="56">
        <f>AV191+AW191</f>
        <v>0</v>
      </c>
      <c r="AV191" s="56">
        <f>G191*AN191</f>
        <v>0</v>
      </c>
      <c r="AW191" s="56">
        <f>G191*AO191</f>
        <v>0</v>
      </c>
      <c r="AX191" s="41" t="s">
        <v>77</v>
      </c>
      <c r="AY191" s="41" t="s">
        <v>246</v>
      </c>
      <c r="AZ191" s="30" t="s">
        <v>1000</v>
      </c>
      <c r="BB191" s="56">
        <f>AV191+AW191</f>
        <v>0</v>
      </c>
      <c r="BC191" s="56">
        <f>H191/(100-BD191)*100</f>
        <v>0</v>
      </c>
      <c r="BD191" s="56">
        <v>0</v>
      </c>
      <c r="BE191" s="56" t="e">
        <f>#REF!</f>
        <v>#REF!</v>
      </c>
      <c r="BG191" s="31">
        <f>G191*AN191</f>
        <v>0</v>
      </c>
      <c r="BH191" s="31">
        <f>G191*AO191</f>
        <v>0</v>
      </c>
      <c r="BI191" s="31">
        <f>G191*H191</f>
        <v>0</v>
      </c>
      <c r="BJ191" s="31"/>
      <c r="BK191" s="56">
        <v>87</v>
      </c>
      <c r="BV191" s="56">
        <v>21</v>
      </c>
    </row>
    <row r="192" spans="1:74" ht="15" customHeight="1" x14ac:dyDescent="0.25">
      <c r="A192" s="53"/>
      <c r="D192" s="52" t="s">
        <v>309</v>
      </c>
      <c r="E192" s="37" t="s">
        <v>1251</v>
      </c>
      <c r="G192" s="21">
        <v>310</v>
      </c>
      <c r="J192" s="48"/>
    </row>
    <row r="193" spans="1:74" ht="13.5" customHeight="1" x14ac:dyDescent="0.25">
      <c r="A193" s="10" t="s">
        <v>1121</v>
      </c>
      <c r="B193" s="9" t="s">
        <v>847</v>
      </c>
      <c r="C193" s="9" t="s">
        <v>749</v>
      </c>
      <c r="D193" s="76" t="s">
        <v>305</v>
      </c>
      <c r="E193" s="77"/>
      <c r="F193" s="9" t="s">
        <v>275</v>
      </c>
      <c r="G193" s="56">
        <f>'Stavební rozpočet'!G193</f>
        <v>2</v>
      </c>
      <c r="H193" s="56">
        <f>'Stavební rozpočet'!H193</f>
        <v>0</v>
      </c>
      <c r="I193" s="56">
        <f>G193*H193</f>
        <v>0</v>
      </c>
      <c r="J193" s="54" t="s">
        <v>501</v>
      </c>
      <c r="Y193" s="56">
        <f>IF(AP193="5",BI193,0)</f>
        <v>0</v>
      </c>
      <c r="AA193" s="56">
        <f>IF(AP193="1",BG193,0)</f>
        <v>0</v>
      </c>
      <c r="AB193" s="56">
        <f>IF(AP193="1",BH193,0)</f>
        <v>0</v>
      </c>
      <c r="AC193" s="56">
        <f>IF(AP193="7",BG193,0)</f>
        <v>0</v>
      </c>
      <c r="AD193" s="56">
        <f>IF(AP193="7",BH193,0)</f>
        <v>0</v>
      </c>
      <c r="AE193" s="56">
        <f>IF(AP193="2",BG193,0)</f>
        <v>0</v>
      </c>
      <c r="AF193" s="56">
        <f>IF(AP193="2",BH193,0)</f>
        <v>0</v>
      </c>
      <c r="AG193" s="56">
        <f>IF(AP193="0",BI193,0)</f>
        <v>0</v>
      </c>
      <c r="AH193" s="30" t="s">
        <v>847</v>
      </c>
      <c r="AI193" s="56">
        <f>IF(AM193=0,I193,0)</f>
        <v>0</v>
      </c>
      <c r="AJ193" s="56">
        <f>IF(AM193=15,I193,0)</f>
        <v>0</v>
      </c>
      <c r="AK193" s="56">
        <f>IF(AM193=21,I193,0)</f>
        <v>0</v>
      </c>
      <c r="AM193" s="56">
        <v>21</v>
      </c>
      <c r="AN193" s="56">
        <f>H193*0</f>
        <v>0</v>
      </c>
      <c r="AO193" s="56">
        <f>H193*(1-0)</f>
        <v>0</v>
      </c>
      <c r="AP193" s="41" t="s">
        <v>1109</v>
      </c>
      <c r="AU193" s="56">
        <f>AV193+AW193</f>
        <v>0</v>
      </c>
      <c r="AV193" s="56">
        <f>G193*AN193</f>
        <v>0</v>
      </c>
      <c r="AW193" s="56">
        <f>G193*AO193</f>
        <v>0</v>
      </c>
      <c r="AX193" s="41" t="s">
        <v>77</v>
      </c>
      <c r="AY193" s="41" t="s">
        <v>246</v>
      </c>
      <c r="AZ193" s="30" t="s">
        <v>1000</v>
      </c>
      <c r="BB193" s="56">
        <f>AV193+AW193</f>
        <v>0</v>
      </c>
      <c r="BC193" s="56">
        <f>H193/(100-BD193)*100</f>
        <v>0</v>
      </c>
      <c r="BD193" s="56">
        <v>0</v>
      </c>
      <c r="BE193" s="56" t="e">
        <f>#REF!</f>
        <v>#REF!</v>
      </c>
      <c r="BG193" s="56">
        <f>G193*AN193</f>
        <v>0</v>
      </c>
      <c r="BH193" s="56">
        <f>G193*AO193</f>
        <v>0</v>
      </c>
      <c r="BI193" s="56">
        <f>G193*H193</f>
        <v>0</v>
      </c>
      <c r="BJ193" s="56"/>
      <c r="BK193" s="56">
        <v>87</v>
      </c>
      <c r="BV193" s="56">
        <v>21</v>
      </c>
    </row>
    <row r="194" spans="1:74" ht="13.5" customHeight="1" x14ac:dyDescent="0.25">
      <c r="A194" s="57" t="s">
        <v>1021</v>
      </c>
      <c r="B194" s="50" t="s">
        <v>847</v>
      </c>
      <c r="C194" s="50" t="s">
        <v>277</v>
      </c>
      <c r="D194" s="135" t="s">
        <v>506</v>
      </c>
      <c r="E194" s="136"/>
      <c r="F194" s="50" t="s">
        <v>275</v>
      </c>
      <c r="G194" s="31">
        <f>'Stavební rozpočet'!G194</f>
        <v>2</v>
      </c>
      <c r="H194" s="31">
        <f>'Stavební rozpočet'!H194</f>
        <v>0</v>
      </c>
      <c r="I194" s="31">
        <f>G194*H194</f>
        <v>0</v>
      </c>
      <c r="J194" s="47" t="s">
        <v>501</v>
      </c>
      <c r="Y194" s="56">
        <f>IF(AP194="5",BI194,0)</f>
        <v>0</v>
      </c>
      <c r="AA194" s="56">
        <f>IF(AP194="1",BG194,0)</f>
        <v>0</v>
      </c>
      <c r="AB194" s="56">
        <f>IF(AP194="1",BH194,0)</f>
        <v>0</v>
      </c>
      <c r="AC194" s="56">
        <f>IF(AP194="7",BG194,0)</f>
        <v>0</v>
      </c>
      <c r="AD194" s="56">
        <f>IF(AP194="7",BH194,0)</f>
        <v>0</v>
      </c>
      <c r="AE194" s="56">
        <f>IF(AP194="2",BG194,0)</f>
        <v>0</v>
      </c>
      <c r="AF194" s="56">
        <f>IF(AP194="2",BH194,0)</f>
        <v>0</v>
      </c>
      <c r="AG194" s="56">
        <f>IF(AP194="0",BI194,0)</f>
        <v>0</v>
      </c>
      <c r="AH194" s="30" t="s">
        <v>847</v>
      </c>
      <c r="AI194" s="31">
        <f>IF(AM194=0,I194,0)</f>
        <v>0</v>
      </c>
      <c r="AJ194" s="31">
        <f>IF(AM194=15,I194,0)</f>
        <v>0</v>
      </c>
      <c r="AK194" s="31">
        <f>IF(AM194=21,I194,0)</f>
        <v>0</v>
      </c>
      <c r="AM194" s="56">
        <v>21</v>
      </c>
      <c r="AN194" s="56">
        <f>H194*1</f>
        <v>0</v>
      </c>
      <c r="AO194" s="56">
        <f>H194*(1-1)</f>
        <v>0</v>
      </c>
      <c r="AP194" s="58" t="s">
        <v>1109</v>
      </c>
      <c r="AU194" s="56">
        <f>AV194+AW194</f>
        <v>0</v>
      </c>
      <c r="AV194" s="56">
        <f>G194*AN194</f>
        <v>0</v>
      </c>
      <c r="AW194" s="56">
        <f>G194*AO194</f>
        <v>0</v>
      </c>
      <c r="AX194" s="41" t="s">
        <v>77</v>
      </c>
      <c r="AY194" s="41" t="s">
        <v>246</v>
      </c>
      <c r="AZ194" s="30" t="s">
        <v>1000</v>
      </c>
      <c r="BB194" s="56">
        <f>AV194+AW194</f>
        <v>0</v>
      </c>
      <c r="BC194" s="56">
        <f>H194/(100-BD194)*100</f>
        <v>0</v>
      </c>
      <c r="BD194" s="56">
        <v>0</v>
      </c>
      <c r="BE194" s="56" t="e">
        <f>#REF!</f>
        <v>#REF!</v>
      </c>
      <c r="BG194" s="31">
        <f>G194*AN194</f>
        <v>0</v>
      </c>
      <c r="BH194" s="31">
        <f>G194*AO194</f>
        <v>0</v>
      </c>
      <c r="BI194" s="31">
        <f>G194*H194</f>
        <v>0</v>
      </c>
      <c r="BJ194" s="31"/>
      <c r="BK194" s="56">
        <v>87</v>
      </c>
      <c r="BV194" s="56">
        <v>21</v>
      </c>
    </row>
    <row r="195" spans="1:74" ht="15" customHeight="1" x14ac:dyDescent="0.25">
      <c r="A195" s="53"/>
      <c r="D195" s="52" t="s">
        <v>766</v>
      </c>
      <c r="E195" s="37" t="s">
        <v>950</v>
      </c>
      <c r="G195" s="21">
        <v>2</v>
      </c>
      <c r="J195" s="48"/>
    </row>
    <row r="196" spans="1:74" ht="13.5" customHeight="1" x14ac:dyDescent="0.25">
      <c r="A196" s="10" t="s">
        <v>736</v>
      </c>
      <c r="B196" s="9" t="s">
        <v>847</v>
      </c>
      <c r="C196" s="9" t="s">
        <v>955</v>
      </c>
      <c r="D196" s="76" t="s">
        <v>462</v>
      </c>
      <c r="E196" s="77"/>
      <c r="F196" s="9" t="s">
        <v>778</v>
      </c>
      <c r="G196" s="56">
        <f>'Stavební rozpočet'!G196</f>
        <v>1</v>
      </c>
      <c r="H196" s="56">
        <f>'Stavební rozpočet'!H196</f>
        <v>0</v>
      </c>
      <c r="I196" s="56">
        <f>G196*H196</f>
        <v>0</v>
      </c>
      <c r="J196" s="54" t="s">
        <v>501</v>
      </c>
      <c r="Y196" s="56">
        <f>IF(AP196="5",BI196,0)</f>
        <v>0</v>
      </c>
      <c r="AA196" s="56">
        <f>IF(AP196="1",BG196,0)</f>
        <v>0</v>
      </c>
      <c r="AB196" s="56">
        <f>IF(AP196="1",BH196,0)</f>
        <v>0</v>
      </c>
      <c r="AC196" s="56">
        <f>IF(AP196="7",BG196,0)</f>
        <v>0</v>
      </c>
      <c r="AD196" s="56">
        <f>IF(AP196="7",BH196,0)</f>
        <v>0</v>
      </c>
      <c r="AE196" s="56">
        <f>IF(AP196="2",BG196,0)</f>
        <v>0</v>
      </c>
      <c r="AF196" s="56">
        <f>IF(AP196="2",BH196,0)</f>
        <v>0</v>
      </c>
      <c r="AG196" s="56">
        <f>IF(AP196="0",BI196,0)</f>
        <v>0</v>
      </c>
      <c r="AH196" s="30" t="s">
        <v>847</v>
      </c>
      <c r="AI196" s="56">
        <f>IF(AM196=0,I196,0)</f>
        <v>0</v>
      </c>
      <c r="AJ196" s="56">
        <f>IF(AM196=15,I196,0)</f>
        <v>0</v>
      </c>
      <c r="AK196" s="56">
        <f>IF(AM196=21,I196,0)</f>
        <v>0</v>
      </c>
      <c r="AM196" s="56">
        <v>21</v>
      </c>
      <c r="AN196" s="56">
        <f>H196*0</f>
        <v>0</v>
      </c>
      <c r="AO196" s="56">
        <f>H196*(1-0)</f>
        <v>0</v>
      </c>
      <c r="AP196" s="41" t="s">
        <v>1109</v>
      </c>
      <c r="AU196" s="56">
        <f>AV196+AW196</f>
        <v>0</v>
      </c>
      <c r="AV196" s="56">
        <f>G196*AN196</f>
        <v>0</v>
      </c>
      <c r="AW196" s="56">
        <f>G196*AO196</f>
        <v>0</v>
      </c>
      <c r="AX196" s="41" t="s">
        <v>77</v>
      </c>
      <c r="AY196" s="41" t="s">
        <v>246</v>
      </c>
      <c r="AZ196" s="30" t="s">
        <v>1000</v>
      </c>
      <c r="BB196" s="56">
        <f>AV196+AW196</f>
        <v>0</v>
      </c>
      <c r="BC196" s="56">
        <f>H196/(100-BD196)*100</f>
        <v>0</v>
      </c>
      <c r="BD196" s="56">
        <v>0</v>
      </c>
      <c r="BE196" s="56" t="e">
        <f>#REF!</f>
        <v>#REF!</v>
      </c>
      <c r="BG196" s="56">
        <f>G196*AN196</f>
        <v>0</v>
      </c>
      <c r="BH196" s="56">
        <f>G196*AO196</f>
        <v>0</v>
      </c>
      <c r="BI196" s="56">
        <f>G196*H196</f>
        <v>0</v>
      </c>
      <c r="BJ196" s="56"/>
      <c r="BK196" s="56">
        <v>87</v>
      </c>
      <c r="BV196" s="56">
        <v>21</v>
      </c>
    </row>
    <row r="197" spans="1:74" ht="13.5" customHeight="1" x14ac:dyDescent="0.25">
      <c r="A197" s="57" t="s">
        <v>575</v>
      </c>
      <c r="B197" s="50" t="s">
        <v>847</v>
      </c>
      <c r="C197" s="50" t="s">
        <v>1147</v>
      </c>
      <c r="D197" s="135" t="s">
        <v>1055</v>
      </c>
      <c r="E197" s="136"/>
      <c r="F197" s="50" t="s">
        <v>275</v>
      </c>
      <c r="G197" s="31">
        <f>'Stavební rozpočet'!G197</f>
        <v>1</v>
      </c>
      <c r="H197" s="31">
        <f>'Stavební rozpočet'!H197</f>
        <v>0</v>
      </c>
      <c r="I197" s="31">
        <f>G197*H197</f>
        <v>0</v>
      </c>
      <c r="J197" s="47" t="s">
        <v>501</v>
      </c>
      <c r="Y197" s="56">
        <f>IF(AP197="5",BI197,0)</f>
        <v>0</v>
      </c>
      <c r="AA197" s="56">
        <f>IF(AP197="1",BG197,0)</f>
        <v>0</v>
      </c>
      <c r="AB197" s="56">
        <f>IF(AP197="1",BH197,0)</f>
        <v>0</v>
      </c>
      <c r="AC197" s="56">
        <f>IF(AP197="7",BG197,0)</f>
        <v>0</v>
      </c>
      <c r="AD197" s="56">
        <f>IF(AP197="7",BH197,0)</f>
        <v>0</v>
      </c>
      <c r="AE197" s="56">
        <f>IF(AP197="2",BG197,0)</f>
        <v>0</v>
      </c>
      <c r="AF197" s="56">
        <f>IF(AP197="2",BH197,0)</f>
        <v>0</v>
      </c>
      <c r="AG197" s="56">
        <f>IF(AP197="0",BI197,0)</f>
        <v>0</v>
      </c>
      <c r="AH197" s="30" t="s">
        <v>847</v>
      </c>
      <c r="AI197" s="31">
        <f>IF(AM197=0,I197,0)</f>
        <v>0</v>
      </c>
      <c r="AJ197" s="31">
        <f>IF(AM197=15,I197,0)</f>
        <v>0</v>
      </c>
      <c r="AK197" s="31">
        <f>IF(AM197=21,I197,0)</f>
        <v>0</v>
      </c>
      <c r="AM197" s="56">
        <v>21</v>
      </c>
      <c r="AN197" s="56">
        <f>H197*1</f>
        <v>0</v>
      </c>
      <c r="AO197" s="56">
        <f>H197*(1-1)</f>
        <v>0</v>
      </c>
      <c r="AP197" s="58" t="s">
        <v>1109</v>
      </c>
      <c r="AU197" s="56">
        <f>AV197+AW197</f>
        <v>0</v>
      </c>
      <c r="AV197" s="56">
        <f>G197*AN197</f>
        <v>0</v>
      </c>
      <c r="AW197" s="56">
        <f>G197*AO197</f>
        <v>0</v>
      </c>
      <c r="AX197" s="41" t="s">
        <v>77</v>
      </c>
      <c r="AY197" s="41" t="s">
        <v>246</v>
      </c>
      <c r="AZ197" s="30" t="s">
        <v>1000</v>
      </c>
      <c r="BB197" s="56">
        <f>AV197+AW197</f>
        <v>0</v>
      </c>
      <c r="BC197" s="56">
        <f>H197/(100-BD197)*100</f>
        <v>0</v>
      </c>
      <c r="BD197" s="56">
        <v>0</v>
      </c>
      <c r="BE197" s="56" t="e">
        <f>#REF!</f>
        <v>#REF!</v>
      </c>
      <c r="BG197" s="31">
        <f>G197*AN197</f>
        <v>0</v>
      </c>
      <c r="BH197" s="31">
        <f>G197*AO197</f>
        <v>0</v>
      </c>
      <c r="BI197" s="31">
        <f>G197*H197</f>
        <v>0</v>
      </c>
      <c r="BJ197" s="31"/>
      <c r="BK197" s="56">
        <v>87</v>
      </c>
      <c r="BV197" s="56">
        <v>21</v>
      </c>
    </row>
    <row r="198" spans="1:74" ht="15" customHeight="1" x14ac:dyDescent="0.25">
      <c r="A198" s="53"/>
      <c r="D198" s="52" t="s">
        <v>1109</v>
      </c>
      <c r="E198" s="37" t="s">
        <v>409</v>
      </c>
      <c r="G198" s="21">
        <v>1</v>
      </c>
      <c r="J198" s="48"/>
    </row>
    <row r="199" spans="1:74" ht="13.5" customHeight="1" x14ac:dyDescent="0.25">
      <c r="A199" s="10" t="s">
        <v>244</v>
      </c>
      <c r="B199" s="9" t="s">
        <v>847</v>
      </c>
      <c r="C199" s="9" t="s">
        <v>977</v>
      </c>
      <c r="D199" s="76" t="s">
        <v>179</v>
      </c>
      <c r="E199" s="77"/>
      <c r="F199" s="9" t="s">
        <v>778</v>
      </c>
      <c r="G199" s="56">
        <f>'Stavební rozpočet'!G199</f>
        <v>8</v>
      </c>
      <c r="H199" s="56">
        <f>'Stavební rozpočet'!H199</f>
        <v>0</v>
      </c>
      <c r="I199" s="56">
        <f>G199*H199</f>
        <v>0</v>
      </c>
      <c r="J199" s="54" t="s">
        <v>769</v>
      </c>
      <c r="Y199" s="56">
        <f>IF(AP199="5",BI199,0)</f>
        <v>0</v>
      </c>
      <c r="AA199" s="56">
        <f>IF(AP199="1",BG199,0)</f>
        <v>0</v>
      </c>
      <c r="AB199" s="56">
        <f>IF(AP199="1",BH199,0)</f>
        <v>0</v>
      </c>
      <c r="AC199" s="56">
        <f>IF(AP199="7",BG199,0)</f>
        <v>0</v>
      </c>
      <c r="AD199" s="56">
        <f>IF(AP199="7",BH199,0)</f>
        <v>0</v>
      </c>
      <c r="AE199" s="56">
        <f>IF(AP199="2",BG199,0)</f>
        <v>0</v>
      </c>
      <c r="AF199" s="56">
        <f>IF(AP199="2",BH199,0)</f>
        <v>0</v>
      </c>
      <c r="AG199" s="56">
        <f>IF(AP199="0",BI199,0)</f>
        <v>0</v>
      </c>
      <c r="AH199" s="30" t="s">
        <v>847</v>
      </c>
      <c r="AI199" s="56">
        <f>IF(AM199=0,I199,0)</f>
        <v>0</v>
      </c>
      <c r="AJ199" s="56">
        <f>IF(AM199=15,I199,0)</f>
        <v>0</v>
      </c>
      <c r="AK199" s="56">
        <f>IF(AM199=21,I199,0)</f>
        <v>0</v>
      </c>
      <c r="AM199" s="56">
        <v>21</v>
      </c>
      <c r="AN199" s="56">
        <f>H199*0</f>
        <v>0</v>
      </c>
      <c r="AO199" s="56">
        <f>H199*(1-0)</f>
        <v>0</v>
      </c>
      <c r="AP199" s="41" t="s">
        <v>1109</v>
      </c>
      <c r="AU199" s="56">
        <f>AV199+AW199</f>
        <v>0</v>
      </c>
      <c r="AV199" s="56">
        <f>G199*AN199</f>
        <v>0</v>
      </c>
      <c r="AW199" s="56">
        <f>G199*AO199</f>
        <v>0</v>
      </c>
      <c r="AX199" s="41" t="s">
        <v>77</v>
      </c>
      <c r="AY199" s="41" t="s">
        <v>246</v>
      </c>
      <c r="AZ199" s="30" t="s">
        <v>1000</v>
      </c>
      <c r="BB199" s="56">
        <f>AV199+AW199</f>
        <v>0</v>
      </c>
      <c r="BC199" s="56">
        <f>H199/(100-BD199)*100</f>
        <v>0</v>
      </c>
      <c r="BD199" s="56">
        <v>0</v>
      </c>
      <c r="BE199" s="56" t="e">
        <f>#REF!</f>
        <v>#REF!</v>
      </c>
      <c r="BG199" s="56">
        <f>G199*AN199</f>
        <v>0</v>
      </c>
      <c r="BH199" s="56">
        <f>G199*AO199</f>
        <v>0</v>
      </c>
      <c r="BI199" s="56">
        <f>G199*H199</f>
        <v>0</v>
      </c>
      <c r="BJ199" s="56"/>
      <c r="BK199" s="56">
        <v>87</v>
      </c>
      <c r="BV199" s="56">
        <v>21</v>
      </c>
    </row>
    <row r="200" spans="1:74" ht="13.5" customHeight="1" x14ac:dyDescent="0.25">
      <c r="A200" s="57" t="s">
        <v>105</v>
      </c>
      <c r="B200" s="50" t="s">
        <v>847</v>
      </c>
      <c r="C200" s="50" t="s">
        <v>549</v>
      </c>
      <c r="D200" s="135" t="s">
        <v>15</v>
      </c>
      <c r="E200" s="136"/>
      <c r="F200" s="50" t="s">
        <v>275</v>
      </c>
      <c r="G200" s="31">
        <f>'Stavební rozpočet'!G200</f>
        <v>4</v>
      </c>
      <c r="H200" s="31">
        <f>'Stavební rozpočet'!H200</f>
        <v>0</v>
      </c>
      <c r="I200" s="31">
        <f>G200*H200</f>
        <v>0</v>
      </c>
      <c r="J200" s="47" t="s">
        <v>501</v>
      </c>
      <c r="Y200" s="56">
        <f>IF(AP200="5",BI200,0)</f>
        <v>0</v>
      </c>
      <c r="AA200" s="56">
        <f>IF(AP200="1",BG200,0)</f>
        <v>0</v>
      </c>
      <c r="AB200" s="56">
        <f>IF(AP200="1",BH200,0)</f>
        <v>0</v>
      </c>
      <c r="AC200" s="56">
        <f>IF(AP200="7",BG200,0)</f>
        <v>0</v>
      </c>
      <c r="AD200" s="56">
        <f>IF(AP200="7",BH200,0)</f>
        <v>0</v>
      </c>
      <c r="AE200" s="56">
        <f>IF(AP200="2",BG200,0)</f>
        <v>0</v>
      </c>
      <c r="AF200" s="56">
        <f>IF(AP200="2",BH200,0)</f>
        <v>0</v>
      </c>
      <c r="AG200" s="56">
        <f>IF(AP200="0",BI200,0)</f>
        <v>0</v>
      </c>
      <c r="AH200" s="30" t="s">
        <v>847</v>
      </c>
      <c r="AI200" s="31">
        <f>IF(AM200=0,I200,0)</f>
        <v>0</v>
      </c>
      <c r="AJ200" s="31">
        <f>IF(AM200=15,I200,0)</f>
        <v>0</v>
      </c>
      <c r="AK200" s="31">
        <f>IF(AM200=21,I200,0)</f>
        <v>0</v>
      </c>
      <c r="AM200" s="56">
        <v>21</v>
      </c>
      <c r="AN200" s="56">
        <f>H200*1</f>
        <v>0</v>
      </c>
      <c r="AO200" s="56">
        <f>H200*(1-1)</f>
        <v>0</v>
      </c>
      <c r="AP200" s="58" t="s">
        <v>1109</v>
      </c>
      <c r="AU200" s="56">
        <f>AV200+AW200</f>
        <v>0</v>
      </c>
      <c r="AV200" s="56">
        <f>G200*AN200</f>
        <v>0</v>
      </c>
      <c r="AW200" s="56">
        <f>G200*AO200</f>
        <v>0</v>
      </c>
      <c r="AX200" s="41" t="s">
        <v>77</v>
      </c>
      <c r="AY200" s="41" t="s">
        <v>246</v>
      </c>
      <c r="AZ200" s="30" t="s">
        <v>1000</v>
      </c>
      <c r="BB200" s="56">
        <f>AV200+AW200</f>
        <v>0</v>
      </c>
      <c r="BC200" s="56">
        <f>H200/(100-BD200)*100</f>
        <v>0</v>
      </c>
      <c r="BD200" s="56">
        <v>0</v>
      </c>
      <c r="BE200" s="56" t="e">
        <f>#REF!</f>
        <v>#REF!</v>
      </c>
      <c r="BG200" s="31">
        <f>G200*AN200</f>
        <v>0</v>
      </c>
      <c r="BH200" s="31">
        <f>G200*AO200</f>
        <v>0</v>
      </c>
      <c r="BI200" s="31">
        <f>G200*H200</f>
        <v>0</v>
      </c>
      <c r="BJ200" s="31"/>
      <c r="BK200" s="56">
        <v>87</v>
      </c>
      <c r="BV200" s="56">
        <v>21</v>
      </c>
    </row>
    <row r="201" spans="1:74" ht="15" customHeight="1" x14ac:dyDescent="0.25">
      <c r="A201" s="53"/>
      <c r="D201" s="52" t="s">
        <v>127</v>
      </c>
      <c r="E201" s="37" t="s">
        <v>734</v>
      </c>
      <c r="G201" s="21">
        <v>4</v>
      </c>
      <c r="J201" s="48"/>
    </row>
    <row r="202" spans="1:74" ht="13.5" customHeight="1" x14ac:dyDescent="0.25">
      <c r="A202" s="57" t="s">
        <v>1094</v>
      </c>
      <c r="B202" s="50" t="s">
        <v>847</v>
      </c>
      <c r="C202" s="50" t="s">
        <v>911</v>
      </c>
      <c r="D202" s="135" t="s">
        <v>476</v>
      </c>
      <c r="E202" s="136"/>
      <c r="F202" s="50" t="s">
        <v>275</v>
      </c>
      <c r="G202" s="31">
        <f>'Stavební rozpočet'!G202</f>
        <v>4</v>
      </c>
      <c r="H202" s="31">
        <f>'Stavební rozpočet'!H202</f>
        <v>0</v>
      </c>
      <c r="I202" s="31">
        <f>G202*H202</f>
        <v>0</v>
      </c>
      <c r="J202" s="47" t="s">
        <v>501</v>
      </c>
      <c r="Y202" s="56">
        <f>IF(AP202="5",BI202,0)</f>
        <v>0</v>
      </c>
      <c r="AA202" s="56">
        <f>IF(AP202="1",BG202,0)</f>
        <v>0</v>
      </c>
      <c r="AB202" s="56">
        <f>IF(AP202="1",BH202,0)</f>
        <v>0</v>
      </c>
      <c r="AC202" s="56">
        <f>IF(AP202="7",BG202,0)</f>
        <v>0</v>
      </c>
      <c r="AD202" s="56">
        <f>IF(AP202="7",BH202,0)</f>
        <v>0</v>
      </c>
      <c r="AE202" s="56">
        <f>IF(AP202="2",BG202,0)</f>
        <v>0</v>
      </c>
      <c r="AF202" s="56">
        <f>IF(AP202="2",BH202,0)</f>
        <v>0</v>
      </c>
      <c r="AG202" s="56">
        <f>IF(AP202="0",BI202,0)</f>
        <v>0</v>
      </c>
      <c r="AH202" s="30" t="s">
        <v>847</v>
      </c>
      <c r="AI202" s="31">
        <f>IF(AM202=0,I202,0)</f>
        <v>0</v>
      </c>
      <c r="AJ202" s="31">
        <f>IF(AM202=15,I202,0)</f>
        <v>0</v>
      </c>
      <c r="AK202" s="31">
        <f>IF(AM202=21,I202,0)</f>
        <v>0</v>
      </c>
      <c r="AM202" s="56">
        <v>21</v>
      </c>
      <c r="AN202" s="56">
        <f>H202*1</f>
        <v>0</v>
      </c>
      <c r="AO202" s="56">
        <f>H202*(1-1)</f>
        <v>0</v>
      </c>
      <c r="AP202" s="58" t="s">
        <v>1109</v>
      </c>
      <c r="AU202" s="56">
        <f>AV202+AW202</f>
        <v>0</v>
      </c>
      <c r="AV202" s="56">
        <f>G202*AN202</f>
        <v>0</v>
      </c>
      <c r="AW202" s="56">
        <f>G202*AO202</f>
        <v>0</v>
      </c>
      <c r="AX202" s="41" t="s">
        <v>77</v>
      </c>
      <c r="AY202" s="41" t="s">
        <v>246</v>
      </c>
      <c r="AZ202" s="30" t="s">
        <v>1000</v>
      </c>
      <c r="BB202" s="56">
        <f>AV202+AW202</f>
        <v>0</v>
      </c>
      <c r="BC202" s="56">
        <f>H202/(100-BD202)*100</f>
        <v>0</v>
      </c>
      <c r="BD202" s="56">
        <v>0</v>
      </c>
      <c r="BE202" s="56" t="e">
        <f>#REF!</f>
        <v>#REF!</v>
      </c>
      <c r="BG202" s="31">
        <f>G202*AN202</f>
        <v>0</v>
      </c>
      <c r="BH202" s="31">
        <f>G202*AO202</f>
        <v>0</v>
      </c>
      <c r="BI202" s="31">
        <f>G202*H202</f>
        <v>0</v>
      </c>
      <c r="BJ202" s="31"/>
      <c r="BK202" s="56">
        <v>87</v>
      </c>
      <c r="BV202" s="56">
        <v>21</v>
      </c>
    </row>
    <row r="203" spans="1:74" ht="15" customHeight="1" x14ac:dyDescent="0.25">
      <c r="A203" s="53"/>
      <c r="D203" s="52" t="s">
        <v>127</v>
      </c>
      <c r="E203" s="37" t="s">
        <v>964</v>
      </c>
      <c r="G203" s="21">
        <v>4</v>
      </c>
      <c r="J203" s="48"/>
    </row>
    <row r="204" spans="1:74" ht="13.5" customHeight="1" x14ac:dyDescent="0.25">
      <c r="A204" s="10" t="s">
        <v>185</v>
      </c>
      <c r="B204" s="9" t="s">
        <v>847</v>
      </c>
      <c r="C204" s="9" t="s">
        <v>405</v>
      </c>
      <c r="D204" s="76" t="s">
        <v>970</v>
      </c>
      <c r="E204" s="77"/>
      <c r="F204" s="9" t="s">
        <v>778</v>
      </c>
      <c r="G204" s="56">
        <f>'Stavební rozpočet'!G204</f>
        <v>4</v>
      </c>
      <c r="H204" s="56">
        <f>'Stavební rozpočet'!H204</f>
        <v>0</v>
      </c>
      <c r="I204" s="56">
        <f>G204*H204</f>
        <v>0</v>
      </c>
      <c r="J204" s="54" t="s">
        <v>769</v>
      </c>
      <c r="Y204" s="56">
        <f>IF(AP204="5",BI204,0)</f>
        <v>0</v>
      </c>
      <c r="AA204" s="56">
        <f>IF(AP204="1",BG204,0)</f>
        <v>0</v>
      </c>
      <c r="AB204" s="56">
        <f>IF(AP204="1",BH204,0)</f>
        <v>0</v>
      </c>
      <c r="AC204" s="56">
        <f>IF(AP204="7",BG204,0)</f>
        <v>0</v>
      </c>
      <c r="AD204" s="56">
        <f>IF(AP204="7",BH204,0)</f>
        <v>0</v>
      </c>
      <c r="AE204" s="56">
        <f>IF(AP204="2",BG204,0)</f>
        <v>0</v>
      </c>
      <c r="AF204" s="56">
        <f>IF(AP204="2",BH204,0)</f>
        <v>0</v>
      </c>
      <c r="AG204" s="56">
        <f>IF(AP204="0",BI204,0)</f>
        <v>0</v>
      </c>
      <c r="AH204" s="30" t="s">
        <v>847</v>
      </c>
      <c r="AI204" s="56">
        <f>IF(AM204=0,I204,0)</f>
        <v>0</v>
      </c>
      <c r="AJ204" s="56">
        <f>IF(AM204=15,I204,0)</f>
        <v>0</v>
      </c>
      <c r="AK204" s="56">
        <f>IF(AM204=21,I204,0)</f>
        <v>0</v>
      </c>
      <c r="AM204" s="56">
        <v>21</v>
      </c>
      <c r="AN204" s="56">
        <f>H204*0</f>
        <v>0</v>
      </c>
      <c r="AO204" s="56">
        <f>H204*(1-0)</f>
        <v>0</v>
      </c>
      <c r="AP204" s="41" t="s">
        <v>1109</v>
      </c>
      <c r="AU204" s="56">
        <f>AV204+AW204</f>
        <v>0</v>
      </c>
      <c r="AV204" s="56">
        <f>G204*AN204</f>
        <v>0</v>
      </c>
      <c r="AW204" s="56">
        <f>G204*AO204</f>
        <v>0</v>
      </c>
      <c r="AX204" s="41" t="s">
        <v>77</v>
      </c>
      <c r="AY204" s="41" t="s">
        <v>246</v>
      </c>
      <c r="AZ204" s="30" t="s">
        <v>1000</v>
      </c>
      <c r="BB204" s="56">
        <f>AV204+AW204</f>
        <v>0</v>
      </c>
      <c r="BC204" s="56">
        <f>H204/(100-BD204)*100</f>
        <v>0</v>
      </c>
      <c r="BD204" s="56">
        <v>0</v>
      </c>
      <c r="BE204" s="56" t="e">
        <f>#REF!</f>
        <v>#REF!</v>
      </c>
      <c r="BG204" s="56">
        <f>G204*AN204</f>
        <v>0</v>
      </c>
      <c r="BH204" s="56">
        <f>G204*AO204</f>
        <v>0</v>
      </c>
      <c r="BI204" s="56">
        <f>G204*H204</f>
        <v>0</v>
      </c>
      <c r="BJ204" s="56"/>
      <c r="BK204" s="56">
        <v>87</v>
      </c>
      <c r="BV204" s="56">
        <v>21</v>
      </c>
    </row>
    <row r="205" spans="1:74" ht="13.5" customHeight="1" x14ac:dyDescent="0.25">
      <c r="A205" s="57" t="s">
        <v>200</v>
      </c>
      <c r="B205" s="50" t="s">
        <v>847</v>
      </c>
      <c r="C205" s="50" t="s">
        <v>436</v>
      </c>
      <c r="D205" s="135" t="s">
        <v>1134</v>
      </c>
      <c r="E205" s="136"/>
      <c r="F205" s="50" t="s">
        <v>275</v>
      </c>
      <c r="G205" s="31">
        <f>'Stavební rozpočet'!G205</f>
        <v>2</v>
      </c>
      <c r="H205" s="31">
        <f>'Stavební rozpočet'!H205</f>
        <v>0</v>
      </c>
      <c r="I205" s="31">
        <f>G205*H205</f>
        <v>0</v>
      </c>
      <c r="J205" s="47" t="s">
        <v>501</v>
      </c>
      <c r="Y205" s="56">
        <f>IF(AP205="5",BI205,0)</f>
        <v>0</v>
      </c>
      <c r="AA205" s="56">
        <f>IF(AP205="1",BG205,0)</f>
        <v>0</v>
      </c>
      <c r="AB205" s="56">
        <f>IF(AP205="1",BH205,0)</f>
        <v>0</v>
      </c>
      <c r="AC205" s="56">
        <f>IF(AP205="7",BG205,0)</f>
        <v>0</v>
      </c>
      <c r="AD205" s="56">
        <f>IF(AP205="7",BH205,0)</f>
        <v>0</v>
      </c>
      <c r="AE205" s="56">
        <f>IF(AP205="2",BG205,0)</f>
        <v>0</v>
      </c>
      <c r="AF205" s="56">
        <f>IF(AP205="2",BH205,0)</f>
        <v>0</v>
      </c>
      <c r="AG205" s="56">
        <f>IF(AP205="0",BI205,0)</f>
        <v>0</v>
      </c>
      <c r="AH205" s="30" t="s">
        <v>847</v>
      </c>
      <c r="AI205" s="31">
        <f>IF(AM205=0,I205,0)</f>
        <v>0</v>
      </c>
      <c r="AJ205" s="31">
        <f>IF(AM205=15,I205,0)</f>
        <v>0</v>
      </c>
      <c r="AK205" s="31">
        <f>IF(AM205=21,I205,0)</f>
        <v>0</v>
      </c>
      <c r="AM205" s="56">
        <v>21</v>
      </c>
      <c r="AN205" s="56">
        <f>H205*1</f>
        <v>0</v>
      </c>
      <c r="AO205" s="56">
        <f>H205*(1-1)</f>
        <v>0</v>
      </c>
      <c r="AP205" s="58" t="s">
        <v>1109</v>
      </c>
      <c r="AU205" s="56">
        <f>AV205+AW205</f>
        <v>0</v>
      </c>
      <c r="AV205" s="56">
        <f>G205*AN205</f>
        <v>0</v>
      </c>
      <c r="AW205" s="56">
        <f>G205*AO205</f>
        <v>0</v>
      </c>
      <c r="AX205" s="41" t="s">
        <v>77</v>
      </c>
      <c r="AY205" s="41" t="s">
        <v>246</v>
      </c>
      <c r="AZ205" s="30" t="s">
        <v>1000</v>
      </c>
      <c r="BB205" s="56">
        <f>AV205+AW205</f>
        <v>0</v>
      </c>
      <c r="BC205" s="56">
        <f>H205/(100-BD205)*100</f>
        <v>0</v>
      </c>
      <c r="BD205" s="56">
        <v>0</v>
      </c>
      <c r="BE205" s="56" t="e">
        <f>#REF!</f>
        <v>#REF!</v>
      </c>
      <c r="BG205" s="31">
        <f>G205*AN205</f>
        <v>0</v>
      </c>
      <c r="BH205" s="31">
        <f>G205*AO205</f>
        <v>0</v>
      </c>
      <c r="BI205" s="31">
        <f>G205*H205</f>
        <v>0</v>
      </c>
      <c r="BJ205" s="31"/>
      <c r="BK205" s="56">
        <v>87</v>
      </c>
      <c r="BV205" s="56">
        <v>21</v>
      </c>
    </row>
    <row r="206" spans="1:74" ht="15" customHeight="1" x14ac:dyDescent="0.25">
      <c r="A206" s="53"/>
      <c r="D206" s="52" t="s">
        <v>766</v>
      </c>
      <c r="E206" s="37" t="s">
        <v>329</v>
      </c>
      <c r="G206" s="21">
        <v>2</v>
      </c>
      <c r="J206" s="48"/>
    </row>
    <row r="207" spans="1:74" ht="13.5" customHeight="1" x14ac:dyDescent="0.25">
      <c r="A207" s="57" t="s">
        <v>1131</v>
      </c>
      <c r="B207" s="50" t="s">
        <v>847</v>
      </c>
      <c r="C207" s="50" t="s">
        <v>543</v>
      </c>
      <c r="D207" s="135" t="s">
        <v>1173</v>
      </c>
      <c r="E207" s="136"/>
      <c r="F207" s="50" t="s">
        <v>275</v>
      </c>
      <c r="G207" s="31">
        <f>'Stavební rozpočet'!G207</f>
        <v>2</v>
      </c>
      <c r="H207" s="31">
        <f>'Stavební rozpočet'!H207</f>
        <v>0</v>
      </c>
      <c r="I207" s="31">
        <f>G207*H207</f>
        <v>0</v>
      </c>
      <c r="J207" s="47" t="s">
        <v>501</v>
      </c>
      <c r="Y207" s="56">
        <f>IF(AP207="5",BI207,0)</f>
        <v>0</v>
      </c>
      <c r="AA207" s="56">
        <f>IF(AP207="1",BG207,0)</f>
        <v>0</v>
      </c>
      <c r="AB207" s="56">
        <f>IF(AP207="1",BH207,0)</f>
        <v>0</v>
      </c>
      <c r="AC207" s="56">
        <f>IF(AP207="7",BG207,0)</f>
        <v>0</v>
      </c>
      <c r="AD207" s="56">
        <f>IF(AP207="7",BH207,0)</f>
        <v>0</v>
      </c>
      <c r="AE207" s="56">
        <f>IF(AP207="2",BG207,0)</f>
        <v>0</v>
      </c>
      <c r="AF207" s="56">
        <f>IF(AP207="2",BH207,0)</f>
        <v>0</v>
      </c>
      <c r="AG207" s="56">
        <f>IF(AP207="0",BI207,0)</f>
        <v>0</v>
      </c>
      <c r="AH207" s="30" t="s">
        <v>847</v>
      </c>
      <c r="AI207" s="31">
        <f>IF(AM207=0,I207,0)</f>
        <v>0</v>
      </c>
      <c r="AJ207" s="31">
        <f>IF(AM207=15,I207,0)</f>
        <v>0</v>
      </c>
      <c r="AK207" s="31">
        <f>IF(AM207=21,I207,0)</f>
        <v>0</v>
      </c>
      <c r="AM207" s="56">
        <v>21</v>
      </c>
      <c r="AN207" s="56">
        <f>H207*1</f>
        <v>0</v>
      </c>
      <c r="AO207" s="56">
        <f>H207*(1-1)</f>
        <v>0</v>
      </c>
      <c r="AP207" s="58" t="s">
        <v>1109</v>
      </c>
      <c r="AU207" s="56">
        <f>AV207+AW207</f>
        <v>0</v>
      </c>
      <c r="AV207" s="56">
        <f>G207*AN207</f>
        <v>0</v>
      </c>
      <c r="AW207" s="56">
        <f>G207*AO207</f>
        <v>0</v>
      </c>
      <c r="AX207" s="41" t="s">
        <v>77</v>
      </c>
      <c r="AY207" s="41" t="s">
        <v>246</v>
      </c>
      <c r="AZ207" s="30" t="s">
        <v>1000</v>
      </c>
      <c r="BB207" s="56">
        <f>AV207+AW207</f>
        <v>0</v>
      </c>
      <c r="BC207" s="56">
        <f>H207/(100-BD207)*100</f>
        <v>0</v>
      </c>
      <c r="BD207" s="56">
        <v>0</v>
      </c>
      <c r="BE207" s="56" t="e">
        <f>#REF!</f>
        <v>#REF!</v>
      </c>
      <c r="BG207" s="31">
        <f>G207*AN207</f>
        <v>0</v>
      </c>
      <c r="BH207" s="31">
        <f>G207*AO207</f>
        <v>0</v>
      </c>
      <c r="BI207" s="31">
        <f>G207*H207</f>
        <v>0</v>
      </c>
      <c r="BJ207" s="31"/>
      <c r="BK207" s="56">
        <v>87</v>
      </c>
      <c r="BV207" s="56">
        <v>21</v>
      </c>
    </row>
    <row r="208" spans="1:74" ht="15" customHeight="1" x14ac:dyDescent="0.25">
      <c r="A208" s="53"/>
      <c r="D208" s="52" t="s">
        <v>766</v>
      </c>
      <c r="E208" s="37" t="s">
        <v>204</v>
      </c>
      <c r="G208" s="21">
        <v>2</v>
      </c>
      <c r="J208" s="48"/>
    </row>
    <row r="209" spans="1:74" ht="13.5" customHeight="1" x14ac:dyDescent="0.25">
      <c r="A209" s="10" t="s">
        <v>659</v>
      </c>
      <c r="B209" s="9" t="s">
        <v>847</v>
      </c>
      <c r="C209" s="9" t="s">
        <v>69</v>
      </c>
      <c r="D209" s="76" t="s">
        <v>344</v>
      </c>
      <c r="E209" s="77"/>
      <c r="F209" s="9" t="s">
        <v>778</v>
      </c>
      <c r="G209" s="56">
        <f>'Stavební rozpočet'!G209</f>
        <v>77</v>
      </c>
      <c r="H209" s="56">
        <f>'Stavební rozpočet'!H209</f>
        <v>0</v>
      </c>
      <c r="I209" s="56">
        <f>G209*H209</f>
        <v>0</v>
      </c>
      <c r="J209" s="54" t="s">
        <v>769</v>
      </c>
      <c r="Y209" s="56">
        <f>IF(AP209="5",BI209,0)</f>
        <v>0</v>
      </c>
      <c r="AA209" s="56">
        <f>IF(AP209="1",BG209,0)</f>
        <v>0</v>
      </c>
      <c r="AB209" s="56">
        <f>IF(AP209="1",BH209,0)</f>
        <v>0</v>
      </c>
      <c r="AC209" s="56">
        <f>IF(AP209="7",BG209,0)</f>
        <v>0</v>
      </c>
      <c r="AD209" s="56">
        <f>IF(AP209="7",BH209,0)</f>
        <v>0</v>
      </c>
      <c r="AE209" s="56">
        <f>IF(AP209="2",BG209,0)</f>
        <v>0</v>
      </c>
      <c r="AF209" s="56">
        <f>IF(AP209="2",BH209,0)</f>
        <v>0</v>
      </c>
      <c r="AG209" s="56">
        <f>IF(AP209="0",BI209,0)</f>
        <v>0</v>
      </c>
      <c r="AH209" s="30" t="s">
        <v>847</v>
      </c>
      <c r="AI209" s="56">
        <f>IF(AM209=0,I209,0)</f>
        <v>0</v>
      </c>
      <c r="AJ209" s="56">
        <f>IF(AM209=15,I209,0)</f>
        <v>0</v>
      </c>
      <c r="AK209" s="56">
        <f>IF(AM209=21,I209,0)</f>
        <v>0</v>
      </c>
      <c r="AM209" s="56">
        <v>21</v>
      </c>
      <c r="AN209" s="56">
        <f>H209*0</f>
        <v>0</v>
      </c>
      <c r="AO209" s="56">
        <f>H209*(1-0)</f>
        <v>0</v>
      </c>
      <c r="AP209" s="41" t="s">
        <v>1109</v>
      </c>
      <c r="AU209" s="56">
        <f>AV209+AW209</f>
        <v>0</v>
      </c>
      <c r="AV209" s="56">
        <f>G209*AN209</f>
        <v>0</v>
      </c>
      <c r="AW209" s="56">
        <f>G209*AO209</f>
        <v>0</v>
      </c>
      <c r="AX209" s="41" t="s">
        <v>77</v>
      </c>
      <c r="AY209" s="41" t="s">
        <v>246</v>
      </c>
      <c r="AZ209" s="30" t="s">
        <v>1000</v>
      </c>
      <c r="BB209" s="56">
        <f>AV209+AW209</f>
        <v>0</v>
      </c>
      <c r="BC209" s="56">
        <f>H209/(100-BD209)*100</f>
        <v>0</v>
      </c>
      <c r="BD209" s="56">
        <v>0</v>
      </c>
      <c r="BE209" s="56" t="e">
        <f>#REF!</f>
        <v>#REF!</v>
      </c>
      <c r="BG209" s="56">
        <f>G209*AN209</f>
        <v>0</v>
      </c>
      <c r="BH209" s="56">
        <f>G209*AO209</f>
        <v>0</v>
      </c>
      <c r="BI209" s="56">
        <f>G209*H209</f>
        <v>0</v>
      </c>
      <c r="BJ209" s="56"/>
      <c r="BK209" s="56">
        <v>87</v>
      </c>
      <c r="BV209" s="56">
        <v>21</v>
      </c>
    </row>
    <row r="210" spans="1:74" ht="13.5" customHeight="1" x14ac:dyDescent="0.25">
      <c r="A210" s="57" t="s">
        <v>552</v>
      </c>
      <c r="B210" s="50" t="s">
        <v>847</v>
      </c>
      <c r="C210" s="50" t="s">
        <v>186</v>
      </c>
      <c r="D210" s="135" t="s">
        <v>466</v>
      </c>
      <c r="E210" s="136"/>
      <c r="F210" s="50" t="s">
        <v>275</v>
      </c>
      <c r="G210" s="31">
        <f>'Stavební rozpočet'!G210</f>
        <v>65</v>
      </c>
      <c r="H210" s="31">
        <f>'Stavební rozpočet'!H210</f>
        <v>0</v>
      </c>
      <c r="I210" s="31">
        <f>G210*H210</f>
        <v>0</v>
      </c>
      <c r="J210" s="47" t="s">
        <v>501</v>
      </c>
      <c r="Y210" s="56">
        <f>IF(AP210="5",BI210,0)</f>
        <v>0</v>
      </c>
      <c r="AA210" s="56">
        <f>IF(AP210="1",BG210,0)</f>
        <v>0</v>
      </c>
      <c r="AB210" s="56">
        <f>IF(AP210="1",BH210,0)</f>
        <v>0</v>
      </c>
      <c r="AC210" s="56">
        <f>IF(AP210="7",BG210,0)</f>
        <v>0</v>
      </c>
      <c r="AD210" s="56">
        <f>IF(AP210="7",BH210,0)</f>
        <v>0</v>
      </c>
      <c r="AE210" s="56">
        <f>IF(AP210="2",BG210,0)</f>
        <v>0</v>
      </c>
      <c r="AF210" s="56">
        <f>IF(AP210="2",BH210,0)</f>
        <v>0</v>
      </c>
      <c r="AG210" s="56">
        <f>IF(AP210="0",BI210,0)</f>
        <v>0</v>
      </c>
      <c r="AH210" s="30" t="s">
        <v>847</v>
      </c>
      <c r="AI210" s="31">
        <f>IF(AM210=0,I210,0)</f>
        <v>0</v>
      </c>
      <c r="AJ210" s="31">
        <f>IF(AM210=15,I210,0)</f>
        <v>0</v>
      </c>
      <c r="AK210" s="31">
        <f>IF(AM210=21,I210,0)</f>
        <v>0</v>
      </c>
      <c r="AM210" s="56">
        <v>21</v>
      </c>
      <c r="AN210" s="56">
        <f>H210*1</f>
        <v>0</v>
      </c>
      <c r="AO210" s="56">
        <f>H210*(1-1)</f>
        <v>0</v>
      </c>
      <c r="AP210" s="58" t="s">
        <v>1109</v>
      </c>
      <c r="AU210" s="56">
        <f>AV210+AW210</f>
        <v>0</v>
      </c>
      <c r="AV210" s="56">
        <f>G210*AN210</f>
        <v>0</v>
      </c>
      <c r="AW210" s="56">
        <f>G210*AO210</f>
        <v>0</v>
      </c>
      <c r="AX210" s="41" t="s">
        <v>77</v>
      </c>
      <c r="AY210" s="41" t="s">
        <v>246</v>
      </c>
      <c r="AZ210" s="30" t="s">
        <v>1000</v>
      </c>
      <c r="BB210" s="56">
        <f>AV210+AW210</f>
        <v>0</v>
      </c>
      <c r="BC210" s="56">
        <f>H210/(100-BD210)*100</f>
        <v>0</v>
      </c>
      <c r="BD210" s="56">
        <v>0</v>
      </c>
      <c r="BE210" s="56" t="e">
        <f>#REF!</f>
        <v>#REF!</v>
      </c>
      <c r="BG210" s="31">
        <f>G210*AN210</f>
        <v>0</v>
      </c>
      <c r="BH210" s="31">
        <f>G210*AO210</f>
        <v>0</v>
      </c>
      <c r="BI210" s="31">
        <f>G210*H210</f>
        <v>0</v>
      </c>
      <c r="BJ210" s="31"/>
      <c r="BK210" s="56">
        <v>87</v>
      </c>
      <c r="BV210" s="56">
        <v>21</v>
      </c>
    </row>
    <row r="211" spans="1:74" ht="15" customHeight="1" x14ac:dyDescent="0.25">
      <c r="A211" s="53"/>
      <c r="D211" s="52" t="s">
        <v>1223</v>
      </c>
      <c r="E211" s="37" t="s">
        <v>695</v>
      </c>
      <c r="G211" s="21">
        <v>65</v>
      </c>
      <c r="J211" s="48"/>
    </row>
    <row r="212" spans="1:74" ht="13.5" customHeight="1" x14ac:dyDescent="0.25">
      <c r="A212" s="57" t="s">
        <v>724</v>
      </c>
      <c r="B212" s="50" t="s">
        <v>847</v>
      </c>
      <c r="C212" s="50" t="s">
        <v>662</v>
      </c>
      <c r="D212" s="135" t="s">
        <v>295</v>
      </c>
      <c r="E212" s="136"/>
      <c r="F212" s="50" t="s">
        <v>275</v>
      </c>
      <c r="G212" s="31">
        <f>'Stavební rozpočet'!G212</f>
        <v>2</v>
      </c>
      <c r="H212" s="31">
        <f>'Stavební rozpočet'!H212</f>
        <v>0</v>
      </c>
      <c r="I212" s="31">
        <f>G212*H212</f>
        <v>0</v>
      </c>
      <c r="J212" s="47" t="s">
        <v>501</v>
      </c>
      <c r="Y212" s="56">
        <f>IF(AP212="5",BI212,0)</f>
        <v>0</v>
      </c>
      <c r="AA212" s="56">
        <f>IF(AP212="1",BG212,0)</f>
        <v>0</v>
      </c>
      <c r="AB212" s="56">
        <f>IF(AP212="1",BH212,0)</f>
        <v>0</v>
      </c>
      <c r="AC212" s="56">
        <f>IF(AP212="7",BG212,0)</f>
        <v>0</v>
      </c>
      <c r="AD212" s="56">
        <f>IF(AP212="7",BH212,0)</f>
        <v>0</v>
      </c>
      <c r="AE212" s="56">
        <f>IF(AP212="2",BG212,0)</f>
        <v>0</v>
      </c>
      <c r="AF212" s="56">
        <f>IF(AP212="2",BH212,0)</f>
        <v>0</v>
      </c>
      <c r="AG212" s="56">
        <f>IF(AP212="0",BI212,0)</f>
        <v>0</v>
      </c>
      <c r="AH212" s="30" t="s">
        <v>847</v>
      </c>
      <c r="AI212" s="31">
        <f>IF(AM212=0,I212,0)</f>
        <v>0</v>
      </c>
      <c r="AJ212" s="31">
        <f>IF(AM212=15,I212,0)</f>
        <v>0</v>
      </c>
      <c r="AK212" s="31">
        <f>IF(AM212=21,I212,0)</f>
        <v>0</v>
      </c>
      <c r="AM212" s="56">
        <v>21</v>
      </c>
      <c r="AN212" s="56">
        <f>H212*1</f>
        <v>0</v>
      </c>
      <c r="AO212" s="56">
        <f>H212*(1-1)</f>
        <v>0</v>
      </c>
      <c r="AP212" s="58" t="s">
        <v>1109</v>
      </c>
      <c r="AU212" s="56">
        <f>AV212+AW212</f>
        <v>0</v>
      </c>
      <c r="AV212" s="56">
        <f>G212*AN212</f>
        <v>0</v>
      </c>
      <c r="AW212" s="56">
        <f>G212*AO212</f>
        <v>0</v>
      </c>
      <c r="AX212" s="41" t="s">
        <v>77</v>
      </c>
      <c r="AY212" s="41" t="s">
        <v>246</v>
      </c>
      <c r="AZ212" s="30" t="s">
        <v>1000</v>
      </c>
      <c r="BB212" s="56">
        <f>AV212+AW212</f>
        <v>0</v>
      </c>
      <c r="BC212" s="56">
        <f>H212/(100-BD212)*100</f>
        <v>0</v>
      </c>
      <c r="BD212" s="56">
        <v>0</v>
      </c>
      <c r="BE212" s="56" t="e">
        <f>#REF!</f>
        <v>#REF!</v>
      </c>
      <c r="BG212" s="31">
        <f>G212*AN212</f>
        <v>0</v>
      </c>
      <c r="BH212" s="31">
        <f>G212*AO212</f>
        <v>0</v>
      </c>
      <c r="BI212" s="31">
        <f>G212*H212</f>
        <v>0</v>
      </c>
      <c r="BJ212" s="31"/>
      <c r="BK212" s="56">
        <v>87</v>
      </c>
      <c r="BV212" s="56">
        <v>21</v>
      </c>
    </row>
    <row r="213" spans="1:74" ht="15" customHeight="1" x14ac:dyDescent="0.25">
      <c r="A213" s="53"/>
      <c r="D213" s="52" t="s">
        <v>766</v>
      </c>
      <c r="E213" s="37" t="s">
        <v>1078</v>
      </c>
      <c r="G213" s="21">
        <v>2</v>
      </c>
      <c r="J213" s="48"/>
    </row>
    <row r="214" spans="1:74" ht="13.5" customHeight="1" x14ac:dyDescent="0.25">
      <c r="A214" s="57" t="s">
        <v>55</v>
      </c>
      <c r="B214" s="50" t="s">
        <v>847</v>
      </c>
      <c r="C214" s="50" t="s">
        <v>367</v>
      </c>
      <c r="D214" s="135" t="s">
        <v>19</v>
      </c>
      <c r="E214" s="136"/>
      <c r="F214" s="50" t="s">
        <v>275</v>
      </c>
      <c r="G214" s="31">
        <f>'Stavební rozpočet'!G214</f>
        <v>10</v>
      </c>
      <c r="H214" s="31">
        <f>'Stavební rozpočet'!H214</f>
        <v>0</v>
      </c>
      <c r="I214" s="31">
        <f>G214*H214</f>
        <v>0</v>
      </c>
      <c r="J214" s="47" t="s">
        <v>501</v>
      </c>
      <c r="Y214" s="56">
        <f>IF(AP214="5",BI214,0)</f>
        <v>0</v>
      </c>
      <c r="AA214" s="56">
        <f>IF(AP214="1",BG214,0)</f>
        <v>0</v>
      </c>
      <c r="AB214" s="56">
        <f>IF(AP214="1",BH214,0)</f>
        <v>0</v>
      </c>
      <c r="AC214" s="56">
        <f>IF(AP214="7",BG214,0)</f>
        <v>0</v>
      </c>
      <c r="AD214" s="56">
        <f>IF(AP214="7",BH214,0)</f>
        <v>0</v>
      </c>
      <c r="AE214" s="56">
        <f>IF(AP214="2",BG214,0)</f>
        <v>0</v>
      </c>
      <c r="AF214" s="56">
        <f>IF(AP214="2",BH214,0)</f>
        <v>0</v>
      </c>
      <c r="AG214" s="56">
        <f>IF(AP214="0",BI214,0)</f>
        <v>0</v>
      </c>
      <c r="AH214" s="30" t="s">
        <v>847</v>
      </c>
      <c r="AI214" s="31">
        <f>IF(AM214=0,I214,0)</f>
        <v>0</v>
      </c>
      <c r="AJ214" s="31">
        <f>IF(AM214=15,I214,0)</f>
        <v>0</v>
      </c>
      <c r="AK214" s="31">
        <f>IF(AM214=21,I214,0)</f>
        <v>0</v>
      </c>
      <c r="AM214" s="56">
        <v>21</v>
      </c>
      <c r="AN214" s="56">
        <f>H214*1</f>
        <v>0</v>
      </c>
      <c r="AO214" s="56">
        <f>H214*(1-1)</f>
        <v>0</v>
      </c>
      <c r="AP214" s="58" t="s">
        <v>1109</v>
      </c>
      <c r="AU214" s="56">
        <f>AV214+AW214</f>
        <v>0</v>
      </c>
      <c r="AV214" s="56">
        <f>G214*AN214</f>
        <v>0</v>
      </c>
      <c r="AW214" s="56">
        <f>G214*AO214</f>
        <v>0</v>
      </c>
      <c r="AX214" s="41" t="s">
        <v>77</v>
      </c>
      <c r="AY214" s="41" t="s">
        <v>246</v>
      </c>
      <c r="AZ214" s="30" t="s">
        <v>1000</v>
      </c>
      <c r="BB214" s="56">
        <f>AV214+AW214</f>
        <v>0</v>
      </c>
      <c r="BC214" s="56">
        <f>H214/(100-BD214)*100</f>
        <v>0</v>
      </c>
      <c r="BD214" s="56">
        <v>0</v>
      </c>
      <c r="BE214" s="56" t="e">
        <f>#REF!</f>
        <v>#REF!</v>
      </c>
      <c r="BG214" s="31">
        <f>G214*AN214</f>
        <v>0</v>
      </c>
      <c r="BH214" s="31">
        <f>G214*AO214</f>
        <v>0</v>
      </c>
      <c r="BI214" s="31">
        <f>G214*H214</f>
        <v>0</v>
      </c>
      <c r="BJ214" s="31"/>
      <c r="BK214" s="56">
        <v>87</v>
      </c>
      <c r="BV214" s="56">
        <v>21</v>
      </c>
    </row>
    <row r="215" spans="1:74" ht="15" customHeight="1" x14ac:dyDescent="0.25">
      <c r="A215" s="53"/>
      <c r="D215" s="52" t="s">
        <v>640</v>
      </c>
      <c r="E215" s="37" t="s">
        <v>444</v>
      </c>
      <c r="G215" s="21">
        <v>10</v>
      </c>
      <c r="J215" s="48"/>
    </row>
    <row r="216" spans="1:74" ht="13.5" customHeight="1" x14ac:dyDescent="0.25">
      <c r="A216" s="10" t="s">
        <v>1190</v>
      </c>
      <c r="B216" s="9" t="s">
        <v>847</v>
      </c>
      <c r="C216" s="9" t="s">
        <v>817</v>
      </c>
      <c r="D216" s="76" t="s">
        <v>1243</v>
      </c>
      <c r="E216" s="77"/>
      <c r="F216" s="9" t="s">
        <v>853</v>
      </c>
      <c r="G216" s="56">
        <f>'Stavební rozpočet'!G216</f>
        <v>1</v>
      </c>
      <c r="H216" s="56">
        <f>'Stavební rozpočet'!H216</f>
        <v>0</v>
      </c>
      <c r="I216" s="56">
        <f>G216*H216</f>
        <v>0</v>
      </c>
      <c r="J216" s="54" t="s">
        <v>422</v>
      </c>
      <c r="Y216" s="56">
        <f>IF(AP216="5",BI216,0)</f>
        <v>0</v>
      </c>
      <c r="AA216" s="56">
        <f>IF(AP216="1",BG216,0)</f>
        <v>0</v>
      </c>
      <c r="AB216" s="56">
        <f>IF(AP216="1",BH216,0)</f>
        <v>0</v>
      </c>
      <c r="AC216" s="56">
        <f>IF(AP216="7",BG216,0)</f>
        <v>0</v>
      </c>
      <c r="AD216" s="56">
        <f>IF(AP216="7",BH216,0)</f>
        <v>0</v>
      </c>
      <c r="AE216" s="56">
        <f>IF(AP216="2",BG216,0)</f>
        <v>0</v>
      </c>
      <c r="AF216" s="56">
        <f>IF(AP216="2",BH216,0)</f>
        <v>0</v>
      </c>
      <c r="AG216" s="56">
        <f>IF(AP216="0",BI216,0)</f>
        <v>0</v>
      </c>
      <c r="AH216" s="30" t="s">
        <v>847</v>
      </c>
      <c r="AI216" s="56">
        <f>IF(AM216=0,I216,0)</f>
        <v>0</v>
      </c>
      <c r="AJ216" s="56">
        <f>IF(AM216=15,I216,0)</f>
        <v>0</v>
      </c>
      <c r="AK216" s="56">
        <f>IF(AM216=21,I216,0)</f>
        <v>0</v>
      </c>
      <c r="AM216" s="56">
        <v>21</v>
      </c>
      <c r="AN216" s="56">
        <f>H216*0</f>
        <v>0</v>
      </c>
      <c r="AO216" s="56">
        <f>H216*(1-0)</f>
        <v>0</v>
      </c>
      <c r="AP216" s="41" t="s">
        <v>1109</v>
      </c>
      <c r="AU216" s="56">
        <f>AV216+AW216</f>
        <v>0</v>
      </c>
      <c r="AV216" s="56">
        <f>G216*AN216</f>
        <v>0</v>
      </c>
      <c r="AW216" s="56">
        <f>G216*AO216</f>
        <v>0</v>
      </c>
      <c r="AX216" s="41" t="s">
        <v>77</v>
      </c>
      <c r="AY216" s="41" t="s">
        <v>246</v>
      </c>
      <c r="AZ216" s="30" t="s">
        <v>1000</v>
      </c>
      <c r="BB216" s="56">
        <f>AV216+AW216</f>
        <v>0</v>
      </c>
      <c r="BC216" s="56">
        <f>H216/(100-BD216)*100</f>
        <v>0</v>
      </c>
      <c r="BD216" s="56">
        <v>0</v>
      </c>
      <c r="BE216" s="56" t="e">
        <f>#REF!</f>
        <v>#REF!</v>
      </c>
      <c r="BG216" s="56">
        <f>G216*AN216</f>
        <v>0</v>
      </c>
      <c r="BH216" s="56">
        <f>G216*AO216</f>
        <v>0</v>
      </c>
      <c r="BI216" s="56">
        <f>G216*H216</f>
        <v>0</v>
      </c>
      <c r="BJ216" s="56"/>
      <c r="BK216" s="56">
        <v>87</v>
      </c>
      <c r="BV216" s="56">
        <v>21</v>
      </c>
    </row>
    <row r="217" spans="1:74" ht="13.5" customHeight="1" x14ac:dyDescent="0.25">
      <c r="A217" s="53"/>
      <c r="C217" s="66" t="s">
        <v>578</v>
      </c>
      <c r="D217" s="137" t="s">
        <v>532</v>
      </c>
      <c r="E217" s="138"/>
      <c r="F217" s="138"/>
      <c r="G217" s="138"/>
      <c r="H217" s="138"/>
      <c r="I217" s="138"/>
      <c r="J217" s="139"/>
    </row>
    <row r="218" spans="1:74" ht="15" customHeight="1" x14ac:dyDescent="0.25">
      <c r="A218" s="53"/>
      <c r="D218" s="52" t="s">
        <v>1109</v>
      </c>
      <c r="E218" s="37" t="s">
        <v>503</v>
      </c>
      <c r="G218" s="21">
        <v>1</v>
      </c>
      <c r="J218" s="48"/>
    </row>
    <row r="219" spans="1:74" ht="13.5" customHeight="1" x14ac:dyDescent="0.25">
      <c r="A219" s="57" t="s">
        <v>1171</v>
      </c>
      <c r="B219" s="50" t="s">
        <v>847</v>
      </c>
      <c r="C219" s="50" t="s">
        <v>271</v>
      </c>
      <c r="D219" s="135" t="s">
        <v>1068</v>
      </c>
      <c r="E219" s="136"/>
      <c r="F219" s="50" t="s">
        <v>909</v>
      </c>
      <c r="G219" s="31">
        <f>'Stavební rozpočet'!G219</f>
        <v>125</v>
      </c>
      <c r="H219" s="31">
        <f>'Stavební rozpočet'!H219</f>
        <v>0</v>
      </c>
      <c r="I219" s="31">
        <f>G219*H219</f>
        <v>0</v>
      </c>
      <c r="J219" s="47" t="s">
        <v>501</v>
      </c>
      <c r="Y219" s="56">
        <f>IF(AP219="5",BI219,0)</f>
        <v>0</v>
      </c>
      <c r="AA219" s="56">
        <f>IF(AP219="1",BG219,0)</f>
        <v>0</v>
      </c>
      <c r="AB219" s="56">
        <f>IF(AP219="1",BH219,0)</f>
        <v>0</v>
      </c>
      <c r="AC219" s="56">
        <f>IF(AP219="7",BG219,0)</f>
        <v>0</v>
      </c>
      <c r="AD219" s="56">
        <f>IF(AP219="7",BH219,0)</f>
        <v>0</v>
      </c>
      <c r="AE219" s="56">
        <f>IF(AP219="2",BG219,0)</f>
        <v>0</v>
      </c>
      <c r="AF219" s="56">
        <f>IF(AP219="2",BH219,0)</f>
        <v>0</v>
      </c>
      <c r="AG219" s="56">
        <f>IF(AP219="0",BI219,0)</f>
        <v>0</v>
      </c>
      <c r="AH219" s="30" t="s">
        <v>847</v>
      </c>
      <c r="AI219" s="31">
        <f>IF(AM219=0,I219,0)</f>
        <v>0</v>
      </c>
      <c r="AJ219" s="31">
        <f>IF(AM219=15,I219,0)</f>
        <v>0</v>
      </c>
      <c r="AK219" s="31">
        <f>IF(AM219=21,I219,0)</f>
        <v>0</v>
      </c>
      <c r="AM219" s="56">
        <v>21</v>
      </c>
      <c r="AN219" s="56">
        <f>H219*1</f>
        <v>0</v>
      </c>
      <c r="AO219" s="56">
        <f>H219*(1-1)</f>
        <v>0</v>
      </c>
      <c r="AP219" s="58" t="s">
        <v>1109</v>
      </c>
      <c r="AU219" s="56">
        <f>AV219+AW219</f>
        <v>0</v>
      </c>
      <c r="AV219" s="56">
        <f>G219*AN219</f>
        <v>0</v>
      </c>
      <c r="AW219" s="56">
        <f>G219*AO219</f>
        <v>0</v>
      </c>
      <c r="AX219" s="41" t="s">
        <v>77</v>
      </c>
      <c r="AY219" s="41" t="s">
        <v>246</v>
      </c>
      <c r="AZ219" s="30" t="s">
        <v>1000</v>
      </c>
      <c r="BB219" s="56">
        <f>AV219+AW219</f>
        <v>0</v>
      </c>
      <c r="BC219" s="56">
        <f>H219/(100-BD219)*100</f>
        <v>0</v>
      </c>
      <c r="BD219" s="56">
        <v>0</v>
      </c>
      <c r="BE219" s="56" t="e">
        <f>#REF!</f>
        <v>#REF!</v>
      </c>
      <c r="BG219" s="31">
        <f>G219*AN219</f>
        <v>0</v>
      </c>
      <c r="BH219" s="31">
        <f>G219*AO219</f>
        <v>0</v>
      </c>
      <c r="BI219" s="31">
        <f>G219*H219</f>
        <v>0</v>
      </c>
      <c r="BJ219" s="31"/>
      <c r="BK219" s="56">
        <v>87</v>
      </c>
      <c r="BV219" s="56">
        <v>21</v>
      </c>
    </row>
    <row r="220" spans="1:74" ht="15" customHeight="1" x14ac:dyDescent="0.25">
      <c r="A220" s="53"/>
      <c r="D220" s="52" t="s">
        <v>540</v>
      </c>
      <c r="E220" s="37" t="s">
        <v>245</v>
      </c>
      <c r="G220" s="21">
        <v>125.00000000000001</v>
      </c>
      <c r="J220" s="48"/>
    </row>
    <row r="221" spans="1:74" ht="13.5" customHeight="1" x14ac:dyDescent="0.25">
      <c r="A221" s="57" t="s">
        <v>1169</v>
      </c>
      <c r="B221" s="50" t="s">
        <v>847</v>
      </c>
      <c r="C221" s="50" t="s">
        <v>294</v>
      </c>
      <c r="D221" s="135" t="s">
        <v>758</v>
      </c>
      <c r="E221" s="136"/>
      <c r="F221" s="50" t="s">
        <v>909</v>
      </c>
      <c r="G221" s="31">
        <f>'Stavební rozpočet'!G221</f>
        <v>50</v>
      </c>
      <c r="H221" s="31">
        <f>'Stavební rozpočet'!H221</f>
        <v>0</v>
      </c>
      <c r="I221" s="31">
        <f>G221*H221</f>
        <v>0</v>
      </c>
      <c r="J221" s="47" t="s">
        <v>501</v>
      </c>
      <c r="Y221" s="56">
        <f>IF(AP221="5",BI221,0)</f>
        <v>0</v>
      </c>
      <c r="AA221" s="56">
        <f>IF(AP221="1",BG221,0)</f>
        <v>0</v>
      </c>
      <c r="AB221" s="56">
        <f>IF(AP221="1",BH221,0)</f>
        <v>0</v>
      </c>
      <c r="AC221" s="56">
        <f>IF(AP221="7",BG221,0)</f>
        <v>0</v>
      </c>
      <c r="AD221" s="56">
        <f>IF(AP221="7",BH221,0)</f>
        <v>0</v>
      </c>
      <c r="AE221" s="56">
        <f>IF(AP221="2",BG221,0)</f>
        <v>0</v>
      </c>
      <c r="AF221" s="56">
        <f>IF(AP221="2",BH221,0)</f>
        <v>0</v>
      </c>
      <c r="AG221" s="56">
        <f>IF(AP221="0",BI221,0)</f>
        <v>0</v>
      </c>
      <c r="AH221" s="30" t="s">
        <v>847</v>
      </c>
      <c r="AI221" s="31">
        <f>IF(AM221=0,I221,0)</f>
        <v>0</v>
      </c>
      <c r="AJ221" s="31">
        <f>IF(AM221=15,I221,0)</f>
        <v>0</v>
      </c>
      <c r="AK221" s="31">
        <f>IF(AM221=21,I221,0)</f>
        <v>0</v>
      </c>
      <c r="AM221" s="56">
        <v>21</v>
      </c>
      <c r="AN221" s="56">
        <f>H221*1</f>
        <v>0</v>
      </c>
      <c r="AO221" s="56">
        <f>H221*(1-1)</f>
        <v>0</v>
      </c>
      <c r="AP221" s="58" t="s">
        <v>1109</v>
      </c>
      <c r="AU221" s="56">
        <f>AV221+AW221</f>
        <v>0</v>
      </c>
      <c r="AV221" s="56">
        <f>G221*AN221</f>
        <v>0</v>
      </c>
      <c r="AW221" s="56">
        <f>G221*AO221</f>
        <v>0</v>
      </c>
      <c r="AX221" s="41" t="s">
        <v>77</v>
      </c>
      <c r="AY221" s="41" t="s">
        <v>246</v>
      </c>
      <c r="AZ221" s="30" t="s">
        <v>1000</v>
      </c>
      <c r="BB221" s="56">
        <f>AV221+AW221</f>
        <v>0</v>
      </c>
      <c r="BC221" s="56">
        <f>H221/(100-BD221)*100</f>
        <v>0</v>
      </c>
      <c r="BD221" s="56">
        <v>0</v>
      </c>
      <c r="BE221" s="56" t="e">
        <f>#REF!</f>
        <v>#REF!</v>
      </c>
      <c r="BG221" s="31">
        <f>G221*AN221</f>
        <v>0</v>
      </c>
      <c r="BH221" s="31">
        <f>G221*AO221</f>
        <v>0</v>
      </c>
      <c r="BI221" s="31">
        <f>G221*H221</f>
        <v>0</v>
      </c>
      <c r="BJ221" s="31"/>
      <c r="BK221" s="56">
        <v>87</v>
      </c>
      <c r="BV221" s="56">
        <v>21</v>
      </c>
    </row>
    <row r="222" spans="1:74" ht="15" customHeight="1" x14ac:dyDescent="0.25">
      <c r="A222" s="53"/>
      <c r="D222" s="52" t="s">
        <v>898</v>
      </c>
      <c r="E222" s="37" t="s">
        <v>553</v>
      </c>
      <c r="G222" s="21">
        <v>50.000000000000007</v>
      </c>
      <c r="J222" s="48"/>
    </row>
    <row r="223" spans="1:74" ht="13.5" customHeight="1" x14ac:dyDescent="0.25">
      <c r="A223" s="57" t="s">
        <v>54</v>
      </c>
      <c r="B223" s="50" t="s">
        <v>847</v>
      </c>
      <c r="C223" s="50" t="s">
        <v>1014</v>
      </c>
      <c r="D223" s="135" t="s">
        <v>677</v>
      </c>
      <c r="E223" s="136"/>
      <c r="F223" s="50" t="s">
        <v>275</v>
      </c>
      <c r="G223" s="31">
        <f>'Stavební rozpočet'!G223</f>
        <v>1</v>
      </c>
      <c r="H223" s="31">
        <f>'Stavební rozpočet'!H223</f>
        <v>0</v>
      </c>
      <c r="I223" s="31">
        <f>G223*H223</f>
        <v>0</v>
      </c>
      <c r="J223" s="47" t="s">
        <v>501</v>
      </c>
      <c r="Y223" s="56">
        <f>IF(AP223="5",BI223,0)</f>
        <v>0</v>
      </c>
      <c r="AA223" s="56">
        <f>IF(AP223="1",BG223,0)</f>
        <v>0</v>
      </c>
      <c r="AB223" s="56">
        <f>IF(AP223="1",BH223,0)</f>
        <v>0</v>
      </c>
      <c r="AC223" s="56">
        <f>IF(AP223="7",BG223,0)</f>
        <v>0</v>
      </c>
      <c r="AD223" s="56">
        <f>IF(AP223="7",BH223,0)</f>
        <v>0</v>
      </c>
      <c r="AE223" s="56">
        <f>IF(AP223="2",BG223,0)</f>
        <v>0</v>
      </c>
      <c r="AF223" s="56">
        <f>IF(AP223="2",BH223,0)</f>
        <v>0</v>
      </c>
      <c r="AG223" s="56">
        <f>IF(AP223="0",BI223,0)</f>
        <v>0</v>
      </c>
      <c r="AH223" s="30" t="s">
        <v>847</v>
      </c>
      <c r="AI223" s="31">
        <f>IF(AM223=0,I223,0)</f>
        <v>0</v>
      </c>
      <c r="AJ223" s="31">
        <f>IF(AM223=15,I223,0)</f>
        <v>0</v>
      </c>
      <c r="AK223" s="31">
        <f>IF(AM223=21,I223,0)</f>
        <v>0</v>
      </c>
      <c r="AM223" s="56">
        <v>21</v>
      </c>
      <c r="AN223" s="56">
        <f>H223*1</f>
        <v>0</v>
      </c>
      <c r="AO223" s="56">
        <f>H223*(1-1)</f>
        <v>0</v>
      </c>
      <c r="AP223" s="58" t="s">
        <v>1109</v>
      </c>
      <c r="AU223" s="56">
        <f>AV223+AW223</f>
        <v>0</v>
      </c>
      <c r="AV223" s="56">
        <f>G223*AN223</f>
        <v>0</v>
      </c>
      <c r="AW223" s="56">
        <f>G223*AO223</f>
        <v>0</v>
      </c>
      <c r="AX223" s="41" t="s">
        <v>77</v>
      </c>
      <c r="AY223" s="41" t="s">
        <v>246</v>
      </c>
      <c r="AZ223" s="30" t="s">
        <v>1000</v>
      </c>
      <c r="BB223" s="56">
        <f>AV223+AW223</f>
        <v>0</v>
      </c>
      <c r="BC223" s="56">
        <f>H223/(100-BD223)*100</f>
        <v>0</v>
      </c>
      <c r="BD223" s="56">
        <v>0</v>
      </c>
      <c r="BE223" s="56" t="e">
        <f>#REF!</f>
        <v>#REF!</v>
      </c>
      <c r="BG223" s="31">
        <f>G223*AN223</f>
        <v>0</v>
      </c>
      <c r="BH223" s="31">
        <f>G223*AO223</f>
        <v>0</v>
      </c>
      <c r="BI223" s="31">
        <f>G223*H223</f>
        <v>0</v>
      </c>
      <c r="BJ223" s="31"/>
      <c r="BK223" s="56">
        <v>87</v>
      </c>
      <c r="BV223" s="56">
        <v>21</v>
      </c>
    </row>
    <row r="224" spans="1:74" ht="15" customHeight="1" x14ac:dyDescent="0.25">
      <c r="A224" s="53"/>
      <c r="D224" s="52" t="s">
        <v>1109</v>
      </c>
      <c r="E224" s="37" t="s">
        <v>974</v>
      </c>
      <c r="G224" s="21">
        <v>1</v>
      </c>
      <c r="J224" s="48"/>
    </row>
    <row r="225" spans="1:74" ht="13.5" customHeight="1" x14ac:dyDescent="0.25">
      <c r="A225" s="57" t="s">
        <v>1</v>
      </c>
      <c r="B225" s="50" t="s">
        <v>847</v>
      </c>
      <c r="C225" s="50" t="s">
        <v>534</v>
      </c>
      <c r="D225" s="135" t="s">
        <v>935</v>
      </c>
      <c r="E225" s="136"/>
      <c r="F225" s="50" t="s">
        <v>275</v>
      </c>
      <c r="G225" s="31">
        <f>'Stavební rozpočet'!G225</f>
        <v>1</v>
      </c>
      <c r="H225" s="31">
        <f>'Stavební rozpočet'!H225</f>
        <v>0</v>
      </c>
      <c r="I225" s="31">
        <f>G225*H225</f>
        <v>0</v>
      </c>
      <c r="J225" s="47" t="s">
        <v>501</v>
      </c>
      <c r="Y225" s="56">
        <f>IF(AP225="5",BI225,0)</f>
        <v>0</v>
      </c>
      <c r="AA225" s="56">
        <f>IF(AP225="1",BG225,0)</f>
        <v>0</v>
      </c>
      <c r="AB225" s="56">
        <f>IF(AP225="1",BH225,0)</f>
        <v>0</v>
      </c>
      <c r="AC225" s="56">
        <f>IF(AP225="7",BG225,0)</f>
        <v>0</v>
      </c>
      <c r="AD225" s="56">
        <f>IF(AP225="7",BH225,0)</f>
        <v>0</v>
      </c>
      <c r="AE225" s="56">
        <f>IF(AP225="2",BG225,0)</f>
        <v>0</v>
      </c>
      <c r="AF225" s="56">
        <f>IF(AP225="2",BH225,0)</f>
        <v>0</v>
      </c>
      <c r="AG225" s="56">
        <f>IF(AP225="0",BI225,0)</f>
        <v>0</v>
      </c>
      <c r="AH225" s="30" t="s">
        <v>847</v>
      </c>
      <c r="AI225" s="31">
        <f>IF(AM225=0,I225,0)</f>
        <v>0</v>
      </c>
      <c r="AJ225" s="31">
        <f>IF(AM225=15,I225,0)</f>
        <v>0</v>
      </c>
      <c r="AK225" s="31">
        <f>IF(AM225=21,I225,0)</f>
        <v>0</v>
      </c>
      <c r="AM225" s="56">
        <v>21</v>
      </c>
      <c r="AN225" s="56">
        <f>H225*1</f>
        <v>0</v>
      </c>
      <c r="AO225" s="56">
        <f>H225*(1-1)</f>
        <v>0</v>
      </c>
      <c r="AP225" s="58" t="s">
        <v>1109</v>
      </c>
      <c r="AU225" s="56">
        <f>AV225+AW225</f>
        <v>0</v>
      </c>
      <c r="AV225" s="56">
        <f>G225*AN225</f>
        <v>0</v>
      </c>
      <c r="AW225" s="56">
        <f>G225*AO225</f>
        <v>0</v>
      </c>
      <c r="AX225" s="41" t="s">
        <v>77</v>
      </c>
      <c r="AY225" s="41" t="s">
        <v>246</v>
      </c>
      <c r="AZ225" s="30" t="s">
        <v>1000</v>
      </c>
      <c r="BB225" s="56">
        <f>AV225+AW225</f>
        <v>0</v>
      </c>
      <c r="BC225" s="56">
        <f>H225/(100-BD225)*100</f>
        <v>0</v>
      </c>
      <c r="BD225" s="56">
        <v>0</v>
      </c>
      <c r="BE225" s="56" t="e">
        <f>#REF!</f>
        <v>#REF!</v>
      </c>
      <c r="BG225" s="31">
        <f>G225*AN225</f>
        <v>0</v>
      </c>
      <c r="BH225" s="31">
        <f>G225*AO225</f>
        <v>0</v>
      </c>
      <c r="BI225" s="31">
        <f>G225*H225</f>
        <v>0</v>
      </c>
      <c r="BJ225" s="31"/>
      <c r="BK225" s="56">
        <v>87</v>
      </c>
      <c r="BV225" s="56">
        <v>21</v>
      </c>
    </row>
    <row r="226" spans="1:74" ht="15" customHeight="1" x14ac:dyDescent="0.25">
      <c r="A226" s="53"/>
      <c r="D226" s="52" t="s">
        <v>1109</v>
      </c>
      <c r="E226" s="37" t="s">
        <v>334</v>
      </c>
      <c r="G226" s="21">
        <v>1</v>
      </c>
      <c r="J226" s="48"/>
    </row>
    <row r="227" spans="1:74" ht="15" customHeight="1" x14ac:dyDescent="0.25">
      <c r="A227" s="27" t="s">
        <v>769</v>
      </c>
      <c r="B227" s="28" t="s">
        <v>847</v>
      </c>
      <c r="C227" s="28" t="s">
        <v>1171</v>
      </c>
      <c r="D227" s="132" t="s">
        <v>719</v>
      </c>
      <c r="E227" s="133"/>
      <c r="F227" s="23" t="s">
        <v>1027</v>
      </c>
      <c r="G227" s="23" t="s">
        <v>1027</v>
      </c>
      <c r="H227" s="23" t="s">
        <v>1027</v>
      </c>
      <c r="I227" s="14">
        <f>SUM(I228:I276)</f>
        <v>0</v>
      </c>
      <c r="J227" s="44" t="s">
        <v>769</v>
      </c>
      <c r="AH227" s="30" t="s">
        <v>847</v>
      </c>
      <c r="AR227" s="14">
        <f>SUM(AI228:AI276)</f>
        <v>0</v>
      </c>
      <c r="AS227" s="14">
        <f>SUM(AJ228:AJ276)</f>
        <v>0</v>
      </c>
      <c r="AT227" s="14">
        <f>SUM(AK228:AK276)</f>
        <v>0</v>
      </c>
    </row>
    <row r="228" spans="1:74" ht="13.5" customHeight="1" x14ac:dyDescent="0.25">
      <c r="A228" s="10" t="s">
        <v>1008</v>
      </c>
      <c r="B228" s="9" t="s">
        <v>847</v>
      </c>
      <c r="C228" s="9" t="s">
        <v>1129</v>
      </c>
      <c r="D228" s="76" t="s">
        <v>931</v>
      </c>
      <c r="E228" s="77"/>
      <c r="F228" s="9" t="s">
        <v>275</v>
      </c>
      <c r="G228" s="56">
        <f>'Stavební rozpočet'!G228</f>
        <v>1</v>
      </c>
      <c r="H228" s="56">
        <f>'Stavební rozpočet'!H228</f>
        <v>0</v>
      </c>
      <c r="I228" s="56">
        <f>G228*H228</f>
        <v>0</v>
      </c>
      <c r="J228" s="54" t="s">
        <v>501</v>
      </c>
      <c r="Y228" s="56">
        <f>IF(AP228="5",BI228,0)</f>
        <v>0</v>
      </c>
      <c r="AA228" s="56">
        <f>IF(AP228="1",BG228,0)</f>
        <v>0</v>
      </c>
      <c r="AB228" s="56">
        <f>IF(AP228="1",BH228,0)</f>
        <v>0</v>
      </c>
      <c r="AC228" s="56">
        <f>IF(AP228="7",BG228,0)</f>
        <v>0</v>
      </c>
      <c r="AD228" s="56">
        <f>IF(AP228="7",BH228,0)</f>
        <v>0</v>
      </c>
      <c r="AE228" s="56">
        <f>IF(AP228="2",BG228,0)</f>
        <v>0</v>
      </c>
      <c r="AF228" s="56">
        <f>IF(AP228="2",BH228,0)</f>
        <v>0</v>
      </c>
      <c r="AG228" s="56">
        <f>IF(AP228="0",BI228,0)</f>
        <v>0</v>
      </c>
      <c r="AH228" s="30" t="s">
        <v>847</v>
      </c>
      <c r="AI228" s="56">
        <f>IF(AM228=0,I228,0)</f>
        <v>0</v>
      </c>
      <c r="AJ228" s="56">
        <f>IF(AM228=15,I228,0)</f>
        <v>0</v>
      </c>
      <c r="AK228" s="56">
        <f>IF(AM228=21,I228,0)</f>
        <v>0</v>
      </c>
      <c r="AM228" s="56">
        <v>21</v>
      </c>
      <c r="AN228" s="56">
        <f>H228*0.0984593837535014</f>
        <v>0</v>
      </c>
      <c r="AO228" s="56">
        <f>H228*(1-0.0984593837535014)</f>
        <v>0</v>
      </c>
      <c r="AP228" s="41" t="s">
        <v>1109</v>
      </c>
      <c r="AU228" s="56">
        <f>AV228+AW228</f>
        <v>0</v>
      </c>
      <c r="AV228" s="56">
        <f>G228*AN228</f>
        <v>0</v>
      </c>
      <c r="AW228" s="56">
        <f>G228*AO228</f>
        <v>0</v>
      </c>
      <c r="AX228" s="41" t="s">
        <v>95</v>
      </c>
      <c r="AY228" s="41" t="s">
        <v>246</v>
      </c>
      <c r="AZ228" s="30" t="s">
        <v>1000</v>
      </c>
      <c r="BB228" s="56">
        <f>AV228+AW228</f>
        <v>0</v>
      </c>
      <c r="BC228" s="56">
        <f>H228/(100-BD228)*100</f>
        <v>0</v>
      </c>
      <c r="BD228" s="56">
        <v>0</v>
      </c>
      <c r="BE228" s="56" t="e">
        <f>#REF!</f>
        <v>#REF!</v>
      </c>
      <c r="BG228" s="56">
        <f>G228*AN228</f>
        <v>0</v>
      </c>
      <c r="BH228" s="56">
        <f>G228*AO228</f>
        <v>0</v>
      </c>
      <c r="BI228" s="56">
        <f>G228*H228</f>
        <v>0</v>
      </c>
      <c r="BJ228" s="56"/>
      <c r="BK228" s="56">
        <v>89</v>
      </c>
      <c r="BV228" s="56">
        <v>21</v>
      </c>
    </row>
    <row r="229" spans="1:74" ht="13.5" customHeight="1" x14ac:dyDescent="0.25">
      <c r="A229" s="57" t="s">
        <v>131</v>
      </c>
      <c r="B229" s="50" t="s">
        <v>847</v>
      </c>
      <c r="C229" s="50" t="s">
        <v>840</v>
      </c>
      <c r="D229" s="135" t="s">
        <v>70</v>
      </c>
      <c r="E229" s="136"/>
      <c r="F229" s="50" t="s">
        <v>275</v>
      </c>
      <c r="G229" s="31">
        <f>'Stavební rozpočet'!G229</f>
        <v>1</v>
      </c>
      <c r="H229" s="31">
        <f>'Stavební rozpočet'!H229</f>
        <v>0</v>
      </c>
      <c r="I229" s="31">
        <f>G229*H229</f>
        <v>0</v>
      </c>
      <c r="J229" s="47" t="s">
        <v>501</v>
      </c>
      <c r="Y229" s="56">
        <f>IF(AP229="5",BI229,0)</f>
        <v>0</v>
      </c>
      <c r="AA229" s="56">
        <f>IF(AP229="1",BG229,0)</f>
        <v>0</v>
      </c>
      <c r="AB229" s="56">
        <f>IF(AP229="1",BH229,0)</f>
        <v>0</v>
      </c>
      <c r="AC229" s="56">
        <f>IF(AP229="7",BG229,0)</f>
        <v>0</v>
      </c>
      <c r="AD229" s="56">
        <f>IF(AP229="7",BH229,0)</f>
        <v>0</v>
      </c>
      <c r="AE229" s="56">
        <f>IF(AP229="2",BG229,0)</f>
        <v>0</v>
      </c>
      <c r="AF229" s="56">
        <f>IF(AP229="2",BH229,0)</f>
        <v>0</v>
      </c>
      <c r="AG229" s="56">
        <f>IF(AP229="0",BI229,0)</f>
        <v>0</v>
      </c>
      <c r="AH229" s="30" t="s">
        <v>847</v>
      </c>
      <c r="AI229" s="31">
        <f>IF(AM229=0,I229,0)</f>
        <v>0</v>
      </c>
      <c r="AJ229" s="31">
        <f>IF(AM229=15,I229,0)</f>
        <v>0</v>
      </c>
      <c r="AK229" s="31">
        <f>IF(AM229=21,I229,0)</f>
        <v>0</v>
      </c>
      <c r="AM229" s="56">
        <v>21</v>
      </c>
      <c r="AN229" s="56">
        <f>H229*1</f>
        <v>0</v>
      </c>
      <c r="AO229" s="56">
        <f>H229*(1-1)</f>
        <v>0</v>
      </c>
      <c r="AP229" s="58" t="s">
        <v>1109</v>
      </c>
      <c r="AU229" s="56">
        <f>AV229+AW229</f>
        <v>0</v>
      </c>
      <c r="AV229" s="56">
        <f>G229*AN229</f>
        <v>0</v>
      </c>
      <c r="AW229" s="56">
        <f>G229*AO229</f>
        <v>0</v>
      </c>
      <c r="AX229" s="41" t="s">
        <v>95</v>
      </c>
      <c r="AY229" s="41" t="s">
        <v>246</v>
      </c>
      <c r="AZ229" s="30" t="s">
        <v>1000</v>
      </c>
      <c r="BB229" s="56">
        <f>AV229+AW229</f>
        <v>0</v>
      </c>
      <c r="BC229" s="56">
        <f>H229/(100-BD229)*100</f>
        <v>0</v>
      </c>
      <c r="BD229" s="56">
        <v>0</v>
      </c>
      <c r="BE229" s="56" t="e">
        <f>#REF!</f>
        <v>#REF!</v>
      </c>
      <c r="BG229" s="31">
        <f>G229*AN229</f>
        <v>0</v>
      </c>
      <c r="BH229" s="31">
        <f>G229*AO229</f>
        <v>0</v>
      </c>
      <c r="BI229" s="31">
        <f>G229*H229</f>
        <v>0</v>
      </c>
      <c r="BJ229" s="31"/>
      <c r="BK229" s="56">
        <v>89</v>
      </c>
      <c r="BV229" s="56">
        <v>21</v>
      </c>
    </row>
    <row r="230" spans="1:74" ht="15" customHeight="1" x14ac:dyDescent="0.25">
      <c r="A230" s="53"/>
      <c r="D230" s="52" t="s">
        <v>1109</v>
      </c>
      <c r="E230" s="37" t="s">
        <v>1041</v>
      </c>
      <c r="G230" s="21">
        <v>1</v>
      </c>
      <c r="J230" s="48"/>
    </row>
    <row r="231" spans="1:74" ht="13.5" customHeight="1" x14ac:dyDescent="0.25">
      <c r="A231" s="10" t="s">
        <v>445</v>
      </c>
      <c r="B231" s="9" t="s">
        <v>847</v>
      </c>
      <c r="C231" s="9" t="s">
        <v>829</v>
      </c>
      <c r="D231" s="76" t="s">
        <v>1196</v>
      </c>
      <c r="E231" s="77"/>
      <c r="F231" s="9" t="s">
        <v>275</v>
      </c>
      <c r="G231" s="56">
        <f>'Stavební rozpočet'!G231</f>
        <v>27</v>
      </c>
      <c r="H231" s="56">
        <f>'Stavební rozpočet'!H231</f>
        <v>0</v>
      </c>
      <c r="I231" s="56">
        <f>G231*H231</f>
        <v>0</v>
      </c>
      <c r="J231" s="54" t="s">
        <v>501</v>
      </c>
      <c r="Y231" s="56">
        <f>IF(AP231="5",BI231,0)</f>
        <v>0</v>
      </c>
      <c r="AA231" s="56">
        <f>IF(AP231="1",BG231,0)</f>
        <v>0</v>
      </c>
      <c r="AB231" s="56">
        <f>IF(AP231="1",BH231,0)</f>
        <v>0</v>
      </c>
      <c r="AC231" s="56">
        <f>IF(AP231="7",BG231,0)</f>
        <v>0</v>
      </c>
      <c r="AD231" s="56">
        <f>IF(AP231="7",BH231,0)</f>
        <v>0</v>
      </c>
      <c r="AE231" s="56">
        <f>IF(AP231="2",BG231,0)</f>
        <v>0</v>
      </c>
      <c r="AF231" s="56">
        <f>IF(AP231="2",BH231,0)</f>
        <v>0</v>
      </c>
      <c r="AG231" s="56">
        <f>IF(AP231="0",BI231,0)</f>
        <v>0</v>
      </c>
      <c r="AH231" s="30" t="s">
        <v>847</v>
      </c>
      <c r="AI231" s="56">
        <f>IF(AM231=0,I231,0)</f>
        <v>0</v>
      </c>
      <c r="AJ231" s="56">
        <f>IF(AM231=15,I231,0)</f>
        <v>0</v>
      </c>
      <c r="AK231" s="56">
        <f>IF(AM231=21,I231,0)</f>
        <v>0</v>
      </c>
      <c r="AM231" s="56">
        <v>21</v>
      </c>
      <c r="AN231" s="56">
        <f>H231*0</f>
        <v>0</v>
      </c>
      <c r="AO231" s="56">
        <f>H231*(1-0)</f>
        <v>0</v>
      </c>
      <c r="AP231" s="41" t="s">
        <v>1109</v>
      </c>
      <c r="AU231" s="56">
        <f>AV231+AW231</f>
        <v>0</v>
      </c>
      <c r="AV231" s="56">
        <f>G231*AN231</f>
        <v>0</v>
      </c>
      <c r="AW231" s="56">
        <f>G231*AO231</f>
        <v>0</v>
      </c>
      <c r="AX231" s="41" t="s">
        <v>95</v>
      </c>
      <c r="AY231" s="41" t="s">
        <v>246</v>
      </c>
      <c r="AZ231" s="30" t="s">
        <v>1000</v>
      </c>
      <c r="BB231" s="56">
        <f>AV231+AW231</f>
        <v>0</v>
      </c>
      <c r="BC231" s="56">
        <f>H231/(100-BD231)*100</f>
        <v>0</v>
      </c>
      <c r="BD231" s="56">
        <v>0</v>
      </c>
      <c r="BE231" s="56" t="e">
        <f>#REF!</f>
        <v>#REF!</v>
      </c>
      <c r="BG231" s="56">
        <f>G231*AN231</f>
        <v>0</v>
      </c>
      <c r="BH231" s="56">
        <f>G231*AO231</f>
        <v>0</v>
      </c>
      <c r="BI231" s="56">
        <f>G231*H231</f>
        <v>0</v>
      </c>
      <c r="BJ231" s="56"/>
      <c r="BK231" s="56">
        <v>89</v>
      </c>
      <c r="BV231" s="56">
        <v>21</v>
      </c>
    </row>
    <row r="232" spans="1:74" ht="13.5" customHeight="1" x14ac:dyDescent="0.25">
      <c r="A232" s="57" t="s">
        <v>621</v>
      </c>
      <c r="B232" s="50" t="s">
        <v>847</v>
      </c>
      <c r="C232" s="50" t="s">
        <v>545</v>
      </c>
      <c r="D232" s="135" t="s">
        <v>879</v>
      </c>
      <c r="E232" s="136"/>
      <c r="F232" s="50" t="s">
        <v>275</v>
      </c>
      <c r="G232" s="31">
        <f>'Stavební rozpočet'!G232</f>
        <v>8</v>
      </c>
      <c r="H232" s="31">
        <f>'Stavební rozpočet'!H232</f>
        <v>0</v>
      </c>
      <c r="I232" s="31">
        <f>G232*H232</f>
        <v>0</v>
      </c>
      <c r="J232" s="47" t="s">
        <v>501</v>
      </c>
      <c r="Y232" s="56">
        <f>IF(AP232="5",BI232,0)</f>
        <v>0</v>
      </c>
      <c r="AA232" s="56">
        <f>IF(AP232="1",BG232,0)</f>
        <v>0</v>
      </c>
      <c r="AB232" s="56">
        <f>IF(AP232="1",BH232,0)</f>
        <v>0</v>
      </c>
      <c r="AC232" s="56">
        <f>IF(AP232="7",BG232,0)</f>
        <v>0</v>
      </c>
      <c r="AD232" s="56">
        <f>IF(AP232="7",BH232,0)</f>
        <v>0</v>
      </c>
      <c r="AE232" s="56">
        <f>IF(AP232="2",BG232,0)</f>
        <v>0</v>
      </c>
      <c r="AF232" s="56">
        <f>IF(AP232="2",BH232,0)</f>
        <v>0</v>
      </c>
      <c r="AG232" s="56">
        <f>IF(AP232="0",BI232,0)</f>
        <v>0</v>
      </c>
      <c r="AH232" s="30" t="s">
        <v>847</v>
      </c>
      <c r="AI232" s="31">
        <f>IF(AM232=0,I232,0)</f>
        <v>0</v>
      </c>
      <c r="AJ232" s="31">
        <f>IF(AM232=15,I232,0)</f>
        <v>0</v>
      </c>
      <c r="AK232" s="31">
        <f>IF(AM232=21,I232,0)</f>
        <v>0</v>
      </c>
      <c r="AM232" s="56">
        <v>21</v>
      </c>
      <c r="AN232" s="56">
        <f>H232*1</f>
        <v>0</v>
      </c>
      <c r="AO232" s="56">
        <f>H232*(1-1)</f>
        <v>0</v>
      </c>
      <c r="AP232" s="58" t="s">
        <v>1109</v>
      </c>
      <c r="AU232" s="56">
        <f>AV232+AW232</f>
        <v>0</v>
      </c>
      <c r="AV232" s="56">
        <f>G232*AN232</f>
        <v>0</v>
      </c>
      <c r="AW232" s="56">
        <f>G232*AO232</f>
        <v>0</v>
      </c>
      <c r="AX232" s="41" t="s">
        <v>95</v>
      </c>
      <c r="AY232" s="41" t="s">
        <v>246</v>
      </c>
      <c r="AZ232" s="30" t="s">
        <v>1000</v>
      </c>
      <c r="BB232" s="56">
        <f>AV232+AW232</f>
        <v>0</v>
      </c>
      <c r="BC232" s="56">
        <f>H232/(100-BD232)*100</f>
        <v>0</v>
      </c>
      <c r="BD232" s="56">
        <v>0</v>
      </c>
      <c r="BE232" s="56" t="e">
        <f>#REF!</f>
        <v>#REF!</v>
      </c>
      <c r="BG232" s="31">
        <f>G232*AN232</f>
        <v>0</v>
      </c>
      <c r="BH232" s="31">
        <f>G232*AO232</f>
        <v>0</v>
      </c>
      <c r="BI232" s="31">
        <f>G232*H232</f>
        <v>0</v>
      </c>
      <c r="BJ232" s="31"/>
      <c r="BK232" s="56">
        <v>89</v>
      </c>
      <c r="BV232" s="56">
        <v>21</v>
      </c>
    </row>
    <row r="233" spans="1:74" ht="15" customHeight="1" x14ac:dyDescent="0.25">
      <c r="A233" s="53"/>
      <c r="D233" s="52" t="s">
        <v>874</v>
      </c>
      <c r="E233" s="37" t="s">
        <v>510</v>
      </c>
      <c r="G233" s="21">
        <v>8</v>
      </c>
      <c r="J233" s="48"/>
    </row>
    <row r="234" spans="1:74" ht="13.5" customHeight="1" x14ac:dyDescent="0.25">
      <c r="A234" s="57" t="s">
        <v>128</v>
      </c>
      <c r="B234" s="50" t="s">
        <v>847</v>
      </c>
      <c r="C234" s="50" t="s">
        <v>568</v>
      </c>
      <c r="D234" s="135" t="s">
        <v>524</v>
      </c>
      <c r="E234" s="136"/>
      <c r="F234" s="50" t="s">
        <v>275</v>
      </c>
      <c r="G234" s="31">
        <f>'Stavební rozpočet'!G234</f>
        <v>19</v>
      </c>
      <c r="H234" s="31">
        <f>'Stavební rozpočet'!H234</f>
        <v>0</v>
      </c>
      <c r="I234" s="31">
        <f>G234*H234</f>
        <v>0</v>
      </c>
      <c r="J234" s="47" t="s">
        <v>501</v>
      </c>
      <c r="Y234" s="56">
        <f>IF(AP234="5",BI234,0)</f>
        <v>0</v>
      </c>
      <c r="AA234" s="56">
        <f>IF(AP234="1",BG234,0)</f>
        <v>0</v>
      </c>
      <c r="AB234" s="56">
        <f>IF(AP234="1",BH234,0)</f>
        <v>0</v>
      </c>
      <c r="AC234" s="56">
        <f>IF(AP234="7",BG234,0)</f>
        <v>0</v>
      </c>
      <c r="AD234" s="56">
        <f>IF(AP234="7",BH234,0)</f>
        <v>0</v>
      </c>
      <c r="AE234" s="56">
        <f>IF(AP234="2",BG234,0)</f>
        <v>0</v>
      </c>
      <c r="AF234" s="56">
        <f>IF(AP234="2",BH234,0)</f>
        <v>0</v>
      </c>
      <c r="AG234" s="56">
        <f>IF(AP234="0",BI234,0)</f>
        <v>0</v>
      </c>
      <c r="AH234" s="30" t="s">
        <v>847</v>
      </c>
      <c r="AI234" s="31">
        <f>IF(AM234=0,I234,0)</f>
        <v>0</v>
      </c>
      <c r="AJ234" s="31">
        <f>IF(AM234=15,I234,0)</f>
        <v>0</v>
      </c>
      <c r="AK234" s="31">
        <f>IF(AM234=21,I234,0)</f>
        <v>0</v>
      </c>
      <c r="AM234" s="56">
        <v>21</v>
      </c>
      <c r="AN234" s="56">
        <f>H234*1</f>
        <v>0</v>
      </c>
      <c r="AO234" s="56">
        <f>H234*(1-1)</f>
        <v>0</v>
      </c>
      <c r="AP234" s="58" t="s">
        <v>1109</v>
      </c>
      <c r="AU234" s="56">
        <f>AV234+AW234</f>
        <v>0</v>
      </c>
      <c r="AV234" s="56">
        <f>G234*AN234</f>
        <v>0</v>
      </c>
      <c r="AW234" s="56">
        <f>G234*AO234</f>
        <v>0</v>
      </c>
      <c r="AX234" s="41" t="s">
        <v>95</v>
      </c>
      <c r="AY234" s="41" t="s">
        <v>246</v>
      </c>
      <c r="AZ234" s="30" t="s">
        <v>1000</v>
      </c>
      <c r="BB234" s="56">
        <f>AV234+AW234</f>
        <v>0</v>
      </c>
      <c r="BC234" s="56">
        <f>H234/(100-BD234)*100</f>
        <v>0</v>
      </c>
      <c r="BD234" s="56">
        <v>0</v>
      </c>
      <c r="BE234" s="56" t="e">
        <f>#REF!</f>
        <v>#REF!</v>
      </c>
      <c r="BG234" s="31">
        <f>G234*AN234</f>
        <v>0</v>
      </c>
      <c r="BH234" s="31">
        <f>G234*AO234</f>
        <v>0</v>
      </c>
      <c r="BI234" s="31">
        <f>G234*H234</f>
        <v>0</v>
      </c>
      <c r="BJ234" s="31"/>
      <c r="BK234" s="56">
        <v>89</v>
      </c>
      <c r="BV234" s="56">
        <v>21</v>
      </c>
    </row>
    <row r="235" spans="1:74" ht="15" customHeight="1" x14ac:dyDescent="0.25">
      <c r="A235" s="53"/>
      <c r="D235" s="52" t="s">
        <v>706</v>
      </c>
      <c r="E235" s="37" t="s">
        <v>1203</v>
      </c>
      <c r="G235" s="21">
        <v>19</v>
      </c>
      <c r="J235" s="48"/>
    </row>
    <row r="236" spans="1:74" ht="13.5" customHeight="1" x14ac:dyDescent="0.25">
      <c r="A236" s="10" t="s">
        <v>782</v>
      </c>
      <c r="B236" s="9" t="s">
        <v>847</v>
      </c>
      <c r="C236" s="9" t="s">
        <v>1049</v>
      </c>
      <c r="D236" s="76" t="s">
        <v>443</v>
      </c>
      <c r="E236" s="77"/>
      <c r="F236" s="9" t="s">
        <v>275</v>
      </c>
      <c r="G236" s="56">
        <f>'Stavební rozpočet'!G236</f>
        <v>2</v>
      </c>
      <c r="H236" s="56">
        <f>'Stavební rozpočet'!H236</f>
        <v>0</v>
      </c>
      <c r="I236" s="56">
        <f>G236*H236</f>
        <v>0</v>
      </c>
      <c r="J236" s="54" t="s">
        <v>501</v>
      </c>
      <c r="Y236" s="56">
        <f>IF(AP236="5",BI236,0)</f>
        <v>0</v>
      </c>
      <c r="AA236" s="56">
        <f>IF(AP236="1",BG236,0)</f>
        <v>0</v>
      </c>
      <c r="AB236" s="56">
        <f>IF(AP236="1",BH236,0)</f>
        <v>0</v>
      </c>
      <c r="AC236" s="56">
        <f>IF(AP236="7",BG236,0)</f>
        <v>0</v>
      </c>
      <c r="AD236" s="56">
        <f>IF(AP236="7",BH236,0)</f>
        <v>0</v>
      </c>
      <c r="AE236" s="56">
        <f>IF(AP236="2",BG236,0)</f>
        <v>0</v>
      </c>
      <c r="AF236" s="56">
        <f>IF(AP236="2",BH236,0)</f>
        <v>0</v>
      </c>
      <c r="AG236" s="56">
        <f>IF(AP236="0",BI236,0)</f>
        <v>0</v>
      </c>
      <c r="AH236" s="30" t="s">
        <v>847</v>
      </c>
      <c r="AI236" s="56">
        <f>IF(AM236=0,I236,0)</f>
        <v>0</v>
      </c>
      <c r="AJ236" s="56">
        <f>IF(AM236=15,I236,0)</f>
        <v>0</v>
      </c>
      <c r="AK236" s="56">
        <f>IF(AM236=21,I236,0)</f>
        <v>0</v>
      </c>
      <c r="AM236" s="56">
        <v>21</v>
      </c>
      <c r="AN236" s="56">
        <f>H236*0.0979181286549708</f>
        <v>0</v>
      </c>
      <c r="AO236" s="56">
        <f>H236*(1-0.0979181286549708)</f>
        <v>0</v>
      </c>
      <c r="AP236" s="41" t="s">
        <v>1109</v>
      </c>
      <c r="AU236" s="56">
        <f>AV236+AW236</f>
        <v>0</v>
      </c>
      <c r="AV236" s="56">
        <f>G236*AN236</f>
        <v>0</v>
      </c>
      <c r="AW236" s="56">
        <f>G236*AO236</f>
        <v>0</v>
      </c>
      <c r="AX236" s="41" t="s">
        <v>95</v>
      </c>
      <c r="AY236" s="41" t="s">
        <v>246</v>
      </c>
      <c r="AZ236" s="30" t="s">
        <v>1000</v>
      </c>
      <c r="BB236" s="56">
        <f>AV236+AW236</f>
        <v>0</v>
      </c>
      <c r="BC236" s="56">
        <f>H236/(100-BD236)*100</f>
        <v>0</v>
      </c>
      <c r="BD236" s="56">
        <v>0</v>
      </c>
      <c r="BE236" s="56" t="e">
        <f>#REF!</f>
        <v>#REF!</v>
      </c>
      <c r="BG236" s="56">
        <f>G236*AN236</f>
        <v>0</v>
      </c>
      <c r="BH236" s="56">
        <f>G236*AO236</f>
        <v>0</v>
      </c>
      <c r="BI236" s="56">
        <f>G236*H236</f>
        <v>0</v>
      </c>
      <c r="BJ236" s="56"/>
      <c r="BK236" s="56">
        <v>89</v>
      </c>
      <c r="BV236" s="56">
        <v>21</v>
      </c>
    </row>
    <row r="237" spans="1:74" ht="13.5" customHeight="1" x14ac:dyDescent="0.25">
      <c r="A237" s="57" t="s">
        <v>528</v>
      </c>
      <c r="B237" s="50" t="s">
        <v>847</v>
      </c>
      <c r="C237" s="50" t="s">
        <v>530</v>
      </c>
      <c r="D237" s="135" t="s">
        <v>1054</v>
      </c>
      <c r="E237" s="136"/>
      <c r="F237" s="50" t="s">
        <v>275</v>
      </c>
      <c r="G237" s="31">
        <f>'Stavební rozpočet'!G237</f>
        <v>2</v>
      </c>
      <c r="H237" s="31">
        <f>'Stavební rozpočet'!H237</f>
        <v>0</v>
      </c>
      <c r="I237" s="31">
        <f>G237*H237</f>
        <v>0</v>
      </c>
      <c r="J237" s="47" t="s">
        <v>501</v>
      </c>
      <c r="Y237" s="56">
        <f>IF(AP237="5",BI237,0)</f>
        <v>0</v>
      </c>
      <c r="AA237" s="56">
        <f>IF(AP237="1",BG237,0)</f>
        <v>0</v>
      </c>
      <c r="AB237" s="56">
        <f>IF(AP237="1",BH237,0)</f>
        <v>0</v>
      </c>
      <c r="AC237" s="56">
        <f>IF(AP237="7",BG237,0)</f>
        <v>0</v>
      </c>
      <c r="AD237" s="56">
        <f>IF(AP237="7",BH237,0)</f>
        <v>0</v>
      </c>
      <c r="AE237" s="56">
        <f>IF(AP237="2",BG237,0)</f>
        <v>0</v>
      </c>
      <c r="AF237" s="56">
        <f>IF(AP237="2",BH237,0)</f>
        <v>0</v>
      </c>
      <c r="AG237" s="56">
        <f>IF(AP237="0",BI237,0)</f>
        <v>0</v>
      </c>
      <c r="AH237" s="30" t="s">
        <v>847</v>
      </c>
      <c r="AI237" s="31">
        <f>IF(AM237=0,I237,0)</f>
        <v>0</v>
      </c>
      <c r="AJ237" s="31">
        <f>IF(AM237=15,I237,0)</f>
        <v>0</v>
      </c>
      <c r="AK237" s="31">
        <f>IF(AM237=21,I237,0)</f>
        <v>0</v>
      </c>
      <c r="AM237" s="56">
        <v>21</v>
      </c>
      <c r="AN237" s="56">
        <f>H237*1</f>
        <v>0</v>
      </c>
      <c r="AO237" s="56">
        <f>H237*(1-1)</f>
        <v>0</v>
      </c>
      <c r="AP237" s="58" t="s">
        <v>1109</v>
      </c>
      <c r="AU237" s="56">
        <f>AV237+AW237</f>
        <v>0</v>
      </c>
      <c r="AV237" s="56">
        <f>G237*AN237</f>
        <v>0</v>
      </c>
      <c r="AW237" s="56">
        <f>G237*AO237</f>
        <v>0</v>
      </c>
      <c r="AX237" s="41" t="s">
        <v>95</v>
      </c>
      <c r="AY237" s="41" t="s">
        <v>246</v>
      </c>
      <c r="AZ237" s="30" t="s">
        <v>1000</v>
      </c>
      <c r="BB237" s="56">
        <f>AV237+AW237</f>
        <v>0</v>
      </c>
      <c r="BC237" s="56">
        <f>H237/(100-BD237)*100</f>
        <v>0</v>
      </c>
      <c r="BD237" s="56">
        <v>0</v>
      </c>
      <c r="BE237" s="56" t="e">
        <f>#REF!</f>
        <v>#REF!</v>
      </c>
      <c r="BG237" s="31">
        <f>G237*AN237</f>
        <v>0</v>
      </c>
      <c r="BH237" s="31">
        <f>G237*AO237</f>
        <v>0</v>
      </c>
      <c r="BI237" s="31">
        <f>G237*H237</f>
        <v>0</v>
      </c>
      <c r="BJ237" s="31"/>
      <c r="BK237" s="56">
        <v>89</v>
      </c>
      <c r="BV237" s="56">
        <v>21</v>
      </c>
    </row>
    <row r="238" spans="1:74" ht="15" customHeight="1" x14ac:dyDescent="0.25">
      <c r="A238" s="53"/>
      <c r="D238" s="52" t="s">
        <v>766</v>
      </c>
      <c r="E238" s="37" t="s">
        <v>129</v>
      </c>
      <c r="G238" s="21">
        <v>2</v>
      </c>
      <c r="J238" s="48"/>
    </row>
    <row r="239" spans="1:74" ht="13.5" customHeight="1" x14ac:dyDescent="0.25">
      <c r="A239" s="10" t="s">
        <v>894</v>
      </c>
      <c r="B239" s="9" t="s">
        <v>847</v>
      </c>
      <c r="C239" s="9" t="s">
        <v>252</v>
      </c>
      <c r="D239" s="76" t="s">
        <v>230</v>
      </c>
      <c r="E239" s="77"/>
      <c r="F239" s="9" t="s">
        <v>275</v>
      </c>
      <c r="G239" s="56">
        <f>'Stavební rozpočet'!G239</f>
        <v>0</v>
      </c>
      <c r="H239" s="56">
        <f>'Stavební rozpočet'!H239</f>
        <v>0</v>
      </c>
      <c r="I239" s="56">
        <f>G239*H239</f>
        <v>0</v>
      </c>
      <c r="J239" s="54" t="s">
        <v>501</v>
      </c>
      <c r="Y239" s="56">
        <f>IF(AP239="5",BI239,0)</f>
        <v>0</v>
      </c>
      <c r="AA239" s="56">
        <f>IF(AP239="1",BG239,0)</f>
        <v>0</v>
      </c>
      <c r="AB239" s="56">
        <f>IF(AP239="1",BH239,0)</f>
        <v>0</v>
      </c>
      <c r="AC239" s="56">
        <f>IF(AP239="7",BG239,0)</f>
        <v>0</v>
      </c>
      <c r="AD239" s="56">
        <f>IF(AP239="7",BH239,0)</f>
        <v>0</v>
      </c>
      <c r="AE239" s="56">
        <f>IF(AP239="2",BG239,0)</f>
        <v>0</v>
      </c>
      <c r="AF239" s="56">
        <f>IF(AP239="2",BH239,0)</f>
        <v>0</v>
      </c>
      <c r="AG239" s="56">
        <f>IF(AP239="0",BI239,0)</f>
        <v>0</v>
      </c>
      <c r="AH239" s="30" t="s">
        <v>847</v>
      </c>
      <c r="AI239" s="56">
        <f>IF(AM239=0,I239,0)</f>
        <v>0</v>
      </c>
      <c r="AJ239" s="56">
        <f>IF(AM239=15,I239,0)</f>
        <v>0</v>
      </c>
      <c r="AK239" s="56">
        <f>IF(AM239=21,I239,0)</f>
        <v>0</v>
      </c>
      <c r="AM239" s="56">
        <v>21</v>
      </c>
      <c r="AN239" s="56">
        <f>H239*0</f>
        <v>0</v>
      </c>
      <c r="AO239" s="56">
        <f>H239*(1-0)</f>
        <v>0</v>
      </c>
      <c r="AP239" s="41" t="s">
        <v>1109</v>
      </c>
      <c r="AU239" s="56">
        <f>AV239+AW239</f>
        <v>0</v>
      </c>
      <c r="AV239" s="56">
        <f>G239*AN239</f>
        <v>0</v>
      </c>
      <c r="AW239" s="56">
        <f>G239*AO239</f>
        <v>0</v>
      </c>
      <c r="AX239" s="41" t="s">
        <v>95</v>
      </c>
      <c r="AY239" s="41" t="s">
        <v>246</v>
      </c>
      <c r="AZ239" s="30" t="s">
        <v>1000</v>
      </c>
      <c r="BB239" s="56">
        <f>AV239+AW239</f>
        <v>0</v>
      </c>
      <c r="BC239" s="56">
        <f>H239/(100-BD239)*100</f>
        <v>0</v>
      </c>
      <c r="BD239" s="56">
        <v>0</v>
      </c>
      <c r="BE239" s="56" t="e">
        <f>#REF!</f>
        <v>#REF!</v>
      </c>
      <c r="BG239" s="56">
        <f>G239*AN239</f>
        <v>0</v>
      </c>
      <c r="BH239" s="56">
        <f>G239*AO239</f>
        <v>0</v>
      </c>
      <c r="BI239" s="56">
        <f>G239*H239</f>
        <v>0</v>
      </c>
      <c r="BJ239" s="56"/>
      <c r="BK239" s="56">
        <v>89</v>
      </c>
      <c r="BV239" s="56">
        <v>21</v>
      </c>
    </row>
    <row r="240" spans="1:74" ht="13.5" customHeight="1" x14ac:dyDescent="0.25">
      <c r="A240" s="57" t="s">
        <v>1019</v>
      </c>
      <c r="B240" s="50" t="s">
        <v>847</v>
      </c>
      <c r="C240" s="50" t="s">
        <v>50</v>
      </c>
      <c r="D240" s="135" t="s">
        <v>58</v>
      </c>
      <c r="E240" s="136"/>
      <c r="F240" s="50" t="s">
        <v>275</v>
      </c>
      <c r="G240" s="31">
        <f>'Stavební rozpočet'!G240</f>
        <v>1</v>
      </c>
      <c r="H240" s="31">
        <f>'Stavební rozpočet'!H240</f>
        <v>0</v>
      </c>
      <c r="I240" s="31">
        <f>G240*H240</f>
        <v>0</v>
      </c>
      <c r="J240" s="47" t="s">
        <v>501</v>
      </c>
      <c r="Y240" s="56">
        <f>IF(AP240="5",BI240,0)</f>
        <v>0</v>
      </c>
      <c r="AA240" s="56">
        <f>IF(AP240="1",BG240,0)</f>
        <v>0</v>
      </c>
      <c r="AB240" s="56">
        <f>IF(AP240="1",BH240,0)</f>
        <v>0</v>
      </c>
      <c r="AC240" s="56">
        <f>IF(AP240="7",BG240,0)</f>
        <v>0</v>
      </c>
      <c r="AD240" s="56">
        <f>IF(AP240="7",BH240,0)</f>
        <v>0</v>
      </c>
      <c r="AE240" s="56">
        <f>IF(AP240="2",BG240,0)</f>
        <v>0</v>
      </c>
      <c r="AF240" s="56">
        <f>IF(AP240="2",BH240,0)</f>
        <v>0</v>
      </c>
      <c r="AG240" s="56">
        <f>IF(AP240="0",BI240,0)</f>
        <v>0</v>
      </c>
      <c r="AH240" s="30" t="s">
        <v>847</v>
      </c>
      <c r="AI240" s="31">
        <f>IF(AM240=0,I240,0)</f>
        <v>0</v>
      </c>
      <c r="AJ240" s="31">
        <f>IF(AM240=15,I240,0)</f>
        <v>0</v>
      </c>
      <c r="AK240" s="31">
        <f>IF(AM240=21,I240,0)</f>
        <v>0</v>
      </c>
      <c r="AM240" s="56">
        <v>21</v>
      </c>
      <c r="AN240" s="56">
        <f>H240*1</f>
        <v>0</v>
      </c>
      <c r="AO240" s="56">
        <f>H240*(1-1)</f>
        <v>0</v>
      </c>
      <c r="AP240" s="58" t="s">
        <v>1109</v>
      </c>
      <c r="AU240" s="56">
        <f>AV240+AW240</f>
        <v>0</v>
      </c>
      <c r="AV240" s="56">
        <f>G240*AN240</f>
        <v>0</v>
      </c>
      <c r="AW240" s="56">
        <f>G240*AO240</f>
        <v>0</v>
      </c>
      <c r="AX240" s="41" t="s">
        <v>95</v>
      </c>
      <c r="AY240" s="41" t="s">
        <v>246</v>
      </c>
      <c r="AZ240" s="30" t="s">
        <v>1000</v>
      </c>
      <c r="BB240" s="56">
        <f>AV240+AW240</f>
        <v>0</v>
      </c>
      <c r="BC240" s="56">
        <f>H240/(100-BD240)*100</f>
        <v>0</v>
      </c>
      <c r="BD240" s="56">
        <v>0</v>
      </c>
      <c r="BE240" s="56" t="e">
        <f>#REF!</f>
        <v>#REF!</v>
      </c>
      <c r="BG240" s="31">
        <f>G240*AN240</f>
        <v>0</v>
      </c>
      <c r="BH240" s="31">
        <f>G240*AO240</f>
        <v>0</v>
      </c>
      <c r="BI240" s="31">
        <f>G240*H240</f>
        <v>0</v>
      </c>
      <c r="BJ240" s="31"/>
      <c r="BK240" s="56">
        <v>89</v>
      </c>
      <c r="BV240" s="56">
        <v>21</v>
      </c>
    </row>
    <row r="241" spans="1:74" ht="15" customHeight="1" x14ac:dyDescent="0.25">
      <c r="A241" s="53"/>
      <c r="D241" s="52" t="s">
        <v>1109</v>
      </c>
      <c r="E241" s="37" t="s">
        <v>1239</v>
      </c>
      <c r="G241" s="21">
        <v>1</v>
      </c>
      <c r="J241" s="48"/>
    </row>
    <row r="242" spans="1:74" ht="13.5" customHeight="1" x14ac:dyDescent="0.25">
      <c r="A242" s="10" t="s">
        <v>963</v>
      </c>
      <c r="B242" s="9" t="s">
        <v>847</v>
      </c>
      <c r="C242" s="9" t="s">
        <v>691</v>
      </c>
      <c r="D242" s="76" t="s">
        <v>66</v>
      </c>
      <c r="E242" s="77"/>
      <c r="F242" s="9" t="s">
        <v>275</v>
      </c>
      <c r="G242" s="56">
        <f>'Stavební rozpočet'!G242</f>
        <v>0</v>
      </c>
      <c r="H242" s="56">
        <f>'Stavební rozpočet'!H242</f>
        <v>0</v>
      </c>
      <c r="I242" s="56">
        <f>G242*H242</f>
        <v>0</v>
      </c>
      <c r="J242" s="54" t="s">
        <v>501</v>
      </c>
      <c r="Y242" s="56">
        <f>IF(AP242="5",BI242,0)</f>
        <v>0</v>
      </c>
      <c r="AA242" s="56">
        <f>IF(AP242="1",BG242,0)</f>
        <v>0</v>
      </c>
      <c r="AB242" s="56">
        <f>IF(AP242="1",BH242,0)</f>
        <v>0</v>
      </c>
      <c r="AC242" s="56">
        <f>IF(AP242="7",BG242,0)</f>
        <v>0</v>
      </c>
      <c r="AD242" s="56">
        <f>IF(AP242="7",BH242,0)</f>
        <v>0</v>
      </c>
      <c r="AE242" s="56">
        <f>IF(AP242="2",BG242,0)</f>
        <v>0</v>
      </c>
      <c r="AF242" s="56">
        <f>IF(AP242="2",BH242,0)</f>
        <v>0</v>
      </c>
      <c r="AG242" s="56">
        <f>IF(AP242="0",BI242,0)</f>
        <v>0</v>
      </c>
      <c r="AH242" s="30" t="s">
        <v>847</v>
      </c>
      <c r="AI242" s="56">
        <f>IF(AM242=0,I242,0)</f>
        <v>0</v>
      </c>
      <c r="AJ242" s="56">
        <f>IF(AM242=15,I242,0)</f>
        <v>0</v>
      </c>
      <c r="AK242" s="56">
        <f>IF(AM242=21,I242,0)</f>
        <v>0</v>
      </c>
      <c r="AM242" s="56">
        <v>21</v>
      </c>
      <c r="AN242" s="56">
        <f>H242*0</f>
        <v>0</v>
      </c>
      <c r="AO242" s="56">
        <f>H242*(1-0)</f>
        <v>0</v>
      </c>
      <c r="AP242" s="41" t="s">
        <v>1109</v>
      </c>
      <c r="AU242" s="56">
        <f>AV242+AW242</f>
        <v>0</v>
      </c>
      <c r="AV242" s="56">
        <f>G242*AN242</f>
        <v>0</v>
      </c>
      <c r="AW242" s="56">
        <f>G242*AO242</f>
        <v>0</v>
      </c>
      <c r="AX242" s="41" t="s">
        <v>95</v>
      </c>
      <c r="AY242" s="41" t="s">
        <v>246</v>
      </c>
      <c r="AZ242" s="30" t="s">
        <v>1000</v>
      </c>
      <c r="BB242" s="56">
        <f>AV242+AW242</f>
        <v>0</v>
      </c>
      <c r="BC242" s="56">
        <f>H242/(100-BD242)*100</f>
        <v>0</v>
      </c>
      <c r="BD242" s="56">
        <v>0</v>
      </c>
      <c r="BE242" s="56" t="e">
        <f>#REF!</f>
        <v>#REF!</v>
      </c>
      <c r="BG242" s="56">
        <f>G242*AN242</f>
        <v>0</v>
      </c>
      <c r="BH242" s="56">
        <f>G242*AO242</f>
        <v>0</v>
      </c>
      <c r="BI242" s="56">
        <f>G242*H242</f>
        <v>0</v>
      </c>
      <c r="BJ242" s="56"/>
      <c r="BK242" s="56">
        <v>89</v>
      </c>
      <c r="BV242" s="56">
        <v>21</v>
      </c>
    </row>
    <row r="243" spans="1:74" ht="13.5" customHeight="1" x14ac:dyDescent="0.25">
      <c r="A243" s="57" t="s">
        <v>38</v>
      </c>
      <c r="B243" s="50" t="s">
        <v>847</v>
      </c>
      <c r="C243" s="50" t="s">
        <v>692</v>
      </c>
      <c r="D243" s="135" t="s">
        <v>668</v>
      </c>
      <c r="E243" s="136"/>
      <c r="F243" s="50" t="s">
        <v>275</v>
      </c>
      <c r="G243" s="31">
        <f>'Stavební rozpočet'!G243</f>
        <v>2</v>
      </c>
      <c r="H243" s="31">
        <f>'Stavební rozpočet'!H243</f>
        <v>0</v>
      </c>
      <c r="I243" s="31">
        <f>G243*H243</f>
        <v>0</v>
      </c>
      <c r="J243" s="47" t="s">
        <v>501</v>
      </c>
      <c r="Y243" s="56">
        <f>IF(AP243="5",BI243,0)</f>
        <v>0</v>
      </c>
      <c r="AA243" s="56">
        <f>IF(AP243="1",BG243,0)</f>
        <v>0</v>
      </c>
      <c r="AB243" s="56">
        <f>IF(AP243="1",BH243,0)</f>
        <v>0</v>
      </c>
      <c r="AC243" s="56">
        <f>IF(AP243="7",BG243,0)</f>
        <v>0</v>
      </c>
      <c r="AD243" s="56">
        <f>IF(AP243="7",BH243,0)</f>
        <v>0</v>
      </c>
      <c r="AE243" s="56">
        <f>IF(AP243="2",BG243,0)</f>
        <v>0</v>
      </c>
      <c r="AF243" s="56">
        <f>IF(AP243="2",BH243,0)</f>
        <v>0</v>
      </c>
      <c r="AG243" s="56">
        <f>IF(AP243="0",BI243,0)</f>
        <v>0</v>
      </c>
      <c r="AH243" s="30" t="s">
        <v>847</v>
      </c>
      <c r="AI243" s="31">
        <f>IF(AM243=0,I243,0)</f>
        <v>0</v>
      </c>
      <c r="AJ243" s="31">
        <f>IF(AM243=15,I243,0)</f>
        <v>0</v>
      </c>
      <c r="AK243" s="31">
        <f>IF(AM243=21,I243,0)</f>
        <v>0</v>
      </c>
      <c r="AM243" s="56">
        <v>21</v>
      </c>
      <c r="AN243" s="56">
        <f>H243*1</f>
        <v>0</v>
      </c>
      <c r="AO243" s="56">
        <f>H243*(1-1)</f>
        <v>0</v>
      </c>
      <c r="AP243" s="58" t="s">
        <v>1109</v>
      </c>
      <c r="AU243" s="56">
        <f>AV243+AW243</f>
        <v>0</v>
      </c>
      <c r="AV243" s="56">
        <f>G243*AN243</f>
        <v>0</v>
      </c>
      <c r="AW243" s="56">
        <f>G243*AO243</f>
        <v>0</v>
      </c>
      <c r="AX243" s="41" t="s">
        <v>95</v>
      </c>
      <c r="AY243" s="41" t="s">
        <v>246</v>
      </c>
      <c r="AZ243" s="30" t="s">
        <v>1000</v>
      </c>
      <c r="BB243" s="56">
        <f>AV243+AW243</f>
        <v>0</v>
      </c>
      <c r="BC243" s="56">
        <f>H243/(100-BD243)*100</f>
        <v>0</v>
      </c>
      <c r="BD243" s="56">
        <v>0</v>
      </c>
      <c r="BE243" s="56" t="e">
        <f>#REF!</f>
        <v>#REF!</v>
      </c>
      <c r="BG243" s="31">
        <f>G243*AN243</f>
        <v>0</v>
      </c>
      <c r="BH243" s="31">
        <f>G243*AO243</f>
        <v>0</v>
      </c>
      <c r="BI243" s="31">
        <f>G243*H243</f>
        <v>0</v>
      </c>
      <c r="BJ243" s="31"/>
      <c r="BK243" s="56">
        <v>89</v>
      </c>
      <c r="BV243" s="56">
        <v>21</v>
      </c>
    </row>
    <row r="244" spans="1:74" ht="15" customHeight="1" x14ac:dyDescent="0.25">
      <c r="A244" s="53"/>
      <c r="D244" s="52" t="s">
        <v>766</v>
      </c>
      <c r="E244" s="37" t="s">
        <v>798</v>
      </c>
      <c r="G244" s="21">
        <v>2</v>
      </c>
      <c r="J244" s="48"/>
    </row>
    <row r="245" spans="1:74" ht="13.5" customHeight="1" x14ac:dyDescent="0.25">
      <c r="A245" s="10" t="s">
        <v>435</v>
      </c>
      <c r="B245" s="9" t="s">
        <v>847</v>
      </c>
      <c r="C245" s="9" t="s">
        <v>1056</v>
      </c>
      <c r="D245" s="76" t="s">
        <v>960</v>
      </c>
      <c r="E245" s="77"/>
      <c r="F245" s="9" t="s">
        <v>275</v>
      </c>
      <c r="G245" s="56">
        <f>'Stavební rozpočet'!G245</f>
        <v>0</v>
      </c>
      <c r="H245" s="56">
        <f>'Stavební rozpočet'!H245</f>
        <v>0</v>
      </c>
      <c r="I245" s="56">
        <f>G245*H245</f>
        <v>0</v>
      </c>
      <c r="J245" s="54" t="s">
        <v>501</v>
      </c>
      <c r="Y245" s="56">
        <f>IF(AP245="5",BI245,0)</f>
        <v>0</v>
      </c>
      <c r="AA245" s="56">
        <f>IF(AP245="1",BG245,0)</f>
        <v>0</v>
      </c>
      <c r="AB245" s="56">
        <f>IF(AP245="1",BH245,0)</f>
        <v>0</v>
      </c>
      <c r="AC245" s="56">
        <f>IF(AP245="7",BG245,0)</f>
        <v>0</v>
      </c>
      <c r="AD245" s="56">
        <f>IF(AP245="7",BH245,0)</f>
        <v>0</v>
      </c>
      <c r="AE245" s="56">
        <f>IF(AP245="2",BG245,0)</f>
        <v>0</v>
      </c>
      <c r="AF245" s="56">
        <f>IF(AP245="2",BH245,0)</f>
        <v>0</v>
      </c>
      <c r="AG245" s="56">
        <f>IF(AP245="0",BI245,0)</f>
        <v>0</v>
      </c>
      <c r="AH245" s="30" t="s">
        <v>847</v>
      </c>
      <c r="AI245" s="56">
        <f>IF(AM245=0,I245,0)</f>
        <v>0</v>
      </c>
      <c r="AJ245" s="56">
        <f>IF(AM245=15,I245,0)</f>
        <v>0</v>
      </c>
      <c r="AK245" s="56">
        <f>IF(AM245=21,I245,0)</f>
        <v>0</v>
      </c>
      <c r="AM245" s="56">
        <v>21</v>
      </c>
      <c r="AN245" s="56">
        <f>H245*0</f>
        <v>0</v>
      </c>
      <c r="AO245" s="56">
        <f>H245*(1-0)</f>
        <v>0</v>
      </c>
      <c r="AP245" s="41" t="s">
        <v>1109</v>
      </c>
      <c r="AU245" s="56">
        <f>AV245+AW245</f>
        <v>0</v>
      </c>
      <c r="AV245" s="56">
        <f>G245*AN245</f>
        <v>0</v>
      </c>
      <c r="AW245" s="56">
        <f>G245*AO245</f>
        <v>0</v>
      </c>
      <c r="AX245" s="41" t="s">
        <v>95</v>
      </c>
      <c r="AY245" s="41" t="s">
        <v>246</v>
      </c>
      <c r="AZ245" s="30" t="s">
        <v>1000</v>
      </c>
      <c r="BB245" s="56">
        <f>AV245+AW245</f>
        <v>0</v>
      </c>
      <c r="BC245" s="56">
        <f>H245/(100-BD245)*100</f>
        <v>0</v>
      </c>
      <c r="BD245" s="56">
        <v>0</v>
      </c>
      <c r="BE245" s="56" t="e">
        <f>#REF!</f>
        <v>#REF!</v>
      </c>
      <c r="BG245" s="56">
        <f>G245*AN245</f>
        <v>0</v>
      </c>
      <c r="BH245" s="56">
        <f>G245*AO245</f>
        <v>0</v>
      </c>
      <c r="BI245" s="56">
        <f>G245*H245</f>
        <v>0</v>
      </c>
      <c r="BJ245" s="56"/>
      <c r="BK245" s="56">
        <v>89</v>
      </c>
      <c r="BV245" s="56">
        <v>21</v>
      </c>
    </row>
    <row r="246" spans="1:74" ht="13.5" customHeight="1" x14ac:dyDescent="0.25">
      <c r="A246" s="57" t="s">
        <v>145</v>
      </c>
      <c r="B246" s="50" t="s">
        <v>847</v>
      </c>
      <c r="C246" s="50" t="s">
        <v>35</v>
      </c>
      <c r="D246" s="135" t="s">
        <v>1234</v>
      </c>
      <c r="E246" s="136"/>
      <c r="F246" s="50" t="s">
        <v>275</v>
      </c>
      <c r="G246" s="31">
        <f>'Stavební rozpočet'!G246</f>
        <v>5</v>
      </c>
      <c r="H246" s="31">
        <f>'Stavební rozpočet'!H246</f>
        <v>0</v>
      </c>
      <c r="I246" s="31">
        <f>G246*H246</f>
        <v>0</v>
      </c>
      <c r="J246" s="47" t="s">
        <v>501</v>
      </c>
      <c r="Y246" s="56">
        <f>IF(AP246="5",BI246,0)</f>
        <v>0</v>
      </c>
      <c r="AA246" s="56">
        <f>IF(AP246="1",BG246,0)</f>
        <v>0</v>
      </c>
      <c r="AB246" s="56">
        <f>IF(AP246="1",BH246,0)</f>
        <v>0</v>
      </c>
      <c r="AC246" s="56">
        <f>IF(AP246="7",BG246,0)</f>
        <v>0</v>
      </c>
      <c r="AD246" s="56">
        <f>IF(AP246="7",BH246,0)</f>
        <v>0</v>
      </c>
      <c r="AE246" s="56">
        <f>IF(AP246="2",BG246,0)</f>
        <v>0</v>
      </c>
      <c r="AF246" s="56">
        <f>IF(AP246="2",BH246,0)</f>
        <v>0</v>
      </c>
      <c r="AG246" s="56">
        <f>IF(AP246="0",BI246,0)</f>
        <v>0</v>
      </c>
      <c r="AH246" s="30" t="s">
        <v>847</v>
      </c>
      <c r="AI246" s="31">
        <f>IF(AM246=0,I246,0)</f>
        <v>0</v>
      </c>
      <c r="AJ246" s="31">
        <f>IF(AM246=15,I246,0)</f>
        <v>0</v>
      </c>
      <c r="AK246" s="31">
        <f>IF(AM246=21,I246,0)</f>
        <v>0</v>
      </c>
      <c r="AM246" s="56">
        <v>21</v>
      </c>
      <c r="AN246" s="56">
        <f>H246*1</f>
        <v>0</v>
      </c>
      <c r="AO246" s="56">
        <f>H246*(1-1)</f>
        <v>0</v>
      </c>
      <c r="AP246" s="58" t="s">
        <v>1109</v>
      </c>
      <c r="AU246" s="56">
        <f>AV246+AW246</f>
        <v>0</v>
      </c>
      <c r="AV246" s="56">
        <f>G246*AN246</f>
        <v>0</v>
      </c>
      <c r="AW246" s="56">
        <f>G246*AO246</f>
        <v>0</v>
      </c>
      <c r="AX246" s="41" t="s">
        <v>95</v>
      </c>
      <c r="AY246" s="41" t="s">
        <v>246</v>
      </c>
      <c r="AZ246" s="30" t="s">
        <v>1000</v>
      </c>
      <c r="BB246" s="56">
        <f>AV246+AW246</f>
        <v>0</v>
      </c>
      <c r="BC246" s="56">
        <f>H246/(100-BD246)*100</f>
        <v>0</v>
      </c>
      <c r="BD246" s="56">
        <v>0</v>
      </c>
      <c r="BE246" s="56" t="e">
        <f>#REF!</f>
        <v>#REF!</v>
      </c>
      <c r="BG246" s="31">
        <f>G246*AN246</f>
        <v>0</v>
      </c>
      <c r="BH246" s="31">
        <f>G246*AO246</f>
        <v>0</v>
      </c>
      <c r="BI246" s="31">
        <f>G246*H246</f>
        <v>0</v>
      </c>
      <c r="BJ246" s="31"/>
      <c r="BK246" s="56">
        <v>89</v>
      </c>
      <c r="BV246" s="56">
        <v>21</v>
      </c>
    </row>
    <row r="247" spans="1:74" ht="15" customHeight="1" x14ac:dyDescent="0.25">
      <c r="A247" s="53"/>
      <c r="D247" s="52" t="s">
        <v>596</v>
      </c>
      <c r="E247" s="37" t="s">
        <v>905</v>
      </c>
      <c r="G247" s="21">
        <v>5</v>
      </c>
      <c r="J247" s="48"/>
    </row>
    <row r="248" spans="1:74" ht="13.5" customHeight="1" x14ac:dyDescent="0.25">
      <c r="A248" s="10" t="s">
        <v>1215</v>
      </c>
      <c r="B248" s="9" t="s">
        <v>847</v>
      </c>
      <c r="C248" s="9" t="s">
        <v>85</v>
      </c>
      <c r="D248" s="76" t="s">
        <v>799</v>
      </c>
      <c r="E248" s="77"/>
      <c r="F248" s="9" t="s">
        <v>275</v>
      </c>
      <c r="G248" s="56">
        <f>'Stavební rozpočet'!G248</f>
        <v>18</v>
      </c>
      <c r="H248" s="56">
        <f>'Stavební rozpočet'!H248</f>
        <v>0</v>
      </c>
      <c r="I248" s="56">
        <f>G248*H248</f>
        <v>0</v>
      </c>
      <c r="J248" s="54" t="s">
        <v>501</v>
      </c>
      <c r="Y248" s="56">
        <f>IF(AP248="5",BI248,0)</f>
        <v>0</v>
      </c>
      <c r="AA248" s="56">
        <f>IF(AP248="1",BG248,0)</f>
        <v>0</v>
      </c>
      <c r="AB248" s="56">
        <f>IF(AP248="1",BH248,0)</f>
        <v>0</v>
      </c>
      <c r="AC248" s="56">
        <f>IF(AP248="7",BG248,0)</f>
        <v>0</v>
      </c>
      <c r="AD248" s="56">
        <f>IF(AP248="7",BH248,0)</f>
        <v>0</v>
      </c>
      <c r="AE248" s="56">
        <f>IF(AP248="2",BG248,0)</f>
        <v>0</v>
      </c>
      <c r="AF248" s="56">
        <f>IF(AP248="2",BH248,0)</f>
        <v>0</v>
      </c>
      <c r="AG248" s="56">
        <f>IF(AP248="0",BI248,0)</f>
        <v>0</v>
      </c>
      <c r="AH248" s="30" t="s">
        <v>847</v>
      </c>
      <c r="AI248" s="56">
        <f>IF(AM248=0,I248,0)</f>
        <v>0</v>
      </c>
      <c r="AJ248" s="56">
        <f>IF(AM248=15,I248,0)</f>
        <v>0</v>
      </c>
      <c r="AK248" s="56">
        <f>IF(AM248=21,I248,0)</f>
        <v>0</v>
      </c>
      <c r="AM248" s="56">
        <v>21</v>
      </c>
      <c r="AN248" s="56">
        <f>H248*0</f>
        <v>0</v>
      </c>
      <c r="AO248" s="56">
        <f>H248*(1-0)</f>
        <v>0</v>
      </c>
      <c r="AP248" s="41" t="s">
        <v>1109</v>
      </c>
      <c r="AU248" s="56">
        <f>AV248+AW248</f>
        <v>0</v>
      </c>
      <c r="AV248" s="56">
        <f>G248*AN248</f>
        <v>0</v>
      </c>
      <c r="AW248" s="56">
        <f>G248*AO248</f>
        <v>0</v>
      </c>
      <c r="AX248" s="41" t="s">
        <v>95</v>
      </c>
      <c r="AY248" s="41" t="s">
        <v>246</v>
      </c>
      <c r="AZ248" s="30" t="s">
        <v>1000</v>
      </c>
      <c r="BB248" s="56">
        <f>AV248+AW248</f>
        <v>0</v>
      </c>
      <c r="BC248" s="56">
        <f>H248/(100-BD248)*100</f>
        <v>0</v>
      </c>
      <c r="BD248" s="56">
        <v>0</v>
      </c>
      <c r="BE248" s="56" t="e">
        <f>#REF!</f>
        <v>#REF!</v>
      </c>
      <c r="BG248" s="56">
        <f>G248*AN248</f>
        <v>0</v>
      </c>
      <c r="BH248" s="56">
        <f>G248*AO248</f>
        <v>0</v>
      </c>
      <c r="BI248" s="56">
        <f>G248*H248</f>
        <v>0</v>
      </c>
      <c r="BJ248" s="56"/>
      <c r="BK248" s="56">
        <v>89</v>
      </c>
      <c r="BV248" s="56">
        <v>21</v>
      </c>
    </row>
    <row r="249" spans="1:74" ht="13.5" customHeight="1" x14ac:dyDescent="0.25">
      <c r="A249" s="53"/>
      <c r="C249" s="66" t="s">
        <v>578</v>
      </c>
      <c r="D249" s="137" t="s">
        <v>560</v>
      </c>
      <c r="E249" s="138"/>
      <c r="F249" s="138"/>
      <c r="G249" s="138"/>
      <c r="H249" s="138"/>
      <c r="I249" s="138"/>
      <c r="J249" s="139"/>
    </row>
    <row r="250" spans="1:74" ht="15" customHeight="1" x14ac:dyDescent="0.25">
      <c r="A250" s="53"/>
      <c r="D250" s="52" t="s">
        <v>882</v>
      </c>
      <c r="E250" s="37" t="s">
        <v>1030</v>
      </c>
      <c r="G250" s="21">
        <v>18</v>
      </c>
      <c r="J250" s="48"/>
    </row>
    <row r="251" spans="1:74" ht="13.5" customHeight="1" x14ac:dyDescent="0.25">
      <c r="A251" s="10" t="s">
        <v>533</v>
      </c>
      <c r="B251" s="9" t="s">
        <v>847</v>
      </c>
      <c r="C251" s="9" t="s">
        <v>1220</v>
      </c>
      <c r="D251" s="76" t="s">
        <v>799</v>
      </c>
      <c r="E251" s="77"/>
      <c r="F251" s="9" t="s">
        <v>275</v>
      </c>
      <c r="G251" s="56">
        <f>'Stavební rozpočet'!G251</f>
        <v>1</v>
      </c>
      <c r="H251" s="56">
        <f>'Stavební rozpočet'!H251</f>
        <v>0</v>
      </c>
      <c r="I251" s="56">
        <f>G251*H251</f>
        <v>0</v>
      </c>
      <c r="J251" s="54" t="s">
        <v>501</v>
      </c>
      <c r="Y251" s="56">
        <f>IF(AP251="5",BI251,0)</f>
        <v>0</v>
      </c>
      <c r="AA251" s="56">
        <f>IF(AP251="1",BG251,0)</f>
        <v>0</v>
      </c>
      <c r="AB251" s="56">
        <f>IF(AP251="1",BH251,0)</f>
        <v>0</v>
      </c>
      <c r="AC251" s="56">
        <f>IF(AP251="7",BG251,0)</f>
        <v>0</v>
      </c>
      <c r="AD251" s="56">
        <f>IF(AP251="7",BH251,0)</f>
        <v>0</v>
      </c>
      <c r="AE251" s="56">
        <f>IF(AP251="2",BG251,0)</f>
        <v>0</v>
      </c>
      <c r="AF251" s="56">
        <f>IF(AP251="2",BH251,0)</f>
        <v>0</v>
      </c>
      <c r="AG251" s="56">
        <f>IF(AP251="0",BI251,0)</f>
        <v>0</v>
      </c>
      <c r="AH251" s="30" t="s">
        <v>847</v>
      </c>
      <c r="AI251" s="56">
        <f>IF(AM251=0,I251,0)</f>
        <v>0</v>
      </c>
      <c r="AJ251" s="56">
        <f>IF(AM251=15,I251,0)</f>
        <v>0</v>
      </c>
      <c r="AK251" s="56">
        <f>IF(AM251=21,I251,0)</f>
        <v>0</v>
      </c>
      <c r="AM251" s="56">
        <v>21</v>
      </c>
      <c r="AN251" s="56">
        <f>H251*0</f>
        <v>0</v>
      </c>
      <c r="AO251" s="56">
        <f>H251*(1-0)</f>
        <v>0</v>
      </c>
      <c r="AP251" s="41" t="s">
        <v>1109</v>
      </c>
      <c r="AU251" s="56">
        <f>AV251+AW251</f>
        <v>0</v>
      </c>
      <c r="AV251" s="56">
        <f>G251*AN251</f>
        <v>0</v>
      </c>
      <c r="AW251" s="56">
        <f>G251*AO251</f>
        <v>0</v>
      </c>
      <c r="AX251" s="41" t="s">
        <v>95</v>
      </c>
      <c r="AY251" s="41" t="s">
        <v>246</v>
      </c>
      <c r="AZ251" s="30" t="s">
        <v>1000</v>
      </c>
      <c r="BB251" s="56">
        <f>AV251+AW251</f>
        <v>0</v>
      </c>
      <c r="BC251" s="56">
        <f>H251/(100-BD251)*100</f>
        <v>0</v>
      </c>
      <c r="BD251" s="56">
        <v>0</v>
      </c>
      <c r="BE251" s="56" t="e">
        <f>#REF!</f>
        <v>#REF!</v>
      </c>
      <c r="BG251" s="56">
        <f>G251*AN251</f>
        <v>0</v>
      </c>
      <c r="BH251" s="56">
        <f>G251*AO251</f>
        <v>0</v>
      </c>
      <c r="BI251" s="56">
        <f>G251*H251</f>
        <v>0</v>
      </c>
      <c r="BJ251" s="56"/>
      <c r="BK251" s="56">
        <v>89</v>
      </c>
      <c r="BV251" s="56">
        <v>21</v>
      </c>
    </row>
    <row r="252" spans="1:74" ht="15" customHeight="1" x14ac:dyDescent="0.25">
      <c r="A252" s="53"/>
      <c r="D252" s="52" t="s">
        <v>1109</v>
      </c>
      <c r="E252" s="37" t="s">
        <v>831</v>
      </c>
      <c r="G252" s="21">
        <v>1</v>
      </c>
      <c r="J252" s="48"/>
    </row>
    <row r="253" spans="1:74" ht="13.5" customHeight="1" x14ac:dyDescent="0.25">
      <c r="A253" s="10" t="s">
        <v>896</v>
      </c>
      <c r="B253" s="9" t="s">
        <v>847</v>
      </c>
      <c r="C253" s="9" t="s">
        <v>808</v>
      </c>
      <c r="D253" s="76" t="s">
        <v>1098</v>
      </c>
      <c r="E253" s="77"/>
      <c r="F253" s="9" t="s">
        <v>909</v>
      </c>
      <c r="G253" s="56">
        <f>'Stavební rozpočet'!G253</f>
        <v>385.6</v>
      </c>
      <c r="H253" s="56">
        <f>'Stavební rozpočet'!H253</f>
        <v>0</v>
      </c>
      <c r="I253" s="56">
        <f>G253*H253</f>
        <v>0</v>
      </c>
      <c r="J253" s="54" t="s">
        <v>501</v>
      </c>
      <c r="Y253" s="56">
        <f>IF(AP253="5",BI253,0)</f>
        <v>0</v>
      </c>
      <c r="AA253" s="56">
        <f>IF(AP253="1",BG253,0)</f>
        <v>0</v>
      </c>
      <c r="AB253" s="56">
        <f>IF(AP253="1",BH253,0)</f>
        <v>0</v>
      </c>
      <c r="AC253" s="56">
        <f>IF(AP253="7",BG253,0)</f>
        <v>0</v>
      </c>
      <c r="AD253" s="56">
        <f>IF(AP253="7",BH253,0)</f>
        <v>0</v>
      </c>
      <c r="AE253" s="56">
        <f>IF(AP253="2",BG253,0)</f>
        <v>0</v>
      </c>
      <c r="AF253" s="56">
        <f>IF(AP253="2",BH253,0)</f>
        <v>0</v>
      </c>
      <c r="AG253" s="56">
        <f>IF(AP253="0",BI253,0)</f>
        <v>0</v>
      </c>
      <c r="AH253" s="30" t="s">
        <v>847</v>
      </c>
      <c r="AI253" s="56">
        <f>IF(AM253=0,I253,0)</f>
        <v>0</v>
      </c>
      <c r="AJ253" s="56">
        <f>IF(AM253=15,I253,0)</f>
        <v>0</v>
      </c>
      <c r="AK253" s="56">
        <f>IF(AM253=21,I253,0)</f>
        <v>0</v>
      </c>
      <c r="AM253" s="56">
        <v>21</v>
      </c>
      <c r="AN253" s="56">
        <f>H253*0.0609090909090909</f>
        <v>0</v>
      </c>
      <c r="AO253" s="56">
        <f>H253*(1-0.0609090909090909)</f>
        <v>0</v>
      </c>
      <c r="AP253" s="41" t="s">
        <v>1109</v>
      </c>
      <c r="AU253" s="56">
        <f>AV253+AW253</f>
        <v>0</v>
      </c>
      <c r="AV253" s="56">
        <f>G253*AN253</f>
        <v>0</v>
      </c>
      <c r="AW253" s="56">
        <f>G253*AO253</f>
        <v>0</v>
      </c>
      <c r="AX253" s="41" t="s">
        <v>95</v>
      </c>
      <c r="AY253" s="41" t="s">
        <v>246</v>
      </c>
      <c r="AZ253" s="30" t="s">
        <v>1000</v>
      </c>
      <c r="BB253" s="56">
        <f>AV253+AW253</f>
        <v>0</v>
      </c>
      <c r="BC253" s="56">
        <f>H253/(100-BD253)*100</f>
        <v>0</v>
      </c>
      <c r="BD253" s="56">
        <v>0</v>
      </c>
      <c r="BE253" s="56" t="e">
        <f>#REF!</f>
        <v>#REF!</v>
      </c>
      <c r="BG253" s="56">
        <f>G253*AN253</f>
        <v>0</v>
      </c>
      <c r="BH253" s="56">
        <f>G253*AO253</f>
        <v>0</v>
      </c>
      <c r="BI253" s="56">
        <f>G253*H253</f>
        <v>0</v>
      </c>
      <c r="BJ253" s="56"/>
      <c r="BK253" s="56">
        <v>89</v>
      </c>
      <c r="BV253" s="56">
        <v>21</v>
      </c>
    </row>
    <row r="254" spans="1:74" ht="13.5" customHeight="1" x14ac:dyDescent="0.25">
      <c r="A254" s="10" t="s">
        <v>516</v>
      </c>
      <c r="B254" s="9" t="s">
        <v>847</v>
      </c>
      <c r="C254" s="9" t="s">
        <v>421</v>
      </c>
      <c r="D254" s="76" t="s">
        <v>937</v>
      </c>
      <c r="E254" s="77"/>
      <c r="F254" s="9" t="s">
        <v>909</v>
      </c>
      <c r="G254" s="56">
        <f>'Stavební rozpočet'!G254</f>
        <v>385.6</v>
      </c>
      <c r="H254" s="56">
        <f>'Stavební rozpočet'!H254</f>
        <v>0</v>
      </c>
      <c r="I254" s="56">
        <f>G254*H254</f>
        <v>0</v>
      </c>
      <c r="J254" s="54" t="s">
        <v>501</v>
      </c>
      <c r="Y254" s="56">
        <f>IF(AP254="5",BI254,0)</f>
        <v>0</v>
      </c>
      <c r="AA254" s="56">
        <f>IF(AP254="1",BG254,0)</f>
        <v>0</v>
      </c>
      <c r="AB254" s="56">
        <f>IF(AP254="1",BH254,0)</f>
        <v>0</v>
      </c>
      <c r="AC254" s="56">
        <f>IF(AP254="7",BG254,0)</f>
        <v>0</v>
      </c>
      <c r="AD254" s="56">
        <f>IF(AP254="7",BH254,0)</f>
        <v>0</v>
      </c>
      <c r="AE254" s="56">
        <f>IF(AP254="2",BG254,0)</f>
        <v>0</v>
      </c>
      <c r="AF254" s="56">
        <f>IF(AP254="2",BH254,0)</f>
        <v>0</v>
      </c>
      <c r="AG254" s="56">
        <f>IF(AP254="0",BI254,0)</f>
        <v>0</v>
      </c>
      <c r="AH254" s="30" t="s">
        <v>847</v>
      </c>
      <c r="AI254" s="56">
        <f>IF(AM254=0,I254,0)</f>
        <v>0</v>
      </c>
      <c r="AJ254" s="56">
        <f>IF(AM254=15,I254,0)</f>
        <v>0</v>
      </c>
      <c r="AK254" s="56">
        <f>IF(AM254=21,I254,0)</f>
        <v>0</v>
      </c>
      <c r="AM254" s="56">
        <v>21</v>
      </c>
      <c r="AN254" s="56">
        <f>H254*0.0343710021321962</f>
        <v>0</v>
      </c>
      <c r="AO254" s="56">
        <f>H254*(1-0.0343710021321962)</f>
        <v>0</v>
      </c>
      <c r="AP254" s="41" t="s">
        <v>1109</v>
      </c>
      <c r="AU254" s="56">
        <f>AV254+AW254</f>
        <v>0</v>
      </c>
      <c r="AV254" s="56">
        <f>G254*AN254</f>
        <v>0</v>
      </c>
      <c r="AW254" s="56">
        <f>G254*AO254</f>
        <v>0</v>
      </c>
      <c r="AX254" s="41" t="s">
        <v>95</v>
      </c>
      <c r="AY254" s="41" t="s">
        <v>246</v>
      </c>
      <c r="AZ254" s="30" t="s">
        <v>1000</v>
      </c>
      <c r="BB254" s="56">
        <f>AV254+AW254</f>
        <v>0</v>
      </c>
      <c r="BC254" s="56">
        <f>H254/(100-BD254)*100</f>
        <v>0</v>
      </c>
      <c r="BD254" s="56">
        <v>0</v>
      </c>
      <c r="BE254" s="56" t="e">
        <f>#REF!</f>
        <v>#REF!</v>
      </c>
      <c r="BG254" s="56">
        <f>G254*AN254</f>
        <v>0</v>
      </c>
      <c r="BH254" s="56">
        <f>G254*AO254</f>
        <v>0</v>
      </c>
      <c r="BI254" s="56">
        <f>G254*H254</f>
        <v>0</v>
      </c>
      <c r="BJ254" s="56"/>
      <c r="BK254" s="56">
        <v>89</v>
      </c>
      <c r="BV254" s="56">
        <v>21</v>
      </c>
    </row>
    <row r="255" spans="1:74" ht="13.5" customHeight="1" x14ac:dyDescent="0.25">
      <c r="A255" s="10" t="s">
        <v>714</v>
      </c>
      <c r="B255" s="9" t="s">
        <v>847</v>
      </c>
      <c r="C255" s="9" t="s">
        <v>1120</v>
      </c>
      <c r="D255" s="76" t="s">
        <v>623</v>
      </c>
      <c r="E255" s="77"/>
      <c r="F255" s="9" t="s">
        <v>275</v>
      </c>
      <c r="G255" s="56">
        <f>'Stavební rozpočet'!G255</f>
        <v>19</v>
      </c>
      <c r="H255" s="56">
        <f>'Stavební rozpočet'!H255</f>
        <v>0</v>
      </c>
      <c r="I255" s="56">
        <f>G255*H255</f>
        <v>0</v>
      </c>
      <c r="J255" s="54" t="s">
        <v>501</v>
      </c>
      <c r="Y255" s="56">
        <f>IF(AP255="5",BI255,0)</f>
        <v>0</v>
      </c>
      <c r="AA255" s="56">
        <f>IF(AP255="1",BG255,0)</f>
        <v>0</v>
      </c>
      <c r="AB255" s="56">
        <f>IF(AP255="1",BH255,0)</f>
        <v>0</v>
      </c>
      <c r="AC255" s="56">
        <f>IF(AP255="7",BG255,0)</f>
        <v>0</v>
      </c>
      <c r="AD255" s="56">
        <f>IF(AP255="7",BH255,0)</f>
        <v>0</v>
      </c>
      <c r="AE255" s="56">
        <f>IF(AP255="2",BG255,0)</f>
        <v>0</v>
      </c>
      <c r="AF255" s="56">
        <f>IF(AP255="2",BH255,0)</f>
        <v>0</v>
      </c>
      <c r="AG255" s="56">
        <f>IF(AP255="0",BI255,0)</f>
        <v>0</v>
      </c>
      <c r="AH255" s="30" t="s">
        <v>847</v>
      </c>
      <c r="AI255" s="56">
        <f>IF(AM255=0,I255,0)</f>
        <v>0</v>
      </c>
      <c r="AJ255" s="56">
        <f>IF(AM255=15,I255,0)</f>
        <v>0</v>
      </c>
      <c r="AK255" s="56">
        <f>IF(AM255=21,I255,0)</f>
        <v>0</v>
      </c>
      <c r="AM255" s="56">
        <v>21</v>
      </c>
      <c r="AN255" s="56">
        <f>H255*0.300018181818182</f>
        <v>0</v>
      </c>
      <c r="AO255" s="56">
        <f>H255*(1-0.300018181818182)</f>
        <v>0</v>
      </c>
      <c r="AP255" s="41" t="s">
        <v>1109</v>
      </c>
      <c r="AU255" s="56">
        <f>AV255+AW255</f>
        <v>0</v>
      </c>
      <c r="AV255" s="56">
        <f>G255*AN255</f>
        <v>0</v>
      </c>
      <c r="AW255" s="56">
        <f>G255*AO255</f>
        <v>0</v>
      </c>
      <c r="AX255" s="41" t="s">
        <v>95</v>
      </c>
      <c r="AY255" s="41" t="s">
        <v>246</v>
      </c>
      <c r="AZ255" s="30" t="s">
        <v>1000</v>
      </c>
      <c r="BB255" s="56">
        <f>AV255+AW255</f>
        <v>0</v>
      </c>
      <c r="BC255" s="56">
        <f>H255/(100-BD255)*100</f>
        <v>0</v>
      </c>
      <c r="BD255" s="56">
        <v>0</v>
      </c>
      <c r="BE255" s="56" t="e">
        <f>#REF!</f>
        <v>#REF!</v>
      </c>
      <c r="BG255" s="56">
        <f>G255*AN255</f>
        <v>0</v>
      </c>
      <c r="BH255" s="56">
        <f>G255*AO255</f>
        <v>0</v>
      </c>
      <c r="BI255" s="56">
        <f>G255*H255</f>
        <v>0</v>
      </c>
      <c r="BJ255" s="56"/>
      <c r="BK255" s="56">
        <v>89</v>
      </c>
      <c r="BV255" s="56">
        <v>21</v>
      </c>
    </row>
    <row r="256" spans="1:74" ht="13.5" customHeight="1" x14ac:dyDescent="0.25">
      <c r="A256" s="57" t="s">
        <v>1202</v>
      </c>
      <c r="B256" s="50" t="s">
        <v>847</v>
      </c>
      <c r="C256" s="50" t="s">
        <v>426</v>
      </c>
      <c r="D256" s="135" t="s">
        <v>37</v>
      </c>
      <c r="E256" s="136"/>
      <c r="F256" s="50" t="s">
        <v>275</v>
      </c>
      <c r="G256" s="31">
        <f>'Stavební rozpočet'!G256</f>
        <v>19</v>
      </c>
      <c r="H256" s="31">
        <f>'Stavební rozpočet'!H256</f>
        <v>0</v>
      </c>
      <c r="I256" s="31">
        <f>G256*H256</f>
        <v>0</v>
      </c>
      <c r="J256" s="47" t="s">
        <v>501</v>
      </c>
      <c r="Y256" s="56">
        <f>IF(AP256="5",BI256,0)</f>
        <v>0</v>
      </c>
      <c r="AA256" s="56">
        <f>IF(AP256="1",BG256,0)</f>
        <v>0</v>
      </c>
      <c r="AB256" s="56">
        <f>IF(AP256="1",BH256,0)</f>
        <v>0</v>
      </c>
      <c r="AC256" s="56">
        <f>IF(AP256="7",BG256,0)</f>
        <v>0</v>
      </c>
      <c r="AD256" s="56">
        <f>IF(AP256="7",BH256,0)</f>
        <v>0</v>
      </c>
      <c r="AE256" s="56">
        <f>IF(AP256="2",BG256,0)</f>
        <v>0</v>
      </c>
      <c r="AF256" s="56">
        <f>IF(AP256="2",BH256,0)</f>
        <v>0</v>
      </c>
      <c r="AG256" s="56">
        <f>IF(AP256="0",BI256,0)</f>
        <v>0</v>
      </c>
      <c r="AH256" s="30" t="s">
        <v>847</v>
      </c>
      <c r="AI256" s="31">
        <f>IF(AM256=0,I256,0)</f>
        <v>0</v>
      </c>
      <c r="AJ256" s="31">
        <f>IF(AM256=15,I256,0)</f>
        <v>0</v>
      </c>
      <c r="AK256" s="31">
        <f>IF(AM256=21,I256,0)</f>
        <v>0</v>
      </c>
      <c r="AM256" s="56">
        <v>21</v>
      </c>
      <c r="AN256" s="56">
        <f>H256*1</f>
        <v>0</v>
      </c>
      <c r="AO256" s="56">
        <f>H256*(1-1)</f>
        <v>0</v>
      </c>
      <c r="AP256" s="58" t="s">
        <v>1109</v>
      </c>
      <c r="AU256" s="56">
        <f>AV256+AW256</f>
        <v>0</v>
      </c>
      <c r="AV256" s="56">
        <f>G256*AN256</f>
        <v>0</v>
      </c>
      <c r="AW256" s="56">
        <f>G256*AO256</f>
        <v>0</v>
      </c>
      <c r="AX256" s="41" t="s">
        <v>95</v>
      </c>
      <c r="AY256" s="41" t="s">
        <v>246</v>
      </c>
      <c r="AZ256" s="30" t="s">
        <v>1000</v>
      </c>
      <c r="BB256" s="56">
        <f>AV256+AW256</f>
        <v>0</v>
      </c>
      <c r="BC256" s="56">
        <f>H256/(100-BD256)*100</f>
        <v>0</v>
      </c>
      <c r="BD256" s="56">
        <v>0</v>
      </c>
      <c r="BE256" s="56" t="e">
        <f>#REF!</f>
        <v>#REF!</v>
      </c>
      <c r="BG256" s="31">
        <f>G256*AN256</f>
        <v>0</v>
      </c>
      <c r="BH256" s="31">
        <f>G256*AO256</f>
        <v>0</v>
      </c>
      <c r="BI256" s="31">
        <f>G256*H256</f>
        <v>0</v>
      </c>
      <c r="BJ256" s="31"/>
      <c r="BK256" s="56">
        <v>89</v>
      </c>
      <c r="BV256" s="56">
        <v>21</v>
      </c>
    </row>
    <row r="257" spans="1:74" ht="15" customHeight="1" x14ac:dyDescent="0.25">
      <c r="A257" s="53"/>
      <c r="D257" s="52" t="s">
        <v>706</v>
      </c>
      <c r="E257" s="37" t="s">
        <v>585</v>
      </c>
      <c r="G257" s="21">
        <v>19</v>
      </c>
      <c r="J257" s="48"/>
    </row>
    <row r="258" spans="1:74" ht="13.5" customHeight="1" x14ac:dyDescent="0.25">
      <c r="A258" s="57" t="s">
        <v>783</v>
      </c>
      <c r="B258" s="50" t="s">
        <v>847</v>
      </c>
      <c r="C258" s="50" t="s">
        <v>884</v>
      </c>
      <c r="D258" s="135" t="s">
        <v>380</v>
      </c>
      <c r="E258" s="136"/>
      <c r="F258" s="50" t="s">
        <v>275</v>
      </c>
      <c r="G258" s="31">
        <f>'Stavební rozpočet'!G258</f>
        <v>19</v>
      </c>
      <c r="H258" s="31">
        <f>'Stavební rozpočet'!H258</f>
        <v>0</v>
      </c>
      <c r="I258" s="31">
        <f>G258*H258</f>
        <v>0</v>
      </c>
      <c r="J258" s="47" t="s">
        <v>501</v>
      </c>
      <c r="Y258" s="56">
        <f>IF(AP258="5",BI258,0)</f>
        <v>0</v>
      </c>
      <c r="AA258" s="56">
        <f>IF(AP258="1",BG258,0)</f>
        <v>0</v>
      </c>
      <c r="AB258" s="56">
        <f>IF(AP258="1",BH258,0)</f>
        <v>0</v>
      </c>
      <c r="AC258" s="56">
        <f>IF(AP258="7",BG258,0)</f>
        <v>0</v>
      </c>
      <c r="AD258" s="56">
        <f>IF(AP258="7",BH258,0)</f>
        <v>0</v>
      </c>
      <c r="AE258" s="56">
        <f>IF(AP258="2",BG258,0)</f>
        <v>0</v>
      </c>
      <c r="AF258" s="56">
        <f>IF(AP258="2",BH258,0)</f>
        <v>0</v>
      </c>
      <c r="AG258" s="56">
        <f>IF(AP258="0",BI258,0)</f>
        <v>0</v>
      </c>
      <c r="AH258" s="30" t="s">
        <v>847</v>
      </c>
      <c r="AI258" s="31">
        <f>IF(AM258=0,I258,0)</f>
        <v>0</v>
      </c>
      <c r="AJ258" s="31">
        <f>IF(AM258=15,I258,0)</f>
        <v>0</v>
      </c>
      <c r="AK258" s="31">
        <f>IF(AM258=21,I258,0)</f>
        <v>0</v>
      </c>
      <c r="AM258" s="56">
        <v>21</v>
      </c>
      <c r="AN258" s="56">
        <f>H258*1</f>
        <v>0</v>
      </c>
      <c r="AO258" s="56">
        <f>H258*(1-1)</f>
        <v>0</v>
      </c>
      <c r="AP258" s="58" t="s">
        <v>1109</v>
      </c>
      <c r="AU258" s="56">
        <f>AV258+AW258</f>
        <v>0</v>
      </c>
      <c r="AV258" s="56">
        <f>G258*AN258</f>
        <v>0</v>
      </c>
      <c r="AW258" s="56">
        <f>G258*AO258</f>
        <v>0</v>
      </c>
      <c r="AX258" s="41" t="s">
        <v>95</v>
      </c>
      <c r="AY258" s="41" t="s">
        <v>246</v>
      </c>
      <c r="AZ258" s="30" t="s">
        <v>1000</v>
      </c>
      <c r="BB258" s="56">
        <f>AV258+AW258</f>
        <v>0</v>
      </c>
      <c r="BC258" s="56">
        <f>H258/(100-BD258)*100</f>
        <v>0</v>
      </c>
      <c r="BD258" s="56">
        <v>0</v>
      </c>
      <c r="BE258" s="56" t="e">
        <f>#REF!</f>
        <v>#REF!</v>
      </c>
      <c r="BG258" s="31">
        <f>G258*AN258</f>
        <v>0</v>
      </c>
      <c r="BH258" s="31">
        <f>G258*AO258</f>
        <v>0</v>
      </c>
      <c r="BI258" s="31">
        <f>G258*H258</f>
        <v>0</v>
      </c>
      <c r="BJ258" s="31"/>
      <c r="BK258" s="56">
        <v>89</v>
      </c>
      <c r="BV258" s="56">
        <v>21</v>
      </c>
    </row>
    <row r="259" spans="1:74" ht="15" customHeight="1" x14ac:dyDescent="0.25">
      <c r="A259" s="53"/>
      <c r="D259" s="52" t="s">
        <v>706</v>
      </c>
      <c r="E259" s="37" t="s">
        <v>325</v>
      </c>
      <c r="G259" s="21">
        <v>19</v>
      </c>
      <c r="J259" s="48"/>
    </row>
    <row r="260" spans="1:74" ht="13.5" customHeight="1" x14ac:dyDescent="0.25">
      <c r="A260" s="10" t="s">
        <v>1214</v>
      </c>
      <c r="B260" s="9" t="s">
        <v>847</v>
      </c>
      <c r="C260" s="9" t="s">
        <v>864</v>
      </c>
      <c r="D260" s="76" t="s">
        <v>143</v>
      </c>
      <c r="E260" s="77"/>
      <c r="F260" s="9" t="s">
        <v>275</v>
      </c>
      <c r="G260" s="56">
        <f>'Stavební rozpočet'!G260</f>
        <v>8</v>
      </c>
      <c r="H260" s="56">
        <f>'Stavební rozpočet'!H260</f>
        <v>0</v>
      </c>
      <c r="I260" s="56">
        <f>G260*H260</f>
        <v>0</v>
      </c>
      <c r="J260" s="54" t="s">
        <v>501</v>
      </c>
      <c r="Y260" s="56">
        <f>IF(AP260="5",BI260,0)</f>
        <v>0</v>
      </c>
      <c r="AA260" s="56">
        <f>IF(AP260="1",BG260,0)</f>
        <v>0</v>
      </c>
      <c r="AB260" s="56">
        <f>IF(AP260="1",BH260,0)</f>
        <v>0</v>
      </c>
      <c r="AC260" s="56">
        <f>IF(AP260="7",BG260,0)</f>
        <v>0</v>
      </c>
      <c r="AD260" s="56">
        <f>IF(AP260="7",BH260,0)</f>
        <v>0</v>
      </c>
      <c r="AE260" s="56">
        <f>IF(AP260="2",BG260,0)</f>
        <v>0</v>
      </c>
      <c r="AF260" s="56">
        <f>IF(AP260="2",BH260,0)</f>
        <v>0</v>
      </c>
      <c r="AG260" s="56">
        <f>IF(AP260="0",BI260,0)</f>
        <v>0</v>
      </c>
      <c r="AH260" s="30" t="s">
        <v>847</v>
      </c>
      <c r="AI260" s="56">
        <f>IF(AM260=0,I260,0)</f>
        <v>0</v>
      </c>
      <c r="AJ260" s="56">
        <f>IF(AM260=15,I260,0)</f>
        <v>0</v>
      </c>
      <c r="AK260" s="56">
        <f>IF(AM260=21,I260,0)</f>
        <v>0</v>
      </c>
      <c r="AM260" s="56">
        <v>21</v>
      </c>
      <c r="AN260" s="56">
        <f>H260*0.42892998678996</f>
        <v>0</v>
      </c>
      <c r="AO260" s="56">
        <f>H260*(1-0.42892998678996)</f>
        <v>0</v>
      </c>
      <c r="AP260" s="41" t="s">
        <v>1109</v>
      </c>
      <c r="AU260" s="56">
        <f>AV260+AW260</f>
        <v>0</v>
      </c>
      <c r="AV260" s="56">
        <f>G260*AN260</f>
        <v>0</v>
      </c>
      <c r="AW260" s="56">
        <f>G260*AO260</f>
        <v>0</v>
      </c>
      <c r="AX260" s="41" t="s">
        <v>95</v>
      </c>
      <c r="AY260" s="41" t="s">
        <v>246</v>
      </c>
      <c r="AZ260" s="30" t="s">
        <v>1000</v>
      </c>
      <c r="BB260" s="56">
        <f>AV260+AW260</f>
        <v>0</v>
      </c>
      <c r="BC260" s="56">
        <f>H260/(100-BD260)*100</f>
        <v>0</v>
      </c>
      <c r="BD260" s="56">
        <v>0</v>
      </c>
      <c r="BE260" s="56" t="e">
        <f>#REF!</f>
        <v>#REF!</v>
      </c>
      <c r="BG260" s="56">
        <f>G260*AN260</f>
        <v>0</v>
      </c>
      <c r="BH260" s="56">
        <f>G260*AO260</f>
        <v>0</v>
      </c>
      <c r="BI260" s="56">
        <f>G260*H260</f>
        <v>0</v>
      </c>
      <c r="BJ260" s="56"/>
      <c r="BK260" s="56">
        <v>89</v>
      </c>
      <c r="BV260" s="56">
        <v>21</v>
      </c>
    </row>
    <row r="261" spans="1:74" ht="13.5" customHeight="1" x14ac:dyDescent="0.25">
      <c r="A261" s="57" t="s">
        <v>1138</v>
      </c>
      <c r="B261" s="50" t="s">
        <v>847</v>
      </c>
      <c r="C261" s="50" t="s">
        <v>843</v>
      </c>
      <c r="D261" s="135" t="s">
        <v>75</v>
      </c>
      <c r="E261" s="136"/>
      <c r="F261" s="50" t="s">
        <v>275</v>
      </c>
      <c r="G261" s="31">
        <f>'Stavební rozpočet'!G261</f>
        <v>8</v>
      </c>
      <c r="H261" s="31">
        <f>'Stavební rozpočet'!H261</f>
        <v>0</v>
      </c>
      <c r="I261" s="31">
        <f>G261*H261</f>
        <v>0</v>
      </c>
      <c r="J261" s="47" t="s">
        <v>501</v>
      </c>
      <c r="Y261" s="56">
        <f>IF(AP261="5",BI261,0)</f>
        <v>0</v>
      </c>
      <c r="AA261" s="56">
        <f>IF(AP261="1",BG261,0)</f>
        <v>0</v>
      </c>
      <c r="AB261" s="56">
        <f>IF(AP261="1",BH261,0)</f>
        <v>0</v>
      </c>
      <c r="AC261" s="56">
        <f>IF(AP261="7",BG261,0)</f>
        <v>0</v>
      </c>
      <c r="AD261" s="56">
        <f>IF(AP261="7",BH261,0)</f>
        <v>0</v>
      </c>
      <c r="AE261" s="56">
        <f>IF(AP261="2",BG261,0)</f>
        <v>0</v>
      </c>
      <c r="AF261" s="56">
        <f>IF(AP261="2",BH261,0)</f>
        <v>0</v>
      </c>
      <c r="AG261" s="56">
        <f>IF(AP261="0",BI261,0)</f>
        <v>0</v>
      </c>
      <c r="AH261" s="30" t="s">
        <v>847</v>
      </c>
      <c r="AI261" s="31">
        <f>IF(AM261=0,I261,0)</f>
        <v>0</v>
      </c>
      <c r="AJ261" s="31">
        <f>IF(AM261=15,I261,0)</f>
        <v>0</v>
      </c>
      <c r="AK261" s="31">
        <f>IF(AM261=21,I261,0)</f>
        <v>0</v>
      </c>
      <c r="AM261" s="56">
        <v>21</v>
      </c>
      <c r="AN261" s="56">
        <f>H261*1</f>
        <v>0</v>
      </c>
      <c r="AO261" s="56">
        <f>H261*(1-1)</f>
        <v>0</v>
      </c>
      <c r="AP261" s="58" t="s">
        <v>1109</v>
      </c>
      <c r="AU261" s="56">
        <f>AV261+AW261</f>
        <v>0</v>
      </c>
      <c r="AV261" s="56">
        <f>G261*AN261</f>
        <v>0</v>
      </c>
      <c r="AW261" s="56">
        <f>G261*AO261</f>
        <v>0</v>
      </c>
      <c r="AX261" s="41" t="s">
        <v>95</v>
      </c>
      <c r="AY261" s="41" t="s">
        <v>246</v>
      </c>
      <c r="AZ261" s="30" t="s">
        <v>1000</v>
      </c>
      <c r="BB261" s="56">
        <f>AV261+AW261</f>
        <v>0</v>
      </c>
      <c r="BC261" s="56">
        <f>H261/(100-BD261)*100</f>
        <v>0</v>
      </c>
      <c r="BD261" s="56">
        <v>0</v>
      </c>
      <c r="BE261" s="56" t="e">
        <f>#REF!</f>
        <v>#REF!</v>
      </c>
      <c r="BG261" s="31">
        <f>G261*AN261</f>
        <v>0</v>
      </c>
      <c r="BH261" s="31">
        <f>G261*AO261</f>
        <v>0</v>
      </c>
      <c r="BI261" s="31">
        <f>G261*H261</f>
        <v>0</v>
      </c>
      <c r="BJ261" s="31"/>
      <c r="BK261" s="56">
        <v>89</v>
      </c>
      <c r="BV261" s="56">
        <v>21</v>
      </c>
    </row>
    <row r="262" spans="1:74" ht="15" customHeight="1" x14ac:dyDescent="0.25">
      <c r="A262" s="53"/>
      <c r="D262" s="52" t="s">
        <v>874</v>
      </c>
      <c r="E262" s="37" t="s">
        <v>155</v>
      </c>
      <c r="G262" s="21">
        <v>8</v>
      </c>
      <c r="J262" s="48"/>
    </row>
    <row r="263" spans="1:74" ht="13.5" customHeight="1" x14ac:dyDescent="0.25">
      <c r="A263" s="57" t="s">
        <v>1071</v>
      </c>
      <c r="B263" s="50" t="s">
        <v>847</v>
      </c>
      <c r="C263" s="50" t="s">
        <v>316</v>
      </c>
      <c r="D263" s="135" t="s">
        <v>31</v>
      </c>
      <c r="E263" s="136"/>
      <c r="F263" s="50" t="s">
        <v>275</v>
      </c>
      <c r="G263" s="31">
        <f>'Stavební rozpočet'!G263</f>
        <v>8</v>
      </c>
      <c r="H263" s="31">
        <f>'Stavební rozpočet'!H263</f>
        <v>0</v>
      </c>
      <c r="I263" s="31">
        <f>G263*H263</f>
        <v>0</v>
      </c>
      <c r="J263" s="47" t="s">
        <v>501</v>
      </c>
      <c r="Y263" s="56">
        <f>IF(AP263="5",BI263,0)</f>
        <v>0</v>
      </c>
      <c r="AA263" s="56">
        <f>IF(AP263="1",BG263,0)</f>
        <v>0</v>
      </c>
      <c r="AB263" s="56">
        <f>IF(AP263="1",BH263,0)</f>
        <v>0</v>
      </c>
      <c r="AC263" s="56">
        <f>IF(AP263="7",BG263,0)</f>
        <v>0</v>
      </c>
      <c r="AD263" s="56">
        <f>IF(AP263="7",BH263,0)</f>
        <v>0</v>
      </c>
      <c r="AE263" s="56">
        <f>IF(AP263="2",BG263,0)</f>
        <v>0</v>
      </c>
      <c r="AF263" s="56">
        <f>IF(AP263="2",BH263,0)</f>
        <v>0</v>
      </c>
      <c r="AG263" s="56">
        <f>IF(AP263="0",BI263,0)</f>
        <v>0</v>
      </c>
      <c r="AH263" s="30" t="s">
        <v>847</v>
      </c>
      <c r="AI263" s="31">
        <f>IF(AM263=0,I263,0)</f>
        <v>0</v>
      </c>
      <c r="AJ263" s="31">
        <f>IF(AM263=15,I263,0)</f>
        <v>0</v>
      </c>
      <c r="AK263" s="31">
        <f>IF(AM263=21,I263,0)</f>
        <v>0</v>
      </c>
      <c r="AM263" s="56">
        <v>21</v>
      </c>
      <c r="AN263" s="56">
        <f>H263*1</f>
        <v>0</v>
      </c>
      <c r="AO263" s="56">
        <f>H263*(1-1)</f>
        <v>0</v>
      </c>
      <c r="AP263" s="58" t="s">
        <v>1109</v>
      </c>
      <c r="AU263" s="56">
        <f>AV263+AW263</f>
        <v>0</v>
      </c>
      <c r="AV263" s="56">
        <f>G263*AN263</f>
        <v>0</v>
      </c>
      <c r="AW263" s="56">
        <f>G263*AO263</f>
        <v>0</v>
      </c>
      <c r="AX263" s="41" t="s">
        <v>95</v>
      </c>
      <c r="AY263" s="41" t="s">
        <v>246</v>
      </c>
      <c r="AZ263" s="30" t="s">
        <v>1000</v>
      </c>
      <c r="BB263" s="56">
        <f>AV263+AW263</f>
        <v>0</v>
      </c>
      <c r="BC263" s="56">
        <f>H263/(100-BD263)*100</f>
        <v>0</v>
      </c>
      <c r="BD263" s="56">
        <v>0</v>
      </c>
      <c r="BE263" s="56" t="e">
        <f>#REF!</f>
        <v>#REF!</v>
      </c>
      <c r="BG263" s="31">
        <f>G263*AN263</f>
        <v>0</v>
      </c>
      <c r="BH263" s="31">
        <f>G263*AO263</f>
        <v>0</v>
      </c>
      <c r="BI263" s="31">
        <f>G263*H263</f>
        <v>0</v>
      </c>
      <c r="BJ263" s="31"/>
      <c r="BK263" s="56">
        <v>89</v>
      </c>
      <c r="BV263" s="56">
        <v>21</v>
      </c>
    </row>
    <row r="264" spans="1:74" ht="15" customHeight="1" x14ac:dyDescent="0.25">
      <c r="A264" s="53"/>
      <c r="D264" s="52" t="s">
        <v>874</v>
      </c>
      <c r="E264" s="37" t="s">
        <v>183</v>
      </c>
      <c r="G264" s="21">
        <v>8</v>
      </c>
      <c r="J264" s="48"/>
    </row>
    <row r="265" spans="1:74" ht="13.5" customHeight="1" x14ac:dyDescent="0.25">
      <c r="A265" s="10" t="s">
        <v>588</v>
      </c>
      <c r="B265" s="9" t="s">
        <v>847</v>
      </c>
      <c r="C265" s="9" t="s">
        <v>797</v>
      </c>
      <c r="D265" s="76" t="s">
        <v>397</v>
      </c>
      <c r="E265" s="77"/>
      <c r="F265" s="9" t="s">
        <v>275</v>
      </c>
      <c r="G265" s="56">
        <f>'Stavební rozpočet'!G265</f>
        <v>2</v>
      </c>
      <c r="H265" s="56">
        <f>'Stavební rozpočet'!H265</f>
        <v>0</v>
      </c>
      <c r="I265" s="56">
        <f>G265*H265</f>
        <v>0</v>
      </c>
      <c r="J265" s="54" t="s">
        <v>501</v>
      </c>
      <c r="Y265" s="56">
        <f>IF(AP265="5",BI265,0)</f>
        <v>0</v>
      </c>
      <c r="AA265" s="56">
        <f>IF(AP265="1",BG265,0)</f>
        <v>0</v>
      </c>
      <c r="AB265" s="56">
        <f>IF(AP265="1",BH265,0)</f>
        <v>0</v>
      </c>
      <c r="AC265" s="56">
        <f>IF(AP265="7",BG265,0)</f>
        <v>0</v>
      </c>
      <c r="AD265" s="56">
        <f>IF(AP265="7",BH265,0)</f>
        <v>0</v>
      </c>
      <c r="AE265" s="56">
        <f>IF(AP265="2",BG265,0)</f>
        <v>0</v>
      </c>
      <c r="AF265" s="56">
        <f>IF(AP265="2",BH265,0)</f>
        <v>0</v>
      </c>
      <c r="AG265" s="56">
        <f>IF(AP265="0",BI265,0)</f>
        <v>0</v>
      </c>
      <c r="AH265" s="30" t="s">
        <v>847</v>
      </c>
      <c r="AI265" s="56">
        <f>IF(AM265=0,I265,0)</f>
        <v>0</v>
      </c>
      <c r="AJ265" s="56">
        <f>IF(AM265=15,I265,0)</f>
        <v>0</v>
      </c>
      <c r="AK265" s="56">
        <f>IF(AM265=21,I265,0)</f>
        <v>0</v>
      </c>
      <c r="AM265" s="56">
        <v>21</v>
      </c>
      <c r="AN265" s="56">
        <f>H265*0.593457374830852</f>
        <v>0</v>
      </c>
      <c r="AO265" s="56">
        <f>H265*(1-0.593457374830852)</f>
        <v>0</v>
      </c>
      <c r="AP265" s="41" t="s">
        <v>1109</v>
      </c>
      <c r="AU265" s="56">
        <f>AV265+AW265</f>
        <v>0</v>
      </c>
      <c r="AV265" s="56">
        <f>G265*AN265</f>
        <v>0</v>
      </c>
      <c r="AW265" s="56">
        <f>G265*AO265</f>
        <v>0</v>
      </c>
      <c r="AX265" s="41" t="s">
        <v>95</v>
      </c>
      <c r="AY265" s="41" t="s">
        <v>246</v>
      </c>
      <c r="AZ265" s="30" t="s">
        <v>1000</v>
      </c>
      <c r="BB265" s="56">
        <f>AV265+AW265</f>
        <v>0</v>
      </c>
      <c r="BC265" s="56">
        <f>H265/(100-BD265)*100</f>
        <v>0</v>
      </c>
      <c r="BD265" s="56">
        <v>0</v>
      </c>
      <c r="BE265" s="56" t="e">
        <f>#REF!</f>
        <v>#REF!</v>
      </c>
      <c r="BG265" s="56">
        <f>G265*AN265</f>
        <v>0</v>
      </c>
      <c r="BH265" s="56">
        <f>G265*AO265</f>
        <v>0</v>
      </c>
      <c r="BI265" s="56">
        <f>G265*H265</f>
        <v>0</v>
      </c>
      <c r="BJ265" s="56"/>
      <c r="BK265" s="56">
        <v>89</v>
      </c>
      <c r="BV265" s="56">
        <v>21</v>
      </c>
    </row>
    <row r="266" spans="1:74" ht="13.5" customHeight="1" x14ac:dyDescent="0.25">
      <c r="A266" s="57" t="s">
        <v>518</v>
      </c>
      <c r="B266" s="50" t="s">
        <v>847</v>
      </c>
      <c r="C266" s="50" t="s">
        <v>554</v>
      </c>
      <c r="D266" s="135" t="s">
        <v>788</v>
      </c>
      <c r="E266" s="136"/>
      <c r="F266" s="50" t="s">
        <v>275</v>
      </c>
      <c r="G266" s="31">
        <f>'Stavební rozpočet'!G266</f>
        <v>2</v>
      </c>
      <c r="H266" s="31">
        <f>'Stavební rozpočet'!H266</f>
        <v>0</v>
      </c>
      <c r="I266" s="31">
        <f>G266*H266</f>
        <v>0</v>
      </c>
      <c r="J266" s="47" t="s">
        <v>501</v>
      </c>
      <c r="Y266" s="56">
        <f>IF(AP266="5",BI266,0)</f>
        <v>0</v>
      </c>
      <c r="AA266" s="56">
        <f>IF(AP266="1",BG266,0)</f>
        <v>0</v>
      </c>
      <c r="AB266" s="56">
        <f>IF(AP266="1",BH266,0)</f>
        <v>0</v>
      </c>
      <c r="AC266" s="56">
        <f>IF(AP266="7",BG266,0)</f>
        <v>0</v>
      </c>
      <c r="AD266" s="56">
        <f>IF(AP266="7",BH266,0)</f>
        <v>0</v>
      </c>
      <c r="AE266" s="56">
        <f>IF(AP266="2",BG266,0)</f>
        <v>0</v>
      </c>
      <c r="AF266" s="56">
        <f>IF(AP266="2",BH266,0)</f>
        <v>0</v>
      </c>
      <c r="AG266" s="56">
        <f>IF(AP266="0",BI266,0)</f>
        <v>0</v>
      </c>
      <c r="AH266" s="30" t="s">
        <v>847</v>
      </c>
      <c r="AI266" s="31">
        <f>IF(AM266=0,I266,0)</f>
        <v>0</v>
      </c>
      <c r="AJ266" s="31">
        <f>IF(AM266=15,I266,0)</f>
        <v>0</v>
      </c>
      <c r="AK266" s="31">
        <f>IF(AM266=21,I266,0)</f>
        <v>0</v>
      </c>
      <c r="AM266" s="56">
        <v>21</v>
      </c>
      <c r="AN266" s="56">
        <f>H266*1</f>
        <v>0</v>
      </c>
      <c r="AO266" s="56">
        <f>H266*(1-1)</f>
        <v>0</v>
      </c>
      <c r="AP266" s="58" t="s">
        <v>1109</v>
      </c>
      <c r="AU266" s="56">
        <f>AV266+AW266</f>
        <v>0</v>
      </c>
      <c r="AV266" s="56">
        <f>G266*AN266</f>
        <v>0</v>
      </c>
      <c r="AW266" s="56">
        <f>G266*AO266</f>
        <v>0</v>
      </c>
      <c r="AX266" s="41" t="s">
        <v>95</v>
      </c>
      <c r="AY266" s="41" t="s">
        <v>246</v>
      </c>
      <c r="AZ266" s="30" t="s">
        <v>1000</v>
      </c>
      <c r="BB266" s="56">
        <f>AV266+AW266</f>
        <v>0</v>
      </c>
      <c r="BC266" s="56">
        <f>H266/(100-BD266)*100</f>
        <v>0</v>
      </c>
      <c r="BD266" s="56">
        <v>0</v>
      </c>
      <c r="BE266" s="56" t="e">
        <f>#REF!</f>
        <v>#REF!</v>
      </c>
      <c r="BG266" s="31">
        <f>G266*AN266</f>
        <v>0</v>
      </c>
      <c r="BH266" s="31">
        <f>G266*AO266</f>
        <v>0</v>
      </c>
      <c r="BI266" s="31">
        <f>G266*H266</f>
        <v>0</v>
      </c>
      <c r="BJ266" s="31"/>
      <c r="BK266" s="56">
        <v>89</v>
      </c>
      <c r="BV266" s="56">
        <v>21</v>
      </c>
    </row>
    <row r="267" spans="1:74" ht="15" customHeight="1" x14ac:dyDescent="0.25">
      <c r="A267" s="53"/>
      <c r="D267" s="52" t="s">
        <v>766</v>
      </c>
      <c r="E267" s="37" t="s">
        <v>663</v>
      </c>
      <c r="G267" s="21">
        <v>2</v>
      </c>
      <c r="J267" s="48"/>
    </row>
    <row r="268" spans="1:74" ht="13.5" customHeight="1" x14ac:dyDescent="0.25">
      <c r="A268" s="57" t="s">
        <v>474</v>
      </c>
      <c r="B268" s="50" t="s">
        <v>847</v>
      </c>
      <c r="C268" s="50" t="s">
        <v>918</v>
      </c>
      <c r="D268" s="135" t="s">
        <v>639</v>
      </c>
      <c r="E268" s="136"/>
      <c r="F268" s="50" t="s">
        <v>275</v>
      </c>
      <c r="G268" s="31">
        <f>'Stavební rozpočet'!G268</f>
        <v>2</v>
      </c>
      <c r="H268" s="31">
        <f>'Stavební rozpočet'!H268</f>
        <v>0</v>
      </c>
      <c r="I268" s="31">
        <f>G268*H268</f>
        <v>0</v>
      </c>
      <c r="J268" s="47" t="s">
        <v>501</v>
      </c>
      <c r="Y268" s="56">
        <f>IF(AP268="5",BI268,0)</f>
        <v>0</v>
      </c>
      <c r="AA268" s="56">
        <f>IF(AP268="1",BG268,0)</f>
        <v>0</v>
      </c>
      <c r="AB268" s="56">
        <f>IF(AP268="1",BH268,0)</f>
        <v>0</v>
      </c>
      <c r="AC268" s="56">
        <f>IF(AP268="7",BG268,0)</f>
        <v>0</v>
      </c>
      <c r="AD268" s="56">
        <f>IF(AP268="7",BH268,0)</f>
        <v>0</v>
      </c>
      <c r="AE268" s="56">
        <f>IF(AP268="2",BG268,0)</f>
        <v>0</v>
      </c>
      <c r="AF268" s="56">
        <f>IF(AP268="2",BH268,0)</f>
        <v>0</v>
      </c>
      <c r="AG268" s="56">
        <f>IF(AP268="0",BI268,0)</f>
        <v>0</v>
      </c>
      <c r="AH268" s="30" t="s">
        <v>847</v>
      </c>
      <c r="AI268" s="31">
        <f>IF(AM268=0,I268,0)</f>
        <v>0</v>
      </c>
      <c r="AJ268" s="31">
        <f>IF(AM268=15,I268,0)</f>
        <v>0</v>
      </c>
      <c r="AK268" s="31">
        <f>IF(AM268=21,I268,0)</f>
        <v>0</v>
      </c>
      <c r="AM268" s="56">
        <v>21</v>
      </c>
      <c r="AN268" s="56">
        <f>H268*1</f>
        <v>0</v>
      </c>
      <c r="AO268" s="56">
        <f>H268*(1-1)</f>
        <v>0</v>
      </c>
      <c r="AP268" s="58" t="s">
        <v>1109</v>
      </c>
      <c r="AU268" s="56">
        <f>AV268+AW268</f>
        <v>0</v>
      </c>
      <c r="AV268" s="56">
        <f>G268*AN268</f>
        <v>0</v>
      </c>
      <c r="AW268" s="56">
        <f>G268*AO268</f>
        <v>0</v>
      </c>
      <c r="AX268" s="41" t="s">
        <v>95</v>
      </c>
      <c r="AY268" s="41" t="s">
        <v>246</v>
      </c>
      <c r="AZ268" s="30" t="s">
        <v>1000</v>
      </c>
      <c r="BB268" s="56">
        <f>AV268+AW268</f>
        <v>0</v>
      </c>
      <c r="BC268" s="56">
        <f>H268/(100-BD268)*100</f>
        <v>0</v>
      </c>
      <c r="BD268" s="56">
        <v>0</v>
      </c>
      <c r="BE268" s="56" t="e">
        <f>#REF!</f>
        <v>#REF!</v>
      </c>
      <c r="BG268" s="31">
        <f>G268*AN268</f>
        <v>0</v>
      </c>
      <c r="BH268" s="31">
        <f>G268*AO268</f>
        <v>0</v>
      </c>
      <c r="BI268" s="31">
        <f>G268*H268</f>
        <v>0</v>
      </c>
      <c r="BJ268" s="31"/>
      <c r="BK268" s="56">
        <v>89</v>
      </c>
      <c r="BV268" s="56">
        <v>21</v>
      </c>
    </row>
    <row r="269" spans="1:74" ht="15" customHeight="1" x14ac:dyDescent="0.25">
      <c r="A269" s="53"/>
      <c r="D269" s="52" t="s">
        <v>766</v>
      </c>
      <c r="E269" s="37" t="s">
        <v>166</v>
      </c>
      <c r="G269" s="21">
        <v>2</v>
      </c>
      <c r="J269" s="48"/>
    </row>
    <row r="270" spans="1:74" ht="13.5" customHeight="1" x14ac:dyDescent="0.25">
      <c r="A270" s="10" t="s">
        <v>193</v>
      </c>
      <c r="B270" s="9" t="s">
        <v>847</v>
      </c>
      <c r="C270" s="9" t="s">
        <v>202</v>
      </c>
      <c r="D270" s="76" t="s">
        <v>1178</v>
      </c>
      <c r="E270" s="77"/>
      <c r="F270" s="9" t="s">
        <v>909</v>
      </c>
      <c r="G270" s="56">
        <f>'Stavební rozpočet'!G270</f>
        <v>340</v>
      </c>
      <c r="H270" s="56">
        <f>'Stavební rozpočet'!H270</f>
        <v>0</v>
      </c>
      <c r="I270" s="56">
        <f>G270*H270</f>
        <v>0</v>
      </c>
      <c r="J270" s="54" t="s">
        <v>501</v>
      </c>
      <c r="Y270" s="56">
        <f>IF(AP270="5",BI270,0)</f>
        <v>0</v>
      </c>
      <c r="AA270" s="56">
        <f>IF(AP270="1",BG270,0)</f>
        <v>0</v>
      </c>
      <c r="AB270" s="56">
        <f>IF(AP270="1",BH270,0)</f>
        <v>0</v>
      </c>
      <c r="AC270" s="56">
        <f>IF(AP270="7",BG270,0)</f>
        <v>0</v>
      </c>
      <c r="AD270" s="56">
        <f>IF(AP270="7",BH270,0)</f>
        <v>0</v>
      </c>
      <c r="AE270" s="56">
        <f>IF(AP270="2",BG270,0)</f>
        <v>0</v>
      </c>
      <c r="AF270" s="56">
        <f>IF(AP270="2",BH270,0)</f>
        <v>0</v>
      </c>
      <c r="AG270" s="56">
        <f>IF(AP270="0",BI270,0)</f>
        <v>0</v>
      </c>
      <c r="AH270" s="30" t="s">
        <v>847</v>
      </c>
      <c r="AI270" s="56">
        <f>IF(AM270=0,I270,0)</f>
        <v>0</v>
      </c>
      <c r="AJ270" s="56">
        <f>IF(AM270=15,I270,0)</f>
        <v>0</v>
      </c>
      <c r="AK270" s="56">
        <f>IF(AM270=21,I270,0)</f>
        <v>0</v>
      </c>
      <c r="AM270" s="56">
        <v>21</v>
      </c>
      <c r="AN270" s="56">
        <f>H270*0.353992183137912</f>
        <v>0</v>
      </c>
      <c r="AO270" s="56">
        <f>H270*(1-0.353992183137912)</f>
        <v>0</v>
      </c>
      <c r="AP270" s="41" t="s">
        <v>1109</v>
      </c>
      <c r="AU270" s="56">
        <f>AV270+AW270</f>
        <v>0</v>
      </c>
      <c r="AV270" s="56">
        <f>G270*AN270</f>
        <v>0</v>
      </c>
      <c r="AW270" s="56">
        <f>G270*AO270</f>
        <v>0</v>
      </c>
      <c r="AX270" s="41" t="s">
        <v>95</v>
      </c>
      <c r="AY270" s="41" t="s">
        <v>246</v>
      </c>
      <c r="AZ270" s="30" t="s">
        <v>1000</v>
      </c>
      <c r="BB270" s="56">
        <f>AV270+AW270</f>
        <v>0</v>
      </c>
      <c r="BC270" s="56">
        <f>H270/(100-BD270)*100</f>
        <v>0</v>
      </c>
      <c r="BD270" s="56">
        <v>0</v>
      </c>
      <c r="BE270" s="56" t="e">
        <f>#REF!</f>
        <v>#REF!</v>
      </c>
      <c r="BG270" s="56">
        <f>G270*AN270</f>
        <v>0</v>
      </c>
      <c r="BH270" s="56">
        <f>G270*AO270</f>
        <v>0</v>
      </c>
      <c r="BI270" s="56">
        <f>G270*H270</f>
        <v>0</v>
      </c>
      <c r="BJ270" s="56"/>
      <c r="BK270" s="56">
        <v>89</v>
      </c>
      <c r="BV270" s="56">
        <v>21</v>
      </c>
    </row>
    <row r="271" spans="1:74" ht="15" customHeight="1" x14ac:dyDescent="0.25">
      <c r="A271" s="53"/>
      <c r="D271" s="52" t="s">
        <v>901</v>
      </c>
      <c r="E271" s="37" t="s">
        <v>537</v>
      </c>
      <c r="G271" s="21">
        <v>340</v>
      </c>
      <c r="J271" s="48"/>
    </row>
    <row r="272" spans="1:74" ht="13.5" customHeight="1" x14ac:dyDescent="0.25">
      <c r="A272" s="10" t="s">
        <v>249</v>
      </c>
      <c r="B272" s="9" t="s">
        <v>847</v>
      </c>
      <c r="C272" s="9" t="s">
        <v>3</v>
      </c>
      <c r="D272" s="76" t="s">
        <v>1222</v>
      </c>
      <c r="E272" s="77"/>
      <c r="F272" s="9" t="s">
        <v>909</v>
      </c>
      <c r="G272" s="56">
        <f>'Stavební rozpočet'!G272</f>
        <v>356</v>
      </c>
      <c r="H272" s="56">
        <f>'Stavební rozpočet'!H272</f>
        <v>0</v>
      </c>
      <c r="I272" s="56">
        <f>G272*H272</f>
        <v>0</v>
      </c>
      <c r="J272" s="54" t="s">
        <v>501</v>
      </c>
      <c r="Y272" s="56">
        <f>IF(AP272="5",BI272,0)</f>
        <v>0</v>
      </c>
      <c r="AA272" s="56">
        <f>IF(AP272="1",BG272,0)</f>
        <v>0</v>
      </c>
      <c r="AB272" s="56">
        <f>IF(AP272="1",BH272,0)</f>
        <v>0</v>
      </c>
      <c r="AC272" s="56">
        <f>IF(AP272="7",BG272,0)</f>
        <v>0</v>
      </c>
      <c r="AD272" s="56">
        <f>IF(AP272="7",BH272,0)</f>
        <v>0</v>
      </c>
      <c r="AE272" s="56">
        <f>IF(AP272="2",BG272,0)</f>
        <v>0</v>
      </c>
      <c r="AF272" s="56">
        <f>IF(AP272="2",BH272,0)</f>
        <v>0</v>
      </c>
      <c r="AG272" s="56">
        <f>IF(AP272="0",BI272,0)</f>
        <v>0</v>
      </c>
      <c r="AH272" s="30" t="s">
        <v>847</v>
      </c>
      <c r="AI272" s="56">
        <f>IF(AM272=0,I272,0)</f>
        <v>0</v>
      </c>
      <c r="AJ272" s="56">
        <f>IF(AM272=15,I272,0)</f>
        <v>0</v>
      </c>
      <c r="AK272" s="56">
        <f>IF(AM272=21,I272,0)</f>
        <v>0</v>
      </c>
      <c r="AM272" s="56">
        <v>21</v>
      </c>
      <c r="AN272" s="56">
        <f>H272*0.568164156578145</f>
        <v>0</v>
      </c>
      <c r="AO272" s="56">
        <f>H272*(1-0.568164156578145)</f>
        <v>0</v>
      </c>
      <c r="AP272" s="41" t="s">
        <v>1109</v>
      </c>
      <c r="AU272" s="56">
        <f>AV272+AW272</f>
        <v>0</v>
      </c>
      <c r="AV272" s="56">
        <f>G272*AN272</f>
        <v>0</v>
      </c>
      <c r="AW272" s="56">
        <f>G272*AO272</f>
        <v>0</v>
      </c>
      <c r="AX272" s="41" t="s">
        <v>95</v>
      </c>
      <c r="AY272" s="41" t="s">
        <v>246</v>
      </c>
      <c r="AZ272" s="30" t="s">
        <v>1000</v>
      </c>
      <c r="BB272" s="56">
        <f>AV272+AW272</f>
        <v>0</v>
      </c>
      <c r="BC272" s="56">
        <f>H272/(100-BD272)*100</f>
        <v>0</v>
      </c>
      <c r="BD272" s="56">
        <v>0</v>
      </c>
      <c r="BE272" s="56" t="e">
        <f>#REF!</f>
        <v>#REF!</v>
      </c>
      <c r="BG272" s="56">
        <f>G272*AN272</f>
        <v>0</v>
      </c>
      <c r="BH272" s="56">
        <f>G272*AO272</f>
        <v>0</v>
      </c>
      <c r="BI272" s="56">
        <f>G272*H272</f>
        <v>0</v>
      </c>
      <c r="BJ272" s="56"/>
      <c r="BK272" s="56">
        <v>89</v>
      </c>
      <c r="BV272" s="56">
        <v>21</v>
      </c>
    </row>
    <row r="273" spans="1:74" ht="15" customHeight="1" x14ac:dyDescent="0.25">
      <c r="A273" s="53"/>
      <c r="D273" s="52" t="s">
        <v>408</v>
      </c>
      <c r="E273" s="37" t="s">
        <v>1043</v>
      </c>
      <c r="G273" s="21">
        <v>356.00000000000006</v>
      </c>
      <c r="J273" s="48"/>
    </row>
    <row r="274" spans="1:74" ht="13.5" customHeight="1" x14ac:dyDescent="0.25">
      <c r="A274" s="10" t="s">
        <v>130</v>
      </c>
      <c r="B274" s="9" t="s">
        <v>847</v>
      </c>
      <c r="C274" s="9" t="s">
        <v>496</v>
      </c>
      <c r="D274" s="76" t="s">
        <v>835</v>
      </c>
      <c r="E274" s="77"/>
      <c r="F274" s="9" t="s">
        <v>909</v>
      </c>
      <c r="G274" s="56">
        <f>'Stavební rozpočet'!G274</f>
        <v>84</v>
      </c>
      <c r="H274" s="56">
        <f>'Stavební rozpočet'!H274</f>
        <v>0</v>
      </c>
      <c r="I274" s="56">
        <f>G274*H274</f>
        <v>0</v>
      </c>
      <c r="J274" s="54" t="s">
        <v>501</v>
      </c>
      <c r="Y274" s="56">
        <f>IF(AP274="5",BI274,0)</f>
        <v>0</v>
      </c>
      <c r="AA274" s="56">
        <f>IF(AP274="1",BG274,0)</f>
        <v>0</v>
      </c>
      <c r="AB274" s="56">
        <f>IF(AP274="1",BH274,0)</f>
        <v>0</v>
      </c>
      <c r="AC274" s="56">
        <f>IF(AP274="7",BG274,0)</f>
        <v>0</v>
      </c>
      <c r="AD274" s="56">
        <f>IF(AP274="7",BH274,0)</f>
        <v>0</v>
      </c>
      <c r="AE274" s="56">
        <f>IF(AP274="2",BG274,0)</f>
        <v>0</v>
      </c>
      <c r="AF274" s="56">
        <f>IF(AP274="2",BH274,0)</f>
        <v>0</v>
      </c>
      <c r="AG274" s="56">
        <f>IF(AP274="0",BI274,0)</f>
        <v>0</v>
      </c>
      <c r="AH274" s="30" t="s">
        <v>847</v>
      </c>
      <c r="AI274" s="56">
        <f>IF(AM274=0,I274,0)</f>
        <v>0</v>
      </c>
      <c r="AJ274" s="56">
        <f>IF(AM274=15,I274,0)</f>
        <v>0</v>
      </c>
      <c r="AK274" s="56">
        <f>IF(AM274=21,I274,0)</f>
        <v>0</v>
      </c>
      <c r="AM274" s="56">
        <v>21</v>
      </c>
      <c r="AN274" s="56">
        <f>H274*0.767356687898089</f>
        <v>0</v>
      </c>
      <c r="AO274" s="56">
        <f>H274*(1-0.767356687898089)</f>
        <v>0</v>
      </c>
      <c r="AP274" s="41" t="s">
        <v>1109</v>
      </c>
      <c r="AU274" s="56">
        <f>AV274+AW274</f>
        <v>0</v>
      </c>
      <c r="AV274" s="56">
        <f>G274*AN274</f>
        <v>0</v>
      </c>
      <c r="AW274" s="56">
        <f>G274*AO274</f>
        <v>0</v>
      </c>
      <c r="AX274" s="41" t="s">
        <v>95</v>
      </c>
      <c r="AY274" s="41" t="s">
        <v>246</v>
      </c>
      <c r="AZ274" s="30" t="s">
        <v>1000</v>
      </c>
      <c r="BB274" s="56">
        <f>AV274+AW274</f>
        <v>0</v>
      </c>
      <c r="BC274" s="56">
        <f>H274/(100-BD274)*100</f>
        <v>0</v>
      </c>
      <c r="BD274" s="56">
        <v>0</v>
      </c>
      <c r="BE274" s="56" t="e">
        <f>#REF!</f>
        <v>#REF!</v>
      </c>
      <c r="BG274" s="56">
        <f>G274*AN274</f>
        <v>0</v>
      </c>
      <c r="BH274" s="56">
        <f>G274*AO274</f>
        <v>0</v>
      </c>
      <c r="BI274" s="56">
        <f>G274*H274</f>
        <v>0</v>
      </c>
      <c r="BJ274" s="56"/>
      <c r="BK274" s="56">
        <v>89</v>
      </c>
      <c r="BV274" s="56">
        <v>21</v>
      </c>
    </row>
    <row r="275" spans="1:74" ht="15" customHeight="1" x14ac:dyDescent="0.25">
      <c r="A275" s="53"/>
      <c r="D275" s="52" t="s">
        <v>659</v>
      </c>
      <c r="E275" s="37" t="s">
        <v>757</v>
      </c>
      <c r="G275" s="21">
        <v>84</v>
      </c>
      <c r="J275" s="48"/>
    </row>
    <row r="276" spans="1:74" ht="13.5" customHeight="1" x14ac:dyDescent="0.25">
      <c r="A276" s="10" t="s">
        <v>158</v>
      </c>
      <c r="B276" s="9" t="s">
        <v>847</v>
      </c>
      <c r="C276" s="9" t="s">
        <v>490</v>
      </c>
      <c r="D276" s="76" t="s">
        <v>927</v>
      </c>
      <c r="E276" s="77"/>
      <c r="F276" s="9" t="s">
        <v>275</v>
      </c>
      <c r="G276" s="56">
        <f>'Stavební rozpočet'!G276</f>
        <v>2</v>
      </c>
      <c r="H276" s="56">
        <f>'Stavební rozpočet'!H276</f>
        <v>0</v>
      </c>
      <c r="I276" s="56">
        <f>G276*H276</f>
        <v>0</v>
      </c>
      <c r="J276" s="54" t="s">
        <v>501</v>
      </c>
      <c r="Y276" s="56">
        <f>IF(AP276="5",BI276,0)</f>
        <v>0</v>
      </c>
      <c r="AA276" s="56">
        <f>IF(AP276="1",BG276,0)</f>
        <v>0</v>
      </c>
      <c r="AB276" s="56">
        <f>IF(AP276="1",BH276,0)</f>
        <v>0</v>
      </c>
      <c r="AC276" s="56">
        <f>IF(AP276="7",BG276,0)</f>
        <v>0</v>
      </c>
      <c r="AD276" s="56">
        <f>IF(AP276="7",BH276,0)</f>
        <v>0</v>
      </c>
      <c r="AE276" s="56">
        <f>IF(AP276="2",BG276,0)</f>
        <v>0</v>
      </c>
      <c r="AF276" s="56">
        <f>IF(AP276="2",BH276,0)</f>
        <v>0</v>
      </c>
      <c r="AG276" s="56">
        <f>IF(AP276="0",BI276,0)</f>
        <v>0</v>
      </c>
      <c r="AH276" s="30" t="s">
        <v>847</v>
      </c>
      <c r="AI276" s="56">
        <f>IF(AM276=0,I276,0)</f>
        <v>0</v>
      </c>
      <c r="AJ276" s="56">
        <f>IF(AM276=15,I276,0)</f>
        <v>0</v>
      </c>
      <c r="AK276" s="56">
        <f>IF(AM276=21,I276,0)</f>
        <v>0</v>
      </c>
      <c r="AM276" s="56">
        <v>21</v>
      </c>
      <c r="AN276" s="56">
        <f>H276*0.732285440613027</f>
        <v>0</v>
      </c>
      <c r="AO276" s="56">
        <f>H276*(1-0.732285440613027)</f>
        <v>0</v>
      </c>
      <c r="AP276" s="41" t="s">
        <v>1109</v>
      </c>
      <c r="AU276" s="56">
        <f>AV276+AW276</f>
        <v>0</v>
      </c>
      <c r="AV276" s="56">
        <f>G276*AN276</f>
        <v>0</v>
      </c>
      <c r="AW276" s="56">
        <f>G276*AO276</f>
        <v>0</v>
      </c>
      <c r="AX276" s="41" t="s">
        <v>95</v>
      </c>
      <c r="AY276" s="41" t="s">
        <v>246</v>
      </c>
      <c r="AZ276" s="30" t="s">
        <v>1000</v>
      </c>
      <c r="BB276" s="56">
        <f>AV276+AW276</f>
        <v>0</v>
      </c>
      <c r="BC276" s="56">
        <f>H276/(100-BD276)*100</f>
        <v>0</v>
      </c>
      <c r="BD276" s="56">
        <v>0</v>
      </c>
      <c r="BE276" s="56" t="e">
        <f>#REF!</f>
        <v>#REF!</v>
      </c>
      <c r="BG276" s="56">
        <f>G276*AN276</f>
        <v>0</v>
      </c>
      <c r="BH276" s="56">
        <f>G276*AO276</f>
        <v>0</v>
      </c>
      <c r="BI276" s="56">
        <f>G276*H276</f>
        <v>0</v>
      </c>
      <c r="BJ276" s="56"/>
      <c r="BK276" s="56">
        <v>89</v>
      </c>
      <c r="BV276" s="56">
        <v>21</v>
      </c>
    </row>
    <row r="277" spans="1:74" ht="13.5" customHeight="1" x14ac:dyDescent="0.25">
      <c r="A277" s="53"/>
      <c r="C277" s="66" t="s">
        <v>578</v>
      </c>
      <c r="D277" s="137" t="s">
        <v>346</v>
      </c>
      <c r="E277" s="138"/>
      <c r="F277" s="138"/>
      <c r="G277" s="138"/>
      <c r="H277" s="138"/>
      <c r="I277" s="138"/>
      <c r="J277" s="139"/>
    </row>
    <row r="278" spans="1:74" ht="15" customHeight="1" x14ac:dyDescent="0.25">
      <c r="A278" s="53"/>
      <c r="D278" s="52" t="s">
        <v>766</v>
      </c>
      <c r="E278" s="37" t="s">
        <v>84</v>
      </c>
      <c r="G278" s="21">
        <v>2</v>
      </c>
      <c r="J278" s="48"/>
    </row>
    <row r="279" spans="1:74" ht="15" customHeight="1" x14ac:dyDescent="0.25">
      <c r="A279" s="27" t="s">
        <v>769</v>
      </c>
      <c r="B279" s="28" t="s">
        <v>847</v>
      </c>
      <c r="C279" s="28" t="s">
        <v>762</v>
      </c>
      <c r="D279" s="132" t="s">
        <v>745</v>
      </c>
      <c r="E279" s="133"/>
      <c r="F279" s="23" t="s">
        <v>1027</v>
      </c>
      <c r="G279" s="23" t="s">
        <v>1027</v>
      </c>
      <c r="H279" s="23" t="s">
        <v>1027</v>
      </c>
      <c r="I279" s="14">
        <f>SUM(I280:I286)</f>
        <v>0</v>
      </c>
      <c r="J279" s="44" t="s">
        <v>769</v>
      </c>
      <c r="AH279" s="30" t="s">
        <v>847</v>
      </c>
      <c r="AR279" s="14">
        <f>SUM(AI280:AI286)</f>
        <v>0</v>
      </c>
      <c r="AS279" s="14">
        <f>SUM(AJ280:AJ286)</f>
        <v>0</v>
      </c>
      <c r="AT279" s="14">
        <f>SUM(AK280:AK286)</f>
        <v>0</v>
      </c>
    </row>
    <row r="280" spans="1:74" ht="13.5" customHeight="1" x14ac:dyDescent="0.25">
      <c r="A280" s="10" t="s">
        <v>1045</v>
      </c>
      <c r="B280" s="9" t="s">
        <v>847</v>
      </c>
      <c r="C280" s="9" t="s">
        <v>995</v>
      </c>
      <c r="D280" s="76" t="s">
        <v>813</v>
      </c>
      <c r="E280" s="77"/>
      <c r="F280" s="9" t="s">
        <v>275</v>
      </c>
      <c r="G280" s="56">
        <f>'Stavební rozpočet'!G280</f>
        <v>19</v>
      </c>
      <c r="H280" s="56">
        <f>'Stavební rozpočet'!H280</f>
        <v>0</v>
      </c>
      <c r="I280" s="56">
        <f>G280*H280</f>
        <v>0</v>
      </c>
      <c r="J280" s="54" t="s">
        <v>501</v>
      </c>
      <c r="Y280" s="56">
        <f>IF(AP280="5",BI280,0)</f>
        <v>0</v>
      </c>
      <c r="AA280" s="56">
        <f>IF(AP280="1",BG280,0)</f>
        <v>0</v>
      </c>
      <c r="AB280" s="56">
        <f>IF(AP280="1",BH280,0)</f>
        <v>0</v>
      </c>
      <c r="AC280" s="56">
        <f>IF(AP280="7",BG280,0)</f>
        <v>0</v>
      </c>
      <c r="AD280" s="56">
        <f>IF(AP280="7",BH280,0)</f>
        <v>0</v>
      </c>
      <c r="AE280" s="56">
        <f>IF(AP280="2",BG280,0)</f>
        <v>0</v>
      </c>
      <c r="AF280" s="56">
        <f>IF(AP280="2",BH280,0)</f>
        <v>0</v>
      </c>
      <c r="AG280" s="56">
        <f>IF(AP280="0",BI280,0)</f>
        <v>0</v>
      </c>
      <c r="AH280" s="30" t="s">
        <v>847</v>
      </c>
      <c r="AI280" s="56">
        <f>IF(AM280=0,I280,0)</f>
        <v>0</v>
      </c>
      <c r="AJ280" s="56">
        <f>IF(AM280=15,I280,0)</f>
        <v>0</v>
      </c>
      <c r="AK280" s="56">
        <f>IF(AM280=21,I280,0)</f>
        <v>0</v>
      </c>
      <c r="AM280" s="56">
        <v>21</v>
      </c>
      <c r="AN280" s="56">
        <f>H280*0</f>
        <v>0</v>
      </c>
      <c r="AO280" s="56">
        <f>H280*(1-0)</f>
        <v>0</v>
      </c>
      <c r="AP280" s="41" t="s">
        <v>1109</v>
      </c>
      <c r="AU280" s="56">
        <f>AV280+AW280</f>
        <v>0</v>
      </c>
      <c r="AV280" s="56">
        <f>G280*AN280</f>
        <v>0</v>
      </c>
      <c r="AW280" s="56">
        <f>G280*AO280</f>
        <v>0</v>
      </c>
      <c r="AX280" s="41" t="s">
        <v>586</v>
      </c>
      <c r="AY280" s="41" t="s">
        <v>246</v>
      </c>
      <c r="AZ280" s="30" t="s">
        <v>1000</v>
      </c>
      <c r="BB280" s="56">
        <f>AV280+AW280</f>
        <v>0</v>
      </c>
      <c r="BC280" s="56">
        <f>H280/(100-BD280)*100</f>
        <v>0</v>
      </c>
      <c r="BD280" s="56">
        <v>0</v>
      </c>
      <c r="BE280" s="56" t="e">
        <f>#REF!</f>
        <v>#REF!</v>
      </c>
      <c r="BG280" s="56">
        <f>G280*AN280</f>
        <v>0</v>
      </c>
      <c r="BH280" s="56">
        <f>G280*AO280</f>
        <v>0</v>
      </c>
      <c r="BI280" s="56">
        <f>G280*H280</f>
        <v>0</v>
      </c>
      <c r="BJ280" s="56"/>
      <c r="BK280" s="56"/>
      <c r="BV280" s="56">
        <v>21</v>
      </c>
    </row>
    <row r="281" spans="1:74" ht="15" customHeight="1" x14ac:dyDescent="0.25">
      <c r="A281" s="53"/>
      <c r="D281" s="52" t="s">
        <v>706</v>
      </c>
      <c r="E281" s="37" t="s">
        <v>198</v>
      </c>
      <c r="G281" s="21">
        <v>19</v>
      </c>
      <c r="J281" s="48"/>
    </row>
    <row r="282" spans="1:74" ht="13.5" customHeight="1" x14ac:dyDescent="0.25">
      <c r="A282" s="10" t="s">
        <v>807</v>
      </c>
      <c r="B282" s="9" t="s">
        <v>847</v>
      </c>
      <c r="C282" s="9" t="s">
        <v>990</v>
      </c>
      <c r="D282" s="76" t="s">
        <v>992</v>
      </c>
      <c r="E282" s="77"/>
      <c r="F282" s="9" t="s">
        <v>275</v>
      </c>
      <c r="G282" s="56">
        <f>'Stavební rozpočet'!G282</f>
        <v>8</v>
      </c>
      <c r="H282" s="56">
        <f>'Stavební rozpočet'!H282</f>
        <v>0</v>
      </c>
      <c r="I282" s="56">
        <f>G282*H282</f>
        <v>0</v>
      </c>
      <c r="J282" s="54" t="s">
        <v>501</v>
      </c>
      <c r="Y282" s="56">
        <f>IF(AP282="5",BI282,0)</f>
        <v>0</v>
      </c>
      <c r="AA282" s="56">
        <f>IF(AP282="1",BG282,0)</f>
        <v>0</v>
      </c>
      <c r="AB282" s="56">
        <f>IF(AP282="1",BH282,0)</f>
        <v>0</v>
      </c>
      <c r="AC282" s="56">
        <f>IF(AP282="7",BG282,0)</f>
        <v>0</v>
      </c>
      <c r="AD282" s="56">
        <f>IF(AP282="7",BH282,0)</f>
        <v>0</v>
      </c>
      <c r="AE282" s="56">
        <f>IF(AP282="2",BG282,0)</f>
        <v>0</v>
      </c>
      <c r="AF282" s="56">
        <f>IF(AP282="2",BH282,0)</f>
        <v>0</v>
      </c>
      <c r="AG282" s="56">
        <f>IF(AP282="0",BI282,0)</f>
        <v>0</v>
      </c>
      <c r="AH282" s="30" t="s">
        <v>847</v>
      </c>
      <c r="AI282" s="56">
        <f>IF(AM282=0,I282,0)</f>
        <v>0</v>
      </c>
      <c r="AJ282" s="56">
        <f>IF(AM282=15,I282,0)</f>
        <v>0</v>
      </c>
      <c r="AK282" s="56">
        <f>IF(AM282=21,I282,0)</f>
        <v>0</v>
      </c>
      <c r="AM282" s="56">
        <v>21</v>
      </c>
      <c r="AN282" s="56">
        <f>H282*0</f>
        <v>0</v>
      </c>
      <c r="AO282" s="56">
        <f>H282*(1-0)</f>
        <v>0</v>
      </c>
      <c r="AP282" s="41" t="s">
        <v>1109</v>
      </c>
      <c r="AU282" s="56">
        <f>AV282+AW282</f>
        <v>0</v>
      </c>
      <c r="AV282" s="56">
        <f>G282*AN282</f>
        <v>0</v>
      </c>
      <c r="AW282" s="56">
        <f>G282*AO282</f>
        <v>0</v>
      </c>
      <c r="AX282" s="41" t="s">
        <v>586</v>
      </c>
      <c r="AY282" s="41" t="s">
        <v>246</v>
      </c>
      <c r="AZ282" s="30" t="s">
        <v>1000</v>
      </c>
      <c r="BB282" s="56">
        <f>AV282+AW282</f>
        <v>0</v>
      </c>
      <c r="BC282" s="56">
        <f>H282/(100-BD282)*100</f>
        <v>0</v>
      </c>
      <c r="BD282" s="56">
        <v>0</v>
      </c>
      <c r="BE282" s="56" t="e">
        <f>#REF!</f>
        <v>#REF!</v>
      </c>
      <c r="BG282" s="56">
        <f>G282*AN282</f>
        <v>0</v>
      </c>
      <c r="BH282" s="56">
        <f>G282*AO282</f>
        <v>0</v>
      </c>
      <c r="BI282" s="56">
        <f>G282*H282</f>
        <v>0</v>
      </c>
      <c r="BJ282" s="56"/>
      <c r="BK282" s="56"/>
      <c r="BV282" s="56">
        <v>21</v>
      </c>
    </row>
    <row r="283" spans="1:74" ht="15" customHeight="1" x14ac:dyDescent="0.25">
      <c r="A283" s="53"/>
      <c r="D283" s="52" t="s">
        <v>874</v>
      </c>
      <c r="E283" s="37" t="s">
        <v>362</v>
      </c>
      <c r="G283" s="21">
        <v>8</v>
      </c>
      <c r="J283" s="48"/>
    </row>
    <row r="284" spans="1:74" ht="13.5" customHeight="1" x14ac:dyDescent="0.25">
      <c r="A284" s="10" t="s">
        <v>540</v>
      </c>
      <c r="B284" s="9" t="s">
        <v>847</v>
      </c>
      <c r="C284" s="9" t="s">
        <v>1210</v>
      </c>
      <c r="D284" s="76" t="s">
        <v>941</v>
      </c>
      <c r="E284" s="77"/>
      <c r="F284" s="9" t="s">
        <v>275</v>
      </c>
      <c r="G284" s="56">
        <f>'Stavební rozpočet'!G284</f>
        <v>2</v>
      </c>
      <c r="H284" s="56">
        <f>'Stavební rozpočet'!H284</f>
        <v>0</v>
      </c>
      <c r="I284" s="56">
        <f>G284*H284</f>
        <v>0</v>
      </c>
      <c r="J284" s="54" t="s">
        <v>501</v>
      </c>
      <c r="Y284" s="56">
        <f>IF(AP284="5",BI284,0)</f>
        <v>0</v>
      </c>
      <c r="AA284" s="56">
        <f>IF(AP284="1",BG284,0)</f>
        <v>0</v>
      </c>
      <c r="AB284" s="56">
        <f>IF(AP284="1",BH284,0)</f>
        <v>0</v>
      </c>
      <c r="AC284" s="56">
        <f>IF(AP284="7",BG284,0)</f>
        <v>0</v>
      </c>
      <c r="AD284" s="56">
        <f>IF(AP284="7",BH284,0)</f>
        <v>0</v>
      </c>
      <c r="AE284" s="56">
        <f>IF(AP284="2",BG284,0)</f>
        <v>0</v>
      </c>
      <c r="AF284" s="56">
        <f>IF(AP284="2",BH284,0)</f>
        <v>0</v>
      </c>
      <c r="AG284" s="56">
        <f>IF(AP284="0",BI284,0)</f>
        <v>0</v>
      </c>
      <c r="AH284" s="30" t="s">
        <v>847</v>
      </c>
      <c r="AI284" s="56">
        <f>IF(AM284=0,I284,0)</f>
        <v>0</v>
      </c>
      <c r="AJ284" s="56">
        <f>IF(AM284=15,I284,0)</f>
        <v>0</v>
      </c>
      <c r="AK284" s="56">
        <f>IF(AM284=21,I284,0)</f>
        <v>0</v>
      </c>
      <c r="AM284" s="56">
        <v>21</v>
      </c>
      <c r="AN284" s="56">
        <f>H284*0</f>
        <v>0</v>
      </c>
      <c r="AO284" s="56">
        <f>H284*(1-0)</f>
        <v>0</v>
      </c>
      <c r="AP284" s="41" t="s">
        <v>1109</v>
      </c>
      <c r="AU284" s="56">
        <f>AV284+AW284</f>
        <v>0</v>
      </c>
      <c r="AV284" s="56">
        <f>G284*AN284</f>
        <v>0</v>
      </c>
      <c r="AW284" s="56">
        <f>G284*AO284</f>
        <v>0</v>
      </c>
      <c r="AX284" s="41" t="s">
        <v>586</v>
      </c>
      <c r="AY284" s="41" t="s">
        <v>246</v>
      </c>
      <c r="AZ284" s="30" t="s">
        <v>1000</v>
      </c>
      <c r="BB284" s="56">
        <f>AV284+AW284</f>
        <v>0</v>
      </c>
      <c r="BC284" s="56">
        <f>H284/(100-BD284)*100</f>
        <v>0</v>
      </c>
      <c r="BD284" s="56">
        <v>0</v>
      </c>
      <c r="BE284" s="56" t="e">
        <f>#REF!</f>
        <v>#REF!</v>
      </c>
      <c r="BG284" s="56">
        <f>G284*AN284</f>
        <v>0</v>
      </c>
      <c r="BH284" s="56">
        <f>G284*AO284</f>
        <v>0</v>
      </c>
      <c r="BI284" s="56">
        <f>G284*H284</f>
        <v>0</v>
      </c>
      <c r="BJ284" s="56"/>
      <c r="BK284" s="56"/>
      <c r="BV284" s="56">
        <v>21</v>
      </c>
    </row>
    <row r="285" spans="1:74" ht="15" customHeight="1" x14ac:dyDescent="0.25">
      <c r="A285" s="53"/>
      <c r="D285" s="52" t="s">
        <v>766</v>
      </c>
      <c r="E285" s="37" t="s">
        <v>1099</v>
      </c>
      <c r="G285" s="21">
        <v>2</v>
      </c>
      <c r="J285" s="48"/>
    </row>
    <row r="286" spans="1:74" ht="13.5" customHeight="1" x14ac:dyDescent="0.25">
      <c r="A286" s="10" t="s">
        <v>805</v>
      </c>
      <c r="B286" s="9" t="s">
        <v>847</v>
      </c>
      <c r="C286" s="9" t="s">
        <v>971</v>
      </c>
      <c r="D286" s="76" t="s">
        <v>125</v>
      </c>
      <c r="E286" s="77"/>
      <c r="F286" s="9" t="s">
        <v>778</v>
      </c>
      <c r="G286" s="56">
        <f>'Stavební rozpočet'!G286</f>
        <v>10</v>
      </c>
      <c r="H286" s="56">
        <f>'Stavební rozpočet'!H286</f>
        <v>0</v>
      </c>
      <c r="I286" s="56">
        <f>G286*H286</f>
        <v>0</v>
      </c>
      <c r="J286" s="54" t="s">
        <v>501</v>
      </c>
      <c r="Y286" s="56">
        <f>IF(AP286="5",BI286,0)</f>
        <v>0</v>
      </c>
      <c r="AA286" s="56">
        <f>IF(AP286="1",BG286,0)</f>
        <v>0</v>
      </c>
      <c r="AB286" s="56">
        <f>IF(AP286="1",BH286,0)</f>
        <v>0</v>
      </c>
      <c r="AC286" s="56">
        <f>IF(AP286="7",BG286,0)</f>
        <v>0</v>
      </c>
      <c r="AD286" s="56">
        <f>IF(AP286="7",BH286,0)</f>
        <v>0</v>
      </c>
      <c r="AE286" s="56">
        <f>IF(AP286="2",BG286,0)</f>
        <v>0</v>
      </c>
      <c r="AF286" s="56">
        <f>IF(AP286="2",BH286,0)</f>
        <v>0</v>
      </c>
      <c r="AG286" s="56">
        <f>IF(AP286="0",BI286,0)</f>
        <v>0</v>
      </c>
      <c r="AH286" s="30" t="s">
        <v>847</v>
      </c>
      <c r="AI286" s="56">
        <f>IF(AM286=0,I286,0)</f>
        <v>0</v>
      </c>
      <c r="AJ286" s="56">
        <f>IF(AM286=15,I286,0)</f>
        <v>0</v>
      </c>
      <c r="AK286" s="56">
        <f>IF(AM286=21,I286,0)</f>
        <v>0</v>
      </c>
      <c r="AM286" s="56">
        <v>21</v>
      </c>
      <c r="AN286" s="56">
        <f>H286*0</f>
        <v>0</v>
      </c>
      <c r="AO286" s="56">
        <f>H286*(1-0)</f>
        <v>0</v>
      </c>
      <c r="AP286" s="41" t="s">
        <v>1109</v>
      </c>
      <c r="AU286" s="56">
        <f>AV286+AW286</f>
        <v>0</v>
      </c>
      <c r="AV286" s="56">
        <f>G286*AN286</f>
        <v>0</v>
      </c>
      <c r="AW286" s="56">
        <f>G286*AO286</f>
        <v>0</v>
      </c>
      <c r="AX286" s="41" t="s">
        <v>586</v>
      </c>
      <c r="AY286" s="41" t="s">
        <v>246</v>
      </c>
      <c r="AZ286" s="30" t="s">
        <v>1000</v>
      </c>
      <c r="BB286" s="56">
        <f>AV286+AW286</f>
        <v>0</v>
      </c>
      <c r="BC286" s="56">
        <f>H286/(100-BD286)*100</f>
        <v>0</v>
      </c>
      <c r="BD286" s="56">
        <v>0</v>
      </c>
      <c r="BE286" s="56" t="e">
        <f>#REF!</f>
        <v>#REF!</v>
      </c>
      <c r="BG286" s="56">
        <f>G286*AN286</f>
        <v>0</v>
      </c>
      <c r="BH286" s="56">
        <f>G286*AO286</f>
        <v>0</v>
      </c>
      <c r="BI286" s="56">
        <f>G286*H286</f>
        <v>0</v>
      </c>
      <c r="BJ286" s="56"/>
      <c r="BK286" s="56"/>
      <c r="BV286" s="56">
        <v>21</v>
      </c>
    </row>
    <row r="287" spans="1:74" ht="15" customHeight="1" x14ac:dyDescent="0.25">
      <c r="A287" s="53"/>
      <c r="D287" s="52" t="s">
        <v>874</v>
      </c>
      <c r="E287" s="37" t="s">
        <v>482</v>
      </c>
      <c r="G287" s="21">
        <v>8</v>
      </c>
      <c r="J287" s="48"/>
    </row>
    <row r="288" spans="1:74" ht="15" customHeight="1" x14ac:dyDescent="0.25">
      <c r="A288" s="53"/>
      <c r="D288" s="52" t="s">
        <v>766</v>
      </c>
      <c r="E288" s="37" t="s">
        <v>190</v>
      </c>
      <c r="G288" s="21">
        <v>2</v>
      </c>
      <c r="J288" s="48"/>
    </row>
    <row r="289" spans="1:74" ht="15" customHeight="1" x14ac:dyDescent="0.25">
      <c r="A289" s="27" t="s">
        <v>769</v>
      </c>
      <c r="B289" s="28" t="s">
        <v>847</v>
      </c>
      <c r="C289" s="28" t="s">
        <v>785</v>
      </c>
      <c r="D289" s="132" t="s">
        <v>877</v>
      </c>
      <c r="E289" s="133"/>
      <c r="F289" s="23" t="s">
        <v>1027</v>
      </c>
      <c r="G289" s="23" t="s">
        <v>1027</v>
      </c>
      <c r="H289" s="23" t="s">
        <v>1027</v>
      </c>
      <c r="I289" s="14">
        <f>SUM(I290:I290)</f>
        <v>0</v>
      </c>
      <c r="J289" s="44" t="s">
        <v>769</v>
      </c>
      <c r="AH289" s="30" t="s">
        <v>847</v>
      </c>
      <c r="AR289" s="14">
        <f>SUM(AI290:AI290)</f>
        <v>0</v>
      </c>
      <c r="AS289" s="14">
        <f>SUM(AJ290:AJ290)</f>
        <v>0</v>
      </c>
      <c r="AT289" s="14">
        <f>SUM(AK290:AK290)</f>
        <v>0</v>
      </c>
    </row>
    <row r="290" spans="1:74" ht="13.5" customHeight="1" x14ac:dyDescent="0.25">
      <c r="A290" s="10" t="s">
        <v>365</v>
      </c>
      <c r="B290" s="9" t="s">
        <v>847</v>
      </c>
      <c r="C290" s="9" t="s">
        <v>121</v>
      </c>
      <c r="D290" s="76" t="s">
        <v>664</v>
      </c>
      <c r="E290" s="77"/>
      <c r="F290" s="9" t="s">
        <v>909</v>
      </c>
      <c r="G290" s="56">
        <f>'Stavební rozpočet'!G290</f>
        <v>440</v>
      </c>
      <c r="H290" s="56">
        <f>'Stavební rozpočet'!H290</f>
        <v>0</v>
      </c>
      <c r="I290" s="56">
        <f>G290*H290</f>
        <v>0</v>
      </c>
      <c r="J290" s="54" t="s">
        <v>501</v>
      </c>
      <c r="Y290" s="56">
        <f>IF(AP290="5",BI290,0)</f>
        <v>0</v>
      </c>
      <c r="AA290" s="56">
        <f>IF(AP290="1",BG290,0)</f>
        <v>0</v>
      </c>
      <c r="AB290" s="56">
        <f>IF(AP290="1",BH290,0)</f>
        <v>0</v>
      </c>
      <c r="AC290" s="56">
        <f>IF(AP290="7",BG290,0)</f>
        <v>0</v>
      </c>
      <c r="AD290" s="56">
        <f>IF(AP290="7",BH290,0)</f>
        <v>0</v>
      </c>
      <c r="AE290" s="56">
        <f>IF(AP290="2",BG290,0)</f>
        <v>0</v>
      </c>
      <c r="AF290" s="56">
        <f>IF(AP290="2",BH290,0)</f>
        <v>0</v>
      </c>
      <c r="AG290" s="56">
        <f>IF(AP290="0",BI290,0)</f>
        <v>0</v>
      </c>
      <c r="AH290" s="30" t="s">
        <v>847</v>
      </c>
      <c r="AI290" s="56">
        <f>IF(AM290=0,I290,0)</f>
        <v>0</v>
      </c>
      <c r="AJ290" s="56">
        <f>IF(AM290=15,I290,0)</f>
        <v>0</v>
      </c>
      <c r="AK290" s="56">
        <f>IF(AM290=21,I290,0)</f>
        <v>0</v>
      </c>
      <c r="AM290" s="56">
        <v>21</v>
      </c>
      <c r="AN290" s="56">
        <f>H290*0</f>
        <v>0</v>
      </c>
      <c r="AO290" s="56">
        <f>H290*(1-0)</f>
        <v>0</v>
      </c>
      <c r="AP290" s="41" t="s">
        <v>1109</v>
      </c>
      <c r="AU290" s="56">
        <f>AV290+AW290</f>
        <v>0</v>
      </c>
      <c r="AV290" s="56">
        <f>G290*AN290</f>
        <v>0</v>
      </c>
      <c r="AW290" s="56">
        <f>G290*AO290</f>
        <v>0</v>
      </c>
      <c r="AX290" s="41" t="s">
        <v>1038</v>
      </c>
      <c r="AY290" s="41" t="s">
        <v>246</v>
      </c>
      <c r="AZ290" s="30" t="s">
        <v>1000</v>
      </c>
      <c r="BB290" s="56">
        <f>AV290+AW290</f>
        <v>0</v>
      </c>
      <c r="BC290" s="56">
        <f>H290/(100-BD290)*100</f>
        <v>0</v>
      </c>
      <c r="BD290" s="56">
        <v>0</v>
      </c>
      <c r="BE290" s="56" t="e">
        <f>#REF!</f>
        <v>#REF!</v>
      </c>
      <c r="BG290" s="56">
        <f>G290*AN290</f>
        <v>0</v>
      </c>
      <c r="BH290" s="56">
        <f>G290*AO290</f>
        <v>0</v>
      </c>
      <c r="BI290" s="56">
        <f>G290*H290</f>
        <v>0</v>
      </c>
      <c r="BJ290" s="56"/>
      <c r="BK290" s="56"/>
      <c r="BV290" s="56">
        <v>21</v>
      </c>
    </row>
    <row r="291" spans="1:74" ht="15" customHeight="1" x14ac:dyDescent="0.25">
      <c r="A291" s="53"/>
      <c r="D291" s="52" t="s">
        <v>14</v>
      </c>
      <c r="E291" s="37" t="s">
        <v>769</v>
      </c>
      <c r="G291" s="21">
        <v>440.00000000000006</v>
      </c>
      <c r="J291" s="48"/>
    </row>
    <row r="292" spans="1:74" ht="15" customHeight="1" x14ac:dyDescent="0.25">
      <c r="A292" s="27" t="s">
        <v>769</v>
      </c>
      <c r="B292" s="28" t="s">
        <v>847</v>
      </c>
      <c r="C292" s="28" t="s">
        <v>54</v>
      </c>
      <c r="D292" s="132" t="s">
        <v>403</v>
      </c>
      <c r="E292" s="133"/>
      <c r="F292" s="23" t="s">
        <v>1027</v>
      </c>
      <c r="G292" s="23" t="s">
        <v>1027</v>
      </c>
      <c r="H292" s="23" t="s">
        <v>1027</v>
      </c>
      <c r="I292" s="14">
        <f>SUM(I293:I298)</f>
        <v>0</v>
      </c>
      <c r="J292" s="44" t="s">
        <v>769</v>
      </c>
      <c r="AH292" s="30" t="s">
        <v>847</v>
      </c>
      <c r="AR292" s="14">
        <f>SUM(AI293:AI298)</f>
        <v>0</v>
      </c>
      <c r="AS292" s="14">
        <f>SUM(AJ293:AJ298)</f>
        <v>0</v>
      </c>
      <c r="AT292" s="14">
        <f>SUM(AK293:AK298)</f>
        <v>0</v>
      </c>
    </row>
    <row r="293" spans="1:74" ht="13.5" customHeight="1" x14ac:dyDescent="0.25">
      <c r="A293" s="10" t="s">
        <v>508</v>
      </c>
      <c r="B293" s="9" t="s">
        <v>847</v>
      </c>
      <c r="C293" s="9" t="s">
        <v>849</v>
      </c>
      <c r="D293" s="76" t="s">
        <v>674</v>
      </c>
      <c r="E293" s="77"/>
      <c r="F293" s="9" t="s">
        <v>909</v>
      </c>
      <c r="G293" s="56">
        <f>'Stavební rozpočet'!G293</f>
        <v>420</v>
      </c>
      <c r="H293" s="56">
        <f>'Stavební rozpočet'!H293</f>
        <v>0</v>
      </c>
      <c r="I293" s="56">
        <f>G293*H293</f>
        <v>0</v>
      </c>
      <c r="J293" s="54" t="s">
        <v>501</v>
      </c>
      <c r="Y293" s="56">
        <f>IF(AP293="5",BI293,0)</f>
        <v>0</v>
      </c>
      <c r="AA293" s="56">
        <f>IF(AP293="1",BG293,0)</f>
        <v>0</v>
      </c>
      <c r="AB293" s="56">
        <f>IF(AP293="1",BH293,0)</f>
        <v>0</v>
      </c>
      <c r="AC293" s="56">
        <f>IF(AP293="7",BG293,0)</f>
        <v>0</v>
      </c>
      <c r="AD293" s="56">
        <f>IF(AP293="7",BH293,0)</f>
        <v>0</v>
      </c>
      <c r="AE293" s="56">
        <f>IF(AP293="2",BG293,0)</f>
        <v>0</v>
      </c>
      <c r="AF293" s="56">
        <f>IF(AP293="2",BH293,0)</f>
        <v>0</v>
      </c>
      <c r="AG293" s="56">
        <f>IF(AP293="0",BI293,0)</f>
        <v>0</v>
      </c>
      <c r="AH293" s="30" t="s">
        <v>847</v>
      </c>
      <c r="AI293" s="56">
        <f>IF(AM293=0,I293,0)</f>
        <v>0</v>
      </c>
      <c r="AJ293" s="56">
        <f>IF(AM293=15,I293,0)</f>
        <v>0</v>
      </c>
      <c r="AK293" s="56">
        <f>IF(AM293=21,I293,0)</f>
        <v>0</v>
      </c>
      <c r="AM293" s="56">
        <v>21</v>
      </c>
      <c r="AN293" s="56">
        <f>H293*0.579044117647059</f>
        <v>0</v>
      </c>
      <c r="AO293" s="56">
        <f>H293*(1-0.579044117647059)</f>
        <v>0</v>
      </c>
      <c r="AP293" s="41" t="s">
        <v>1109</v>
      </c>
      <c r="AU293" s="56">
        <f>AV293+AW293</f>
        <v>0</v>
      </c>
      <c r="AV293" s="56">
        <f>G293*AN293</f>
        <v>0</v>
      </c>
      <c r="AW293" s="56">
        <f>G293*AO293</f>
        <v>0</v>
      </c>
      <c r="AX293" s="41" t="s">
        <v>1085</v>
      </c>
      <c r="AY293" s="41" t="s">
        <v>1194</v>
      </c>
      <c r="AZ293" s="30" t="s">
        <v>1000</v>
      </c>
      <c r="BB293" s="56">
        <f>AV293+AW293</f>
        <v>0</v>
      </c>
      <c r="BC293" s="56">
        <f>H293/(100-BD293)*100</f>
        <v>0</v>
      </c>
      <c r="BD293" s="56">
        <v>0</v>
      </c>
      <c r="BE293" s="56" t="e">
        <f>#REF!</f>
        <v>#REF!</v>
      </c>
      <c r="BG293" s="56">
        <f>G293*AN293</f>
        <v>0</v>
      </c>
      <c r="BH293" s="56">
        <f>G293*AO293</f>
        <v>0</v>
      </c>
      <c r="BI293" s="56">
        <f>G293*H293</f>
        <v>0</v>
      </c>
      <c r="BJ293" s="56"/>
      <c r="BK293" s="56">
        <v>91</v>
      </c>
      <c r="BV293" s="56">
        <v>21</v>
      </c>
    </row>
    <row r="294" spans="1:74" ht="13.5" customHeight="1" x14ac:dyDescent="0.25">
      <c r="A294" s="10" t="s">
        <v>323</v>
      </c>
      <c r="B294" s="9" t="s">
        <v>847</v>
      </c>
      <c r="C294" s="9" t="s">
        <v>1025</v>
      </c>
      <c r="D294" s="76" t="s">
        <v>1252</v>
      </c>
      <c r="E294" s="77"/>
      <c r="F294" s="9" t="s">
        <v>909</v>
      </c>
      <c r="G294" s="56">
        <f>'Stavební rozpočet'!G294</f>
        <v>17</v>
      </c>
      <c r="H294" s="56">
        <f>'Stavební rozpočet'!H294</f>
        <v>0</v>
      </c>
      <c r="I294" s="56">
        <f>G294*H294</f>
        <v>0</v>
      </c>
      <c r="J294" s="54" t="s">
        <v>501</v>
      </c>
      <c r="Y294" s="56">
        <f>IF(AP294="5",BI294,0)</f>
        <v>0</v>
      </c>
      <c r="AA294" s="56">
        <f>IF(AP294="1",BG294,0)</f>
        <v>0</v>
      </c>
      <c r="AB294" s="56">
        <f>IF(AP294="1",BH294,0)</f>
        <v>0</v>
      </c>
      <c r="AC294" s="56">
        <f>IF(AP294="7",BG294,0)</f>
        <v>0</v>
      </c>
      <c r="AD294" s="56">
        <f>IF(AP294="7",BH294,0)</f>
        <v>0</v>
      </c>
      <c r="AE294" s="56">
        <f>IF(AP294="2",BG294,0)</f>
        <v>0</v>
      </c>
      <c r="AF294" s="56">
        <f>IF(AP294="2",BH294,0)</f>
        <v>0</v>
      </c>
      <c r="AG294" s="56">
        <f>IF(AP294="0",BI294,0)</f>
        <v>0</v>
      </c>
      <c r="AH294" s="30" t="s">
        <v>847</v>
      </c>
      <c r="AI294" s="56">
        <f>IF(AM294=0,I294,0)</f>
        <v>0</v>
      </c>
      <c r="AJ294" s="56">
        <f>IF(AM294=15,I294,0)</f>
        <v>0</v>
      </c>
      <c r="AK294" s="56">
        <f>IF(AM294=21,I294,0)</f>
        <v>0</v>
      </c>
      <c r="AM294" s="56">
        <v>21</v>
      </c>
      <c r="AN294" s="56">
        <f>H294*0.600980926430518</f>
        <v>0</v>
      </c>
      <c r="AO294" s="56">
        <f>H294*(1-0.600980926430518)</f>
        <v>0</v>
      </c>
      <c r="AP294" s="41" t="s">
        <v>1109</v>
      </c>
      <c r="AU294" s="56">
        <f>AV294+AW294</f>
        <v>0</v>
      </c>
      <c r="AV294" s="56">
        <f>G294*AN294</f>
        <v>0</v>
      </c>
      <c r="AW294" s="56">
        <f>G294*AO294</f>
        <v>0</v>
      </c>
      <c r="AX294" s="41" t="s">
        <v>1085</v>
      </c>
      <c r="AY294" s="41" t="s">
        <v>1194</v>
      </c>
      <c r="AZ294" s="30" t="s">
        <v>1000</v>
      </c>
      <c r="BB294" s="56">
        <f>AV294+AW294</f>
        <v>0</v>
      </c>
      <c r="BC294" s="56">
        <f>H294/(100-BD294)*100</f>
        <v>0</v>
      </c>
      <c r="BD294" s="56">
        <v>0</v>
      </c>
      <c r="BE294" s="56" t="e">
        <f>#REF!</f>
        <v>#REF!</v>
      </c>
      <c r="BG294" s="56">
        <f>G294*AN294</f>
        <v>0</v>
      </c>
      <c r="BH294" s="56">
        <f>G294*AO294</f>
        <v>0</v>
      </c>
      <c r="BI294" s="56">
        <f>G294*H294</f>
        <v>0</v>
      </c>
      <c r="BJ294" s="56"/>
      <c r="BK294" s="56">
        <v>91</v>
      </c>
      <c r="BV294" s="56">
        <v>21</v>
      </c>
    </row>
    <row r="295" spans="1:74" ht="13.5" customHeight="1" x14ac:dyDescent="0.25">
      <c r="A295" s="57" t="s">
        <v>298</v>
      </c>
      <c r="B295" s="50" t="s">
        <v>847</v>
      </c>
      <c r="C295" s="50" t="s">
        <v>1133</v>
      </c>
      <c r="D295" s="135" t="s">
        <v>1086</v>
      </c>
      <c r="E295" s="136"/>
      <c r="F295" s="50" t="s">
        <v>275</v>
      </c>
      <c r="G295" s="31">
        <f>'Stavební rozpočet'!G295</f>
        <v>2</v>
      </c>
      <c r="H295" s="31">
        <f>'Stavební rozpočet'!H295</f>
        <v>0</v>
      </c>
      <c r="I295" s="31">
        <f>G295*H295</f>
        <v>0</v>
      </c>
      <c r="J295" s="47" t="s">
        <v>501</v>
      </c>
      <c r="Y295" s="56">
        <f>IF(AP295="5",BI295,0)</f>
        <v>0</v>
      </c>
      <c r="AA295" s="56">
        <f>IF(AP295="1",BG295,0)</f>
        <v>0</v>
      </c>
      <c r="AB295" s="56">
        <f>IF(AP295="1",BH295,0)</f>
        <v>0</v>
      </c>
      <c r="AC295" s="56">
        <f>IF(AP295="7",BG295,0)</f>
        <v>0</v>
      </c>
      <c r="AD295" s="56">
        <f>IF(AP295="7",BH295,0)</f>
        <v>0</v>
      </c>
      <c r="AE295" s="56">
        <f>IF(AP295="2",BG295,0)</f>
        <v>0</v>
      </c>
      <c r="AF295" s="56">
        <f>IF(AP295="2",BH295,0)</f>
        <v>0</v>
      </c>
      <c r="AG295" s="56">
        <f>IF(AP295="0",BI295,0)</f>
        <v>0</v>
      </c>
      <c r="AH295" s="30" t="s">
        <v>847</v>
      </c>
      <c r="AI295" s="31">
        <f>IF(AM295=0,I295,0)</f>
        <v>0</v>
      </c>
      <c r="AJ295" s="31">
        <f>IF(AM295=15,I295,0)</f>
        <v>0</v>
      </c>
      <c r="AK295" s="31">
        <f>IF(AM295=21,I295,0)</f>
        <v>0</v>
      </c>
      <c r="AM295" s="56">
        <v>21</v>
      </c>
      <c r="AN295" s="56">
        <f>H295*1</f>
        <v>0</v>
      </c>
      <c r="AO295" s="56">
        <f>H295*(1-1)</f>
        <v>0</v>
      </c>
      <c r="AP295" s="58" t="s">
        <v>1109</v>
      </c>
      <c r="AU295" s="56">
        <f>AV295+AW295</f>
        <v>0</v>
      </c>
      <c r="AV295" s="56">
        <f>G295*AN295</f>
        <v>0</v>
      </c>
      <c r="AW295" s="56">
        <f>G295*AO295</f>
        <v>0</v>
      </c>
      <c r="AX295" s="41" t="s">
        <v>1085</v>
      </c>
      <c r="AY295" s="41" t="s">
        <v>1194</v>
      </c>
      <c r="AZ295" s="30" t="s">
        <v>1000</v>
      </c>
      <c r="BB295" s="56">
        <f>AV295+AW295</f>
        <v>0</v>
      </c>
      <c r="BC295" s="56">
        <f>H295/(100-BD295)*100</f>
        <v>0</v>
      </c>
      <c r="BD295" s="56">
        <v>0</v>
      </c>
      <c r="BE295" s="56" t="e">
        <f>#REF!</f>
        <v>#REF!</v>
      </c>
      <c r="BG295" s="31">
        <f>G295*AN295</f>
        <v>0</v>
      </c>
      <c r="BH295" s="31">
        <f>G295*AO295</f>
        <v>0</v>
      </c>
      <c r="BI295" s="31">
        <f>G295*H295</f>
        <v>0</v>
      </c>
      <c r="BJ295" s="31"/>
      <c r="BK295" s="56">
        <v>91</v>
      </c>
      <c r="BV295" s="56">
        <v>21</v>
      </c>
    </row>
    <row r="296" spans="1:74" ht="15" customHeight="1" x14ac:dyDescent="0.25">
      <c r="A296" s="53"/>
      <c r="D296" s="52" t="s">
        <v>766</v>
      </c>
      <c r="E296" s="37" t="s">
        <v>412</v>
      </c>
      <c r="G296" s="21">
        <v>2</v>
      </c>
      <c r="J296" s="48"/>
    </row>
    <row r="297" spans="1:74" ht="13.5" customHeight="1" x14ac:dyDescent="0.25">
      <c r="A297" s="10" t="s">
        <v>1130</v>
      </c>
      <c r="B297" s="9" t="s">
        <v>847</v>
      </c>
      <c r="C297" s="9" t="s">
        <v>385</v>
      </c>
      <c r="D297" s="76" t="s">
        <v>79</v>
      </c>
      <c r="E297" s="77"/>
      <c r="F297" s="9" t="s">
        <v>778</v>
      </c>
      <c r="G297" s="56">
        <f>'Stavební rozpočet'!G297</f>
        <v>10</v>
      </c>
      <c r="H297" s="56">
        <f>'Stavební rozpočet'!H297</f>
        <v>0</v>
      </c>
      <c r="I297" s="56">
        <f>G297*H297</f>
        <v>0</v>
      </c>
      <c r="J297" s="54" t="s">
        <v>769</v>
      </c>
      <c r="Y297" s="56">
        <f>IF(AP297="5",BI297,0)</f>
        <v>0</v>
      </c>
      <c r="AA297" s="56">
        <f>IF(AP297="1",BG297,0)</f>
        <v>0</v>
      </c>
      <c r="AB297" s="56">
        <f>IF(AP297="1",BH297,0)</f>
        <v>0</v>
      </c>
      <c r="AC297" s="56">
        <f>IF(AP297="7",BG297,0)</f>
        <v>0</v>
      </c>
      <c r="AD297" s="56">
        <f>IF(AP297="7",BH297,0)</f>
        <v>0</v>
      </c>
      <c r="AE297" s="56">
        <f>IF(AP297="2",BG297,0)</f>
        <v>0</v>
      </c>
      <c r="AF297" s="56">
        <f>IF(AP297="2",BH297,0)</f>
        <v>0</v>
      </c>
      <c r="AG297" s="56">
        <f>IF(AP297="0",BI297,0)</f>
        <v>0</v>
      </c>
      <c r="AH297" s="30" t="s">
        <v>847</v>
      </c>
      <c r="AI297" s="56">
        <f>IF(AM297=0,I297,0)</f>
        <v>0</v>
      </c>
      <c r="AJ297" s="56">
        <f>IF(AM297=15,I297,0)</f>
        <v>0</v>
      </c>
      <c r="AK297" s="56">
        <f>IF(AM297=21,I297,0)</f>
        <v>0</v>
      </c>
      <c r="AM297" s="56">
        <v>21</v>
      </c>
      <c r="AN297" s="56">
        <f>H297*0</f>
        <v>0</v>
      </c>
      <c r="AO297" s="56">
        <f>H297*(1-0)</f>
        <v>0</v>
      </c>
      <c r="AP297" s="41" t="s">
        <v>1109</v>
      </c>
      <c r="AU297" s="56">
        <f>AV297+AW297</f>
        <v>0</v>
      </c>
      <c r="AV297" s="56">
        <f>G297*AN297</f>
        <v>0</v>
      </c>
      <c r="AW297" s="56">
        <f>G297*AO297</f>
        <v>0</v>
      </c>
      <c r="AX297" s="41" t="s">
        <v>1085</v>
      </c>
      <c r="AY297" s="41" t="s">
        <v>1194</v>
      </c>
      <c r="AZ297" s="30" t="s">
        <v>1000</v>
      </c>
      <c r="BB297" s="56">
        <f>AV297+AW297</f>
        <v>0</v>
      </c>
      <c r="BC297" s="56">
        <f>H297/(100-BD297)*100</f>
        <v>0</v>
      </c>
      <c r="BD297" s="56">
        <v>0</v>
      </c>
      <c r="BE297" s="56" t="e">
        <f>#REF!</f>
        <v>#REF!</v>
      </c>
      <c r="BG297" s="56">
        <f>G297*AN297</f>
        <v>0</v>
      </c>
      <c r="BH297" s="56">
        <f>G297*AO297</f>
        <v>0</v>
      </c>
      <c r="BI297" s="56">
        <f>G297*H297</f>
        <v>0</v>
      </c>
      <c r="BJ297" s="56"/>
      <c r="BK297" s="56">
        <v>91</v>
      </c>
      <c r="BV297" s="56">
        <v>21</v>
      </c>
    </row>
    <row r="298" spans="1:74" ht="27" customHeight="1" x14ac:dyDescent="0.25">
      <c r="A298" s="10" t="s">
        <v>410</v>
      </c>
      <c r="B298" s="9" t="s">
        <v>847</v>
      </c>
      <c r="C298" s="9" t="s">
        <v>1200</v>
      </c>
      <c r="D298" s="76" t="s">
        <v>811</v>
      </c>
      <c r="E298" s="77"/>
      <c r="F298" s="9" t="s">
        <v>909</v>
      </c>
      <c r="G298" s="56">
        <f>'Stavební rozpočet'!G298</f>
        <v>340</v>
      </c>
      <c r="H298" s="56">
        <f>'Stavební rozpočet'!H298</f>
        <v>0</v>
      </c>
      <c r="I298" s="56">
        <f>G298*H298</f>
        <v>0</v>
      </c>
      <c r="J298" s="54" t="s">
        <v>422</v>
      </c>
      <c r="Y298" s="56">
        <f>IF(AP298="5",BI298,0)</f>
        <v>0</v>
      </c>
      <c r="AA298" s="56">
        <f>IF(AP298="1",BG298,0)</f>
        <v>0</v>
      </c>
      <c r="AB298" s="56">
        <f>IF(AP298="1",BH298,0)</f>
        <v>0</v>
      </c>
      <c r="AC298" s="56">
        <f>IF(AP298="7",BG298,0)</f>
        <v>0</v>
      </c>
      <c r="AD298" s="56">
        <f>IF(AP298="7",BH298,0)</f>
        <v>0</v>
      </c>
      <c r="AE298" s="56">
        <f>IF(AP298="2",BG298,0)</f>
        <v>0</v>
      </c>
      <c r="AF298" s="56">
        <f>IF(AP298="2",BH298,0)</f>
        <v>0</v>
      </c>
      <c r="AG298" s="56">
        <f>IF(AP298="0",BI298,0)</f>
        <v>0</v>
      </c>
      <c r="AH298" s="30" t="s">
        <v>847</v>
      </c>
      <c r="AI298" s="56">
        <f>IF(AM298=0,I298,0)</f>
        <v>0</v>
      </c>
      <c r="AJ298" s="56">
        <f>IF(AM298=15,I298,0)</f>
        <v>0</v>
      </c>
      <c r="AK298" s="56">
        <f>IF(AM298=21,I298,0)</f>
        <v>0</v>
      </c>
      <c r="AM298" s="56">
        <v>21</v>
      </c>
      <c r="AN298" s="56">
        <f>H298*0</f>
        <v>0</v>
      </c>
      <c r="AO298" s="56">
        <f>H298*(1-0)</f>
        <v>0</v>
      </c>
      <c r="AP298" s="41" t="s">
        <v>1109</v>
      </c>
      <c r="AU298" s="56">
        <f>AV298+AW298</f>
        <v>0</v>
      </c>
      <c r="AV298" s="56">
        <f>G298*AN298</f>
        <v>0</v>
      </c>
      <c r="AW298" s="56">
        <f>G298*AO298</f>
        <v>0</v>
      </c>
      <c r="AX298" s="41" t="s">
        <v>1085</v>
      </c>
      <c r="AY298" s="41" t="s">
        <v>1194</v>
      </c>
      <c r="AZ298" s="30" t="s">
        <v>1000</v>
      </c>
      <c r="BB298" s="56">
        <f>AV298+AW298</f>
        <v>0</v>
      </c>
      <c r="BC298" s="56">
        <f>H298/(100-BD298)*100</f>
        <v>0</v>
      </c>
      <c r="BD298" s="56">
        <v>0</v>
      </c>
      <c r="BE298" s="56" t="e">
        <f>#REF!</f>
        <v>#REF!</v>
      </c>
      <c r="BG298" s="56">
        <f>G298*AN298</f>
        <v>0</v>
      </c>
      <c r="BH298" s="56">
        <f>G298*AO298</f>
        <v>0</v>
      </c>
      <c r="BI298" s="56">
        <f>G298*H298</f>
        <v>0</v>
      </c>
      <c r="BJ298" s="56"/>
      <c r="BK298" s="56">
        <v>91</v>
      </c>
      <c r="BV298" s="56">
        <v>21</v>
      </c>
    </row>
    <row r="299" spans="1:74" ht="15" customHeight="1" x14ac:dyDescent="0.25">
      <c r="A299" s="27" t="s">
        <v>769</v>
      </c>
      <c r="B299" s="28" t="s">
        <v>847</v>
      </c>
      <c r="C299" s="28" t="s">
        <v>128</v>
      </c>
      <c r="D299" s="132" t="s">
        <v>1225</v>
      </c>
      <c r="E299" s="133"/>
      <c r="F299" s="23" t="s">
        <v>1027</v>
      </c>
      <c r="G299" s="23" t="s">
        <v>1027</v>
      </c>
      <c r="H299" s="23" t="s">
        <v>1027</v>
      </c>
      <c r="I299" s="14">
        <f>SUM(I300:I313)</f>
        <v>0</v>
      </c>
      <c r="J299" s="44" t="s">
        <v>769</v>
      </c>
      <c r="AH299" s="30" t="s">
        <v>847</v>
      </c>
      <c r="AR299" s="14">
        <f>SUM(AI300:AI313)</f>
        <v>0</v>
      </c>
      <c r="AS299" s="14">
        <f>SUM(AJ300:AJ313)</f>
        <v>0</v>
      </c>
      <c r="AT299" s="14">
        <f>SUM(AK300:AK313)</f>
        <v>0</v>
      </c>
    </row>
    <row r="300" spans="1:74" ht="13.5" customHeight="1" x14ac:dyDescent="0.25">
      <c r="A300" s="10" t="s">
        <v>311</v>
      </c>
      <c r="B300" s="9" t="s">
        <v>847</v>
      </c>
      <c r="C300" s="9" t="s">
        <v>138</v>
      </c>
      <c r="D300" s="76" t="s">
        <v>372</v>
      </c>
      <c r="E300" s="77"/>
      <c r="F300" s="9" t="s">
        <v>1095</v>
      </c>
      <c r="G300" s="56">
        <f>'Stavební rozpočet'!G300</f>
        <v>28.5</v>
      </c>
      <c r="H300" s="56">
        <f>'Stavební rozpočet'!H300</f>
        <v>0</v>
      </c>
      <c r="I300" s="56">
        <f>G300*H300</f>
        <v>0</v>
      </c>
      <c r="J300" s="54" t="s">
        <v>501</v>
      </c>
      <c r="Y300" s="56">
        <f>IF(AP300="5",BI300,0)</f>
        <v>0</v>
      </c>
      <c r="AA300" s="56">
        <f>IF(AP300="1",BG300,0)</f>
        <v>0</v>
      </c>
      <c r="AB300" s="56">
        <f>IF(AP300="1",BH300,0)</f>
        <v>0</v>
      </c>
      <c r="AC300" s="56">
        <f>IF(AP300="7",BG300,0)</f>
        <v>0</v>
      </c>
      <c r="AD300" s="56">
        <f>IF(AP300="7",BH300,0)</f>
        <v>0</v>
      </c>
      <c r="AE300" s="56">
        <f>IF(AP300="2",BG300,0)</f>
        <v>0</v>
      </c>
      <c r="AF300" s="56">
        <f>IF(AP300="2",BH300,0)</f>
        <v>0</v>
      </c>
      <c r="AG300" s="56">
        <f>IF(AP300="0",BI300,0)</f>
        <v>0</v>
      </c>
      <c r="AH300" s="30" t="s">
        <v>847</v>
      </c>
      <c r="AI300" s="56">
        <f>IF(AM300=0,I300,0)</f>
        <v>0</v>
      </c>
      <c r="AJ300" s="56">
        <f>IF(AM300=15,I300,0)</f>
        <v>0</v>
      </c>
      <c r="AK300" s="56">
        <f>IF(AM300=21,I300,0)</f>
        <v>0</v>
      </c>
      <c r="AM300" s="56">
        <v>21</v>
      </c>
      <c r="AN300" s="56">
        <f>H300*0</f>
        <v>0</v>
      </c>
      <c r="AO300" s="56">
        <f>H300*(1-0)</f>
        <v>0</v>
      </c>
      <c r="AP300" s="41" t="s">
        <v>1109</v>
      </c>
      <c r="AU300" s="56">
        <f>AV300+AW300</f>
        <v>0</v>
      </c>
      <c r="AV300" s="56">
        <f>G300*AN300</f>
        <v>0</v>
      </c>
      <c r="AW300" s="56">
        <f>G300*AO300</f>
        <v>0</v>
      </c>
      <c r="AX300" s="41" t="s">
        <v>348</v>
      </c>
      <c r="AY300" s="41" t="s">
        <v>1194</v>
      </c>
      <c r="AZ300" s="30" t="s">
        <v>1000</v>
      </c>
      <c r="BB300" s="56">
        <f>AV300+AW300</f>
        <v>0</v>
      </c>
      <c r="BC300" s="56">
        <f>H300/(100-BD300)*100</f>
        <v>0</v>
      </c>
      <c r="BD300" s="56">
        <v>0</v>
      </c>
      <c r="BE300" s="56" t="e">
        <f>#REF!</f>
        <v>#REF!</v>
      </c>
      <c r="BG300" s="56">
        <f>G300*AN300</f>
        <v>0</v>
      </c>
      <c r="BH300" s="56">
        <f>G300*AO300</f>
        <v>0</v>
      </c>
      <c r="BI300" s="56">
        <f>G300*H300</f>
        <v>0</v>
      </c>
      <c r="BJ300" s="56"/>
      <c r="BK300" s="56">
        <v>97</v>
      </c>
      <c r="BV300" s="56">
        <v>21</v>
      </c>
    </row>
    <row r="301" spans="1:74" ht="15" customHeight="1" x14ac:dyDescent="0.25">
      <c r="A301" s="53"/>
      <c r="D301" s="52" t="s">
        <v>1114</v>
      </c>
      <c r="E301" s="37" t="s">
        <v>1253</v>
      </c>
      <c r="G301" s="21">
        <v>7.0000000000000009</v>
      </c>
      <c r="J301" s="48"/>
    </row>
    <row r="302" spans="1:74" ht="15" customHeight="1" x14ac:dyDescent="0.25">
      <c r="A302" s="53"/>
      <c r="D302" s="52" t="s">
        <v>1242</v>
      </c>
      <c r="E302" s="37" t="s">
        <v>116</v>
      </c>
      <c r="G302" s="21">
        <v>21.5</v>
      </c>
      <c r="J302" s="48"/>
    </row>
    <row r="303" spans="1:74" ht="13.5" customHeight="1" x14ac:dyDescent="0.25">
      <c r="A303" s="10" t="s">
        <v>833</v>
      </c>
      <c r="B303" s="9" t="s">
        <v>847</v>
      </c>
      <c r="C303" s="9" t="s">
        <v>565</v>
      </c>
      <c r="D303" s="76" t="s">
        <v>1036</v>
      </c>
      <c r="E303" s="77"/>
      <c r="F303" s="9" t="s">
        <v>1095</v>
      </c>
      <c r="G303" s="56">
        <f>'Stavební rozpočet'!G303</f>
        <v>2</v>
      </c>
      <c r="H303" s="56">
        <f>'Stavební rozpočet'!H303</f>
        <v>0</v>
      </c>
      <c r="I303" s="56">
        <f>G303*H303</f>
        <v>0</v>
      </c>
      <c r="J303" s="54" t="s">
        <v>501</v>
      </c>
      <c r="Y303" s="56">
        <f>IF(AP303="5",BI303,0)</f>
        <v>0</v>
      </c>
      <c r="AA303" s="56">
        <f>IF(AP303="1",BG303,0)</f>
        <v>0</v>
      </c>
      <c r="AB303" s="56">
        <f>IF(AP303="1",BH303,0)</f>
        <v>0</v>
      </c>
      <c r="AC303" s="56">
        <f>IF(AP303="7",BG303,0)</f>
        <v>0</v>
      </c>
      <c r="AD303" s="56">
        <f>IF(AP303="7",BH303,0)</f>
        <v>0</v>
      </c>
      <c r="AE303" s="56">
        <f>IF(AP303="2",BG303,0)</f>
        <v>0</v>
      </c>
      <c r="AF303" s="56">
        <f>IF(AP303="2",BH303,0)</f>
        <v>0</v>
      </c>
      <c r="AG303" s="56">
        <f>IF(AP303="0",BI303,0)</f>
        <v>0</v>
      </c>
      <c r="AH303" s="30" t="s">
        <v>847</v>
      </c>
      <c r="AI303" s="56">
        <f>IF(AM303=0,I303,0)</f>
        <v>0</v>
      </c>
      <c r="AJ303" s="56">
        <f>IF(AM303=15,I303,0)</f>
        <v>0</v>
      </c>
      <c r="AK303" s="56">
        <f>IF(AM303=21,I303,0)</f>
        <v>0</v>
      </c>
      <c r="AM303" s="56">
        <v>21</v>
      </c>
      <c r="AN303" s="56">
        <f>H303*0</f>
        <v>0</v>
      </c>
      <c r="AO303" s="56">
        <f>H303*(1-0)</f>
        <v>0</v>
      </c>
      <c r="AP303" s="41" t="s">
        <v>1109</v>
      </c>
      <c r="AU303" s="56">
        <f>AV303+AW303</f>
        <v>0</v>
      </c>
      <c r="AV303" s="56">
        <f>G303*AN303</f>
        <v>0</v>
      </c>
      <c r="AW303" s="56">
        <f>G303*AO303</f>
        <v>0</v>
      </c>
      <c r="AX303" s="41" t="s">
        <v>348</v>
      </c>
      <c r="AY303" s="41" t="s">
        <v>1194</v>
      </c>
      <c r="AZ303" s="30" t="s">
        <v>1000</v>
      </c>
      <c r="BB303" s="56">
        <f>AV303+AW303</f>
        <v>0</v>
      </c>
      <c r="BC303" s="56">
        <f>H303/(100-BD303)*100</f>
        <v>0</v>
      </c>
      <c r="BD303" s="56">
        <v>0</v>
      </c>
      <c r="BE303" s="56" t="e">
        <f>#REF!</f>
        <v>#REF!</v>
      </c>
      <c r="BG303" s="56">
        <f>G303*AN303</f>
        <v>0</v>
      </c>
      <c r="BH303" s="56">
        <f>G303*AO303</f>
        <v>0</v>
      </c>
      <c r="BI303" s="56">
        <f>G303*H303</f>
        <v>0</v>
      </c>
      <c r="BJ303" s="56"/>
      <c r="BK303" s="56">
        <v>97</v>
      </c>
      <c r="BV303" s="56">
        <v>21</v>
      </c>
    </row>
    <row r="304" spans="1:74" ht="13.5" customHeight="1" x14ac:dyDescent="0.25">
      <c r="A304" s="10" t="s">
        <v>148</v>
      </c>
      <c r="B304" s="9" t="s">
        <v>847</v>
      </c>
      <c r="C304" s="9" t="s">
        <v>387</v>
      </c>
      <c r="D304" s="76" t="s">
        <v>1161</v>
      </c>
      <c r="E304" s="77"/>
      <c r="F304" s="9" t="s">
        <v>909</v>
      </c>
      <c r="G304" s="56">
        <f>'Stavební rozpočet'!G304</f>
        <v>15</v>
      </c>
      <c r="H304" s="56">
        <f>'Stavební rozpočet'!H304</f>
        <v>0</v>
      </c>
      <c r="I304" s="56">
        <f>G304*H304</f>
        <v>0</v>
      </c>
      <c r="J304" s="54" t="s">
        <v>501</v>
      </c>
      <c r="Y304" s="56">
        <f>IF(AP304="5",BI304,0)</f>
        <v>0</v>
      </c>
      <c r="AA304" s="56">
        <f>IF(AP304="1",BG304,0)</f>
        <v>0</v>
      </c>
      <c r="AB304" s="56">
        <f>IF(AP304="1",BH304,0)</f>
        <v>0</v>
      </c>
      <c r="AC304" s="56">
        <f>IF(AP304="7",BG304,0)</f>
        <v>0</v>
      </c>
      <c r="AD304" s="56">
        <f>IF(AP304="7",BH304,0)</f>
        <v>0</v>
      </c>
      <c r="AE304" s="56">
        <f>IF(AP304="2",BG304,0)</f>
        <v>0</v>
      </c>
      <c r="AF304" s="56">
        <f>IF(AP304="2",BH304,0)</f>
        <v>0</v>
      </c>
      <c r="AG304" s="56">
        <f>IF(AP304="0",BI304,0)</f>
        <v>0</v>
      </c>
      <c r="AH304" s="30" t="s">
        <v>847</v>
      </c>
      <c r="AI304" s="56">
        <f>IF(AM304=0,I304,0)</f>
        <v>0</v>
      </c>
      <c r="AJ304" s="56">
        <f>IF(AM304=15,I304,0)</f>
        <v>0</v>
      </c>
      <c r="AK304" s="56">
        <f>IF(AM304=21,I304,0)</f>
        <v>0</v>
      </c>
      <c r="AM304" s="56">
        <v>21</v>
      </c>
      <c r="AN304" s="56">
        <f>H304*0</f>
        <v>0</v>
      </c>
      <c r="AO304" s="56">
        <f>H304*(1-0)</f>
        <v>0</v>
      </c>
      <c r="AP304" s="41" t="s">
        <v>1109</v>
      </c>
      <c r="AU304" s="56">
        <f>AV304+AW304</f>
        <v>0</v>
      </c>
      <c r="AV304" s="56">
        <f>G304*AN304</f>
        <v>0</v>
      </c>
      <c r="AW304" s="56">
        <f>G304*AO304</f>
        <v>0</v>
      </c>
      <c r="AX304" s="41" t="s">
        <v>348</v>
      </c>
      <c r="AY304" s="41" t="s">
        <v>1194</v>
      </c>
      <c r="AZ304" s="30" t="s">
        <v>1000</v>
      </c>
      <c r="BB304" s="56">
        <f>AV304+AW304</f>
        <v>0</v>
      </c>
      <c r="BC304" s="56">
        <f>H304/(100-BD304)*100</f>
        <v>0</v>
      </c>
      <c r="BD304" s="56">
        <v>0</v>
      </c>
      <c r="BE304" s="56" t="e">
        <f>#REF!</f>
        <v>#REF!</v>
      </c>
      <c r="BG304" s="56">
        <f>G304*AN304</f>
        <v>0</v>
      </c>
      <c r="BH304" s="56">
        <f>G304*AO304</f>
        <v>0</v>
      </c>
      <c r="BI304" s="56">
        <f>G304*H304</f>
        <v>0</v>
      </c>
      <c r="BJ304" s="56"/>
      <c r="BK304" s="56">
        <v>97</v>
      </c>
      <c r="BV304" s="56">
        <v>21</v>
      </c>
    </row>
    <row r="305" spans="1:74" ht="13.5" customHeight="1" x14ac:dyDescent="0.25">
      <c r="A305" s="10" t="s">
        <v>1031</v>
      </c>
      <c r="B305" s="9" t="s">
        <v>847</v>
      </c>
      <c r="C305" s="9" t="s">
        <v>430</v>
      </c>
      <c r="D305" s="76" t="s">
        <v>390</v>
      </c>
      <c r="E305" s="77"/>
      <c r="F305" s="9" t="s">
        <v>778</v>
      </c>
      <c r="G305" s="56">
        <f>'Stavební rozpočet'!G305</f>
        <v>3</v>
      </c>
      <c r="H305" s="56">
        <f>'Stavební rozpočet'!H305</f>
        <v>0</v>
      </c>
      <c r="I305" s="56">
        <f>G305*H305</f>
        <v>0</v>
      </c>
      <c r="J305" s="54" t="s">
        <v>769</v>
      </c>
      <c r="Y305" s="56">
        <f>IF(AP305="5",BI305,0)</f>
        <v>0</v>
      </c>
      <c r="AA305" s="56">
        <f>IF(AP305="1",BG305,0)</f>
        <v>0</v>
      </c>
      <c r="AB305" s="56">
        <f>IF(AP305="1",BH305,0)</f>
        <v>0</v>
      </c>
      <c r="AC305" s="56">
        <f>IF(AP305="7",BG305,0)</f>
        <v>0</v>
      </c>
      <c r="AD305" s="56">
        <f>IF(AP305="7",BH305,0)</f>
        <v>0</v>
      </c>
      <c r="AE305" s="56">
        <f>IF(AP305="2",BG305,0)</f>
        <v>0</v>
      </c>
      <c r="AF305" s="56">
        <f>IF(AP305="2",BH305,0)</f>
        <v>0</v>
      </c>
      <c r="AG305" s="56">
        <f>IF(AP305="0",BI305,0)</f>
        <v>0</v>
      </c>
      <c r="AH305" s="30" t="s">
        <v>847</v>
      </c>
      <c r="AI305" s="56">
        <f>IF(AM305=0,I305,0)</f>
        <v>0</v>
      </c>
      <c r="AJ305" s="56">
        <f>IF(AM305=15,I305,0)</f>
        <v>0</v>
      </c>
      <c r="AK305" s="56">
        <f>IF(AM305=21,I305,0)</f>
        <v>0</v>
      </c>
      <c r="AM305" s="56">
        <v>21</v>
      </c>
      <c r="AN305" s="56">
        <f>H305*0</f>
        <v>0</v>
      </c>
      <c r="AO305" s="56">
        <f>H305*(1-0)</f>
        <v>0</v>
      </c>
      <c r="AP305" s="41" t="s">
        <v>1109</v>
      </c>
      <c r="AU305" s="56">
        <f>AV305+AW305</f>
        <v>0</v>
      </c>
      <c r="AV305" s="56">
        <f>G305*AN305</f>
        <v>0</v>
      </c>
      <c r="AW305" s="56">
        <f>G305*AO305</f>
        <v>0</v>
      </c>
      <c r="AX305" s="41" t="s">
        <v>348</v>
      </c>
      <c r="AY305" s="41" t="s">
        <v>1194</v>
      </c>
      <c r="AZ305" s="30" t="s">
        <v>1000</v>
      </c>
      <c r="BB305" s="56">
        <f>AV305+AW305</f>
        <v>0</v>
      </c>
      <c r="BC305" s="56">
        <f>H305/(100-BD305)*100</f>
        <v>0</v>
      </c>
      <c r="BD305" s="56">
        <v>0</v>
      </c>
      <c r="BE305" s="56" t="e">
        <f>#REF!</f>
        <v>#REF!</v>
      </c>
      <c r="BG305" s="56">
        <f>G305*AN305</f>
        <v>0</v>
      </c>
      <c r="BH305" s="56">
        <f>G305*AO305</f>
        <v>0</v>
      </c>
      <c r="BI305" s="56">
        <f>G305*H305</f>
        <v>0</v>
      </c>
      <c r="BJ305" s="56"/>
      <c r="BK305" s="56">
        <v>97</v>
      </c>
      <c r="BV305" s="56">
        <v>21</v>
      </c>
    </row>
    <row r="306" spans="1:74" ht="13.5" customHeight="1" x14ac:dyDescent="0.25">
      <c r="A306" s="53"/>
      <c r="C306" s="66" t="s">
        <v>578</v>
      </c>
      <c r="D306" s="137" t="s">
        <v>988</v>
      </c>
      <c r="E306" s="138"/>
      <c r="F306" s="138"/>
      <c r="G306" s="138"/>
      <c r="H306" s="138"/>
      <c r="I306" s="138"/>
      <c r="J306" s="139"/>
    </row>
    <row r="307" spans="1:74" ht="13.5" customHeight="1" x14ac:dyDescent="0.25">
      <c r="A307" s="10" t="s">
        <v>267</v>
      </c>
      <c r="B307" s="9" t="s">
        <v>847</v>
      </c>
      <c r="C307" s="9" t="s">
        <v>794</v>
      </c>
      <c r="D307" s="76" t="s">
        <v>1107</v>
      </c>
      <c r="E307" s="77"/>
      <c r="F307" s="9" t="s">
        <v>778</v>
      </c>
      <c r="G307" s="56">
        <f>'Stavební rozpočet'!G307</f>
        <v>2</v>
      </c>
      <c r="H307" s="56">
        <f>'Stavební rozpočet'!H307</f>
        <v>0</v>
      </c>
      <c r="I307" s="56">
        <f>G307*H307</f>
        <v>0</v>
      </c>
      <c r="J307" s="54" t="s">
        <v>636</v>
      </c>
      <c r="Y307" s="56">
        <f>IF(AP307="5",BI307,0)</f>
        <v>0</v>
      </c>
      <c r="AA307" s="56">
        <f>IF(AP307="1",BG307,0)</f>
        <v>0</v>
      </c>
      <c r="AB307" s="56">
        <f>IF(AP307="1",BH307,0)</f>
        <v>0</v>
      </c>
      <c r="AC307" s="56">
        <f>IF(AP307="7",BG307,0)</f>
        <v>0</v>
      </c>
      <c r="AD307" s="56">
        <f>IF(AP307="7",BH307,0)</f>
        <v>0</v>
      </c>
      <c r="AE307" s="56">
        <f>IF(AP307="2",BG307,0)</f>
        <v>0</v>
      </c>
      <c r="AF307" s="56">
        <f>IF(AP307="2",BH307,0)</f>
        <v>0</v>
      </c>
      <c r="AG307" s="56">
        <f>IF(AP307="0",BI307,0)</f>
        <v>0</v>
      </c>
      <c r="AH307" s="30" t="s">
        <v>847</v>
      </c>
      <c r="AI307" s="56">
        <f>IF(AM307=0,I307,0)</f>
        <v>0</v>
      </c>
      <c r="AJ307" s="56">
        <f>IF(AM307=15,I307,0)</f>
        <v>0</v>
      </c>
      <c r="AK307" s="56">
        <f>IF(AM307=21,I307,0)</f>
        <v>0</v>
      </c>
      <c r="AM307" s="56">
        <v>21</v>
      </c>
      <c r="AN307" s="56">
        <f>H307*0</f>
        <v>0</v>
      </c>
      <c r="AO307" s="56">
        <f>H307*(1-0)</f>
        <v>0</v>
      </c>
      <c r="AP307" s="41" t="s">
        <v>1109</v>
      </c>
      <c r="AU307" s="56">
        <f>AV307+AW307</f>
        <v>0</v>
      </c>
      <c r="AV307" s="56">
        <f>G307*AN307</f>
        <v>0</v>
      </c>
      <c r="AW307" s="56">
        <f>G307*AO307</f>
        <v>0</v>
      </c>
      <c r="AX307" s="41" t="s">
        <v>348</v>
      </c>
      <c r="AY307" s="41" t="s">
        <v>1194</v>
      </c>
      <c r="AZ307" s="30" t="s">
        <v>1000</v>
      </c>
      <c r="BB307" s="56">
        <f>AV307+AW307</f>
        <v>0</v>
      </c>
      <c r="BC307" s="56">
        <f>H307/(100-BD307)*100</f>
        <v>0</v>
      </c>
      <c r="BD307" s="56">
        <v>0</v>
      </c>
      <c r="BE307" s="56" t="e">
        <f>#REF!</f>
        <v>#REF!</v>
      </c>
      <c r="BG307" s="56">
        <f>G307*AN307</f>
        <v>0</v>
      </c>
      <c r="BH307" s="56">
        <f>G307*AO307</f>
        <v>0</v>
      </c>
      <c r="BI307" s="56">
        <f>G307*H307</f>
        <v>0</v>
      </c>
      <c r="BJ307" s="56"/>
      <c r="BK307" s="56">
        <v>97</v>
      </c>
      <c r="BV307" s="56">
        <v>21</v>
      </c>
    </row>
    <row r="308" spans="1:74" ht="13.5" customHeight="1" x14ac:dyDescent="0.25">
      <c r="A308" s="53"/>
      <c r="C308" s="66" t="s">
        <v>578</v>
      </c>
      <c r="D308" s="137" t="s">
        <v>293</v>
      </c>
      <c r="E308" s="138"/>
      <c r="F308" s="138"/>
      <c r="G308" s="138"/>
      <c r="H308" s="138"/>
      <c r="I308" s="138"/>
      <c r="J308" s="139"/>
    </row>
    <row r="309" spans="1:74" ht="13.5" customHeight="1" x14ac:dyDescent="0.25">
      <c r="A309" s="10" t="s">
        <v>165</v>
      </c>
      <c r="B309" s="9" t="s">
        <v>847</v>
      </c>
      <c r="C309" s="9" t="s">
        <v>389</v>
      </c>
      <c r="D309" s="76" t="s">
        <v>612</v>
      </c>
      <c r="E309" s="77"/>
      <c r="F309" s="9" t="s">
        <v>778</v>
      </c>
      <c r="G309" s="56">
        <f>'Stavební rozpočet'!G309</f>
        <v>3</v>
      </c>
      <c r="H309" s="56">
        <f>'Stavební rozpočet'!H309</f>
        <v>0</v>
      </c>
      <c r="I309" s="56">
        <f>G309*H309</f>
        <v>0</v>
      </c>
      <c r="J309" s="54" t="s">
        <v>769</v>
      </c>
      <c r="Y309" s="56">
        <f>IF(AP309="5",BI309,0)</f>
        <v>0</v>
      </c>
      <c r="AA309" s="56">
        <f>IF(AP309="1",BG309,0)</f>
        <v>0</v>
      </c>
      <c r="AB309" s="56">
        <f>IF(AP309="1",BH309,0)</f>
        <v>0</v>
      </c>
      <c r="AC309" s="56">
        <f>IF(AP309="7",BG309,0)</f>
        <v>0</v>
      </c>
      <c r="AD309" s="56">
        <f>IF(AP309="7",BH309,0)</f>
        <v>0</v>
      </c>
      <c r="AE309" s="56">
        <f>IF(AP309="2",BG309,0)</f>
        <v>0</v>
      </c>
      <c r="AF309" s="56">
        <f>IF(AP309="2",BH309,0)</f>
        <v>0</v>
      </c>
      <c r="AG309" s="56">
        <f>IF(AP309="0",BI309,0)</f>
        <v>0</v>
      </c>
      <c r="AH309" s="30" t="s">
        <v>847</v>
      </c>
      <c r="AI309" s="56">
        <f>IF(AM309=0,I309,0)</f>
        <v>0</v>
      </c>
      <c r="AJ309" s="56">
        <f>IF(AM309=15,I309,0)</f>
        <v>0</v>
      </c>
      <c r="AK309" s="56">
        <f>IF(AM309=21,I309,0)</f>
        <v>0</v>
      </c>
      <c r="AM309" s="56">
        <v>21</v>
      </c>
      <c r="AN309" s="56">
        <f>H309*0</f>
        <v>0</v>
      </c>
      <c r="AO309" s="56">
        <f>H309*(1-0)</f>
        <v>0</v>
      </c>
      <c r="AP309" s="41" t="s">
        <v>1109</v>
      </c>
      <c r="AU309" s="56">
        <f>AV309+AW309</f>
        <v>0</v>
      </c>
      <c r="AV309" s="56">
        <f>G309*AN309</f>
        <v>0</v>
      </c>
      <c r="AW309" s="56">
        <f>G309*AO309</f>
        <v>0</v>
      </c>
      <c r="AX309" s="41" t="s">
        <v>348</v>
      </c>
      <c r="AY309" s="41" t="s">
        <v>1194</v>
      </c>
      <c r="AZ309" s="30" t="s">
        <v>1000</v>
      </c>
      <c r="BB309" s="56">
        <f>AV309+AW309</f>
        <v>0</v>
      </c>
      <c r="BC309" s="56">
        <f>H309/(100-BD309)*100</f>
        <v>0</v>
      </c>
      <c r="BD309" s="56">
        <v>0</v>
      </c>
      <c r="BE309" s="56" t="e">
        <f>#REF!</f>
        <v>#REF!</v>
      </c>
      <c r="BG309" s="56">
        <f>G309*AN309</f>
        <v>0</v>
      </c>
      <c r="BH309" s="56">
        <f>G309*AO309</f>
        <v>0</v>
      </c>
      <c r="BI309" s="56">
        <f>G309*H309</f>
        <v>0</v>
      </c>
      <c r="BJ309" s="56"/>
      <c r="BK309" s="56">
        <v>97</v>
      </c>
      <c r="BV309" s="56">
        <v>21</v>
      </c>
    </row>
    <row r="310" spans="1:74" ht="13.5" customHeight="1" x14ac:dyDescent="0.25">
      <c r="A310" s="53"/>
      <c r="C310" s="66" t="s">
        <v>578</v>
      </c>
      <c r="D310" s="137" t="s">
        <v>293</v>
      </c>
      <c r="E310" s="138"/>
      <c r="F310" s="138"/>
      <c r="G310" s="138"/>
      <c r="H310" s="138"/>
      <c r="I310" s="138"/>
      <c r="J310" s="139"/>
    </row>
    <row r="311" spans="1:74" ht="13.5" customHeight="1" x14ac:dyDescent="0.25">
      <c r="A311" s="10" t="s">
        <v>320</v>
      </c>
      <c r="B311" s="9" t="s">
        <v>847</v>
      </c>
      <c r="C311" s="9" t="s">
        <v>310</v>
      </c>
      <c r="D311" s="76" t="s">
        <v>492</v>
      </c>
      <c r="E311" s="77"/>
      <c r="F311" s="9" t="s">
        <v>778</v>
      </c>
      <c r="G311" s="56">
        <f>'Stavební rozpočet'!G311</f>
        <v>3</v>
      </c>
      <c r="H311" s="56">
        <f>'Stavební rozpočet'!H311</f>
        <v>0</v>
      </c>
      <c r="I311" s="56">
        <f>G311*H311</f>
        <v>0</v>
      </c>
      <c r="J311" s="54" t="s">
        <v>769</v>
      </c>
      <c r="Y311" s="56">
        <f>IF(AP311="5",BI311,0)</f>
        <v>0</v>
      </c>
      <c r="AA311" s="56">
        <f>IF(AP311="1",BG311,0)</f>
        <v>0</v>
      </c>
      <c r="AB311" s="56">
        <f>IF(AP311="1",BH311,0)</f>
        <v>0</v>
      </c>
      <c r="AC311" s="56">
        <f>IF(AP311="7",BG311,0)</f>
        <v>0</v>
      </c>
      <c r="AD311" s="56">
        <f>IF(AP311="7",BH311,0)</f>
        <v>0</v>
      </c>
      <c r="AE311" s="56">
        <f>IF(AP311="2",BG311,0)</f>
        <v>0</v>
      </c>
      <c r="AF311" s="56">
        <f>IF(AP311="2",BH311,0)</f>
        <v>0</v>
      </c>
      <c r="AG311" s="56">
        <f>IF(AP311="0",BI311,0)</f>
        <v>0</v>
      </c>
      <c r="AH311" s="30" t="s">
        <v>847</v>
      </c>
      <c r="AI311" s="56">
        <f>IF(AM311=0,I311,0)</f>
        <v>0</v>
      </c>
      <c r="AJ311" s="56">
        <f>IF(AM311=15,I311,0)</f>
        <v>0</v>
      </c>
      <c r="AK311" s="56">
        <f>IF(AM311=21,I311,0)</f>
        <v>0</v>
      </c>
      <c r="AM311" s="56">
        <v>21</v>
      </c>
      <c r="AN311" s="56">
        <f>H311*0</f>
        <v>0</v>
      </c>
      <c r="AO311" s="56">
        <f>H311*(1-0)</f>
        <v>0</v>
      </c>
      <c r="AP311" s="41" t="s">
        <v>1109</v>
      </c>
      <c r="AU311" s="56">
        <f>AV311+AW311</f>
        <v>0</v>
      </c>
      <c r="AV311" s="56">
        <f>G311*AN311</f>
        <v>0</v>
      </c>
      <c r="AW311" s="56">
        <f>G311*AO311</f>
        <v>0</v>
      </c>
      <c r="AX311" s="41" t="s">
        <v>348</v>
      </c>
      <c r="AY311" s="41" t="s">
        <v>1194</v>
      </c>
      <c r="AZ311" s="30" t="s">
        <v>1000</v>
      </c>
      <c r="BB311" s="56">
        <f>AV311+AW311</f>
        <v>0</v>
      </c>
      <c r="BC311" s="56">
        <f>H311/(100-BD311)*100</f>
        <v>0</v>
      </c>
      <c r="BD311" s="56">
        <v>0</v>
      </c>
      <c r="BE311" s="56" t="e">
        <f>#REF!</f>
        <v>#REF!</v>
      </c>
      <c r="BG311" s="56">
        <f>G311*AN311</f>
        <v>0</v>
      </c>
      <c r="BH311" s="56">
        <f>G311*AO311</f>
        <v>0</v>
      </c>
      <c r="BI311" s="56">
        <f>G311*H311</f>
        <v>0</v>
      </c>
      <c r="BJ311" s="56"/>
      <c r="BK311" s="56">
        <v>97</v>
      </c>
      <c r="BV311" s="56">
        <v>21</v>
      </c>
    </row>
    <row r="312" spans="1:74" ht="13.5" customHeight="1" x14ac:dyDescent="0.25">
      <c r="A312" s="53"/>
      <c r="C312" s="66" t="s">
        <v>578</v>
      </c>
      <c r="D312" s="137" t="s">
        <v>293</v>
      </c>
      <c r="E312" s="138"/>
      <c r="F312" s="138"/>
      <c r="G312" s="138"/>
      <c r="H312" s="138"/>
      <c r="I312" s="138"/>
      <c r="J312" s="139"/>
    </row>
    <row r="313" spans="1:74" ht="13.5" customHeight="1" x14ac:dyDescent="0.25">
      <c r="A313" s="10" t="s">
        <v>347</v>
      </c>
      <c r="B313" s="9" t="s">
        <v>847</v>
      </c>
      <c r="C313" s="9" t="s">
        <v>225</v>
      </c>
      <c r="D313" s="76" t="s">
        <v>1179</v>
      </c>
      <c r="E313" s="77"/>
      <c r="F313" s="9" t="s">
        <v>778</v>
      </c>
      <c r="G313" s="56">
        <f>'Stavební rozpočet'!G313</f>
        <v>2</v>
      </c>
      <c r="H313" s="56">
        <f>'Stavební rozpočet'!H313</f>
        <v>0</v>
      </c>
      <c r="I313" s="56">
        <f>G313*H313</f>
        <v>0</v>
      </c>
      <c r="J313" s="54" t="s">
        <v>769</v>
      </c>
      <c r="Y313" s="56">
        <f>IF(AP313="5",BI313,0)</f>
        <v>0</v>
      </c>
      <c r="AA313" s="56">
        <f>IF(AP313="1",BG313,0)</f>
        <v>0</v>
      </c>
      <c r="AB313" s="56">
        <f>IF(AP313="1",BH313,0)</f>
        <v>0</v>
      </c>
      <c r="AC313" s="56">
        <f>IF(AP313="7",BG313,0)</f>
        <v>0</v>
      </c>
      <c r="AD313" s="56">
        <f>IF(AP313="7",BH313,0)</f>
        <v>0</v>
      </c>
      <c r="AE313" s="56">
        <f>IF(AP313="2",BG313,0)</f>
        <v>0</v>
      </c>
      <c r="AF313" s="56">
        <f>IF(AP313="2",BH313,0)</f>
        <v>0</v>
      </c>
      <c r="AG313" s="56">
        <f>IF(AP313="0",BI313,0)</f>
        <v>0</v>
      </c>
      <c r="AH313" s="30" t="s">
        <v>847</v>
      </c>
      <c r="AI313" s="56">
        <f>IF(AM313=0,I313,0)</f>
        <v>0</v>
      </c>
      <c r="AJ313" s="56">
        <f>IF(AM313=15,I313,0)</f>
        <v>0</v>
      </c>
      <c r="AK313" s="56">
        <f>IF(AM313=21,I313,0)</f>
        <v>0</v>
      </c>
      <c r="AM313" s="56">
        <v>21</v>
      </c>
      <c r="AN313" s="56">
        <f>H313*0</f>
        <v>0</v>
      </c>
      <c r="AO313" s="56">
        <f>H313*(1-0)</f>
        <v>0</v>
      </c>
      <c r="AP313" s="41" t="s">
        <v>1109</v>
      </c>
      <c r="AU313" s="56">
        <f>AV313+AW313</f>
        <v>0</v>
      </c>
      <c r="AV313" s="56">
        <f>G313*AN313</f>
        <v>0</v>
      </c>
      <c r="AW313" s="56">
        <f>G313*AO313</f>
        <v>0</v>
      </c>
      <c r="AX313" s="41" t="s">
        <v>348</v>
      </c>
      <c r="AY313" s="41" t="s">
        <v>1194</v>
      </c>
      <c r="AZ313" s="30" t="s">
        <v>1000</v>
      </c>
      <c r="BB313" s="56">
        <f>AV313+AW313</f>
        <v>0</v>
      </c>
      <c r="BC313" s="56">
        <f>H313/(100-BD313)*100</f>
        <v>0</v>
      </c>
      <c r="BD313" s="56">
        <v>0</v>
      </c>
      <c r="BE313" s="56" t="e">
        <f>#REF!</f>
        <v>#REF!</v>
      </c>
      <c r="BG313" s="56">
        <f>G313*AN313</f>
        <v>0</v>
      </c>
      <c r="BH313" s="56">
        <f>G313*AO313</f>
        <v>0</v>
      </c>
      <c r="BI313" s="56">
        <f>G313*H313</f>
        <v>0</v>
      </c>
      <c r="BJ313" s="56"/>
      <c r="BK313" s="56">
        <v>97</v>
      </c>
      <c r="BV313" s="56">
        <v>21</v>
      </c>
    </row>
    <row r="314" spans="1:74" ht="13.5" customHeight="1" x14ac:dyDescent="0.25">
      <c r="A314" s="53"/>
      <c r="C314" s="66" t="s">
        <v>578</v>
      </c>
      <c r="D314" s="137" t="s">
        <v>293</v>
      </c>
      <c r="E314" s="138"/>
      <c r="F314" s="138"/>
      <c r="G314" s="138"/>
      <c r="H314" s="138"/>
      <c r="I314" s="138"/>
      <c r="J314" s="139"/>
    </row>
    <row r="315" spans="1:74" ht="15" customHeight="1" x14ac:dyDescent="0.25">
      <c r="A315" s="53"/>
      <c r="D315" s="52" t="s">
        <v>1186</v>
      </c>
      <c r="E315" s="37" t="s">
        <v>1132</v>
      </c>
      <c r="G315" s="21">
        <v>2</v>
      </c>
      <c r="J315" s="48"/>
    </row>
    <row r="316" spans="1:74" ht="15" customHeight="1" x14ac:dyDescent="0.25">
      <c r="A316" s="27" t="s">
        <v>769</v>
      </c>
      <c r="B316" s="28" t="s">
        <v>847</v>
      </c>
      <c r="C316" s="28" t="s">
        <v>628</v>
      </c>
      <c r="D316" s="132" t="s">
        <v>606</v>
      </c>
      <c r="E316" s="133"/>
      <c r="F316" s="23" t="s">
        <v>1027</v>
      </c>
      <c r="G316" s="23" t="s">
        <v>1027</v>
      </c>
      <c r="H316" s="23" t="s">
        <v>1027</v>
      </c>
      <c r="I316" s="14">
        <f>SUM(I317:I317)</f>
        <v>0</v>
      </c>
      <c r="J316" s="44" t="s">
        <v>769</v>
      </c>
      <c r="AH316" s="30" t="s">
        <v>847</v>
      </c>
      <c r="AR316" s="14">
        <f>SUM(AI317:AI317)</f>
        <v>0</v>
      </c>
      <c r="AS316" s="14">
        <f>SUM(AJ317:AJ317)</f>
        <v>0</v>
      </c>
      <c r="AT316" s="14">
        <f>SUM(AK317:AK317)</f>
        <v>0</v>
      </c>
    </row>
    <row r="317" spans="1:74" ht="13.5" customHeight="1" x14ac:dyDescent="0.25">
      <c r="A317" s="10" t="s">
        <v>229</v>
      </c>
      <c r="B317" s="9" t="s">
        <v>847</v>
      </c>
      <c r="C317" s="9" t="s">
        <v>962</v>
      </c>
      <c r="D317" s="76" t="s">
        <v>754</v>
      </c>
      <c r="E317" s="77"/>
      <c r="F317" s="9" t="s">
        <v>517</v>
      </c>
      <c r="G317" s="56">
        <f>'Stavební rozpočet'!G317</f>
        <v>1686.6869999999999</v>
      </c>
      <c r="H317" s="56">
        <f>'Stavební rozpočet'!H317</f>
        <v>0</v>
      </c>
      <c r="I317" s="56">
        <f>G317*H317</f>
        <v>0</v>
      </c>
      <c r="J317" s="54" t="s">
        <v>501</v>
      </c>
      <c r="Y317" s="56">
        <f>IF(AP317="5",BI317,0)</f>
        <v>0</v>
      </c>
      <c r="AA317" s="56">
        <f>IF(AP317="1",BG317,0)</f>
        <v>0</v>
      </c>
      <c r="AB317" s="56">
        <f>IF(AP317="1",BH317,0)</f>
        <v>0</v>
      </c>
      <c r="AC317" s="56">
        <f>IF(AP317="7",BG317,0)</f>
        <v>0</v>
      </c>
      <c r="AD317" s="56">
        <f>IF(AP317="7",BH317,0)</f>
        <v>0</v>
      </c>
      <c r="AE317" s="56">
        <f>IF(AP317="2",BG317,0)</f>
        <v>0</v>
      </c>
      <c r="AF317" s="56">
        <f>IF(AP317="2",BH317,0)</f>
        <v>0</v>
      </c>
      <c r="AG317" s="56">
        <f>IF(AP317="0",BI317,0)</f>
        <v>0</v>
      </c>
      <c r="AH317" s="30" t="s">
        <v>847</v>
      </c>
      <c r="AI317" s="56">
        <f>IF(AM317=0,I317,0)</f>
        <v>0</v>
      </c>
      <c r="AJ317" s="56">
        <f>IF(AM317=15,I317,0)</f>
        <v>0</v>
      </c>
      <c r="AK317" s="56">
        <f>IF(AM317=21,I317,0)</f>
        <v>0</v>
      </c>
      <c r="AM317" s="56">
        <v>21</v>
      </c>
      <c r="AN317" s="56">
        <f>H317*0</f>
        <v>0</v>
      </c>
      <c r="AO317" s="56">
        <f>H317*(1-0)</f>
        <v>0</v>
      </c>
      <c r="AP317" s="41" t="s">
        <v>596</v>
      </c>
      <c r="AU317" s="56">
        <f>AV317+AW317</f>
        <v>0</v>
      </c>
      <c r="AV317" s="56">
        <f>G317*AN317</f>
        <v>0</v>
      </c>
      <c r="AW317" s="56">
        <f>G317*AO317</f>
        <v>0</v>
      </c>
      <c r="AX317" s="41" t="s">
        <v>345</v>
      </c>
      <c r="AY317" s="41" t="s">
        <v>1194</v>
      </c>
      <c r="AZ317" s="30" t="s">
        <v>1000</v>
      </c>
      <c r="BB317" s="56">
        <f>AV317+AW317</f>
        <v>0</v>
      </c>
      <c r="BC317" s="56">
        <f>H317/(100-BD317)*100</f>
        <v>0</v>
      </c>
      <c r="BD317" s="56">
        <v>0</v>
      </c>
      <c r="BE317" s="56" t="e">
        <f>#REF!</f>
        <v>#REF!</v>
      </c>
      <c r="BG317" s="56">
        <f>G317*AN317</f>
        <v>0</v>
      </c>
      <c r="BH317" s="56">
        <f>G317*AO317</f>
        <v>0</v>
      </c>
      <c r="BI317" s="56">
        <f>G317*H317</f>
        <v>0</v>
      </c>
      <c r="BJ317" s="56"/>
      <c r="BK317" s="56"/>
      <c r="BV317" s="56">
        <v>21</v>
      </c>
    </row>
    <row r="318" spans="1:74" ht="15" customHeight="1" x14ac:dyDescent="0.25">
      <c r="A318" s="27" t="s">
        <v>769</v>
      </c>
      <c r="B318" s="28" t="s">
        <v>847</v>
      </c>
      <c r="C318" s="28" t="s">
        <v>27</v>
      </c>
      <c r="D318" s="132" t="s">
        <v>593</v>
      </c>
      <c r="E318" s="133"/>
      <c r="F318" s="23" t="s">
        <v>1027</v>
      </c>
      <c r="G318" s="23" t="s">
        <v>1027</v>
      </c>
      <c r="H318" s="23" t="s">
        <v>1027</v>
      </c>
      <c r="I318" s="14">
        <f>SUM(I319:I319)</f>
        <v>0</v>
      </c>
      <c r="J318" s="44" t="s">
        <v>769</v>
      </c>
      <c r="AH318" s="30" t="s">
        <v>847</v>
      </c>
      <c r="AR318" s="14">
        <f>SUM(AI319:AI319)</f>
        <v>0</v>
      </c>
      <c r="AS318" s="14">
        <f>SUM(AJ319:AJ319)</f>
        <v>0</v>
      </c>
      <c r="AT318" s="14">
        <f>SUM(AK319:AK319)</f>
        <v>0</v>
      </c>
    </row>
    <row r="319" spans="1:74" ht="13.5" customHeight="1" x14ac:dyDescent="0.25">
      <c r="A319" s="10" t="s">
        <v>454</v>
      </c>
      <c r="B319" s="9" t="s">
        <v>847</v>
      </c>
      <c r="C319" s="9" t="s">
        <v>859</v>
      </c>
      <c r="D319" s="76" t="s">
        <v>1048</v>
      </c>
      <c r="E319" s="77"/>
      <c r="F319" s="9" t="s">
        <v>275</v>
      </c>
      <c r="G319" s="56">
        <f>'Stavební rozpočet'!G319</f>
        <v>19</v>
      </c>
      <c r="H319" s="56">
        <f>'Stavební rozpočet'!H319</f>
        <v>0</v>
      </c>
      <c r="I319" s="56">
        <f>G319*H319</f>
        <v>0</v>
      </c>
      <c r="J319" s="54" t="s">
        <v>501</v>
      </c>
      <c r="Y319" s="56">
        <f>IF(AP319="5",BI319,0)</f>
        <v>0</v>
      </c>
      <c r="AA319" s="56">
        <f>IF(AP319="1",BG319,0)</f>
        <v>0</v>
      </c>
      <c r="AB319" s="56">
        <f>IF(AP319="1",BH319,0)</f>
        <v>0</v>
      </c>
      <c r="AC319" s="56">
        <f>IF(AP319="7",BG319,0)</f>
        <v>0</v>
      </c>
      <c r="AD319" s="56">
        <f>IF(AP319="7",BH319,0)</f>
        <v>0</v>
      </c>
      <c r="AE319" s="56">
        <f>IF(AP319="2",BG319,0)</f>
        <v>0</v>
      </c>
      <c r="AF319" s="56">
        <f>IF(AP319="2",BH319,0)</f>
        <v>0</v>
      </c>
      <c r="AG319" s="56">
        <f>IF(AP319="0",BI319,0)</f>
        <v>0</v>
      </c>
      <c r="AH319" s="30" t="s">
        <v>847</v>
      </c>
      <c r="AI319" s="56">
        <f>IF(AM319=0,I319,0)</f>
        <v>0</v>
      </c>
      <c r="AJ319" s="56">
        <f>IF(AM319=15,I319,0)</f>
        <v>0</v>
      </c>
      <c r="AK319" s="56">
        <f>IF(AM319=21,I319,0)</f>
        <v>0</v>
      </c>
      <c r="AM319" s="56">
        <v>21</v>
      </c>
      <c r="AN319" s="56">
        <f>H319*0</f>
        <v>0</v>
      </c>
      <c r="AO319" s="56">
        <f>H319*(1-0)</f>
        <v>0</v>
      </c>
      <c r="AP319" s="41" t="s">
        <v>766</v>
      </c>
      <c r="AU319" s="56">
        <f>AV319+AW319</f>
        <v>0</v>
      </c>
      <c r="AV319" s="56">
        <f>G319*AN319</f>
        <v>0</v>
      </c>
      <c r="AW319" s="56">
        <f>G319*AO319</f>
        <v>0</v>
      </c>
      <c r="AX319" s="41" t="s">
        <v>1217</v>
      </c>
      <c r="AY319" s="41" t="s">
        <v>1194</v>
      </c>
      <c r="AZ319" s="30" t="s">
        <v>1000</v>
      </c>
      <c r="BB319" s="56">
        <f>AV319+AW319</f>
        <v>0</v>
      </c>
      <c r="BC319" s="56">
        <f>H319/(100-BD319)*100</f>
        <v>0</v>
      </c>
      <c r="BD319" s="56">
        <v>0</v>
      </c>
      <c r="BE319" s="56" t="e">
        <f>#REF!</f>
        <v>#REF!</v>
      </c>
      <c r="BG319" s="56">
        <f>G319*AN319</f>
        <v>0</v>
      </c>
      <c r="BH319" s="56">
        <f>G319*AO319</f>
        <v>0</v>
      </c>
      <c r="BI319" s="56">
        <f>G319*H319</f>
        <v>0</v>
      </c>
      <c r="BJ319" s="56"/>
      <c r="BK319" s="56"/>
      <c r="BV319" s="56">
        <v>21</v>
      </c>
    </row>
    <row r="320" spans="1:74" ht="15" customHeight="1" x14ac:dyDescent="0.25">
      <c r="A320" s="53"/>
      <c r="D320" s="52" t="s">
        <v>706</v>
      </c>
      <c r="E320" s="37" t="s">
        <v>598</v>
      </c>
      <c r="G320" s="21">
        <v>19</v>
      </c>
      <c r="J320" s="48"/>
    </row>
    <row r="321" spans="1:74" ht="15" customHeight="1" x14ac:dyDescent="0.25">
      <c r="A321" s="27" t="s">
        <v>769</v>
      </c>
      <c r="B321" s="28" t="s">
        <v>847</v>
      </c>
      <c r="C321" s="28" t="s">
        <v>369</v>
      </c>
      <c r="D321" s="132" t="s">
        <v>485</v>
      </c>
      <c r="E321" s="133"/>
      <c r="F321" s="23" t="s">
        <v>1027</v>
      </c>
      <c r="G321" s="23" t="s">
        <v>1027</v>
      </c>
      <c r="H321" s="23" t="s">
        <v>1027</v>
      </c>
      <c r="I321" s="14">
        <f>SUM(I322:I330)</f>
        <v>0</v>
      </c>
      <c r="J321" s="44" t="s">
        <v>769</v>
      </c>
      <c r="AH321" s="30" t="s">
        <v>847</v>
      </c>
      <c r="AR321" s="14">
        <f>SUM(AI322:AI330)</f>
        <v>0</v>
      </c>
      <c r="AS321" s="14">
        <f>SUM(AJ322:AJ330)</f>
        <v>0</v>
      </c>
      <c r="AT321" s="14">
        <f>SUM(AK322:AK330)</f>
        <v>0</v>
      </c>
    </row>
    <row r="322" spans="1:74" ht="13.5" customHeight="1" x14ac:dyDescent="0.25">
      <c r="A322" s="10" t="s">
        <v>434</v>
      </c>
      <c r="B322" s="9" t="s">
        <v>847</v>
      </c>
      <c r="C322" s="9" t="s">
        <v>477</v>
      </c>
      <c r="D322" s="76" t="s">
        <v>1164</v>
      </c>
      <c r="E322" s="77"/>
      <c r="F322" s="9" t="s">
        <v>517</v>
      </c>
      <c r="G322" s="56">
        <f>'Stavební rozpočet'!G322</f>
        <v>481.16399999999999</v>
      </c>
      <c r="H322" s="56">
        <f>'Stavební rozpočet'!H322</f>
        <v>0</v>
      </c>
      <c r="I322" s="56">
        <f>G322*H322</f>
        <v>0</v>
      </c>
      <c r="J322" s="54" t="s">
        <v>501</v>
      </c>
      <c r="Y322" s="56">
        <f>IF(AP322="5",BI322,0)</f>
        <v>0</v>
      </c>
      <c r="AA322" s="56">
        <f>IF(AP322="1",BG322,0)</f>
        <v>0</v>
      </c>
      <c r="AB322" s="56">
        <f>IF(AP322="1",BH322,0)</f>
        <v>0</v>
      </c>
      <c r="AC322" s="56">
        <f>IF(AP322="7",BG322,0)</f>
        <v>0</v>
      </c>
      <c r="AD322" s="56">
        <f>IF(AP322="7",BH322,0)</f>
        <v>0</v>
      </c>
      <c r="AE322" s="56">
        <f>IF(AP322="2",BG322,0)</f>
        <v>0</v>
      </c>
      <c r="AF322" s="56">
        <f>IF(AP322="2",BH322,0)</f>
        <v>0</v>
      </c>
      <c r="AG322" s="56">
        <f>IF(AP322="0",BI322,0)</f>
        <v>0</v>
      </c>
      <c r="AH322" s="30" t="s">
        <v>847</v>
      </c>
      <c r="AI322" s="56">
        <f>IF(AM322=0,I322,0)</f>
        <v>0</v>
      </c>
      <c r="AJ322" s="56">
        <f>IF(AM322=15,I322,0)</f>
        <v>0</v>
      </c>
      <c r="AK322" s="56">
        <f>IF(AM322=21,I322,0)</f>
        <v>0</v>
      </c>
      <c r="AM322" s="56">
        <v>21</v>
      </c>
      <c r="AN322" s="56">
        <f>H322*0</f>
        <v>0</v>
      </c>
      <c r="AO322" s="56">
        <f>H322*(1-0)</f>
        <v>0</v>
      </c>
      <c r="AP322" s="41" t="s">
        <v>596</v>
      </c>
      <c r="AU322" s="56">
        <f>AV322+AW322</f>
        <v>0</v>
      </c>
      <c r="AV322" s="56">
        <f>G322*AN322</f>
        <v>0</v>
      </c>
      <c r="AW322" s="56">
        <f>G322*AO322</f>
        <v>0</v>
      </c>
      <c r="AX322" s="41" t="s">
        <v>465</v>
      </c>
      <c r="AY322" s="41" t="s">
        <v>1194</v>
      </c>
      <c r="AZ322" s="30" t="s">
        <v>1000</v>
      </c>
      <c r="BB322" s="56">
        <f>AV322+AW322</f>
        <v>0</v>
      </c>
      <c r="BC322" s="56">
        <f>H322/(100-BD322)*100</f>
        <v>0</v>
      </c>
      <c r="BD322" s="56">
        <v>0</v>
      </c>
      <c r="BE322" s="56" t="e">
        <f>#REF!</f>
        <v>#REF!</v>
      </c>
      <c r="BG322" s="56">
        <f>G322*AN322</f>
        <v>0</v>
      </c>
      <c r="BH322" s="56">
        <f>G322*AO322</f>
        <v>0</v>
      </c>
      <c r="BI322" s="56">
        <f>G322*H322</f>
        <v>0</v>
      </c>
      <c r="BJ322" s="56"/>
      <c r="BK322" s="56"/>
      <c r="BV322" s="56">
        <v>21</v>
      </c>
    </row>
    <row r="323" spans="1:74" ht="15" customHeight="1" x14ac:dyDescent="0.25">
      <c r="A323" s="53"/>
      <c r="D323" s="52" t="s">
        <v>269</v>
      </c>
      <c r="E323" s="37" t="s">
        <v>769</v>
      </c>
      <c r="G323" s="21">
        <v>481.16400000000004</v>
      </c>
      <c r="J323" s="48"/>
    </row>
    <row r="324" spans="1:74" ht="13.5" customHeight="1" x14ac:dyDescent="0.25">
      <c r="A324" s="10" t="s">
        <v>608</v>
      </c>
      <c r="B324" s="9" t="s">
        <v>847</v>
      </c>
      <c r="C324" s="9" t="s">
        <v>544</v>
      </c>
      <c r="D324" s="76" t="s">
        <v>1052</v>
      </c>
      <c r="E324" s="77"/>
      <c r="F324" s="9" t="s">
        <v>517</v>
      </c>
      <c r="G324" s="56">
        <f>'Stavební rozpočet'!G324</f>
        <v>9142.116</v>
      </c>
      <c r="H324" s="56">
        <f>'Stavební rozpočet'!H324</f>
        <v>0</v>
      </c>
      <c r="I324" s="56">
        <f>G324*H324</f>
        <v>0</v>
      </c>
      <c r="J324" s="54" t="s">
        <v>501</v>
      </c>
      <c r="Y324" s="56">
        <f>IF(AP324="5",BI324,0)</f>
        <v>0</v>
      </c>
      <c r="AA324" s="56">
        <f>IF(AP324="1",BG324,0)</f>
        <v>0</v>
      </c>
      <c r="AB324" s="56">
        <f>IF(AP324="1",BH324,0)</f>
        <v>0</v>
      </c>
      <c r="AC324" s="56">
        <f>IF(AP324="7",BG324,0)</f>
        <v>0</v>
      </c>
      <c r="AD324" s="56">
        <f>IF(AP324="7",BH324,0)</f>
        <v>0</v>
      </c>
      <c r="AE324" s="56">
        <f>IF(AP324="2",BG324,0)</f>
        <v>0</v>
      </c>
      <c r="AF324" s="56">
        <f>IF(AP324="2",BH324,0)</f>
        <v>0</v>
      </c>
      <c r="AG324" s="56">
        <f>IF(AP324="0",BI324,0)</f>
        <v>0</v>
      </c>
      <c r="AH324" s="30" t="s">
        <v>847</v>
      </c>
      <c r="AI324" s="56">
        <f>IF(AM324=0,I324,0)</f>
        <v>0</v>
      </c>
      <c r="AJ324" s="56">
        <f>IF(AM324=15,I324,0)</f>
        <v>0</v>
      </c>
      <c r="AK324" s="56">
        <f>IF(AM324=21,I324,0)</f>
        <v>0</v>
      </c>
      <c r="AM324" s="56">
        <v>21</v>
      </c>
      <c r="AN324" s="56">
        <f>H324*0</f>
        <v>0</v>
      </c>
      <c r="AO324" s="56">
        <f>H324*(1-0)</f>
        <v>0</v>
      </c>
      <c r="AP324" s="41" t="s">
        <v>596</v>
      </c>
      <c r="AU324" s="56">
        <f>AV324+AW324</f>
        <v>0</v>
      </c>
      <c r="AV324" s="56">
        <f>G324*AN324</f>
        <v>0</v>
      </c>
      <c r="AW324" s="56">
        <f>G324*AO324</f>
        <v>0</v>
      </c>
      <c r="AX324" s="41" t="s">
        <v>465</v>
      </c>
      <c r="AY324" s="41" t="s">
        <v>1194</v>
      </c>
      <c r="AZ324" s="30" t="s">
        <v>1000</v>
      </c>
      <c r="BB324" s="56">
        <f>AV324+AW324</f>
        <v>0</v>
      </c>
      <c r="BC324" s="56">
        <f>H324/(100-BD324)*100</f>
        <v>0</v>
      </c>
      <c r="BD324" s="56">
        <v>0</v>
      </c>
      <c r="BE324" s="56" t="e">
        <f>#REF!</f>
        <v>#REF!</v>
      </c>
      <c r="BG324" s="56">
        <f>G324*AN324</f>
        <v>0</v>
      </c>
      <c r="BH324" s="56">
        <f>G324*AO324</f>
        <v>0</v>
      </c>
      <c r="BI324" s="56">
        <f>G324*H324</f>
        <v>0</v>
      </c>
      <c r="BJ324" s="56"/>
      <c r="BK324" s="56"/>
      <c r="BV324" s="56">
        <v>21</v>
      </c>
    </row>
    <row r="325" spans="1:74" ht="15" customHeight="1" x14ac:dyDescent="0.25">
      <c r="A325" s="53"/>
      <c r="D325" s="52" t="s">
        <v>965</v>
      </c>
      <c r="E325" s="37" t="s">
        <v>446</v>
      </c>
      <c r="G325" s="21">
        <v>9142.116</v>
      </c>
      <c r="J325" s="48"/>
    </row>
    <row r="326" spans="1:74" ht="13.5" customHeight="1" x14ac:dyDescent="0.25">
      <c r="A326" s="10" t="s">
        <v>132</v>
      </c>
      <c r="B326" s="9" t="s">
        <v>847</v>
      </c>
      <c r="C326" s="9" t="s">
        <v>212</v>
      </c>
      <c r="D326" s="76" t="s">
        <v>675</v>
      </c>
      <c r="E326" s="77"/>
      <c r="F326" s="9" t="s">
        <v>517</v>
      </c>
      <c r="G326" s="56">
        <f>'Stavební rozpočet'!G326</f>
        <v>425.95499999999998</v>
      </c>
      <c r="H326" s="56">
        <f>'Stavební rozpočet'!H326</f>
        <v>0</v>
      </c>
      <c r="I326" s="56">
        <f>G326*H326</f>
        <v>0</v>
      </c>
      <c r="J326" s="54" t="s">
        <v>501</v>
      </c>
      <c r="Y326" s="56">
        <f>IF(AP326="5",BI326,0)</f>
        <v>0</v>
      </c>
      <c r="AA326" s="56">
        <f>IF(AP326="1",BG326,0)</f>
        <v>0</v>
      </c>
      <c r="AB326" s="56">
        <f>IF(AP326="1",BH326,0)</f>
        <v>0</v>
      </c>
      <c r="AC326" s="56">
        <f>IF(AP326="7",BG326,0)</f>
        <v>0</v>
      </c>
      <c r="AD326" s="56">
        <f>IF(AP326="7",BH326,0)</f>
        <v>0</v>
      </c>
      <c r="AE326" s="56">
        <f>IF(AP326="2",BG326,0)</f>
        <v>0</v>
      </c>
      <c r="AF326" s="56">
        <f>IF(AP326="2",BH326,0)</f>
        <v>0</v>
      </c>
      <c r="AG326" s="56">
        <f>IF(AP326="0",BI326,0)</f>
        <v>0</v>
      </c>
      <c r="AH326" s="30" t="s">
        <v>847</v>
      </c>
      <c r="AI326" s="56">
        <f>IF(AM326=0,I326,0)</f>
        <v>0</v>
      </c>
      <c r="AJ326" s="56">
        <f>IF(AM326=15,I326,0)</f>
        <v>0</v>
      </c>
      <c r="AK326" s="56">
        <f>IF(AM326=21,I326,0)</f>
        <v>0</v>
      </c>
      <c r="AM326" s="56">
        <v>21</v>
      </c>
      <c r="AN326" s="56">
        <f>H326*0</f>
        <v>0</v>
      </c>
      <c r="AO326" s="56">
        <f>H326*(1-0)</f>
        <v>0</v>
      </c>
      <c r="AP326" s="41" t="s">
        <v>596</v>
      </c>
      <c r="AU326" s="56">
        <f>AV326+AW326</f>
        <v>0</v>
      </c>
      <c r="AV326" s="56">
        <f>G326*AN326</f>
        <v>0</v>
      </c>
      <c r="AW326" s="56">
        <f>G326*AO326</f>
        <v>0</v>
      </c>
      <c r="AX326" s="41" t="s">
        <v>465</v>
      </c>
      <c r="AY326" s="41" t="s">
        <v>1194</v>
      </c>
      <c r="AZ326" s="30" t="s">
        <v>1000</v>
      </c>
      <c r="BB326" s="56">
        <f>AV326+AW326</f>
        <v>0</v>
      </c>
      <c r="BC326" s="56">
        <f>H326/(100-BD326)*100</f>
        <v>0</v>
      </c>
      <c r="BD326" s="56">
        <v>0</v>
      </c>
      <c r="BE326" s="56" t="e">
        <f>#REF!</f>
        <v>#REF!</v>
      </c>
      <c r="BG326" s="56">
        <f>G326*AN326</f>
        <v>0</v>
      </c>
      <c r="BH326" s="56">
        <f>G326*AO326</f>
        <v>0</v>
      </c>
      <c r="BI326" s="56">
        <f>G326*H326</f>
        <v>0</v>
      </c>
      <c r="BJ326" s="56"/>
      <c r="BK326" s="56"/>
      <c r="BV326" s="56">
        <v>21</v>
      </c>
    </row>
    <row r="327" spans="1:74" ht="13.5" customHeight="1" x14ac:dyDescent="0.25">
      <c r="A327" s="10" t="s">
        <v>590</v>
      </c>
      <c r="B327" s="9" t="s">
        <v>847</v>
      </c>
      <c r="C327" s="9" t="s">
        <v>363</v>
      </c>
      <c r="D327" s="76" t="s">
        <v>652</v>
      </c>
      <c r="E327" s="77"/>
      <c r="F327" s="9" t="s">
        <v>517</v>
      </c>
      <c r="G327" s="56">
        <f>'Stavební rozpočet'!G327</f>
        <v>196.75299999999999</v>
      </c>
      <c r="H327" s="56">
        <f>'Stavební rozpočet'!H327</f>
        <v>0</v>
      </c>
      <c r="I327" s="56">
        <f>G327*H327</f>
        <v>0</v>
      </c>
      <c r="J327" s="54" t="s">
        <v>501</v>
      </c>
      <c r="Y327" s="56">
        <f>IF(AP327="5",BI327,0)</f>
        <v>0</v>
      </c>
      <c r="AA327" s="56">
        <f>IF(AP327="1",BG327,0)</f>
        <v>0</v>
      </c>
      <c r="AB327" s="56">
        <f>IF(AP327="1",BH327,0)</f>
        <v>0</v>
      </c>
      <c r="AC327" s="56">
        <f>IF(AP327="7",BG327,0)</f>
        <v>0</v>
      </c>
      <c r="AD327" s="56">
        <f>IF(AP327="7",BH327,0)</f>
        <v>0</v>
      </c>
      <c r="AE327" s="56">
        <f>IF(AP327="2",BG327,0)</f>
        <v>0</v>
      </c>
      <c r="AF327" s="56">
        <f>IF(AP327="2",BH327,0)</f>
        <v>0</v>
      </c>
      <c r="AG327" s="56">
        <f>IF(AP327="0",BI327,0)</f>
        <v>0</v>
      </c>
      <c r="AH327" s="30" t="s">
        <v>847</v>
      </c>
      <c r="AI327" s="56">
        <f>IF(AM327=0,I327,0)</f>
        <v>0</v>
      </c>
      <c r="AJ327" s="56">
        <f>IF(AM327=15,I327,0)</f>
        <v>0</v>
      </c>
      <c r="AK327" s="56">
        <f>IF(AM327=21,I327,0)</f>
        <v>0</v>
      </c>
      <c r="AM327" s="56">
        <v>21</v>
      </c>
      <c r="AN327" s="56">
        <f>H327*0</f>
        <v>0</v>
      </c>
      <c r="AO327" s="56">
        <f>H327*(1-0)</f>
        <v>0</v>
      </c>
      <c r="AP327" s="41" t="s">
        <v>596</v>
      </c>
      <c r="AU327" s="56">
        <f>AV327+AW327</f>
        <v>0</v>
      </c>
      <c r="AV327" s="56">
        <f>G327*AN327</f>
        <v>0</v>
      </c>
      <c r="AW327" s="56">
        <f>G327*AO327</f>
        <v>0</v>
      </c>
      <c r="AX327" s="41" t="s">
        <v>465</v>
      </c>
      <c r="AY327" s="41" t="s">
        <v>1194</v>
      </c>
      <c r="AZ327" s="30" t="s">
        <v>1000</v>
      </c>
      <c r="BB327" s="56">
        <f>AV327+AW327</f>
        <v>0</v>
      </c>
      <c r="BC327" s="56">
        <f>H327/(100-BD327)*100</f>
        <v>0</v>
      </c>
      <c r="BD327" s="56">
        <v>0</v>
      </c>
      <c r="BE327" s="56" t="e">
        <f>#REF!</f>
        <v>#REF!</v>
      </c>
      <c r="BG327" s="56">
        <f>G327*AN327</f>
        <v>0</v>
      </c>
      <c r="BH327" s="56">
        <f>G327*AO327</f>
        <v>0</v>
      </c>
      <c r="BI327" s="56">
        <f>G327*H327</f>
        <v>0</v>
      </c>
      <c r="BJ327" s="56"/>
      <c r="BK327" s="56"/>
      <c r="BV327" s="56">
        <v>21</v>
      </c>
    </row>
    <row r="328" spans="1:74" ht="15" customHeight="1" x14ac:dyDescent="0.25">
      <c r="A328" s="53"/>
      <c r="D328" s="52" t="s">
        <v>687</v>
      </c>
      <c r="E328" s="37" t="s">
        <v>769</v>
      </c>
      <c r="G328" s="21">
        <v>196.75300000000001</v>
      </c>
      <c r="J328" s="48"/>
    </row>
    <row r="329" spans="1:74" ht="13.5" customHeight="1" x14ac:dyDescent="0.25">
      <c r="A329" s="10" t="s">
        <v>83</v>
      </c>
      <c r="B329" s="9" t="s">
        <v>847</v>
      </c>
      <c r="C329" s="9" t="s">
        <v>1115</v>
      </c>
      <c r="D329" s="76" t="s">
        <v>945</v>
      </c>
      <c r="E329" s="77"/>
      <c r="F329" s="9" t="s">
        <v>517</v>
      </c>
      <c r="G329" s="56">
        <f>'Stavební rozpočet'!G329</f>
        <v>283.86099999999999</v>
      </c>
      <c r="H329" s="56">
        <f>'Stavební rozpočet'!H329</f>
        <v>0</v>
      </c>
      <c r="I329" s="56">
        <f>G329*H329</f>
        <v>0</v>
      </c>
      <c r="J329" s="54" t="s">
        <v>501</v>
      </c>
      <c r="Y329" s="56">
        <f>IF(AP329="5",BI329,0)</f>
        <v>0</v>
      </c>
      <c r="AA329" s="56">
        <f>IF(AP329="1",BG329,0)</f>
        <v>0</v>
      </c>
      <c r="AB329" s="56">
        <f>IF(AP329="1",BH329,0)</f>
        <v>0</v>
      </c>
      <c r="AC329" s="56">
        <f>IF(AP329="7",BG329,0)</f>
        <v>0</v>
      </c>
      <c r="AD329" s="56">
        <f>IF(AP329="7",BH329,0)</f>
        <v>0</v>
      </c>
      <c r="AE329" s="56">
        <f>IF(AP329="2",BG329,0)</f>
        <v>0</v>
      </c>
      <c r="AF329" s="56">
        <f>IF(AP329="2",BH329,0)</f>
        <v>0</v>
      </c>
      <c r="AG329" s="56">
        <f>IF(AP329="0",BI329,0)</f>
        <v>0</v>
      </c>
      <c r="AH329" s="30" t="s">
        <v>847</v>
      </c>
      <c r="AI329" s="56">
        <f>IF(AM329=0,I329,0)</f>
        <v>0</v>
      </c>
      <c r="AJ329" s="56">
        <f>IF(AM329=15,I329,0)</f>
        <v>0</v>
      </c>
      <c r="AK329" s="56">
        <f>IF(AM329=21,I329,0)</f>
        <v>0</v>
      </c>
      <c r="AM329" s="56">
        <v>21</v>
      </c>
      <c r="AN329" s="56">
        <f>H329*0</f>
        <v>0</v>
      </c>
      <c r="AO329" s="56">
        <f>H329*(1-0)</f>
        <v>0</v>
      </c>
      <c r="AP329" s="41" t="s">
        <v>596</v>
      </c>
      <c r="AU329" s="56">
        <f>AV329+AW329</f>
        <v>0</v>
      </c>
      <c r="AV329" s="56">
        <f>G329*AN329</f>
        <v>0</v>
      </c>
      <c r="AW329" s="56">
        <f>G329*AO329</f>
        <v>0</v>
      </c>
      <c r="AX329" s="41" t="s">
        <v>465</v>
      </c>
      <c r="AY329" s="41" t="s">
        <v>1194</v>
      </c>
      <c r="AZ329" s="30" t="s">
        <v>1000</v>
      </c>
      <c r="BB329" s="56">
        <f>AV329+AW329</f>
        <v>0</v>
      </c>
      <c r="BC329" s="56">
        <f>H329/(100-BD329)*100</f>
        <v>0</v>
      </c>
      <c r="BD329" s="56">
        <v>0</v>
      </c>
      <c r="BE329" s="56" t="e">
        <f>#REF!</f>
        <v>#REF!</v>
      </c>
      <c r="BG329" s="56">
        <f>G329*AN329</f>
        <v>0</v>
      </c>
      <c r="BH329" s="56">
        <f>G329*AO329</f>
        <v>0</v>
      </c>
      <c r="BI329" s="56">
        <f>G329*H329</f>
        <v>0</v>
      </c>
      <c r="BJ329" s="56"/>
      <c r="BK329" s="56"/>
      <c r="BV329" s="56">
        <v>21</v>
      </c>
    </row>
    <row r="330" spans="1:74" ht="13.5" customHeight="1" x14ac:dyDescent="0.25">
      <c r="A330" s="45" t="s">
        <v>1195</v>
      </c>
      <c r="B330" s="22" t="s">
        <v>847</v>
      </c>
      <c r="C330" s="22" t="s">
        <v>226</v>
      </c>
      <c r="D330" s="134" t="s">
        <v>53</v>
      </c>
      <c r="E330" s="106"/>
      <c r="F330" s="22" t="s">
        <v>517</v>
      </c>
      <c r="G330" s="12">
        <f>'Stavební rozpočet'!G330</f>
        <v>0.55000000000000004</v>
      </c>
      <c r="H330" s="12">
        <f>'Stavební rozpočet'!H330</f>
        <v>0</v>
      </c>
      <c r="I330" s="12">
        <f>G330*H330</f>
        <v>0</v>
      </c>
      <c r="J330" s="33" t="s">
        <v>501</v>
      </c>
      <c r="Y330" s="56">
        <f>IF(AP330="5",BI330,0)</f>
        <v>0</v>
      </c>
      <c r="AA330" s="56">
        <f>IF(AP330="1",BG330,0)</f>
        <v>0</v>
      </c>
      <c r="AB330" s="56">
        <f>IF(AP330="1",BH330,0)</f>
        <v>0</v>
      </c>
      <c r="AC330" s="56">
        <f>IF(AP330="7",BG330,0)</f>
        <v>0</v>
      </c>
      <c r="AD330" s="56">
        <f>IF(AP330="7",BH330,0)</f>
        <v>0</v>
      </c>
      <c r="AE330" s="56">
        <f>IF(AP330="2",BG330,0)</f>
        <v>0</v>
      </c>
      <c r="AF330" s="56">
        <f>IF(AP330="2",BH330,0)</f>
        <v>0</v>
      </c>
      <c r="AG330" s="56">
        <f>IF(AP330="0",BI330,0)</f>
        <v>0</v>
      </c>
      <c r="AH330" s="30" t="s">
        <v>847</v>
      </c>
      <c r="AI330" s="56">
        <f>IF(AM330=0,I330,0)</f>
        <v>0</v>
      </c>
      <c r="AJ330" s="56">
        <f>IF(AM330=15,I330,0)</f>
        <v>0</v>
      </c>
      <c r="AK330" s="56">
        <f>IF(AM330=21,I330,0)</f>
        <v>0</v>
      </c>
      <c r="AM330" s="56">
        <v>21</v>
      </c>
      <c r="AN330" s="56">
        <f>H330*0</f>
        <v>0</v>
      </c>
      <c r="AO330" s="56">
        <f>H330*(1-0)</f>
        <v>0</v>
      </c>
      <c r="AP330" s="41" t="s">
        <v>596</v>
      </c>
      <c r="AU330" s="56">
        <f>AV330+AW330</f>
        <v>0</v>
      </c>
      <c r="AV330" s="56">
        <f>G330*AN330</f>
        <v>0</v>
      </c>
      <c r="AW330" s="56">
        <f>G330*AO330</f>
        <v>0</v>
      </c>
      <c r="AX330" s="41" t="s">
        <v>465</v>
      </c>
      <c r="AY330" s="41" t="s">
        <v>1194</v>
      </c>
      <c r="AZ330" s="30" t="s">
        <v>1000</v>
      </c>
      <c r="BB330" s="56">
        <f>AV330+AW330</f>
        <v>0</v>
      </c>
      <c r="BC330" s="56">
        <f>H330/(100-BD330)*100</f>
        <v>0</v>
      </c>
      <c r="BD330" s="56">
        <v>0</v>
      </c>
      <c r="BE330" s="56" t="e">
        <f>#REF!</f>
        <v>#REF!</v>
      </c>
      <c r="BG330" s="56">
        <f>G330*AN330</f>
        <v>0</v>
      </c>
      <c r="BH330" s="56">
        <f>G330*AO330</f>
        <v>0</v>
      </c>
      <c r="BI330" s="56">
        <f>G330*H330</f>
        <v>0</v>
      </c>
      <c r="BJ330" s="56"/>
      <c r="BK330" s="56"/>
      <c r="BV330" s="56">
        <v>21</v>
      </c>
    </row>
    <row r="331" spans="1:74" ht="15" customHeight="1" x14ac:dyDescent="0.25">
      <c r="I331" s="34">
        <f>ROUND(I13+I34+I39+I53+I60+I65+I87+I90+I98+I120+I127+I135+I164+I227+I279+I289+I292+I299+I316+I318+I321,1)</f>
        <v>0</v>
      </c>
    </row>
    <row r="332" spans="1:74" ht="15" customHeight="1" x14ac:dyDescent="0.25">
      <c r="A332" s="46" t="s">
        <v>101</v>
      </c>
    </row>
    <row r="333" spans="1:74" ht="12.75" customHeight="1" x14ac:dyDescent="0.25">
      <c r="A333" s="76" t="s">
        <v>769</v>
      </c>
      <c r="B333" s="77"/>
      <c r="C333" s="77"/>
      <c r="D333" s="77"/>
      <c r="E333" s="77"/>
      <c r="F333" s="77"/>
      <c r="G333" s="77"/>
      <c r="H333" s="77"/>
      <c r="I333" s="77"/>
      <c r="J333" s="77"/>
    </row>
  </sheetData>
  <mergeCells count="215">
    <mergeCell ref="A1:J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H8:H9"/>
    <mergeCell ref="J2:J3"/>
    <mergeCell ref="J4:J5"/>
    <mergeCell ref="J6:J7"/>
    <mergeCell ref="J8:J9"/>
    <mergeCell ref="D10:E10"/>
    <mergeCell ref="I4:I5"/>
    <mergeCell ref="I6:I7"/>
    <mergeCell ref="I8:I9"/>
    <mergeCell ref="D2:E3"/>
    <mergeCell ref="D4:E5"/>
    <mergeCell ref="D6:E7"/>
    <mergeCell ref="D8:E9"/>
    <mergeCell ref="H2:H3"/>
    <mergeCell ref="H4:H5"/>
    <mergeCell ref="H6:H7"/>
    <mergeCell ref="D17:E17"/>
    <mergeCell ref="D22:E22"/>
    <mergeCell ref="D24:E24"/>
    <mergeCell ref="D26:E26"/>
    <mergeCell ref="D27:E27"/>
    <mergeCell ref="D28:J28"/>
    <mergeCell ref="D11:E11"/>
    <mergeCell ref="D12:E12"/>
    <mergeCell ref="D13:E13"/>
    <mergeCell ref="D14:E14"/>
    <mergeCell ref="D15:E15"/>
    <mergeCell ref="D16:E16"/>
    <mergeCell ref="D39:E39"/>
    <mergeCell ref="D40:E40"/>
    <mergeCell ref="D46:E46"/>
    <mergeCell ref="D48:E48"/>
    <mergeCell ref="D51:E51"/>
    <mergeCell ref="D53:E53"/>
    <mergeCell ref="D30:E30"/>
    <mergeCell ref="D32:E32"/>
    <mergeCell ref="D33:J33"/>
    <mergeCell ref="D34:E34"/>
    <mergeCell ref="D35:E35"/>
    <mergeCell ref="D37:E37"/>
    <mergeCell ref="D66:E66"/>
    <mergeCell ref="D67:E67"/>
    <mergeCell ref="D68:E68"/>
    <mergeCell ref="D75:E75"/>
    <mergeCell ref="D77:E77"/>
    <mergeCell ref="D78:J78"/>
    <mergeCell ref="D54:E54"/>
    <mergeCell ref="D59:E59"/>
    <mergeCell ref="D60:E60"/>
    <mergeCell ref="D61:E61"/>
    <mergeCell ref="D63:E63"/>
    <mergeCell ref="D65:E65"/>
    <mergeCell ref="D99:E99"/>
    <mergeCell ref="D100:J100"/>
    <mergeCell ref="D105:E105"/>
    <mergeCell ref="D106:J106"/>
    <mergeCell ref="D108:E108"/>
    <mergeCell ref="D109:J109"/>
    <mergeCell ref="D87:E87"/>
    <mergeCell ref="D88:E88"/>
    <mergeCell ref="D89:E89"/>
    <mergeCell ref="D90:E90"/>
    <mergeCell ref="D91:E91"/>
    <mergeCell ref="D98:E98"/>
    <mergeCell ref="D127:E127"/>
    <mergeCell ref="D128:E128"/>
    <mergeCell ref="D129:E129"/>
    <mergeCell ref="D131:E131"/>
    <mergeCell ref="D132:E132"/>
    <mergeCell ref="D134:E134"/>
    <mergeCell ref="D113:E113"/>
    <mergeCell ref="D116:E116"/>
    <mergeCell ref="D117:J117"/>
    <mergeCell ref="D120:E120"/>
    <mergeCell ref="D121:E121"/>
    <mergeCell ref="D124:E124"/>
    <mergeCell ref="D144:E144"/>
    <mergeCell ref="D146:E146"/>
    <mergeCell ref="D147:E147"/>
    <mergeCell ref="D149:E149"/>
    <mergeCell ref="D151:E151"/>
    <mergeCell ref="D152:J152"/>
    <mergeCell ref="D135:E135"/>
    <mergeCell ref="D136:E136"/>
    <mergeCell ref="D137:E137"/>
    <mergeCell ref="D139:E139"/>
    <mergeCell ref="D141:E141"/>
    <mergeCell ref="D143:E143"/>
    <mergeCell ref="D164:E164"/>
    <mergeCell ref="D165:E165"/>
    <mergeCell ref="D166:E166"/>
    <mergeCell ref="D168:E168"/>
    <mergeCell ref="D170:E170"/>
    <mergeCell ref="D171:E171"/>
    <mergeCell ref="D153:E153"/>
    <mergeCell ref="D155:E155"/>
    <mergeCell ref="D156:E156"/>
    <mergeCell ref="D158:E158"/>
    <mergeCell ref="D160:E160"/>
    <mergeCell ref="D162:E162"/>
    <mergeCell ref="D182:E182"/>
    <mergeCell ref="D184:E184"/>
    <mergeCell ref="D185:E185"/>
    <mergeCell ref="D187:E187"/>
    <mergeCell ref="D188:E188"/>
    <mergeCell ref="D190:E190"/>
    <mergeCell ref="D173:E173"/>
    <mergeCell ref="D175:E175"/>
    <mergeCell ref="D176:J176"/>
    <mergeCell ref="D178:E178"/>
    <mergeCell ref="D179:E179"/>
    <mergeCell ref="D181:E181"/>
    <mergeCell ref="D200:E200"/>
    <mergeCell ref="D202:E202"/>
    <mergeCell ref="D204:E204"/>
    <mergeCell ref="D205:E205"/>
    <mergeCell ref="D207:E207"/>
    <mergeCell ref="D209:E209"/>
    <mergeCell ref="D191:E191"/>
    <mergeCell ref="D193:E193"/>
    <mergeCell ref="D194:E194"/>
    <mergeCell ref="D196:E196"/>
    <mergeCell ref="D197:E197"/>
    <mergeCell ref="D199:E199"/>
    <mergeCell ref="D221:E221"/>
    <mergeCell ref="D223:E223"/>
    <mergeCell ref="D225:E225"/>
    <mergeCell ref="D227:E227"/>
    <mergeCell ref="D228:E228"/>
    <mergeCell ref="D229:E229"/>
    <mergeCell ref="D210:E210"/>
    <mergeCell ref="D212:E212"/>
    <mergeCell ref="D214:E214"/>
    <mergeCell ref="D216:E216"/>
    <mergeCell ref="D217:J217"/>
    <mergeCell ref="D219:E219"/>
    <mergeCell ref="D240:E240"/>
    <mergeCell ref="D242:E242"/>
    <mergeCell ref="D243:E243"/>
    <mergeCell ref="D245:E245"/>
    <mergeCell ref="D246:E246"/>
    <mergeCell ref="D248:E248"/>
    <mergeCell ref="D231:E231"/>
    <mergeCell ref="D232:E232"/>
    <mergeCell ref="D234:E234"/>
    <mergeCell ref="D236:E236"/>
    <mergeCell ref="D237:E237"/>
    <mergeCell ref="D239:E239"/>
    <mergeCell ref="D258:E258"/>
    <mergeCell ref="D260:E260"/>
    <mergeCell ref="D261:E261"/>
    <mergeCell ref="D263:E263"/>
    <mergeCell ref="D265:E265"/>
    <mergeCell ref="D266:E266"/>
    <mergeCell ref="D249:J249"/>
    <mergeCell ref="D251:E251"/>
    <mergeCell ref="D253:E253"/>
    <mergeCell ref="D254:E254"/>
    <mergeCell ref="D255:E255"/>
    <mergeCell ref="D256:E256"/>
    <mergeCell ref="D279:E279"/>
    <mergeCell ref="D280:E280"/>
    <mergeCell ref="D282:E282"/>
    <mergeCell ref="D284:E284"/>
    <mergeCell ref="D286:E286"/>
    <mergeCell ref="D289:E289"/>
    <mergeCell ref="D268:E268"/>
    <mergeCell ref="D270:E270"/>
    <mergeCell ref="D272:E272"/>
    <mergeCell ref="D274:E274"/>
    <mergeCell ref="D276:E276"/>
    <mergeCell ref="D277:J277"/>
    <mergeCell ref="D298:E298"/>
    <mergeCell ref="D299:E299"/>
    <mergeCell ref="D300:E300"/>
    <mergeCell ref="D303:E303"/>
    <mergeCell ref="D304:E304"/>
    <mergeCell ref="D305:E305"/>
    <mergeCell ref="D290:E290"/>
    <mergeCell ref="D292:E292"/>
    <mergeCell ref="D293:E293"/>
    <mergeCell ref="D294:E294"/>
    <mergeCell ref="D295:E295"/>
    <mergeCell ref="D297:E297"/>
    <mergeCell ref="D312:J312"/>
    <mergeCell ref="D313:E313"/>
    <mergeCell ref="D314:J314"/>
    <mergeCell ref="D316:E316"/>
    <mergeCell ref="D317:E317"/>
    <mergeCell ref="D318:E318"/>
    <mergeCell ref="D306:J306"/>
    <mergeCell ref="D307:E307"/>
    <mergeCell ref="D308:J308"/>
    <mergeCell ref="D309:E309"/>
    <mergeCell ref="D310:J310"/>
    <mergeCell ref="D311:E311"/>
    <mergeCell ref="D329:E329"/>
    <mergeCell ref="D330:E330"/>
    <mergeCell ref="A333:J333"/>
    <mergeCell ref="D319:E319"/>
    <mergeCell ref="D321:E321"/>
    <mergeCell ref="D322:E322"/>
    <mergeCell ref="D324:E324"/>
    <mergeCell ref="D326:E326"/>
    <mergeCell ref="D327:E327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I35"/>
  <sheetViews>
    <sheetView showOutlineSymbols="0" workbookViewId="0">
      <selection activeCell="K13" sqref="K13"/>
    </sheetView>
  </sheetViews>
  <sheetFormatPr defaultColWidth="14.1640625" defaultRowHeight="15" customHeight="1" x14ac:dyDescent="0.25"/>
  <cols>
    <col min="1" max="1" width="10.6640625"/>
    <col min="2" max="2" width="15"/>
    <col min="3" max="3" width="31.6640625"/>
    <col min="4" max="4" width="11.6640625"/>
    <col min="5" max="5" width="16.33203125"/>
    <col min="6" max="6" width="31.6640625"/>
    <col min="7" max="7" width="10.6640625"/>
    <col min="8" max="8" width="15"/>
    <col min="9" max="9" width="31.6640625"/>
  </cols>
  <sheetData>
    <row r="1" spans="1:9" ht="54.75" customHeight="1" x14ac:dyDescent="0.25">
      <c r="A1" s="110" t="s">
        <v>388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/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/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/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/>
      <c r="G8" s="77"/>
      <c r="H8" s="77" t="s">
        <v>1122</v>
      </c>
      <c r="I8" s="100">
        <v>97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/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2" spans="1:9" ht="22.5" customHeight="1" x14ac:dyDescent="0.25">
      <c r="A12" s="103" t="s">
        <v>178</v>
      </c>
      <c r="B12" s="103"/>
      <c r="C12" s="103"/>
      <c r="D12" s="103"/>
      <c r="E12" s="103"/>
      <c r="F12" s="103"/>
      <c r="G12" s="103"/>
      <c r="H12" s="103"/>
      <c r="I12" s="103"/>
    </row>
    <row r="13" spans="1:9" ht="26.25" customHeight="1" x14ac:dyDescent="0.25">
      <c r="A13" s="2" t="s">
        <v>993</v>
      </c>
      <c r="B13" s="93" t="s">
        <v>137</v>
      </c>
      <c r="C13" s="94"/>
      <c r="D13" s="51" t="s">
        <v>192</v>
      </c>
      <c r="E13" s="93" t="s">
        <v>406</v>
      </c>
      <c r="F13" s="94"/>
      <c r="G13" s="51" t="s">
        <v>710</v>
      </c>
      <c r="H13" s="93" t="s">
        <v>195</v>
      </c>
      <c r="I13" s="94"/>
    </row>
    <row r="14" spans="1:9" ht="15" customHeight="1" x14ac:dyDescent="0.25">
      <c r="A14" s="61" t="s">
        <v>417</v>
      </c>
      <c r="B14" s="3" t="s">
        <v>280</v>
      </c>
      <c r="C14" s="60">
        <f>SUM('Stavební rozpočet (SO 02)'!AA12:AA720)</f>
        <v>0</v>
      </c>
      <c r="D14" s="85" t="s">
        <v>791</v>
      </c>
      <c r="E14" s="86"/>
      <c r="F14" s="60">
        <f>'VORN objektu (SO 02)'!I15</f>
        <v>0</v>
      </c>
      <c r="G14" s="85" t="s">
        <v>118</v>
      </c>
      <c r="H14" s="86"/>
      <c r="I14" s="36">
        <f>'VORN objektu (SO 02)'!I21</f>
        <v>0</v>
      </c>
    </row>
    <row r="15" spans="1:9" ht="15" customHeight="1" x14ac:dyDescent="0.25">
      <c r="A15" s="59" t="s">
        <v>769</v>
      </c>
      <c r="B15" s="3" t="s">
        <v>201</v>
      </c>
      <c r="C15" s="60">
        <f>SUM('Stavební rozpočet (SO 02)'!AB12:AB720)</f>
        <v>0</v>
      </c>
      <c r="D15" s="85" t="s">
        <v>113</v>
      </c>
      <c r="E15" s="86"/>
      <c r="F15" s="60">
        <f>'VORN objektu (SO 02)'!I16</f>
        <v>0</v>
      </c>
      <c r="G15" s="85" t="s">
        <v>878</v>
      </c>
      <c r="H15" s="86"/>
      <c r="I15" s="36">
        <f>'VORN objektu (SO 02)'!I22</f>
        <v>0</v>
      </c>
    </row>
    <row r="16" spans="1:9" ht="15" customHeight="1" x14ac:dyDescent="0.25">
      <c r="A16" s="61" t="s">
        <v>110</v>
      </c>
      <c r="B16" s="3" t="s">
        <v>280</v>
      </c>
      <c r="C16" s="60">
        <f>SUM('Stavební rozpočet (SO 02)'!AC12:AC720)</f>
        <v>0</v>
      </c>
      <c r="D16" s="85" t="s">
        <v>819</v>
      </c>
      <c r="E16" s="86"/>
      <c r="F16" s="60">
        <f>'VORN objektu (SO 02)'!I17</f>
        <v>0</v>
      </c>
      <c r="G16" s="85" t="s">
        <v>1076</v>
      </c>
      <c r="H16" s="86"/>
      <c r="I16" s="36">
        <f>'VORN objektu (SO 02)'!I23</f>
        <v>0</v>
      </c>
    </row>
    <row r="17" spans="1:9" ht="15" customHeight="1" x14ac:dyDescent="0.25">
      <c r="A17" s="59" t="s">
        <v>769</v>
      </c>
      <c r="B17" s="3" t="s">
        <v>201</v>
      </c>
      <c r="C17" s="60">
        <f>SUM('Stavební rozpočet (SO 02)'!AD12:AD720)</f>
        <v>0</v>
      </c>
      <c r="D17" s="85" t="s">
        <v>769</v>
      </c>
      <c r="E17" s="86"/>
      <c r="F17" s="36" t="s">
        <v>769</v>
      </c>
      <c r="G17" s="85" t="s">
        <v>595</v>
      </c>
      <c r="H17" s="86"/>
      <c r="I17" s="36">
        <f>'VORN objektu (SO 02)'!I24</f>
        <v>0</v>
      </c>
    </row>
    <row r="18" spans="1:9" ht="15" customHeight="1" x14ac:dyDescent="0.25">
      <c r="A18" s="61" t="s">
        <v>340</v>
      </c>
      <c r="B18" s="3" t="s">
        <v>280</v>
      </c>
      <c r="C18" s="60">
        <f>SUM('Stavební rozpočet (SO 02)'!AE12:AE720)</f>
        <v>0</v>
      </c>
      <c r="D18" s="85" t="s">
        <v>769</v>
      </c>
      <c r="E18" s="86"/>
      <c r="F18" s="36" t="s">
        <v>769</v>
      </c>
      <c r="G18" s="85" t="s">
        <v>722</v>
      </c>
      <c r="H18" s="86"/>
      <c r="I18" s="36">
        <f>'VORN objektu (SO 02)'!I25</f>
        <v>0</v>
      </c>
    </row>
    <row r="19" spans="1:9" ht="15" customHeight="1" x14ac:dyDescent="0.25">
      <c r="A19" s="59" t="s">
        <v>769</v>
      </c>
      <c r="B19" s="3" t="s">
        <v>201</v>
      </c>
      <c r="C19" s="60">
        <f>SUM('Stavební rozpočet (SO 02)'!AF12:AF720)</f>
        <v>0</v>
      </c>
      <c r="D19" s="85" t="s">
        <v>769</v>
      </c>
      <c r="E19" s="86"/>
      <c r="F19" s="36" t="s">
        <v>769</v>
      </c>
      <c r="G19" s="85" t="s">
        <v>1105</v>
      </c>
      <c r="H19" s="86"/>
      <c r="I19" s="36">
        <f>'VORN objektu (SO 02)'!I26</f>
        <v>0</v>
      </c>
    </row>
    <row r="20" spans="1:9" ht="15" customHeight="1" x14ac:dyDescent="0.25">
      <c r="A20" s="92" t="s">
        <v>87</v>
      </c>
      <c r="B20" s="91"/>
      <c r="C20" s="60">
        <f>SUM('Stavební rozpočet (SO 02)'!AG12:AG720)</f>
        <v>0</v>
      </c>
      <c r="D20" s="85" t="s">
        <v>769</v>
      </c>
      <c r="E20" s="86"/>
      <c r="F20" s="36" t="s">
        <v>769</v>
      </c>
      <c r="G20" s="85" t="s">
        <v>769</v>
      </c>
      <c r="H20" s="86"/>
      <c r="I20" s="36" t="s">
        <v>769</v>
      </c>
    </row>
    <row r="21" spans="1:9" ht="15" customHeight="1" x14ac:dyDescent="0.25">
      <c r="A21" s="95" t="s">
        <v>1104</v>
      </c>
      <c r="B21" s="96"/>
      <c r="C21" s="38">
        <f>SUM('Stavební rozpočet (SO 02)'!Y12:Y720)</f>
        <v>0</v>
      </c>
      <c r="D21" s="72" t="s">
        <v>769</v>
      </c>
      <c r="E21" s="87"/>
      <c r="F21" s="29" t="s">
        <v>769</v>
      </c>
      <c r="G21" s="72" t="s">
        <v>769</v>
      </c>
      <c r="H21" s="87"/>
      <c r="I21" s="29" t="s">
        <v>769</v>
      </c>
    </row>
    <row r="22" spans="1:9" ht="16.5" customHeight="1" x14ac:dyDescent="0.25">
      <c r="A22" s="97" t="s">
        <v>208</v>
      </c>
      <c r="B22" s="89"/>
      <c r="C22" s="42">
        <f>ROUND(SUM(C14:C21),1)</f>
        <v>0</v>
      </c>
      <c r="D22" s="88" t="s">
        <v>580</v>
      </c>
      <c r="E22" s="89"/>
      <c r="F22" s="42">
        <f>SUM(F14:F21)</f>
        <v>0</v>
      </c>
      <c r="G22" s="88" t="s">
        <v>1124</v>
      </c>
      <c r="H22" s="89"/>
      <c r="I22" s="42">
        <f>SUM(I14:I21)</f>
        <v>0</v>
      </c>
    </row>
    <row r="23" spans="1:9" ht="15" customHeight="1" x14ac:dyDescent="0.25">
      <c r="G23" s="92" t="s">
        <v>672</v>
      </c>
      <c r="H23" s="91"/>
      <c r="I23" s="60">
        <f>'VORN objektu (SO 02)'!I45</f>
        <v>0</v>
      </c>
    </row>
    <row r="25" spans="1:9" ht="15" customHeight="1" x14ac:dyDescent="0.25">
      <c r="A25" s="81" t="s">
        <v>457</v>
      </c>
      <c r="B25" s="82"/>
      <c r="C25" s="62">
        <f>ROUND(SUM('Stavební rozpočet (SO 02)'!AI12:AI720),1)</f>
        <v>0</v>
      </c>
    </row>
    <row r="26" spans="1:9" ht="15" customHeight="1" x14ac:dyDescent="0.25">
      <c r="A26" s="83" t="s">
        <v>30</v>
      </c>
      <c r="B26" s="84"/>
      <c r="C26" s="6">
        <f>ROUND(SUM('Stavební rozpočet (SO 02)'!AJ12:AJ720),1)</f>
        <v>0</v>
      </c>
      <c r="D26" s="82" t="s">
        <v>239</v>
      </c>
      <c r="E26" s="82"/>
      <c r="F26" s="62">
        <f>ROUND(C26*(15/100),2)</f>
        <v>0</v>
      </c>
      <c r="G26" s="82" t="s">
        <v>156</v>
      </c>
      <c r="H26" s="82"/>
      <c r="I26" s="62">
        <f>ROUND(SUM(C25:C27),1)</f>
        <v>0</v>
      </c>
    </row>
    <row r="27" spans="1:9" ht="15" customHeight="1" x14ac:dyDescent="0.25">
      <c r="A27" s="83" t="s">
        <v>59</v>
      </c>
      <c r="B27" s="84"/>
      <c r="C27" s="6">
        <f>ROUND(SUM('Stavební rozpočet (SO 02)'!AK12:AK720),1)</f>
        <v>0</v>
      </c>
      <c r="D27" s="84" t="s">
        <v>826</v>
      </c>
      <c r="E27" s="84"/>
      <c r="F27" s="6">
        <f>ROUND(C27*(21/100),2)</f>
        <v>0</v>
      </c>
      <c r="G27" s="84" t="s">
        <v>452</v>
      </c>
      <c r="H27" s="84"/>
      <c r="I27" s="6">
        <f>ROUND(SUM(F26:F27)+I26,1)</f>
        <v>0</v>
      </c>
    </row>
    <row r="29" spans="1:9" ht="15" customHeight="1" x14ac:dyDescent="0.25">
      <c r="A29" s="78" t="s">
        <v>16</v>
      </c>
      <c r="B29" s="70"/>
      <c r="C29" s="71"/>
      <c r="D29" s="70" t="s">
        <v>1057</v>
      </c>
      <c r="E29" s="70"/>
      <c r="F29" s="71"/>
      <c r="G29" s="70" t="s">
        <v>755</v>
      </c>
      <c r="H29" s="70"/>
      <c r="I29" s="71"/>
    </row>
    <row r="30" spans="1:9" ht="15" customHeight="1" x14ac:dyDescent="0.25">
      <c r="A30" s="79" t="s">
        <v>769</v>
      </c>
      <c r="B30" s="72"/>
      <c r="C30" s="73"/>
      <c r="D30" s="72" t="s">
        <v>769</v>
      </c>
      <c r="E30" s="72"/>
      <c r="F30" s="73"/>
      <c r="G30" s="72" t="s">
        <v>769</v>
      </c>
      <c r="H30" s="72"/>
      <c r="I30" s="73"/>
    </row>
    <row r="31" spans="1:9" ht="15" customHeight="1" x14ac:dyDescent="0.25">
      <c r="A31" s="79" t="s">
        <v>769</v>
      </c>
      <c r="B31" s="72"/>
      <c r="C31" s="73"/>
      <c r="D31" s="72" t="s">
        <v>769</v>
      </c>
      <c r="E31" s="72"/>
      <c r="F31" s="73"/>
      <c r="G31" s="72" t="s">
        <v>769</v>
      </c>
      <c r="H31" s="72"/>
      <c r="I31" s="73"/>
    </row>
    <row r="32" spans="1:9" ht="15" customHeight="1" x14ac:dyDescent="0.25">
      <c r="A32" s="79" t="s">
        <v>769</v>
      </c>
      <c r="B32" s="72"/>
      <c r="C32" s="73"/>
      <c r="D32" s="72" t="s">
        <v>769</v>
      </c>
      <c r="E32" s="72"/>
      <c r="F32" s="73"/>
      <c r="G32" s="72" t="s">
        <v>769</v>
      </c>
      <c r="H32" s="72"/>
      <c r="I32" s="73"/>
    </row>
    <row r="33" spans="1:9" ht="15" customHeight="1" x14ac:dyDescent="0.25">
      <c r="A33" s="80" t="s">
        <v>207</v>
      </c>
      <c r="B33" s="74"/>
      <c r="C33" s="75"/>
      <c r="D33" s="74" t="s">
        <v>207</v>
      </c>
      <c r="E33" s="74"/>
      <c r="F33" s="75"/>
      <c r="G33" s="74" t="s">
        <v>207</v>
      </c>
      <c r="H33" s="74"/>
      <c r="I33" s="75"/>
    </row>
    <row r="34" spans="1:9" ht="15" customHeight="1" x14ac:dyDescent="0.25">
      <c r="A34" s="46" t="s">
        <v>101</v>
      </c>
    </row>
    <row r="35" spans="1:9" ht="12.75" customHeight="1" x14ac:dyDescent="0.25">
      <c r="A35" s="76" t="s">
        <v>769</v>
      </c>
      <c r="B35" s="77"/>
      <c r="C35" s="77"/>
      <c r="D35" s="77"/>
      <c r="E35" s="77"/>
      <c r="F35" s="77"/>
      <c r="G35" s="77"/>
      <c r="H35" s="77"/>
      <c r="I35" s="77"/>
    </row>
  </sheetData>
  <mergeCells count="80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I2:I3"/>
    <mergeCell ref="I4:I5"/>
    <mergeCell ref="I6:I7"/>
    <mergeCell ref="I8:I9"/>
    <mergeCell ref="I10:I11"/>
    <mergeCell ref="B13:C13"/>
    <mergeCell ref="E13:F13"/>
    <mergeCell ref="H13:I13"/>
    <mergeCell ref="A20:B20"/>
    <mergeCell ref="A21:B21"/>
    <mergeCell ref="D14:E14"/>
    <mergeCell ref="D15:E15"/>
    <mergeCell ref="D16:E16"/>
    <mergeCell ref="D17:E17"/>
    <mergeCell ref="G14:H14"/>
    <mergeCell ref="G15:H15"/>
    <mergeCell ref="G16:H16"/>
    <mergeCell ref="G17:H17"/>
    <mergeCell ref="G18:H18"/>
    <mergeCell ref="A25:B25"/>
    <mergeCell ref="D18:E18"/>
    <mergeCell ref="D19:E19"/>
    <mergeCell ref="D20:E20"/>
    <mergeCell ref="D21:E21"/>
    <mergeCell ref="D22:E22"/>
    <mergeCell ref="A22:B22"/>
    <mergeCell ref="G19:H19"/>
    <mergeCell ref="G20:H20"/>
    <mergeCell ref="G21:H21"/>
    <mergeCell ref="G22:H22"/>
    <mergeCell ref="G23:H23"/>
    <mergeCell ref="A26:B26"/>
    <mergeCell ref="A27:B27"/>
    <mergeCell ref="D26:E26"/>
    <mergeCell ref="D27:E27"/>
    <mergeCell ref="G26:H26"/>
    <mergeCell ref="G27:H27"/>
    <mergeCell ref="A35:I35"/>
    <mergeCell ref="A29:C29"/>
    <mergeCell ref="A30:C30"/>
    <mergeCell ref="A31:C31"/>
    <mergeCell ref="A32:C32"/>
    <mergeCell ref="A33:C33"/>
    <mergeCell ref="D29:F29"/>
    <mergeCell ref="D30:F30"/>
    <mergeCell ref="D31:F31"/>
    <mergeCell ref="D32:F32"/>
    <mergeCell ref="D33:F33"/>
    <mergeCell ref="G29:I29"/>
    <mergeCell ref="G30:I30"/>
    <mergeCell ref="G31:I31"/>
    <mergeCell ref="G32:I32"/>
    <mergeCell ref="G33:I33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I45"/>
  <sheetViews>
    <sheetView showOutlineSymbols="0" workbookViewId="0">
      <selection activeCell="A45" sqref="A45:E45"/>
    </sheetView>
  </sheetViews>
  <sheetFormatPr defaultColWidth="14.1640625" defaultRowHeight="15" customHeight="1" x14ac:dyDescent="0.25"/>
  <cols>
    <col min="1" max="1" width="10.6640625"/>
    <col min="2" max="2" width="15"/>
    <col min="3" max="3" width="26.6640625"/>
    <col min="4" max="4" width="11.6640625"/>
    <col min="5" max="5" width="16.33203125"/>
    <col min="6" max="6" width="26.6640625"/>
    <col min="7" max="7" width="10.6640625"/>
    <col min="8" max="8" width="20"/>
    <col min="9" max="9" width="26.6640625"/>
  </cols>
  <sheetData>
    <row r="1" spans="1:9" ht="54.75" customHeight="1" x14ac:dyDescent="0.25">
      <c r="A1" s="110" t="s">
        <v>377</v>
      </c>
      <c r="B1" s="111"/>
      <c r="C1" s="111"/>
      <c r="D1" s="111"/>
      <c r="E1" s="111"/>
      <c r="F1" s="111"/>
      <c r="G1" s="111"/>
      <c r="H1" s="111"/>
      <c r="I1" s="111"/>
    </row>
    <row r="2" spans="1:9" ht="15" customHeight="1" x14ac:dyDescent="0.25">
      <c r="A2" s="112" t="s">
        <v>86</v>
      </c>
      <c r="B2" s="105"/>
      <c r="C2" s="107" t="str">
        <f>'Stavební rozpočet'!D2</f>
        <v>JSL13 Předklášteří - obnova vodovodního řadu ul. Komenského, ul. Krátká</v>
      </c>
      <c r="D2" s="108"/>
      <c r="E2" s="104" t="s">
        <v>924</v>
      </c>
      <c r="F2" s="104" t="e">
        <f>'Stavební rozpočet'!#REF!</f>
        <v>#REF!</v>
      </c>
      <c r="G2" s="105"/>
      <c r="H2" s="104" t="s">
        <v>721</v>
      </c>
      <c r="I2" s="98" t="s">
        <v>769</v>
      </c>
    </row>
    <row r="3" spans="1:9" ht="25.5" customHeight="1" x14ac:dyDescent="0.25">
      <c r="A3" s="113"/>
      <c r="B3" s="77"/>
      <c r="C3" s="109"/>
      <c r="D3" s="109"/>
      <c r="E3" s="77"/>
      <c r="F3" s="77"/>
      <c r="G3" s="77"/>
      <c r="H3" s="77"/>
      <c r="I3" s="99"/>
    </row>
    <row r="4" spans="1:9" ht="15" customHeight="1" x14ac:dyDescent="0.25">
      <c r="A4" s="114" t="s">
        <v>610</v>
      </c>
      <c r="B4" s="77"/>
      <c r="C4" s="76" t="str">
        <f>'Stavební rozpočet'!D4</f>
        <v xml:space="preserve"> </v>
      </c>
      <c r="D4" s="77"/>
      <c r="E4" s="76" t="s">
        <v>767</v>
      </c>
      <c r="F4" s="76" t="e">
        <f>'Stavební rozpočet'!#REF!</f>
        <v>#REF!</v>
      </c>
      <c r="G4" s="77"/>
      <c r="H4" s="76" t="s">
        <v>721</v>
      </c>
      <c r="I4" s="99" t="s">
        <v>769</v>
      </c>
    </row>
    <row r="5" spans="1:9" ht="15" customHeight="1" x14ac:dyDescent="0.25">
      <c r="A5" s="113"/>
      <c r="B5" s="77"/>
      <c r="C5" s="77"/>
      <c r="D5" s="77"/>
      <c r="E5" s="77"/>
      <c r="F5" s="77"/>
      <c r="G5" s="77"/>
      <c r="H5" s="77"/>
      <c r="I5" s="99"/>
    </row>
    <row r="6" spans="1:9" ht="15" customHeight="1" x14ac:dyDescent="0.25">
      <c r="A6" s="114" t="s">
        <v>104</v>
      </c>
      <c r="B6" s="77"/>
      <c r="C6" s="76" t="str">
        <f>'Stavební rozpočet'!D6</f>
        <v>Předklášteří</v>
      </c>
      <c r="D6" s="77"/>
      <c r="E6" s="76" t="s">
        <v>967</v>
      </c>
      <c r="F6" s="76" t="e">
        <f>'Stavební rozpočet'!#REF!</f>
        <v>#REF!</v>
      </c>
      <c r="G6" s="77"/>
      <c r="H6" s="76" t="s">
        <v>721</v>
      </c>
      <c r="I6" s="99" t="s">
        <v>769</v>
      </c>
    </row>
    <row r="7" spans="1:9" ht="15" customHeight="1" x14ac:dyDescent="0.25">
      <c r="A7" s="113"/>
      <c r="B7" s="77"/>
      <c r="C7" s="77"/>
      <c r="D7" s="77"/>
      <c r="E7" s="77"/>
      <c r="F7" s="77"/>
      <c r="G7" s="77"/>
      <c r="H7" s="77"/>
      <c r="I7" s="99"/>
    </row>
    <row r="8" spans="1:9" ht="15" customHeight="1" x14ac:dyDescent="0.25">
      <c r="A8" s="114" t="s">
        <v>986</v>
      </c>
      <c r="B8" s="77"/>
      <c r="C8" s="76" t="str">
        <f>'Stavební rozpočet'!H4</f>
        <v>28.09.2023</v>
      </c>
      <c r="D8" s="77"/>
      <c r="E8" s="76" t="s">
        <v>359</v>
      </c>
      <c r="F8" s="76" t="str">
        <f>'Stavební rozpočet'!H6</f>
        <v xml:space="preserve"> </v>
      </c>
      <c r="G8" s="77"/>
      <c r="H8" s="77" t="s">
        <v>1122</v>
      </c>
      <c r="I8" s="100">
        <v>97</v>
      </c>
    </row>
    <row r="9" spans="1:9" ht="15" customHeight="1" x14ac:dyDescent="0.25">
      <c r="A9" s="113"/>
      <c r="B9" s="77"/>
      <c r="C9" s="77"/>
      <c r="D9" s="77"/>
      <c r="E9" s="77"/>
      <c r="F9" s="77"/>
      <c r="G9" s="77"/>
      <c r="H9" s="77"/>
      <c r="I9" s="99"/>
    </row>
    <row r="10" spans="1:9" ht="15" customHeight="1" x14ac:dyDescent="0.25">
      <c r="A10" s="114" t="s">
        <v>546</v>
      </c>
      <c r="B10" s="77"/>
      <c r="C10" s="76" t="str">
        <f>'Stavební rozpočet'!D8</f>
        <v xml:space="preserve"> </v>
      </c>
      <c r="D10" s="77"/>
      <c r="E10" s="76" t="s">
        <v>733</v>
      </c>
      <c r="F10" s="76" t="e">
        <f>'Stavební rozpočet'!#REF!</f>
        <v>#REF!</v>
      </c>
      <c r="G10" s="77"/>
      <c r="H10" s="77" t="s">
        <v>1084</v>
      </c>
      <c r="I10" s="101" t="str">
        <f>'Stavební rozpočet'!H8</f>
        <v>28.09.2023</v>
      </c>
    </row>
    <row r="11" spans="1:9" ht="15" customHeight="1" x14ac:dyDescent="0.25">
      <c r="A11" s="115"/>
      <c r="B11" s="106"/>
      <c r="C11" s="106"/>
      <c r="D11" s="106"/>
      <c r="E11" s="106"/>
      <c r="F11" s="106"/>
      <c r="G11" s="106"/>
      <c r="H11" s="106"/>
      <c r="I11" s="102"/>
    </row>
    <row r="13" spans="1:9" ht="15.75" customHeight="1" x14ac:dyDescent="0.25">
      <c r="A13" s="125" t="s">
        <v>419</v>
      </c>
      <c r="B13" s="125"/>
      <c r="C13" s="125"/>
      <c r="D13" s="125"/>
      <c r="E13" s="125"/>
    </row>
    <row r="14" spans="1:9" ht="15" customHeight="1" x14ac:dyDescent="0.25">
      <c r="A14" s="126" t="s">
        <v>1233</v>
      </c>
      <c r="B14" s="127"/>
      <c r="C14" s="127"/>
      <c r="D14" s="127"/>
      <c r="E14" s="128"/>
      <c r="F14" s="67" t="s">
        <v>1144</v>
      </c>
      <c r="G14" s="67" t="s">
        <v>972</v>
      </c>
      <c r="H14" s="67" t="s">
        <v>272</v>
      </c>
      <c r="I14" s="67" t="s">
        <v>1144</v>
      </c>
    </row>
    <row r="15" spans="1:9" ht="15" customHeight="1" x14ac:dyDescent="0.25">
      <c r="A15" s="115" t="s">
        <v>791</v>
      </c>
      <c r="B15" s="106"/>
      <c r="C15" s="106"/>
      <c r="D15" s="106"/>
      <c r="E15" s="102"/>
      <c r="F15" s="16">
        <v>0</v>
      </c>
      <c r="G15" s="43" t="s">
        <v>769</v>
      </c>
      <c r="H15" s="43" t="s">
        <v>769</v>
      </c>
      <c r="I15" s="16">
        <f>F15</f>
        <v>0</v>
      </c>
    </row>
    <row r="16" spans="1:9" ht="15" customHeight="1" x14ac:dyDescent="0.25">
      <c r="A16" s="115" t="s">
        <v>113</v>
      </c>
      <c r="B16" s="106"/>
      <c r="C16" s="106"/>
      <c r="D16" s="106"/>
      <c r="E16" s="102"/>
      <c r="F16" s="16">
        <v>0</v>
      </c>
      <c r="G16" s="43" t="s">
        <v>769</v>
      </c>
      <c r="H16" s="43" t="s">
        <v>769</v>
      </c>
      <c r="I16" s="16">
        <f>F16</f>
        <v>0</v>
      </c>
    </row>
    <row r="17" spans="1:9" ht="15" customHeight="1" x14ac:dyDescent="0.25">
      <c r="A17" s="113" t="s">
        <v>819</v>
      </c>
      <c r="B17" s="77"/>
      <c r="C17" s="77"/>
      <c r="D17" s="77"/>
      <c r="E17" s="99"/>
      <c r="F17" s="32">
        <v>0</v>
      </c>
      <c r="G17" s="18" t="s">
        <v>769</v>
      </c>
      <c r="H17" s="18" t="s">
        <v>769</v>
      </c>
      <c r="I17" s="32">
        <f>F17</f>
        <v>0</v>
      </c>
    </row>
    <row r="18" spans="1:9" ht="15" customHeight="1" x14ac:dyDescent="0.25">
      <c r="A18" s="116" t="s">
        <v>1184</v>
      </c>
      <c r="B18" s="117"/>
      <c r="C18" s="117"/>
      <c r="D18" s="117"/>
      <c r="E18" s="118"/>
      <c r="F18" s="5" t="s">
        <v>769</v>
      </c>
      <c r="G18" s="26" t="s">
        <v>769</v>
      </c>
      <c r="H18" s="26" t="s">
        <v>769</v>
      </c>
      <c r="I18" s="25">
        <f>SUM(I15:I17)</f>
        <v>0</v>
      </c>
    </row>
    <row r="20" spans="1:9" ht="15" customHeight="1" x14ac:dyDescent="0.25">
      <c r="A20" s="126" t="s">
        <v>195</v>
      </c>
      <c r="B20" s="127"/>
      <c r="C20" s="127"/>
      <c r="D20" s="127"/>
      <c r="E20" s="128"/>
      <c r="F20" s="67" t="s">
        <v>1144</v>
      </c>
      <c r="G20" s="67" t="s">
        <v>972</v>
      </c>
      <c r="H20" s="67" t="s">
        <v>272</v>
      </c>
      <c r="I20" s="67" t="s">
        <v>1144</v>
      </c>
    </row>
    <row r="21" spans="1:9" ht="15" customHeight="1" x14ac:dyDescent="0.25">
      <c r="A21" s="115" t="s">
        <v>118</v>
      </c>
      <c r="B21" s="106"/>
      <c r="C21" s="106"/>
      <c r="D21" s="106"/>
      <c r="E21" s="102"/>
      <c r="F21" s="16">
        <v>0</v>
      </c>
      <c r="G21" s="43" t="s">
        <v>769</v>
      </c>
      <c r="H21" s="43" t="s">
        <v>769</v>
      </c>
      <c r="I21" s="16">
        <f t="shared" ref="I21:I26" si="0">F21</f>
        <v>0</v>
      </c>
    </row>
    <row r="22" spans="1:9" ht="15" customHeight="1" x14ac:dyDescent="0.25">
      <c r="A22" s="115" t="s">
        <v>878</v>
      </c>
      <c r="B22" s="106"/>
      <c r="C22" s="106"/>
      <c r="D22" s="106"/>
      <c r="E22" s="102"/>
      <c r="F22" s="16">
        <v>0</v>
      </c>
      <c r="G22" s="43" t="s">
        <v>769</v>
      </c>
      <c r="H22" s="43" t="s">
        <v>769</v>
      </c>
      <c r="I22" s="16">
        <f t="shared" si="0"/>
        <v>0</v>
      </c>
    </row>
    <row r="23" spans="1:9" ht="15" customHeight="1" x14ac:dyDescent="0.25">
      <c r="A23" s="115" t="s">
        <v>1076</v>
      </c>
      <c r="B23" s="106"/>
      <c r="C23" s="106"/>
      <c r="D23" s="106"/>
      <c r="E23" s="102"/>
      <c r="F23" s="16">
        <v>0</v>
      </c>
      <c r="G23" s="43" t="s">
        <v>769</v>
      </c>
      <c r="H23" s="43" t="s">
        <v>769</v>
      </c>
      <c r="I23" s="16">
        <f t="shared" si="0"/>
        <v>0</v>
      </c>
    </row>
    <row r="24" spans="1:9" ht="15" customHeight="1" x14ac:dyDescent="0.25">
      <c r="A24" s="115" t="s">
        <v>595</v>
      </c>
      <c r="B24" s="106"/>
      <c r="C24" s="106"/>
      <c r="D24" s="106"/>
      <c r="E24" s="102"/>
      <c r="F24" s="16">
        <v>0</v>
      </c>
      <c r="G24" s="43" t="s">
        <v>769</v>
      </c>
      <c r="H24" s="43" t="s">
        <v>769</v>
      </c>
      <c r="I24" s="16">
        <f t="shared" si="0"/>
        <v>0</v>
      </c>
    </row>
    <row r="25" spans="1:9" ht="15" customHeight="1" x14ac:dyDescent="0.25">
      <c r="A25" s="115" t="s">
        <v>722</v>
      </c>
      <c r="B25" s="106"/>
      <c r="C25" s="106"/>
      <c r="D25" s="106"/>
      <c r="E25" s="102"/>
      <c r="F25" s="16">
        <v>0</v>
      </c>
      <c r="G25" s="43" t="s">
        <v>769</v>
      </c>
      <c r="H25" s="43" t="s">
        <v>769</v>
      </c>
      <c r="I25" s="16">
        <f t="shared" si="0"/>
        <v>0</v>
      </c>
    </row>
    <row r="26" spans="1:9" ht="15" customHeight="1" x14ac:dyDescent="0.25">
      <c r="A26" s="113" t="s">
        <v>1105</v>
      </c>
      <c r="B26" s="77"/>
      <c r="C26" s="77"/>
      <c r="D26" s="77"/>
      <c r="E26" s="99"/>
      <c r="F26" s="32">
        <v>0</v>
      </c>
      <c r="G26" s="18" t="s">
        <v>769</v>
      </c>
      <c r="H26" s="18" t="s">
        <v>769</v>
      </c>
      <c r="I26" s="32">
        <f t="shared" si="0"/>
        <v>0</v>
      </c>
    </row>
    <row r="27" spans="1:9" ht="15" customHeight="1" x14ac:dyDescent="0.25">
      <c r="A27" s="116" t="s">
        <v>453</v>
      </c>
      <c r="B27" s="117"/>
      <c r="C27" s="117"/>
      <c r="D27" s="117"/>
      <c r="E27" s="118"/>
      <c r="F27" s="5" t="s">
        <v>769</v>
      </c>
      <c r="G27" s="26" t="s">
        <v>769</v>
      </c>
      <c r="H27" s="26" t="s">
        <v>769</v>
      </c>
      <c r="I27" s="25">
        <f>SUM(I21:I26)</f>
        <v>0</v>
      </c>
    </row>
    <row r="29" spans="1:9" ht="15.75" customHeight="1" x14ac:dyDescent="0.25">
      <c r="A29" s="119" t="s">
        <v>1153</v>
      </c>
      <c r="B29" s="120"/>
      <c r="C29" s="120"/>
      <c r="D29" s="120"/>
      <c r="E29" s="121"/>
      <c r="F29" s="122">
        <f>I18+I27</f>
        <v>0</v>
      </c>
      <c r="G29" s="123"/>
      <c r="H29" s="123"/>
      <c r="I29" s="124"/>
    </row>
    <row r="33" spans="1:9" ht="15.75" customHeight="1" x14ac:dyDescent="0.25">
      <c r="A33" s="125" t="s">
        <v>36</v>
      </c>
      <c r="B33" s="125"/>
      <c r="C33" s="125"/>
      <c r="D33" s="125"/>
      <c r="E33" s="125"/>
    </row>
    <row r="34" spans="1:9" ht="15" customHeight="1" x14ac:dyDescent="0.25">
      <c r="A34" s="126" t="s">
        <v>22</v>
      </c>
      <c r="B34" s="127"/>
      <c r="C34" s="127"/>
      <c r="D34" s="127"/>
      <c r="E34" s="128"/>
      <c r="F34" s="67" t="s">
        <v>1144</v>
      </c>
      <c r="G34" s="67" t="s">
        <v>972</v>
      </c>
      <c r="H34" s="67" t="s">
        <v>272</v>
      </c>
      <c r="I34" s="67" t="s">
        <v>1144</v>
      </c>
    </row>
    <row r="35" spans="1:9" ht="15" customHeight="1" x14ac:dyDescent="0.25">
      <c r="A35" s="115" t="s">
        <v>531</v>
      </c>
      <c r="B35" s="106"/>
      <c r="C35" s="106"/>
      <c r="D35" s="106"/>
      <c r="E35" s="102"/>
      <c r="F35" s="16">
        <f>SUM('Stavební rozpočet'!BL12:BL720)</f>
        <v>0</v>
      </c>
      <c r="G35" s="43" t="s">
        <v>769</v>
      </c>
      <c r="H35" s="43" t="s">
        <v>769</v>
      </c>
      <c r="I35" s="16">
        <f t="shared" ref="I35:I44" si="1">F35</f>
        <v>0</v>
      </c>
    </row>
    <row r="36" spans="1:9" ht="15" customHeight="1" x14ac:dyDescent="0.25">
      <c r="A36" s="115" t="s">
        <v>951</v>
      </c>
      <c r="B36" s="106"/>
      <c r="C36" s="106"/>
      <c r="D36" s="106"/>
      <c r="E36" s="102"/>
      <c r="F36" s="16">
        <f>SUM('Stavební rozpočet'!BM12:BM720)</f>
        <v>0</v>
      </c>
      <c r="G36" s="43" t="s">
        <v>769</v>
      </c>
      <c r="H36" s="43" t="s">
        <v>769</v>
      </c>
      <c r="I36" s="16">
        <f t="shared" si="1"/>
        <v>0</v>
      </c>
    </row>
    <row r="37" spans="1:9" ht="15" customHeight="1" x14ac:dyDescent="0.25">
      <c r="A37" s="115" t="s">
        <v>118</v>
      </c>
      <c r="B37" s="106"/>
      <c r="C37" s="106"/>
      <c r="D37" s="106"/>
      <c r="E37" s="102"/>
      <c r="F37" s="16">
        <f>SUM('Stavební rozpočet'!BN12:BN720)</f>
        <v>0</v>
      </c>
      <c r="G37" s="43" t="s">
        <v>769</v>
      </c>
      <c r="H37" s="43" t="s">
        <v>769</v>
      </c>
      <c r="I37" s="16">
        <f t="shared" si="1"/>
        <v>0</v>
      </c>
    </row>
    <row r="38" spans="1:9" ht="15" customHeight="1" x14ac:dyDescent="0.25">
      <c r="A38" s="115" t="s">
        <v>910</v>
      </c>
      <c r="B38" s="106"/>
      <c r="C38" s="106"/>
      <c r="D38" s="106"/>
      <c r="E38" s="102"/>
      <c r="F38" s="16">
        <f>SUM('Stavební rozpočet'!BO12:BO720)</f>
        <v>0</v>
      </c>
      <c r="G38" s="43" t="s">
        <v>769</v>
      </c>
      <c r="H38" s="43" t="s">
        <v>769</v>
      </c>
      <c r="I38" s="16">
        <f t="shared" si="1"/>
        <v>0</v>
      </c>
    </row>
    <row r="39" spans="1:9" ht="15" customHeight="1" x14ac:dyDescent="0.25">
      <c r="A39" s="115" t="s">
        <v>1074</v>
      </c>
      <c r="B39" s="106"/>
      <c r="C39" s="106"/>
      <c r="D39" s="106"/>
      <c r="E39" s="102"/>
      <c r="F39" s="16">
        <f>SUM('Stavební rozpočet'!BP12:BP720)</f>
        <v>0</v>
      </c>
      <c r="G39" s="43" t="s">
        <v>769</v>
      </c>
      <c r="H39" s="43" t="s">
        <v>769</v>
      </c>
      <c r="I39" s="16">
        <f t="shared" si="1"/>
        <v>0</v>
      </c>
    </row>
    <row r="40" spans="1:9" ht="15" customHeight="1" x14ac:dyDescent="0.25">
      <c r="A40" s="115" t="s">
        <v>1076</v>
      </c>
      <c r="B40" s="106"/>
      <c r="C40" s="106"/>
      <c r="D40" s="106"/>
      <c r="E40" s="102"/>
      <c r="F40" s="16">
        <f>SUM('Stavební rozpočet'!BQ12:BQ720)</f>
        <v>0</v>
      </c>
      <c r="G40" s="43" t="s">
        <v>769</v>
      </c>
      <c r="H40" s="43" t="s">
        <v>769</v>
      </c>
      <c r="I40" s="16">
        <f t="shared" si="1"/>
        <v>0</v>
      </c>
    </row>
    <row r="41" spans="1:9" ht="15" customHeight="1" x14ac:dyDescent="0.25">
      <c r="A41" s="115" t="s">
        <v>595</v>
      </c>
      <c r="B41" s="106"/>
      <c r="C41" s="106"/>
      <c r="D41" s="106"/>
      <c r="E41" s="102"/>
      <c r="F41" s="16">
        <f>SUM('Stavební rozpočet'!BR12:BR720)</f>
        <v>0</v>
      </c>
      <c r="G41" s="43" t="s">
        <v>769</v>
      </c>
      <c r="H41" s="43" t="s">
        <v>769</v>
      </c>
      <c r="I41" s="16">
        <f t="shared" si="1"/>
        <v>0</v>
      </c>
    </row>
    <row r="42" spans="1:9" ht="15" customHeight="1" x14ac:dyDescent="0.25">
      <c r="A42" s="115" t="s">
        <v>1244</v>
      </c>
      <c r="B42" s="106"/>
      <c r="C42" s="106"/>
      <c r="D42" s="106"/>
      <c r="E42" s="102"/>
      <c r="F42" s="16">
        <f>SUM('Stavební rozpočet'!BS12:BS720)</f>
        <v>0</v>
      </c>
      <c r="G42" s="43" t="s">
        <v>769</v>
      </c>
      <c r="H42" s="43" t="s">
        <v>769</v>
      </c>
      <c r="I42" s="16">
        <f t="shared" si="1"/>
        <v>0</v>
      </c>
    </row>
    <row r="43" spans="1:9" ht="15" customHeight="1" x14ac:dyDescent="0.25">
      <c r="A43" s="115" t="s">
        <v>292</v>
      </c>
      <c r="B43" s="106"/>
      <c r="C43" s="106"/>
      <c r="D43" s="106"/>
      <c r="E43" s="102"/>
      <c r="F43" s="16">
        <f>SUM('Stavební rozpočet'!BT12:BT720)</f>
        <v>0</v>
      </c>
      <c r="G43" s="43" t="s">
        <v>769</v>
      </c>
      <c r="H43" s="43" t="s">
        <v>769</v>
      </c>
      <c r="I43" s="16">
        <f t="shared" si="1"/>
        <v>0</v>
      </c>
    </row>
    <row r="44" spans="1:9" ht="15" customHeight="1" x14ac:dyDescent="0.25">
      <c r="A44" s="113" t="s">
        <v>1053</v>
      </c>
      <c r="B44" s="77"/>
      <c r="C44" s="77"/>
      <c r="D44" s="77"/>
      <c r="E44" s="99"/>
      <c r="F44" s="32">
        <f>SUM('Stavební rozpočet'!BU12:BU720)</f>
        <v>0</v>
      </c>
      <c r="G44" s="18" t="s">
        <v>769</v>
      </c>
      <c r="H44" s="18" t="s">
        <v>769</v>
      </c>
      <c r="I44" s="32">
        <f t="shared" si="1"/>
        <v>0</v>
      </c>
    </row>
    <row r="45" spans="1:9" ht="15" customHeight="1" x14ac:dyDescent="0.25">
      <c r="A45" s="116" t="s">
        <v>852</v>
      </c>
      <c r="B45" s="117"/>
      <c r="C45" s="117"/>
      <c r="D45" s="117"/>
      <c r="E45" s="118"/>
      <c r="F45" s="5" t="s">
        <v>769</v>
      </c>
      <c r="G45" s="26" t="s">
        <v>769</v>
      </c>
      <c r="H45" s="26" t="s">
        <v>769</v>
      </c>
      <c r="I45" s="25">
        <f>SUM(I35:I44)</f>
        <v>0</v>
      </c>
    </row>
  </sheetData>
  <mergeCells count="60">
    <mergeCell ref="A10:B11"/>
    <mergeCell ref="E2:E3"/>
    <mergeCell ref="E4:E5"/>
    <mergeCell ref="E6:E7"/>
    <mergeCell ref="E8:E9"/>
    <mergeCell ref="A1:I1"/>
    <mergeCell ref="A2:B3"/>
    <mergeCell ref="A4:B5"/>
    <mergeCell ref="A6:B7"/>
    <mergeCell ref="A8:B9"/>
    <mergeCell ref="F10:G11"/>
    <mergeCell ref="E10:E11"/>
    <mergeCell ref="H2:H3"/>
    <mergeCell ref="H4:H5"/>
    <mergeCell ref="H6:H7"/>
    <mergeCell ref="H8:H9"/>
    <mergeCell ref="H10:H11"/>
    <mergeCell ref="A20:E20"/>
    <mergeCell ref="I2:I3"/>
    <mergeCell ref="I4:I5"/>
    <mergeCell ref="I6:I7"/>
    <mergeCell ref="I8:I9"/>
    <mergeCell ref="I10:I11"/>
    <mergeCell ref="A13:E13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A14:E14"/>
    <mergeCell ref="A15:E15"/>
    <mergeCell ref="A16:E16"/>
    <mergeCell ref="A17:E17"/>
    <mergeCell ref="A18:E18"/>
    <mergeCell ref="A35:E35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</vt:i4>
      </vt:variant>
    </vt:vector>
  </HeadingPairs>
  <TitlesOfParts>
    <vt:vector size="20" baseType="lpstr">
      <vt:lpstr>Krycí list rozpočtu</vt:lpstr>
      <vt:lpstr>VORN</vt:lpstr>
      <vt:lpstr>Rozpočet - objekty</vt:lpstr>
      <vt:lpstr>Stavební rozpočet</vt:lpstr>
      <vt:lpstr>Krycí list rozpočtu (SO 01)</vt:lpstr>
      <vt:lpstr>VORN objektu (SO 01)</vt:lpstr>
      <vt:lpstr>Stavební rozpočet (SO 01)</vt:lpstr>
      <vt:lpstr>Krycí list rozpočtu (SO 02)</vt:lpstr>
      <vt:lpstr>VORN objektu (SO 02)</vt:lpstr>
      <vt:lpstr>Stavební rozpočet (SO 02)</vt:lpstr>
      <vt:lpstr>Krycí list rozpočtu (SO 03)</vt:lpstr>
      <vt:lpstr>VORN objektu (SO 03)</vt:lpstr>
      <vt:lpstr>Stavební rozpočet (SO 03)</vt:lpstr>
      <vt:lpstr>Krycí list rozpočtu (SO 04)</vt:lpstr>
      <vt:lpstr>VORN objektu (SO 04)</vt:lpstr>
      <vt:lpstr>Stavební rozpočet (SO 04)</vt:lpstr>
      <vt:lpstr>Krycí list rozpočtu (VON)</vt:lpstr>
      <vt:lpstr>VORN objektu (VON)</vt:lpstr>
      <vt:lpstr>Stavební rozpočet (VON)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2021-06-10T20:06:38Z</dcterms:created>
  <dcterms:modified xsi:type="dcterms:W3CDTF">2023-11-21T20:17:50Z</dcterms:modified>
</cp:coreProperties>
</file>